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comments1.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omments2.xml" ContentType="application/vnd.openxmlformats-officedocument.spreadsheetml.comments+xml"/>
  <Override PartName="/xl/drawings/drawing10.xml" ContentType="application/vnd.openxmlformats-officedocument.drawing+xml"/>
  <Override PartName="/xl/pivotTables/pivotTable1.xml" ContentType="application/vnd.openxmlformats-officedocument.spreadsheetml.pivotTable+xml"/>
  <Override PartName="/xl/drawings/drawing11.xml" ContentType="application/vnd.openxmlformats-officedocument.drawing+xml"/>
  <Override PartName="/xl/pivotTables/pivotTable2.xml" ContentType="application/vnd.openxmlformats-officedocument.spreadsheetml.pivotTable+xml"/>
  <Override PartName="/xl/drawings/drawing12.xml" ContentType="application/vnd.openxmlformats-officedocument.drawing+xml"/>
  <Override PartName="/xl/pivotTables/pivotTable3.xml" ContentType="application/vnd.openxmlformats-officedocument.spreadsheetml.pivotTable+xml"/>
  <Override PartName="/xl/drawings/drawing13.xml" ContentType="application/vnd.openxmlformats-officedocument.drawing+xml"/>
  <Override PartName="/xl/drawings/drawing14.xml" ContentType="application/vnd.openxmlformats-officedocument.drawing+xml"/>
  <Override PartName="/xl/comments3.xml" ContentType="application/vnd.openxmlformats-officedocument.spreadsheetml.comments+xml"/>
  <Override PartName="/xl/drawings/drawing15.xml" ContentType="application/vnd.openxmlformats-officedocument.drawing+xml"/>
  <Override PartName="/xl/drawings/drawing16.xml" ContentType="application/vnd.openxmlformats-officedocument.drawing+xml"/>
  <Override PartName="/xl/pivotTables/pivotTable4.xml" ContentType="application/vnd.openxmlformats-officedocument.spreadsheetml.pivotTable+xml"/>
  <Override PartName="/xl/comments4.xml" ContentType="application/vnd.openxmlformats-officedocument.spreadsheetml.comments+xml"/>
  <Override PartName="/xl/drawings/drawing17.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howInkAnnotation="0" codeName="ThisWorkbook" hidePivotFieldList="1" defaultThemeVersion="124226"/>
  <mc:AlternateContent xmlns:mc="http://schemas.openxmlformats.org/markup-compatibility/2006">
    <mc:Choice Requires="x15">
      <x15ac:absPath xmlns:x15ac="http://schemas.microsoft.com/office/spreadsheetml/2010/11/ac" url="C:\Users\adaml\Desktop\Projetos Philips\Projetos Modelo Agent Knowledge\Projeto Botelho Oftalmoclinica\Planejamento\"/>
    </mc:Choice>
  </mc:AlternateContent>
  <xr:revisionPtr revIDLastSave="0" documentId="8_{A4FEB3E8-C167-45F2-A439-D9E89A12ED5A}" xr6:coauthVersionLast="47" xr6:coauthVersionMax="47" xr10:uidLastSave="{00000000-0000-0000-0000-000000000000}"/>
  <workbookProtection workbookAlgorithmName="SHA-512" workbookHashValue="WaQotJrBdkF8qO1Jqv5EMrrFuDAjdhPicpPBugxx61ss/bIRFI+iZY/KhqWQobBtbtVBis8uVhtT9PputmHIiQ==" workbookSaltValue="14JtuqVScxJb9otFYqgbyg==" workbookSpinCount="100000" lockStructure="1"/>
  <bookViews>
    <workbookView xWindow="-110" yWindow="-110" windowWidth="19420" windowHeight="10300" tabRatio="764" firstSheet="1" activeTab="3" xr2:uid="{00000000-000D-0000-FFFF-FFFF00000000}"/>
  </bookViews>
  <sheets>
    <sheet name="Version Control (Old-Delete)" sheetId="28" state="hidden" r:id="rId1"/>
    <sheet name="Version Control " sheetId="52" r:id="rId2"/>
    <sheet name="Pendências" sheetId="58" state="hidden" r:id="rId3"/>
    <sheet name="General Information" sheetId="14" r:id="rId4"/>
    <sheet name="Proposal" sheetId="40" r:id="rId5"/>
    <sheet name="OIT SaaS" sheetId="55" r:id="rId6"/>
    <sheet name="Modules" sheetId="20" r:id="rId7"/>
    <sheet name="Folha1" sheetId="59" state="hidden" r:id="rId8"/>
    <sheet name="Questions" sheetId="18" r:id="rId9"/>
    <sheet name="Hours Detail" sheetId="34" r:id="rId10"/>
    <sheet name="Integrations (Old)" sheetId="41" state="hidden" r:id="rId11"/>
    <sheet name="Integrations" sheetId="61" r:id="rId12"/>
    <sheet name="Summary" sheetId="36" r:id="rId13"/>
    <sheet name="Hide - Negative Escope" sheetId="60" state="hidden" r:id="rId14"/>
    <sheet name="Resume (English)" sheetId="44" state="hidden" r:id="rId15"/>
    <sheet name="Rollout" sheetId="54" r:id="rId16"/>
    <sheet name="IDIOMA (hide)" sheetId="21" state="hidden" r:id="rId17"/>
    <sheet name="TWS (Excluir)" sheetId="48" state="hidden" r:id="rId18"/>
    <sheet name="Alterações" sheetId="47" state="hidden" r:id="rId19"/>
    <sheet name="Listas (Hide)" sheetId="35" state="hidden" r:id="rId20"/>
    <sheet name="ESTRUTURA_MODULO(hide)" sheetId="30" state="hidden" r:id="rId21"/>
    <sheet name="Assumptions Suggestion" sheetId="45" state="hidden" r:id="rId22"/>
    <sheet name="Folha2" sheetId="62" state="hidden" r:id="rId23"/>
    <sheet name="BackOffice" sheetId="57" r:id="rId24"/>
    <sheet name="BASE_FUNCOES (hide)" sheetId="22" state="hidden" r:id="rId25"/>
    <sheet name="Folha4" sheetId="64" state="hidden" r:id="rId26"/>
    <sheet name="Folha5" sheetId="65" state="hidden" r:id="rId27"/>
    <sheet name="Hide - Not Done 1" sheetId="68" state="hidden" r:id="rId28"/>
    <sheet name="Hide - Not Done" sheetId="66" state="hidden" r:id="rId29"/>
    <sheet name="Funções Tasy Corp - 2020, Abril" sheetId="49" state="hidden" r:id="rId30"/>
    <sheet name="Anotações (Hide)" sheetId="38" state="hidden" r:id="rId31"/>
  </sheets>
  <externalReferences>
    <externalReference r:id="rId32"/>
    <externalReference r:id="rId33"/>
  </externalReferences>
  <definedNames>
    <definedName name="_xlnm._FilterDatabase" localSheetId="23" hidden="1">BackOffice!$A$51:$BK$51</definedName>
    <definedName name="_xlnm._FilterDatabase" localSheetId="24" hidden="1">'BASE_FUNCOES (hide)'!$A$3:$X$3</definedName>
    <definedName name="_xlnm._FilterDatabase" localSheetId="20" hidden="1">'ESTRUTURA_MODULO(hide)'!$A$1:$D$97</definedName>
    <definedName name="_xlnm._FilterDatabase" localSheetId="25" hidden="1">Folha4!$A$1:$M$159</definedName>
    <definedName name="_xlnm._FilterDatabase" localSheetId="28" hidden="1">'Hide - Not Done'!$A$1:$Q$1923</definedName>
    <definedName name="_xlnm._FilterDatabase" localSheetId="9" hidden="1">'Hours Detail'!$B$6:$N$705</definedName>
    <definedName name="_xlnm._FilterDatabase" localSheetId="16" hidden="1">'IDIOMA (hide)'!$A$1:$F$481</definedName>
    <definedName name="_xlnm._FilterDatabase" localSheetId="11">Integrations!$A$11:$K$73</definedName>
    <definedName name="_xlnm._FilterDatabase" localSheetId="2" hidden="1">Pendências!$A$1:$F$16</definedName>
    <definedName name="_xlnm._FilterDatabase" localSheetId="8" hidden="1">Questions!$A$5:$O$5</definedName>
    <definedName name="Afirmativa" localSheetId="23">OFFSET('[1]Listas (Hide)'!$B$13,1,MATCH('[1]General Information'!$F$4,'[1]Listas (Hide)'!$B$13:$D$13,0)-1,2)</definedName>
    <definedName name="Afirmativa" localSheetId="29">OFFSET('[2]Listas (Hide)'!$B$13,1,MATCH('[2]General Information'!$F$4,'[2]Listas (Hide)'!$B$13:$D$13,0)-1,2)</definedName>
    <definedName name="Afirmativa" localSheetId="4">OFFSET('Listas (Hide)'!$B$16,1,MATCH(Proposal!#REF!,'Listas (Hide)'!$B$16:$D$16,0)-1,2)</definedName>
    <definedName name="Afirmativa">OFFSET('Listas (Hide)'!$B$16,1,MATCH('General Information'!$C$6,'Listas (Hide)'!$B$16:$D$16,0)-1,2)</definedName>
    <definedName name="Assistencial" localSheetId="23">OFFSET('[1]Listas (Hide)'!$B$72,1,MATCH('[1]General Information'!$F$4,'[1]Listas (Hide)'!$B$72:$D$72,0)-1,3)</definedName>
    <definedName name="Assistencial" localSheetId="29">OFFSET('[2]Listas (Hide)'!$B$72,1,MATCH('[2]General Information'!$F$4,'[2]Listas (Hide)'!$B$72:$D$72,0)-1,3)</definedName>
    <definedName name="Assistencial">OFFSET('Listas (Hide)'!$B$75,1,MATCH('General Information'!$C$6,'Listas (Hide)'!$B$75:$D$75,0)-1,3)</definedName>
    <definedName name="Banco_sangue" localSheetId="23">OFFSET('[1]Listas (Hide)'!$B$17,1,MATCH('[1]General Information'!$F$4,'[1]Listas (Hide)'!$B$17:$D$17,0)-1,2)</definedName>
    <definedName name="Banco_sangue" localSheetId="29">OFFSET('[2]Listas (Hide)'!$B$17,1,MATCH('[2]General Information'!$F$4,'[2]Listas (Hide)'!$B$17:$D$17,0)-1,2)</definedName>
    <definedName name="Banco_sangue">OFFSET('Listas (Hide)'!$B$20,1,MATCH('General Information'!$C$6,'Listas (Hide)'!$B$20:$D$20,0)-1,2)</definedName>
    <definedName name="Cloud" localSheetId="23">OFFSET('[1]Listas (Hide)'!$B$116,1,MATCH('[1]General Information'!$F$4,'[1]Listas (Hide)'!$B$116:$D$116,0)-1,4)</definedName>
    <definedName name="Cloud" localSheetId="29">OFFSET('[2]Listas (Hide)'!$B$115,1,MATCH('[2]General Information'!$F$4,'[2]Listas (Hide)'!$B$115:$D$115,0)-1,4)</definedName>
    <definedName name="Cloud">OFFSET('Listas (Hide)'!$B$119,1,MATCH('General Information'!$C$6,'Listas (Hide)'!$B$119:$D$119,0)-1,4)</definedName>
    <definedName name="Deslocamento" localSheetId="23">OFFSET('[1]Listas (Hide)'!$B$80,1,MATCH('[1]General Information'!$F$4,'[1]Listas (Hide)'!$B$80:$D$80,0)-1,5)</definedName>
    <definedName name="Deslocamento" localSheetId="29">OFFSET('[2]Listas (Hide)'!$B$79,1,MATCH('[2]General Information'!$F$4,'[2]Listas (Hide)'!$B$79:$D$79,0)-1,5)</definedName>
    <definedName name="Deslocamento">OFFSET('Listas (Hide)'!$B$83,1,MATCH('General Information'!$C$6,'Listas (Hide)'!$B$83:$D$83,0)-1,5)</definedName>
    <definedName name="Mercados" localSheetId="23">OFFSET('[1]Listas (Hide)'!$B$98,1,MATCH('[1]General Information'!$F$4,'[1]Listas (Hide)'!$B$98:$D$98,0)-1,12)</definedName>
    <definedName name="Mercados" localSheetId="29">OFFSET('[2]Listas (Hide)'!$B$97,1,MATCH('[2]General Information'!$F$4,'[2]Listas (Hide)'!$B$97:$D$97,0)-1,12)</definedName>
    <definedName name="Mercados">OFFSET('Listas (Hide)'!$B$101,1,MATCH('General Information'!$C$6,'Listas (Hide)'!$B$101:$D$101,0)-1,12)</definedName>
    <definedName name="Onda_Implantacao" localSheetId="23">OFFSET('[1]Listas (Hide)'!$B$65,1,MATCH('[1]General Information'!$F$4,'[1]Listas (Hide)'!$B$65:$D$65,0)-1,2)</definedName>
    <definedName name="Onda_Implantacao" localSheetId="29">OFFSET('[2]Listas (Hide)'!$B$65,1,MATCH('[2]General Information'!$F$4,'[2]Listas (Hide)'!$B$65:$D$65,0)-1,2)</definedName>
    <definedName name="Onda_Implantacao">OFFSET('Listas (Hide)'!$B$68,1,MATCH('General Information'!$C$6,'Listas (Hide)'!$B$68:$D$68,0)-1,2)</definedName>
    <definedName name="Periodicidade" localSheetId="23">OFFSET('[1]Listas (Hide)'!$B$56,1,MATCH('[1]General Information'!$F$4,'[1]Listas (Hide)'!$B$56:$D$56,0)-1,4)</definedName>
    <definedName name="Periodicidade" localSheetId="29">OFFSET('[2]Listas (Hide)'!$B$56,1,MATCH('[2]General Information'!$F$4,'[2]Listas (Hide)'!$B$56:$D$56,0)-1,4)</definedName>
    <definedName name="Periodicidade">OFFSET('Listas (Hide)'!$B$59,1,MATCH('General Information'!$C$6,'Listas (Hide)'!$B$59:$D$59,0)-1,4)</definedName>
    <definedName name="Porte" localSheetId="23">OFFSET('[1]Listas (Hide)'!XFA1048568,1,MATCH('[1]General Information'!A1048568,'[1]Listas (Hide)'!XFA1048568:XFC1048568,0)-1,4)</definedName>
    <definedName name="Porte" localSheetId="29">OFFSET('[2]Listas (Hide)'!XFA1048568,1,MATCH('[2]General Information'!A1048568,'[2]Listas (Hide)'!XFA1048568:XFC1048568,0)-1,4)</definedName>
    <definedName name="Porte" localSheetId="4">OFFSET('Listas (Hide)'!XFA1048568,1,MATCH(Proposal!A1048568,'Listas (Hide)'!XFA1048568:XFC1048568,0)-1,4)</definedName>
    <definedName name="Porte">OFFSET('Listas (Hide)'!XFA1048568,1,MATCH('General Information'!A1048568,'Listas (Hide)'!XFA1048568:XFC1048568,0)-1,4)</definedName>
    <definedName name="Porte_Cliente" localSheetId="23">OFFSET('[1]Listas (Hide)'!$B$4,1,MATCH('[1]General Information'!$F$4,'[1]Listas (Hide)'!$B$4:$D$4,0)-1,6)</definedName>
    <definedName name="Porte_Cliente" localSheetId="29">OFFSET('[2]Listas (Hide)'!$B$4,1,MATCH('[2]General Information'!$F$4,'[2]Listas (Hide)'!$B$4:$D$4,0)-1,6)</definedName>
    <definedName name="Porte_Cliente">OFFSET('Listas (Hide)'!$B$4,1,MATCH('General Information'!$C$6,'Listas (Hide)'!$B$4:$D$4,0)-1,6)</definedName>
    <definedName name="Porte_v2">'Listas (Hide)'!$A$5:$D$10</definedName>
    <definedName name="Porte_v3">'Listas (Hide)'!$B$5:$B$10</definedName>
    <definedName name="Tipo_proposta" localSheetId="23">OFFSET('[1]Listas (Hide)'!$B$43,1,MATCH('[1]General Information'!$F$4,'[1]Listas (Hide)'!$B$43:$D$43,0)-1,3)</definedName>
    <definedName name="Tipo_proposta" localSheetId="29">OFFSET('[2]Listas (Hide)'!$B$43,1,MATCH('[2]General Information'!$F$4,'[2]Listas (Hide)'!$B$43:$D$43,0)-1,3)</definedName>
    <definedName name="Tipo_proposta">OFFSET('Listas (Hide)'!$B$46,1,MATCH('General Information'!$C$6,'Listas (Hide)'!$B$46:$D$46,0)-1,3)</definedName>
    <definedName name="Tipo_usuario" localSheetId="23">OFFSET('[1]Listas (Hide)'!$B$50,1,MATCH('[1]General Information'!$F$4,'[1]Listas (Hide)'!$B$50:$D$50,0)-1,2)</definedName>
    <definedName name="Tipo_usuario" localSheetId="29">OFFSET('[2]Listas (Hide)'!$B$50,1,MATCH('[2]General Information'!$F$4,'[2]Listas (Hide)'!$B$50:$D$50,0)-1,2)</definedName>
    <definedName name="Tipo_usuario">OFFSET('Listas (Hide)'!$B$53,1,MATCH('General Information'!$C$6,'Listas (Hide)'!$B$53:$D$53,0)-1,2)</definedName>
    <definedName name="TWS" localSheetId="23">OFFSET('[1]Listas (Hide)'!$B$89,1,MATCH('[1]General Information'!$F$4,'[1]Listas (Hide)'!$B$89:$D$89,0)-1,4)</definedName>
    <definedName name="TWS" localSheetId="29">OFFSET('[2]Listas (Hide)'!$B$88,1,MATCH('[2]General Information'!$F$4,'[2]Listas (Hide)'!$B$88:$D$88,0)-1,4)</definedName>
    <definedName name="TWS">OFFSET('Listas (Hide)'!$B$92,1,MATCH('General Information'!$C$6,'Listas (Hide)'!$B$92:$D$92,0)-1,4)</definedName>
  </definedNames>
  <calcPr calcId="181029"/>
  <pivotCaches>
    <pivotCache cacheId="0" r:id="rId34"/>
    <pivotCache cacheId="1" r:id="rId35"/>
    <pivotCache cacheId="2" r:id="rId36"/>
  </pivotCaches>
</workbook>
</file>

<file path=xl/calcChain.xml><?xml version="1.0" encoding="utf-8"?>
<calcChain xmlns="http://schemas.openxmlformats.org/spreadsheetml/2006/main">
  <c r="N17" i="61" l="1"/>
  <c r="M17" i="61"/>
  <c r="L17" i="61"/>
  <c r="N16" i="61"/>
  <c r="M16" i="61"/>
  <c r="L16" i="61"/>
  <c r="N15" i="61"/>
  <c r="M15" i="61"/>
  <c r="L15" i="61"/>
  <c r="C27" i="40"/>
  <c r="B27" i="40"/>
  <c r="I14" i="54" l="1"/>
  <c r="I13" i="54"/>
  <c r="D79" i="20" l="1"/>
  <c r="G5" i="14"/>
  <c r="N686" i="22" l="1"/>
  <c r="N687" i="22"/>
  <c r="N688" i="22"/>
  <c r="N689" i="22"/>
  <c r="N690" i="22"/>
  <c r="N691" i="22"/>
  <c r="N692" i="22"/>
  <c r="N693" i="22"/>
  <c r="N694" i="22"/>
  <c r="N695" i="22"/>
  <c r="N696" i="22"/>
  <c r="N697" i="22"/>
  <c r="N698" i="22"/>
  <c r="N699" i="22"/>
  <c r="N700" i="22"/>
  <c r="N701" i="22"/>
  <c r="N702" i="22"/>
  <c r="N703" i="22"/>
  <c r="N704" i="22"/>
  <c r="N705" i="22"/>
  <c r="N706" i="22"/>
  <c r="N707" i="22"/>
  <c r="N708" i="22"/>
  <c r="N709" i="22"/>
  <c r="N710" i="22"/>
  <c r="N711" i="22"/>
  <c r="N712" i="22"/>
  <c r="N713" i="22"/>
  <c r="N714" i="22"/>
  <c r="N715" i="22"/>
  <c r="N716" i="22"/>
  <c r="N717" i="22"/>
  <c r="N718" i="22"/>
  <c r="N719" i="22"/>
  <c r="N720" i="22"/>
  <c r="N721" i="22"/>
  <c r="N722" i="22"/>
  <c r="N723" i="22"/>
  <c r="N724" i="22"/>
  <c r="N725" i="22"/>
  <c r="N726" i="22"/>
  <c r="N727" i="22"/>
  <c r="N728" i="22"/>
  <c r="N729" i="22"/>
  <c r="N730" i="22"/>
  <c r="N731" i="22"/>
  <c r="N732" i="22"/>
  <c r="N733" i="22"/>
  <c r="N734" i="22"/>
  <c r="N735" i="22"/>
  <c r="N736" i="22"/>
  <c r="N737" i="22"/>
  <c r="N738" i="22"/>
  <c r="N739" i="22"/>
  <c r="N740" i="22"/>
  <c r="N741" i="22"/>
  <c r="N742" i="22"/>
  <c r="N743" i="22"/>
  <c r="N744" i="22"/>
  <c r="N745" i="22"/>
  <c r="N746" i="22"/>
  <c r="N747" i="22"/>
  <c r="N748" i="22"/>
  <c r="N749" i="22"/>
  <c r="N750" i="22"/>
  <c r="N751" i="22"/>
  <c r="N752" i="22"/>
  <c r="N753" i="22"/>
  <c r="N754" i="22"/>
  <c r="N755" i="22"/>
  <c r="N756" i="22"/>
  <c r="N757" i="22"/>
  <c r="N758" i="22"/>
  <c r="N759" i="22"/>
  <c r="N760" i="22"/>
  <c r="N761" i="22"/>
  <c r="N762" i="22"/>
  <c r="N763" i="22"/>
  <c r="N764" i="22"/>
  <c r="N765" i="22"/>
  <c r="N766" i="22"/>
  <c r="N767" i="22"/>
  <c r="N768" i="22"/>
  <c r="N769" i="22"/>
  <c r="N770" i="22"/>
  <c r="N771" i="22"/>
  <c r="N772" i="22"/>
  <c r="N773" i="22"/>
  <c r="N774" i="22"/>
  <c r="N775" i="22"/>
  <c r="N776" i="22"/>
  <c r="N777" i="22"/>
  <c r="N778" i="22"/>
  <c r="N779" i="22"/>
  <c r="N780" i="22"/>
  <c r="N781" i="22"/>
  <c r="N782" i="22"/>
  <c r="N783" i="22"/>
  <c r="N784" i="22"/>
  <c r="N785" i="22"/>
  <c r="N786" i="22"/>
  <c r="N787" i="22"/>
  <c r="N788" i="22"/>
  <c r="N789" i="22"/>
  <c r="N790" i="22"/>
  <c r="N791" i="22"/>
  <c r="N792" i="22"/>
  <c r="N793" i="22"/>
  <c r="N794" i="22"/>
  <c r="N795" i="22"/>
  <c r="N796" i="22"/>
  <c r="N797" i="22"/>
  <c r="N798" i="22"/>
  <c r="N799" i="22"/>
  <c r="N800" i="22"/>
  <c r="N801" i="22"/>
  <c r="N802" i="22"/>
  <c r="N803" i="22"/>
  <c r="N804" i="22"/>
  <c r="N805" i="22"/>
  <c r="N806" i="22"/>
  <c r="N807" i="22"/>
  <c r="N808" i="22"/>
  <c r="N809" i="22"/>
  <c r="N810" i="22"/>
  <c r="N811" i="22"/>
  <c r="N812" i="22"/>
  <c r="N813" i="22"/>
  <c r="N814" i="22"/>
  <c r="N815" i="22"/>
  <c r="N816" i="22"/>
  <c r="N817" i="22"/>
  <c r="N818" i="22"/>
  <c r="N819" i="22"/>
  <c r="N820" i="22"/>
  <c r="N821" i="22"/>
  <c r="N822" i="22"/>
  <c r="N823" i="22"/>
  <c r="N824" i="22"/>
  <c r="N825" i="22"/>
  <c r="N826" i="22"/>
  <c r="N827" i="22"/>
  <c r="N828" i="22"/>
  <c r="N829" i="22"/>
  <c r="N830" i="22"/>
  <c r="N831" i="22"/>
  <c r="N832" i="22"/>
  <c r="N833" i="22"/>
  <c r="N834" i="22"/>
  <c r="N835" i="22"/>
  <c r="N836" i="22"/>
  <c r="N837" i="22"/>
  <c r="N838" i="22"/>
  <c r="H67" i="20"/>
  <c r="D96" i="20"/>
  <c r="D94" i="20"/>
  <c r="D93" i="20"/>
  <c r="D92" i="20"/>
  <c r="D91" i="20"/>
  <c r="D90" i="20"/>
  <c r="D89" i="20"/>
  <c r="D87" i="20"/>
  <c r="D86" i="20"/>
  <c r="D85" i="20"/>
  <c r="D83" i="20"/>
  <c r="D82" i="20"/>
  <c r="D81" i="20"/>
  <c r="D80" i="20"/>
  <c r="F36" i="18"/>
  <c r="D222" i="68"/>
  <c r="D233" i="68"/>
  <c r="D243" i="68"/>
  <c r="D254" i="68"/>
  <c r="D265" i="68"/>
  <c r="D275" i="68"/>
  <c r="D286" i="68"/>
  <c r="D297" i="68"/>
  <c r="D307" i="68"/>
  <c r="D318" i="68"/>
  <c r="D329" i="68"/>
  <c r="D339" i="68"/>
  <c r="D349" i="68"/>
  <c r="D357" i="68"/>
  <c r="D365" i="68"/>
  <c r="D373" i="68"/>
  <c r="D381" i="68"/>
  <c r="D389" i="68"/>
  <c r="D397" i="68"/>
  <c r="D405" i="68"/>
  <c r="D413" i="68"/>
  <c r="D421" i="68"/>
  <c r="D429" i="68"/>
  <c r="D437" i="68"/>
  <c r="D445" i="68"/>
  <c r="D453" i="68"/>
  <c r="D459" i="68"/>
  <c r="D463" i="68"/>
  <c r="D467" i="68"/>
  <c r="D471" i="68"/>
  <c r="D475" i="68"/>
  <c r="D479" i="68"/>
  <c r="B3" i="66"/>
  <c r="B4" i="66"/>
  <c r="B5" i="66"/>
  <c r="B6" i="66"/>
  <c r="B7" i="66"/>
  <c r="B8" i="66"/>
  <c r="B9" i="66"/>
  <c r="B10" i="66"/>
  <c r="B11" i="66"/>
  <c r="B12" i="66"/>
  <c r="B13" i="66"/>
  <c r="B14" i="66"/>
  <c r="B15" i="66"/>
  <c r="B16" i="66"/>
  <c r="B17" i="66"/>
  <c r="B18" i="66"/>
  <c r="B19" i="66"/>
  <c r="B20" i="66"/>
  <c r="B21" i="66"/>
  <c r="B22" i="66"/>
  <c r="B23" i="66"/>
  <c r="B24" i="66"/>
  <c r="B25" i="66"/>
  <c r="B26" i="66"/>
  <c r="B27" i="66"/>
  <c r="B28" i="66"/>
  <c r="B29" i="66"/>
  <c r="B30" i="66"/>
  <c r="B31" i="66"/>
  <c r="B32" i="66"/>
  <c r="B33" i="66"/>
  <c r="B34" i="66"/>
  <c r="B35" i="66"/>
  <c r="B36" i="66"/>
  <c r="B37" i="66"/>
  <c r="B38" i="66"/>
  <c r="B39" i="66"/>
  <c r="B40" i="66"/>
  <c r="B41" i="66"/>
  <c r="B42" i="66"/>
  <c r="B43" i="66"/>
  <c r="B44" i="66"/>
  <c r="B45" i="66"/>
  <c r="B46" i="66"/>
  <c r="B47" i="66"/>
  <c r="B48" i="66"/>
  <c r="B49" i="66"/>
  <c r="B50" i="66"/>
  <c r="B51" i="66"/>
  <c r="B52" i="66"/>
  <c r="B53" i="66"/>
  <c r="B54" i="66"/>
  <c r="B55" i="66"/>
  <c r="B56" i="66"/>
  <c r="B57" i="66"/>
  <c r="B58" i="66"/>
  <c r="B59" i="66"/>
  <c r="B60" i="66"/>
  <c r="B61" i="66"/>
  <c r="B62" i="66"/>
  <c r="B63" i="66"/>
  <c r="B64" i="66"/>
  <c r="B65" i="66"/>
  <c r="B66" i="66"/>
  <c r="B68" i="66"/>
  <c r="B69" i="66"/>
  <c r="B70" i="66"/>
  <c r="B71" i="66"/>
  <c r="B72" i="66"/>
  <c r="B73" i="66"/>
  <c r="B74" i="66"/>
  <c r="B75" i="66"/>
  <c r="B76" i="66"/>
  <c r="B77" i="66"/>
  <c r="B78" i="66"/>
  <c r="B79" i="66"/>
  <c r="B80" i="66"/>
  <c r="B81" i="66"/>
  <c r="B82" i="66"/>
  <c r="B83" i="66"/>
  <c r="B84" i="66"/>
  <c r="B85" i="66"/>
  <c r="B86" i="66"/>
  <c r="B87" i="66"/>
  <c r="B88" i="66"/>
  <c r="B89" i="66"/>
  <c r="B90" i="66"/>
  <c r="B91" i="66"/>
  <c r="B92" i="66"/>
  <c r="B93" i="66"/>
  <c r="B94" i="66"/>
  <c r="B95" i="66"/>
  <c r="B96" i="66"/>
  <c r="B97" i="66"/>
  <c r="B98" i="66"/>
  <c r="B99" i="66"/>
  <c r="B100" i="66"/>
  <c r="B101" i="66"/>
  <c r="B102" i="66"/>
  <c r="B103" i="66"/>
  <c r="B104" i="66"/>
  <c r="B105" i="66"/>
  <c r="B106" i="66"/>
  <c r="B107" i="66"/>
  <c r="B108" i="66"/>
  <c r="B109" i="66"/>
  <c r="B110" i="66"/>
  <c r="B111" i="66"/>
  <c r="B112" i="66"/>
  <c r="B113" i="66"/>
  <c r="B114" i="66"/>
  <c r="B115" i="66"/>
  <c r="B116" i="66"/>
  <c r="B117" i="66"/>
  <c r="B118" i="66"/>
  <c r="B119" i="66"/>
  <c r="B120" i="66"/>
  <c r="B121" i="66"/>
  <c r="B122" i="66"/>
  <c r="B123" i="66"/>
  <c r="B124" i="66"/>
  <c r="B125" i="66"/>
  <c r="B126" i="66"/>
  <c r="B127" i="66"/>
  <c r="B128" i="66"/>
  <c r="B129" i="66"/>
  <c r="B130" i="66"/>
  <c r="B131" i="66"/>
  <c r="B132" i="66"/>
  <c r="B133" i="66"/>
  <c r="B134" i="66"/>
  <c r="B135" i="66"/>
  <c r="B136" i="66"/>
  <c r="B137" i="66"/>
  <c r="B138" i="66"/>
  <c r="B139" i="66"/>
  <c r="B140" i="66"/>
  <c r="B141" i="66"/>
  <c r="B142" i="66"/>
  <c r="B143" i="66"/>
  <c r="B144" i="66"/>
  <c r="B145" i="66"/>
  <c r="B146" i="66"/>
  <c r="B147" i="66"/>
  <c r="B148" i="66"/>
  <c r="B149" i="66"/>
  <c r="B150" i="66"/>
  <c r="B151" i="66"/>
  <c r="B152" i="66"/>
  <c r="B153" i="66"/>
  <c r="B154" i="66"/>
  <c r="B155" i="66"/>
  <c r="B156" i="66"/>
  <c r="B157" i="66"/>
  <c r="B158" i="66"/>
  <c r="B159" i="66"/>
  <c r="B160" i="66"/>
  <c r="B161" i="66"/>
  <c r="B162" i="66"/>
  <c r="B163" i="66"/>
  <c r="B164" i="66"/>
  <c r="B165" i="66"/>
  <c r="B166" i="66"/>
  <c r="B167" i="66"/>
  <c r="B168" i="66"/>
  <c r="B169" i="66"/>
  <c r="B170" i="66"/>
  <c r="B171" i="66"/>
  <c r="B172" i="66"/>
  <c r="B173" i="66"/>
  <c r="B174" i="66"/>
  <c r="B175" i="66"/>
  <c r="B176" i="66"/>
  <c r="B177" i="66"/>
  <c r="B178" i="66"/>
  <c r="B179" i="66"/>
  <c r="B180" i="66"/>
  <c r="B181" i="66"/>
  <c r="B182" i="66"/>
  <c r="B183" i="66"/>
  <c r="B184" i="66"/>
  <c r="B185" i="66"/>
  <c r="B186" i="66"/>
  <c r="B187" i="66"/>
  <c r="B188" i="66"/>
  <c r="B189" i="66"/>
  <c r="B190" i="66"/>
  <c r="B191" i="66"/>
  <c r="B192" i="66"/>
  <c r="B193" i="66"/>
  <c r="B194" i="66"/>
  <c r="B195" i="66"/>
  <c r="B196" i="66"/>
  <c r="B197" i="66"/>
  <c r="B198" i="66"/>
  <c r="B199" i="66"/>
  <c r="B200" i="66"/>
  <c r="B201" i="66"/>
  <c r="B202" i="66"/>
  <c r="B203" i="66"/>
  <c r="B204" i="66"/>
  <c r="B205" i="66"/>
  <c r="B206" i="66"/>
  <c r="B207" i="66"/>
  <c r="B208" i="66"/>
  <c r="B209" i="66"/>
  <c r="B210" i="66"/>
  <c r="B211" i="66"/>
  <c r="B212" i="66"/>
  <c r="B213" i="66"/>
  <c r="B214" i="66"/>
  <c r="B215" i="66"/>
  <c r="B216" i="66"/>
  <c r="B217" i="66"/>
  <c r="B218" i="66"/>
  <c r="B219" i="66"/>
  <c r="B220" i="66"/>
  <c r="B221" i="66"/>
  <c r="B224" i="66"/>
  <c r="B225" i="66"/>
  <c r="B232" i="66"/>
  <c r="B233" i="66"/>
  <c r="B234" i="66"/>
  <c r="B235" i="66"/>
  <c r="B236" i="66"/>
  <c r="B237" i="66"/>
  <c r="B238" i="66"/>
  <c r="B241" i="66"/>
  <c r="B242" i="66"/>
  <c r="B245" i="66"/>
  <c r="B256" i="66"/>
  <c r="B259" i="66"/>
  <c r="B262" i="66"/>
  <c r="B267" i="66"/>
  <c r="B270" i="66"/>
  <c r="B271" i="66"/>
  <c r="B280" i="66"/>
  <c r="B285" i="66"/>
  <c r="B286" i="66"/>
  <c r="B287" i="66"/>
  <c r="B288" i="66"/>
  <c r="B289" i="66"/>
  <c r="B290" i="66"/>
  <c r="B291" i="66"/>
  <c r="B292" i="66"/>
  <c r="B293" i="66"/>
  <c r="B296" i="66"/>
  <c r="B297" i="66"/>
  <c r="B298" i="66"/>
  <c r="B299" i="66"/>
  <c r="B304" i="66"/>
  <c r="B305" i="66"/>
  <c r="B306" i="66"/>
  <c r="B307" i="66"/>
  <c r="B310" i="66"/>
  <c r="B311" i="66"/>
  <c r="B313" i="66"/>
  <c r="B314" i="66"/>
  <c r="B317" i="66"/>
  <c r="B318" i="66"/>
  <c r="B319" i="66"/>
  <c r="B320" i="66"/>
  <c r="B321" i="66"/>
  <c r="B322" i="66"/>
  <c r="B325" i="66"/>
  <c r="B326" i="66"/>
  <c r="B333" i="66"/>
  <c r="B334" i="66"/>
  <c r="B335" i="66"/>
  <c r="B336" i="66"/>
  <c r="B339" i="66"/>
  <c r="B340" i="66"/>
  <c r="B341" i="66"/>
  <c r="B342" i="66"/>
  <c r="B343" i="66"/>
  <c r="B344" i="66"/>
  <c r="B347" i="66"/>
  <c r="B348" i="66"/>
  <c r="B349" i="66"/>
  <c r="B350" i="66"/>
  <c r="B351" i="66"/>
  <c r="B352" i="66"/>
  <c r="B353" i="66"/>
  <c r="B354" i="66"/>
  <c r="B358" i="66"/>
  <c r="B359" i="66"/>
  <c r="B363" i="66"/>
  <c r="B364" i="66"/>
  <c r="B365" i="66"/>
  <c r="B366" i="66"/>
  <c r="B367" i="66"/>
  <c r="B368" i="66"/>
  <c r="B369" i="66"/>
  <c r="B370" i="66"/>
  <c r="B371" i="66"/>
  <c r="B372" i="66"/>
  <c r="B373" i="66"/>
  <c r="B374" i="66"/>
  <c r="B375" i="66"/>
  <c r="B376" i="66"/>
  <c r="B381" i="66"/>
  <c r="B382" i="66"/>
  <c r="B385" i="66"/>
  <c r="B390" i="66"/>
  <c r="B391" i="66"/>
  <c r="B392" i="66"/>
  <c r="B393" i="66"/>
  <c r="B396" i="66"/>
  <c r="B397" i="66"/>
  <c r="B400" i="66"/>
  <c r="B401" i="66"/>
  <c r="B402" i="66"/>
  <c r="B403" i="66"/>
  <c r="B404" i="66"/>
  <c r="B405" i="66"/>
  <c r="B406" i="66"/>
  <c r="B407" i="66"/>
  <c r="B408" i="66"/>
  <c r="B409" i="66"/>
  <c r="B410" i="66"/>
  <c r="B413" i="66"/>
  <c r="B414" i="66"/>
  <c r="B421" i="66"/>
  <c r="B422" i="66"/>
  <c r="B423" i="66"/>
  <c r="B424" i="66"/>
  <c r="B425" i="66"/>
  <c r="B426" i="66"/>
  <c r="B427" i="66"/>
  <c r="B428" i="66"/>
  <c r="B429" i="66"/>
  <c r="B430" i="66"/>
  <c r="B431" i="66"/>
  <c r="B432" i="66"/>
  <c r="B433" i="66"/>
  <c r="B434" i="66"/>
  <c r="B435" i="66"/>
  <c r="B436" i="66"/>
  <c r="B437" i="66"/>
  <c r="B438" i="66"/>
  <c r="B439" i="66"/>
  <c r="B440" i="66"/>
  <c r="B441" i="66"/>
  <c r="B442" i="66"/>
  <c r="B443" i="66"/>
  <c r="B444" i="66"/>
  <c r="B445" i="66"/>
  <c r="B446" i="66"/>
  <c r="B447" i="66"/>
  <c r="B448" i="66"/>
  <c r="B449" i="66"/>
  <c r="B450" i="66"/>
  <c r="B451" i="66"/>
  <c r="B452" i="66"/>
  <c r="B453" i="66"/>
  <c r="B454" i="66"/>
  <c r="B455" i="66"/>
  <c r="B456" i="66"/>
  <c r="B457" i="66"/>
  <c r="B458" i="66"/>
  <c r="B459" i="66"/>
  <c r="B460" i="66"/>
  <c r="B461" i="66"/>
  <c r="B462" i="66"/>
  <c r="B463" i="66"/>
  <c r="B464" i="66"/>
  <c r="B465" i="66"/>
  <c r="B466" i="66"/>
  <c r="B467" i="66"/>
  <c r="B468" i="66"/>
  <c r="B469" i="66"/>
  <c r="B470" i="66"/>
  <c r="B471" i="66"/>
  <c r="B472" i="66"/>
  <c r="B473" i="66"/>
  <c r="B474" i="66"/>
  <c r="B475" i="66"/>
  <c r="B476" i="66"/>
  <c r="B477" i="66"/>
  <c r="B478" i="66"/>
  <c r="B479" i="66"/>
  <c r="B480" i="66"/>
  <c r="B481" i="66"/>
  <c r="B482" i="66"/>
  <c r="B483" i="66"/>
  <c r="B484" i="66"/>
  <c r="B485" i="66"/>
  <c r="B486" i="66"/>
  <c r="B487" i="66"/>
  <c r="B488" i="66"/>
  <c r="B489" i="66"/>
  <c r="B490" i="66"/>
  <c r="B491" i="66"/>
  <c r="B492" i="66"/>
  <c r="B493" i="66"/>
  <c r="B494" i="66"/>
  <c r="B495" i="66"/>
  <c r="B496" i="66"/>
  <c r="B497" i="66"/>
  <c r="B498" i="66"/>
  <c r="B499" i="66"/>
  <c r="B500" i="66"/>
  <c r="B501" i="66"/>
  <c r="B502" i="66"/>
  <c r="B503" i="66"/>
  <c r="B504" i="66"/>
  <c r="B505" i="66"/>
  <c r="B506" i="66"/>
  <c r="B507" i="66"/>
  <c r="B508" i="66"/>
  <c r="B509" i="66"/>
  <c r="B514" i="66"/>
  <c r="B515" i="66"/>
  <c r="B516" i="66"/>
  <c r="B517" i="66"/>
  <c r="B518" i="66"/>
  <c r="B519" i="66"/>
  <c r="B520" i="66"/>
  <c r="B521" i="66"/>
  <c r="B522" i="66"/>
  <c r="B523" i="66"/>
  <c r="B524" i="66"/>
  <c r="B525" i="66"/>
  <c r="B526" i="66"/>
  <c r="B527" i="66"/>
  <c r="B528" i="66"/>
  <c r="B533" i="66"/>
  <c r="B534" i="66"/>
  <c r="B535" i="66"/>
  <c r="B536" i="66"/>
  <c r="B537" i="66"/>
  <c r="B538" i="66"/>
  <c r="B539" i="66"/>
  <c r="B540" i="66"/>
  <c r="B541" i="66"/>
  <c r="B542" i="66"/>
  <c r="B543" i="66"/>
  <c r="B544" i="66"/>
  <c r="B545" i="66"/>
  <c r="B546" i="66"/>
  <c r="B547" i="66"/>
  <c r="B548" i="66"/>
  <c r="B551" i="66"/>
  <c r="B552" i="66"/>
  <c r="B555" i="66"/>
  <c r="B556" i="66"/>
  <c r="B557" i="66"/>
  <c r="B558" i="66"/>
  <c r="B559" i="66"/>
  <c r="B560" i="66"/>
  <c r="B561" i="66"/>
  <c r="B562" i="66"/>
  <c r="B563" i="66"/>
  <c r="B564" i="66"/>
  <c r="B565" i="66"/>
  <c r="B566" i="66"/>
  <c r="B567" i="66"/>
  <c r="B570" i="66"/>
  <c r="B571" i="66"/>
  <c r="B572" i="66"/>
  <c r="B573" i="66"/>
  <c r="B574" i="66"/>
  <c r="B575" i="66"/>
  <c r="B576" i="66"/>
  <c r="B577" i="66"/>
  <c r="B578" i="66"/>
  <c r="B579" i="66"/>
  <c r="B580" i="66"/>
  <c r="B583" i="66"/>
  <c r="B584" i="66"/>
  <c r="B585" i="66"/>
  <c r="B586" i="66"/>
  <c r="B591" i="66"/>
  <c r="B592" i="66"/>
  <c r="B593" i="66"/>
  <c r="B594" i="66"/>
  <c r="B595" i="66"/>
  <c r="B596" i="66"/>
  <c r="B600" i="66"/>
  <c r="B601" i="66"/>
  <c r="B604" i="66"/>
  <c r="B605" i="66"/>
  <c r="B606" i="66"/>
  <c r="B607" i="66"/>
  <c r="B608" i="66"/>
  <c r="B611" i="66"/>
  <c r="B612" i="66"/>
  <c r="B613" i="66"/>
  <c r="B614" i="66"/>
  <c r="B615" i="66"/>
  <c r="B619" i="66"/>
  <c r="B620" i="66"/>
  <c r="B621" i="66"/>
  <c r="B624" i="66"/>
  <c r="B625" i="66"/>
  <c r="B626" i="66"/>
  <c r="B627" i="66"/>
  <c r="B644" i="66"/>
  <c r="B645" i="66"/>
  <c r="B646" i="66"/>
  <c r="B647" i="66"/>
  <c r="B648" i="66"/>
  <c r="B649" i="66"/>
  <c r="B650" i="66"/>
  <c r="B651" i="66"/>
  <c r="B652" i="66"/>
  <c r="B653" i="66"/>
  <c r="B654" i="66"/>
  <c r="B655" i="66"/>
  <c r="B656" i="66"/>
  <c r="B657" i="66"/>
  <c r="B658" i="66"/>
  <c r="B659" i="66"/>
  <c r="B660" i="66"/>
  <c r="B661" i="66"/>
  <c r="B662" i="66"/>
  <c r="B663" i="66"/>
  <c r="B664" i="66"/>
  <c r="B665" i="66"/>
  <c r="B666" i="66"/>
  <c r="B667" i="66"/>
  <c r="B668" i="66"/>
  <c r="B669" i="66"/>
  <c r="B670" i="66"/>
  <c r="B671" i="66"/>
  <c r="B672" i="66"/>
  <c r="B673" i="66"/>
  <c r="B674" i="66"/>
  <c r="B675" i="66"/>
  <c r="B676" i="66"/>
  <c r="B677" i="66"/>
  <c r="B678" i="66"/>
  <c r="B679" i="66"/>
  <c r="B680" i="66"/>
  <c r="B681" i="66"/>
  <c r="B682" i="66"/>
  <c r="B683" i="66"/>
  <c r="B684" i="66"/>
  <c r="B685" i="66"/>
  <c r="B686" i="66"/>
  <c r="B687" i="66"/>
  <c r="B688" i="66"/>
  <c r="B689" i="66"/>
  <c r="B690" i="66"/>
  <c r="B691" i="66"/>
  <c r="B692" i="66"/>
  <c r="B693" i="66"/>
  <c r="B694" i="66"/>
  <c r="B695" i="66"/>
  <c r="B696" i="66"/>
  <c r="B697" i="66"/>
  <c r="B698" i="66"/>
  <c r="B701" i="66"/>
  <c r="B702" i="66"/>
  <c r="B703" i="66"/>
  <c r="B704" i="66"/>
  <c r="B705" i="66"/>
  <c r="B706" i="66"/>
  <c r="B707" i="66"/>
  <c r="B708" i="66"/>
  <c r="B709" i="66"/>
  <c r="B710" i="66"/>
  <c r="B711" i="66"/>
  <c r="B712" i="66"/>
  <c r="B717" i="66"/>
  <c r="B718" i="66"/>
  <c r="B722" i="66"/>
  <c r="B723" i="66"/>
  <c r="B726" i="66"/>
  <c r="B727" i="66"/>
  <c r="B728" i="66"/>
  <c r="B729" i="66"/>
  <c r="B730" i="66"/>
  <c r="B731" i="66"/>
  <c r="B732" i="66"/>
  <c r="B737" i="66"/>
  <c r="B738" i="66"/>
  <c r="B739" i="66"/>
  <c r="B740" i="66"/>
  <c r="B741" i="66"/>
  <c r="B742" i="66"/>
  <c r="B743" i="66"/>
  <c r="B744" i="66"/>
  <c r="B745" i="66"/>
  <c r="B746" i="66"/>
  <c r="B747" i="66"/>
  <c r="B748" i="66"/>
  <c r="B751" i="66"/>
  <c r="B752" i="66"/>
  <c r="B755" i="66"/>
  <c r="B756" i="66"/>
  <c r="B757" i="66"/>
  <c r="B758" i="66"/>
  <c r="B759" i="66"/>
  <c r="B760" i="66"/>
  <c r="B761" i="66"/>
  <c r="B762" i="66"/>
  <c r="B763" i="66"/>
  <c r="B764" i="66"/>
  <c r="B765" i="66"/>
  <c r="B766" i="66"/>
  <c r="B767" i="66"/>
  <c r="B768" i="66"/>
  <c r="B769" i="66"/>
  <c r="B770" i="66"/>
  <c r="B771" i="66"/>
  <c r="B772" i="66"/>
  <c r="B777" i="66"/>
  <c r="B780" i="66"/>
  <c r="B781" i="66"/>
  <c r="B782" i="66"/>
  <c r="B783" i="66"/>
  <c r="B790" i="66"/>
  <c r="B791" i="66"/>
  <c r="B792" i="66"/>
  <c r="B793" i="66"/>
  <c r="B794" i="66"/>
  <c r="B795" i="66"/>
  <c r="B796" i="66"/>
  <c r="B797" i="66"/>
  <c r="B798" i="66"/>
  <c r="B799" i="66"/>
  <c r="B800" i="66"/>
  <c r="B801" i="66"/>
  <c r="B802" i="66"/>
  <c r="B803" i="66"/>
  <c r="B804" i="66"/>
  <c r="B805" i="66"/>
  <c r="B806" i="66"/>
  <c r="B811" i="66"/>
  <c r="B812" i="66"/>
  <c r="B817" i="66"/>
  <c r="B820" i="66"/>
  <c r="B823" i="66"/>
  <c r="B824" i="66"/>
  <c r="B825" i="66"/>
  <c r="B826" i="66"/>
  <c r="B827" i="66"/>
  <c r="B828" i="66"/>
  <c r="B829" i="66"/>
  <c r="B830" i="66"/>
  <c r="B831" i="66"/>
  <c r="B832" i="66"/>
  <c r="B833" i="66"/>
  <c r="B834" i="66"/>
  <c r="B835" i="66"/>
  <c r="B836" i="66"/>
  <c r="B837" i="66"/>
  <c r="B838" i="66"/>
  <c r="B839" i="66"/>
  <c r="B840" i="66"/>
  <c r="B841" i="66"/>
  <c r="B842" i="66"/>
  <c r="B843" i="66"/>
  <c r="B844" i="66"/>
  <c r="B845" i="66"/>
  <c r="B846" i="66"/>
  <c r="B847" i="66"/>
  <c r="B848" i="66"/>
  <c r="B849" i="66"/>
  <c r="B850" i="66"/>
  <c r="B851" i="66"/>
  <c r="B852" i="66"/>
  <c r="B853" i="66"/>
  <c r="B854" i="66"/>
  <c r="B855" i="66"/>
  <c r="B856" i="66"/>
  <c r="B857" i="66"/>
  <c r="B858" i="66"/>
  <c r="B859" i="66"/>
  <c r="B860" i="66"/>
  <c r="B861" i="66"/>
  <c r="B862" i="66"/>
  <c r="B863" i="66"/>
  <c r="B864" i="66"/>
  <c r="B865" i="66"/>
  <c r="B866" i="66"/>
  <c r="B867" i="66"/>
  <c r="B868" i="66"/>
  <c r="B869" i="66"/>
  <c r="B870" i="66"/>
  <c r="B871" i="66"/>
  <c r="B872" i="66"/>
  <c r="B873" i="66"/>
  <c r="B874" i="66"/>
  <c r="B877" i="66"/>
  <c r="B878" i="66"/>
  <c r="B879" i="66"/>
  <c r="B880" i="66"/>
  <c r="B881" i="66"/>
  <c r="B882" i="66"/>
  <c r="B883" i="66"/>
  <c r="B884" i="66"/>
  <c r="B885" i="66"/>
  <c r="B886" i="66"/>
  <c r="B887" i="66"/>
  <c r="B888" i="66"/>
  <c r="B893" i="66"/>
  <c r="B894" i="66"/>
  <c r="B899" i="66"/>
  <c r="B900" i="66"/>
  <c r="B901" i="66"/>
  <c r="B902" i="66"/>
  <c r="B909" i="66"/>
  <c r="B910" i="66"/>
  <c r="B911" i="66"/>
  <c r="B920" i="66"/>
  <c r="B923" i="66"/>
  <c r="B924" i="66"/>
  <c r="B925" i="66"/>
  <c r="B932" i="66"/>
  <c r="B933" i="66"/>
  <c r="B944" i="66"/>
  <c r="B945" i="66"/>
  <c r="B948" i="66"/>
  <c r="B949" i="66"/>
  <c r="B958" i="66"/>
  <c r="B959" i="66"/>
  <c r="B962" i="66"/>
  <c r="B963" i="66"/>
  <c r="B966" i="66"/>
  <c r="B975" i="66"/>
  <c r="B976" i="66"/>
  <c r="B981" i="66"/>
  <c r="B982" i="66"/>
  <c r="B993" i="66"/>
  <c r="B994" i="66"/>
  <c r="B1001" i="66"/>
  <c r="B1004" i="66"/>
  <c r="B1005" i="66"/>
  <c r="B1014" i="66"/>
  <c r="B1015" i="66"/>
  <c r="B1017" i="66"/>
  <c r="B1024" i="66"/>
  <c r="B1025" i="66"/>
  <c r="B1030" i="66"/>
  <c r="B1043" i="66"/>
  <c r="B1044" i="66"/>
  <c r="B1045" i="66"/>
  <c r="B1046" i="66"/>
  <c r="B1047" i="66"/>
  <c r="B1048" i="66"/>
  <c r="B1049" i="66"/>
  <c r="B1050" i="66"/>
  <c r="B1051" i="66"/>
  <c r="B1052" i="66"/>
  <c r="B1055" i="66"/>
  <c r="B1056" i="66"/>
  <c r="B1057" i="66"/>
  <c r="B1058" i="66"/>
  <c r="B1059" i="66"/>
  <c r="B1060" i="66"/>
  <c r="B1061" i="66"/>
  <c r="B1062" i="66"/>
  <c r="B1063" i="66"/>
  <c r="B1066" i="66"/>
  <c r="B1067" i="66"/>
  <c r="B1072" i="66"/>
  <c r="B1073" i="66"/>
  <c r="B1074" i="66"/>
  <c r="B1075" i="66"/>
  <c r="B1080" i="66"/>
  <c r="B1083" i="66"/>
  <c r="B1084" i="66"/>
  <c r="B1087" i="66"/>
  <c r="B1090" i="66"/>
  <c r="B1091" i="66"/>
  <c r="B1092" i="66"/>
  <c r="B1097" i="66"/>
  <c r="B1098" i="66"/>
  <c r="B1099" i="66"/>
  <c r="B1100" i="66"/>
  <c r="B1103" i="66"/>
  <c r="B1104" i="66"/>
  <c r="B1105" i="66"/>
  <c r="B1106" i="66"/>
  <c r="B1107" i="66"/>
  <c r="B1112" i="66"/>
  <c r="B1121" i="66"/>
  <c r="B1122" i="66"/>
  <c r="B1123" i="66"/>
  <c r="B1124" i="66"/>
  <c r="B1127" i="66"/>
  <c r="B1128" i="66"/>
  <c r="B1131" i="66"/>
  <c r="B1132" i="66"/>
  <c r="B1133" i="66"/>
  <c r="B1134" i="66"/>
  <c r="B1137" i="66"/>
  <c r="B1138" i="66"/>
  <c r="B1139" i="66"/>
  <c r="B1140" i="66"/>
  <c r="B1141" i="66"/>
  <c r="B1142" i="66"/>
  <c r="B1143" i="66"/>
  <c r="B1144" i="66"/>
  <c r="B1145" i="66"/>
  <c r="B1154" i="66"/>
  <c r="B1161" i="66"/>
  <c r="B1189" i="66"/>
  <c r="B1190" i="66"/>
  <c r="B1191" i="66"/>
  <c r="B1192" i="66"/>
  <c r="B1193" i="66"/>
  <c r="B1194" i="66"/>
  <c r="B1195" i="66"/>
  <c r="B1196" i="66"/>
  <c r="B1197" i="66"/>
  <c r="B1198" i="66"/>
  <c r="B1199" i="66"/>
  <c r="B1204" i="66"/>
  <c r="B1208" i="66"/>
  <c r="B1213" i="66"/>
  <c r="B1215" i="66"/>
  <c r="B1216" i="66"/>
  <c r="B1218" i="66"/>
  <c r="B1224" i="66"/>
  <c r="B1231" i="66"/>
  <c r="B1237" i="66"/>
  <c r="B1238" i="66"/>
  <c r="B1242" i="66"/>
  <c r="B1249" i="66"/>
  <c r="B1250" i="66"/>
  <c r="B1270" i="66"/>
  <c r="B1271" i="66"/>
  <c r="B1275" i="66"/>
  <c r="B1277" i="66"/>
  <c r="B1278" i="66"/>
  <c r="B1281" i="66"/>
  <c r="B1288" i="66"/>
  <c r="B1298" i="66"/>
  <c r="B1299" i="66"/>
  <c r="B1307" i="66"/>
  <c r="B1310" i="66"/>
  <c r="B1317" i="66"/>
  <c r="B1321" i="66"/>
  <c r="B1322" i="66"/>
  <c r="B1325" i="66"/>
  <c r="B1327" i="66"/>
  <c r="B1329" i="66"/>
  <c r="B1336" i="66"/>
  <c r="B1341" i="66"/>
  <c r="B1343" i="66"/>
  <c r="B1344" i="66"/>
  <c r="B1345" i="66"/>
  <c r="B1346" i="66"/>
  <c r="B1347" i="66"/>
  <c r="B1348" i="66"/>
  <c r="B1349" i="66"/>
  <c r="B1350" i="66"/>
  <c r="B1351" i="66"/>
  <c r="B1352" i="66"/>
  <c r="B1353" i="66"/>
  <c r="B1354" i="66"/>
  <c r="B1355" i="66"/>
  <c r="B1356" i="66"/>
  <c r="B1357" i="66"/>
  <c r="B1358" i="66"/>
  <c r="B1359" i="66"/>
  <c r="B1360" i="66"/>
  <c r="B1361" i="66"/>
  <c r="B1362" i="66"/>
  <c r="B1365" i="66"/>
  <c r="B1366" i="66"/>
  <c r="B1367" i="66"/>
  <c r="B1368" i="66"/>
  <c r="B1369" i="66"/>
  <c r="B1370" i="66"/>
  <c r="B1371" i="66"/>
  <c r="B1372" i="66"/>
  <c r="B1373" i="66"/>
  <c r="B1374" i="66"/>
  <c r="B1375" i="66"/>
  <c r="B1378" i="66"/>
  <c r="B1381" i="66"/>
  <c r="B1382" i="66"/>
  <c r="B1383" i="66"/>
  <c r="B1384" i="66"/>
  <c r="B1385" i="66"/>
  <c r="B1386" i="66"/>
  <c r="B1389" i="66"/>
  <c r="B1390" i="66"/>
  <c r="B1403" i="66"/>
  <c r="B1404" i="66"/>
  <c r="B1405" i="66"/>
  <c r="B1406" i="66"/>
  <c r="B1407" i="66"/>
  <c r="B1408" i="66"/>
  <c r="B1409" i="66"/>
  <c r="B1412" i="66"/>
  <c r="B1413" i="66"/>
  <c r="B1416" i="66"/>
  <c r="B1417" i="66"/>
  <c r="B1418" i="66"/>
  <c r="B1419" i="66"/>
  <c r="B1420" i="66"/>
  <c r="B1423" i="66"/>
  <c r="B1426" i="66"/>
  <c r="B1427" i="66"/>
  <c r="B1432" i="66"/>
  <c r="B1433" i="66"/>
  <c r="B1436" i="66"/>
  <c r="B1437" i="66"/>
  <c r="B1438" i="66"/>
  <c r="B1439" i="66"/>
  <c r="B1440" i="66"/>
  <c r="B1445" i="66"/>
  <c r="B1446" i="66"/>
  <c r="B1449" i="66"/>
  <c r="B1450" i="66"/>
  <c r="B1451" i="66"/>
  <c r="B1458" i="66"/>
  <c r="B1459" i="66"/>
  <c r="B1460" i="66"/>
  <c r="B1465" i="66"/>
  <c r="B1466" i="66"/>
  <c r="B1467" i="66"/>
  <c r="B1468" i="66"/>
  <c r="B1470" i="66"/>
  <c r="B1473" i="66"/>
  <c r="B1474" i="66"/>
  <c r="B1475" i="66"/>
  <c r="B1476" i="66"/>
  <c r="B1479" i="66"/>
  <c r="B1480" i="66"/>
  <c r="B1488" i="66"/>
  <c r="B1489" i="66"/>
  <c r="B1490" i="66"/>
  <c r="B1491" i="66"/>
  <c r="B1492" i="66"/>
  <c r="B1493" i="66"/>
  <c r="B1494" i="66"/>
  <c r="B1495" i="66"/>
  <c r="B1496" i="66"/>
  <c r="B1497" i="66"/>
  <c r="B1498" i="66"/>
  <c r="B1499" i="66"/>
  <c r="B1502" i="66"/>
  <c r="B1503" i="66"/>
  <c r="B1514" i="66"/>
  <c r="B1515" i="66"/>
  <c r="B2" i="66"/>
  <c r="B480" i="68"/>
  <c r="D480" i="68" s="1"/>
  <c r="B479" i="68"/>
  <c r="B478" i="68"/>
  <c r="D478" i="68" s="1"/>
  <c r="B477" i="68"/>
  <c r="D477" i="68" s="1"/>
  <c r="B476" i="68"/>
  <c r="D476" i="68" s="1"/>
  <c r="B475" i="68"/>
  <c r="B474" i="68"/>
  <c r="D474" i="68" s="1"/>
  <c r="B473" i="68"/>
  <c r="D473" i="68" s="1"/>
  <c r="B472" i="68"/>
  <c r="D472" i="68" s="1"/>
  <c r="B471" i="68"/>
  <c r="B470" i="68"/>
  <c r="D470" i="68" s="1"/>
  <c r="B469" i="68"/>
  <c r="D469" i="68" s="1"/>
  <c r="B468" i="68"/>
  <c r="D468" i="68" s="1"/>
  <c r="B467" i="68"/>
  <c r="B466" i="68"/>
  <c r="D466" i="68" s="1"/>
  <c r="B465" i="68"/>
  <c r="D465" i="68" s="1"/>
  <c r="B464" i="68"/>
  <c r="D464" i="68" s="1"/>
  <c r="B463" i="68"/>
  <c r="B462" i="68"/>
  <c r="D462" i="68" s="1"/>
  <c r="B461" i="68"/>
  <c r="D461" i="68" s="1"/>
  <c r="B460" i="68"/>
  <c r="D460" i="68" s="1"/>
  <c r="B459" i="68"/>
  <c r="B458" i="68"/>
  <c r="D458" i="68" s="1"/>
  <c r="B457" i="68"/>
  <c r="D457" i="68" s="1"/>
  <c r="B456" i="68"/>
  <c r="D456" i="68" s="1"/>
  <c r="B455" i="68"/>
  <c r="D455" i="68" s="1"/>
  <c r="B454" i="68"/>
  <c r="D454" i="68" s="1"/>
  <c r="B453" i="68"/>
  <c r="B452" i="68"/>
  <c r="D452" i="68" s="1"/>
  <c r="B451" i="68"/>
  <c r="D451" i="68" s="1"/>
  <c r="B450" i="68"/>
  <c r="D450" i="68" s="1"/>
  <c r="B449" i="68"/>
  <c r="D449" i="68" s="1"/>
  <c r="B448" i="68"/>
  <c r="D448" i="68" s="1"/>
  <c r="B447" i="68"/>
  <c r="D447" i="68" s="1"/>
  <c r="B446" i="68"/>
  <c r="D446" i="68" s="1"/>
  <c r="B445" i="68"/>
  <c r="B444" i="68"/>
  <c r="D444" i="68" s="1"/>
  <c r="B443" i="68"/>
  <c r="D443" i="68" s="1"/>
  <c r="B442" i="68"/>
  <c r="D442" i="68" s="1"/>
  <c r="B441" i="68"/>
  <c r="D441" i="68" s="1"/>
  <c r="B440" i="68"/>
  <c r="D440" i="68" s="1"/>
  <c r="B439" i="68"/>
  <c r="D439" i="68" s="1"/>
  <c r="B438" i="68"/>
  <c r="D438" i="68" s="1"/>
  <c r="B437" i="68"/>
  <c r="B436" i="68"/>
  <c r="D436" i="68" s="1"/>
  <c r="B435" i="68"/>
  <c r="D435" i="68" s="1"/>
  <c r="B434" i="68"/>
  <c r="D434" i="68" s="1"/>
  <c r="B433" i="68"/>
  <c r="D433" i="68" s="1"/>
  <c r="B432" i="68"/>
  <c r="D432" i="68" s="1"/>
  <c r="B431" i="68"/>
  <c r="D431" i="68" s="1"/>
  <c r="B430" i="68"/>
  <c r="D430" i="68" s="1"/>
  <c r="B429" i="68"/>
  <c r="B428" i="68"/>
  <c r="D428" i="68" s="1"/>
  <c r="B427" i="68"/>
  <c r="D427" i="68" s="1"/>
  <c r="B426" i="68"/>
  <c r="D426" i="68" s="1"/>
  <c r="B425" i="68"/>
  <c r="D425" i="68" s="1"/>
  <c r="B424" i="68"/>
  <c r="D424" i="68" s="1"/>
  <c r="B423" i="68"/>
  <c r="D423" i="68" s="1"/>
  <c r="B422" i="68"/>
  <c r="D422" i="68" s="1"/>
  <c r="B421" i="68"/>
  <c r="B420" i="68"/>
  <c r="D420" i="68" s="1"/>
  <c r="B419" i="68"/>
  <c r="D419" i="68" s="1"/>
  <c r="B418" i="68"/>
  <c r="D418" i="68" s="1"/>
  <c r="B417" i="68"/>
  <c r="D417" i="68" s="1"/>
  <c r="B416" i="68"/>
  <c r="D416" i="68" s="1"/>
  <c r="B415" i="68"/>
  <c r="D415" i="68" s="1"/>
  <c r="B414" i="68"/>
  <c r="D414" i="68" s="1"/>
  <c r="B413" i="68"/>
  <c r="B412" i="68"/>
  <c r="D412" i="68" s="1"/>
  <c r="B411" i="68"/>
  <c r="D411" i="68" s="1"/>
  <c r="B410" i="68"/>
  <c r="D410" i="68" s="1"/>
  <c r="B409" i="68"/>
  <c r="D409" i="68" s="1"/>
  <c r="B408" i="68"/>
  <c r="D408" i="68" s="1"/>
  <c r="B407" i="68"/>
  <c r="D407" i="68" s="1"/>
  <c r="B406" i="68"/>
  <c r="D406" i="68" s="1"/>
  <c r="B405" i="68"/>
  <c r="B404" i="68"/>
  <c r="D404" i="68" s="1"/>
  <c r="B403" i="68"/>
  <c r="D403" i="68" s="1"/>
  <c r="B402" i="68"/>
  <c r="D402" i="68" s="1"/>
  <c r="B401" i="68"/>
  <c r="D401" i="68" s="1"/>
  <c r="B400" i="68"/>
  <c r="D400" i="68" s="1"/>
  <c r="B399" i="68"/>
  <c r="D399" i="68" s="1"/>
  <c r="B398" i="68"/>
  <c r="D398" i="68" s="1"/>
  <c r="B397" i="68"/>
  <c r="B396" i="68"/>
  <c r="D396" i="68" s="1"/>
  <c r="B395" i="68"/>
  <c r="D395" i="68" s="1"/>
  <c r="B394" i="68"/>
  <c r="D394" i="68" s="1"/>
  <c r="B393" i="68"/>
  <c r="D393" i="68" s="1"/>
  <c r="B392" i="68"/>
  <c r="D392" i="68" s="1"/>
  <c r="B391" i="68"/>
  <c r="D391" i="68" s="1"/>
  <c r="B390" i="68"/>
  <c r="D390" i="68" s="1"/>
  <c r="B389" i="68"/>
  <c r="B388" i="68"/>
  <c r="D388" i="68" s="1"/>
  <c r="B387" i="68"/>
  <c r="D387" i="68" s="1"/>
  <c r="B386" i="68"/>
  <c r="D386" i="68" s="1"/>
  <c r="B385" i="68"/>
  <c r="D385" i="68" s="1"/>
  <c r="B384" i="68"/>
  <c r="D384" i="68" s="1"/>
  <c r="B383" i="68"/>
  <c r="D383" i="68" s="1"/>
  <c r="B382" i="68"/>
  <c r="D382" i="68" s="1"/>
  <c r="B381" i="68"/>
  <c r="B380" i="68"/>
  <c r="D380" i="68" s="1"/>
  <c r="B379" i="68"/>
  <c r="D379" i="68" s="1"/>
  <c r="B378" i="68"/>
  <c r="D378" i="68" s="1"/>
  <c r="B377" i="68"/>
  <c r="D377" i="68" s="1"/>
  <c r="B376" i="68"/>
  <c r="D376" i="68" s="1"/>
  <c r="B375" i="68"/>
  <c r="D375" i="68" s="1"/>
  <c r="B374" i="68"/>
  <c r="D374" i="68" s="1"/>
  <c r="B373" i="68"/>
  <c r="B372" i="68"/>
  <c r="D372" i="68" s="1"/>
  <c r="B371" i="68"/>
  <c r="D371" i="68" s="1"/>
  <c r="B370" i="68"/>
  <c r="D370" i="68" s="1"/>
  <c r="B369" i="68"/>
  <c r="D369" i="68" s="1"/>
  <c r="B368" i="68"/>
  <c r="D368" i="68" s="1"/>
  <c r="B367" i="68"/>
  <c r="D367" i="68" s="1"/>
  <c r="B366" i="68"/>
  <c r="D366" i="68" s="1"/>
  <c r="B365" i="68"/>
  <c r="B364" i="68"/>
  <c r="D364" i="68" s="1"/>
  <c r="B363" i="68"/>
  <c r="D363" i="68" s="1"/>
  <c r="B362" i="68"/>
  <c r="D362" i="68" s="1"/>
  <c r="B361" i="68"/>
  <c r="D361" i="68" s="1"/>
  <c r="B360" i="68"/>
  <c r="D360" i="68" s="1"/>
  <c r="B359" i="68"/>
  <c r="D359" i="68" s="1"/>
  <c r="B358" i="68"/>
  <c r="D358" i="68" s="1"/>
  <c r="B357" i="68"/>
  <c r="B356" i="68"/>
  <c r="D356" i="68" s="1"/>
  <c r="B355" i="68"/>
  <c r="D355" i="68" s="1"/>
  <c r="B354" i="68"/>
  <c r="D354" i="68" s="1"/>
  <c r="B353" i="68"/>
  <c r="D353" i="68" s="1"/>
  <c r="B352" i="68"/>
  <c r="D352" i="68" s="1"/>
  <c r="B351" i="68"/>
  <c r="D351" i="68" s="1"/>
  <c r="B350" i="68"/>
  <c r="D350" i="68" s="1"/>
  <c r="B349" i="68"/>
  <c r="B348" i="68"/>
  <c r="D348" i="68" s="1"/>
  <c r="B347" i="68"/>
  <c r="D347" i="68" s="1"/>
  <c r="B346" i="68"/>
  <c r="D346" i="68" s="1"/>
  <c r="B345" i="68"/>
  <c r="D345" i="68" s="1"/>
  <c r="B344" i="68"/>
  <c r="D344" i="68" s="1"/>
  <c r="B343" i="68"/>
  <c r="D343" i="68" s="1"/>
  <c r="B342" i="68"/>
  <c r="D342" i="68" s="1"/>
  <c r="B341" i="68"/>
  <c r="D341" i="68" s="1"/>
  <c r="B340" i="68"/>
  <c r="D340" i="68" s="1"/>
  <c r="B339" i="68"/>
  <c r="B338" i="68"/>
  <c r="D338" i="68" s="1"/>
  <c r="B337" i="68"/>
  <c r="D337" i="68" s="1"/>
  <c r="B336" i="68"/>
  <c r="D336" i="68" s="1"/>
  <c r="B335" i="68"/>
  <c r="D335" i="68" s="1"/>
  <c r="B334" i="68"/>
  <c r="D334" i="68" s="1"/>
  <c r="B333" i="68"/>
  <c r="D333" i="68" s="1"/>
  <c r="B332" i="68"/>
  <c r="D332" i="68" s="1"/>
  <c r="B331" i="68"/>
  <c r="D331" i="68" s="1"/>
  <c r="B330" i="68"/>
  <c r="D330" i="68" s="1"/>
  <c r="B329" i="68"/>
  <c r="B328" i="68"/>
  <c r="D328" i="68" s="1"/>
  <c r="B327" i="68"/>
  <c r="D327" i="68" s="1"/>
  <c r="B326" i="68"/>
  <c r="D326" i="68" s="1"/>
  <c r="B325" i="68"/>
  <c r="D325" i="68" s="1"/>
  <c r="B324" i="68"/>
  <c r="D324" i="68" s="1"/>
  <c r="B323" i="68"/>
  <c r="D323" i="68" s="1"/>
  <c r="B322" i="68"/>
  <c r="D322" i="68" s="1"/>
  <c r="B321" i="68"/>
  <c r="D321" i="68" s="1"/>
  <c r="B320" i="68"/>
  <c r="D320" i="68" s="1"/>
  <c r="B319" i="68"/>
  <c r="D319" i="68" s="1"/>
  <c r="B318" i="68"/>
  <c r="B317" i="68"/>
  <c r="D317" i="68" s="1"/>
  <c r="B316" i="68"/>
  <c r="D316" i="68" s="1"/>
  <c r="B315" i="68"/>
  <c r="D315" i="68" s="1"/>
  <c r="B314" i="68"/>
  <c r="D314" i="68" s="1"/>
  <c r="B313" i="68"/>
  <c r="D313" i="68" s="1"/>
  <c r="B312" i="68"/>
  <c r="D312" i="68" s="1"/>
  <c r="B311" i="68"/>
  <c r="D311" i="68" s="1"/>
  <c r="B310" i="68"/>
  <c r="D310" i="68" s="1"/>
  <c r="B309" i="68"/>
  <c r="D309" i="68" s="1"/>
  <c r="B308" i="68"/>
  <c r="D308" i="68" s="1"/>
  <c r="B307" i="68"/>
  <c r="B306" i="68"/>
  <c r="D306" i="68" s="1"/>
  <c r="B305" i="68"/>
  <c r="D305" i="68" s="1"/>
  <c r="B304" i="68"/>
  <c r="D304" i="68" s="1"/>
  <c r="B303" i="68"/>
  <c r="D303" i="68" s="1"/>
  <c r="B302" i="68"/>
  <c r="D302" i="68" s="1"/>
  <c r="B301" i="68"/>
  <c r="D301" i="68" s="1"/>
  <c r="B300" i="68"/>
  <c r="D300" i="68" s="1"/>
  <c r="B299" i="68"/>
  <c r="D299" i="68" s="1"/>
  <c r="B298" i="68"/>
  <c r="D298" i="68" s="1"/>
  <c r="B297" i="68"/>
  <c r="B296" i="68"/>
  <c r="D296" i="68" s="1"/>
  <c r="B295" i="68"/>
  <c r="D295" i="68" s="1"/>
  <c r="B294" i="68"/>
  <c r="D294" i="68" s="1"/>
  <c r="B293" i="68"/>
  <c r="D293" i="68" s="1"/>
  <c r="B292" i="68"/>
  <c r="D292" i="68" s="1"/>
  <c r="B291" i="68"/>
  <c r="D291" i="68" s="1"/>
  <c r="B290" i="68"/>
  <c r="D290" i="68" s="1"/>
  <c r="B289" i="68"/>
  <c r="D289" i="68" s="1"/>
  <c r="B288" i="68"/>
  <c r="D288" i="68" s="1"/>
  <c r="B287" i="68"/>
  <c r="D287" i="68" s="1"/>
  <c r="B286" i="68"/>
  <c r="B285" i="68"/>
  <c r="D285" i="68" s="1"/>
  <c r="B284" i="68"/>
  <c r="D284" i="68" s="1"/>
  <c r="B283" i="68"/>
  <c r="D283" i="68" s="1"/>
  <c r="B282" i="68"/>
  <c r="D282" i="68" s="1"/>
  <c r="B281" i="68"/>
  <c r="D281" i="68" s="1"/>
  <c r="B280" i="68"/>
  <c r="D280" i="68" s="1"/>
  <c r="B279" i="68"/>
  <c r="D279" i="68" s="1"/>
  <c r="B278" i="68"/>
  <c r="D278" i="68" s="1"/>
  <c r="B277" i="68"/>
  <c r="D277" i="68" s="1"/>
  <c r="B276" i="68"/>
  <c r="D276" i="68" s="1"/>
  <c r="B275" i="68"/>
  <c r="B274" i="68"/>
  <c r="D274" i="68" s="1"/>
  <c r="B273" i="68"/>
  <c r="D273" i="68" s="1"/>
  <c r="B272" i="68"/>
  <c r="D272" i="68" s="1"/>
  <c r="B271" i="68"/>
  <c r="D271" i="68" s="1"/>
  <c r="B270" i="68"/>
  <c r="D270" i="68" s="1"/>
  <c r="B269" i="68"/>
  <c r="D269" i="68" s="1"/>
  <c r="B268" i="68"/>
  <c r="D268" i="68" s="1"/>
  <c r="B267" i="68"/>
  <c r="D267" i="68" s="1"/>
  <c r="B266" i="68"/>
  <c r="D266" i="68" s="1"/>
  <c r="B265" i="68"/>
  <c r="B264" i="68"/>
  <c r="D264" i="68" s="1"/>
  <c r="B263" i="68"/>
  <c r="D263" i="68" s="1"/>
  <c r="B262" i="68"/>
  <c r="D262" i="68" s="1"/>
  <c r="B261" i="68"/>
  <c r="D261" i="68" s="1"/>
  <c r="B260" i="68"/>
  <c r="D260" i="68" s="1"/>
  <c r="B259" i="68"/>
  <c r="D259" i="68" s="1"/>
  <c r="B258" i="68"/>
  <c r="D258" i="68" s="1"/>
  <c r="B257" i="68"/>
  <c r="D257" i="68" s="1"/>
  <c r="B256" i="68"/>
  <c r="D256" i="68" s="1"/>
  <c r="B255" i="68"/>
  <c r="D255" i="68" s="1"/>
  <c r="B254" i="68"/>
  <c r="B253" i="68"/>
  <c r="D253" i="68" s="1"/>
  <c r="B252" i="68"/>
  <c r="D252" i="68" s="1"/>
  <c r="B251" i="68"/>
  <c r="D251" i="68" s="1"/>
  <c r="B250" i="68"/>
  <c r="D250" i="68" s="1"/>
  <c r="B249" i="68"/>
  <c r="D249" i="68" s="1"/>
  <c r="B248" i="68"/>
  <c r="D248" i="68" s="1"/>
  <c r="B247" i="68"/>
  <c r="D247" i="68" s="1"/>
  <c r="B246" i="68"/>
  <c r="D246" i="68" s="1"/>
  <c r="B245" i="68"/>
  <c r="D245" i="68" s="1"/>
  <c r="B244" i="68"/>
  <c r="D244" i="68" s="1"/>
  <c r="B243" i="68"/>
  <c r="B242" i="68"/>
  <c r="D242" i="68" s="1"/>
  <c r="B241" i="68"/>
  <c r="D241" i="68" s="1"/>
  <c r="B240" i="68"/>
  <c r="D240" i="68" s="1"/>
  <c r="B239" i="68"/>
  <c r="D239" i="68" s="1"/>
  <c r="B238" i="68"/>
  <c r="D238" i="68" s="1"/>
  <c r="B237" i="68"/>
  <c r="D237" i="68" s="1"/>
  <c r="B236" i="68"/>
  <c r="D236" i="68" s="1"/>
  <c r="B235" i="68"/>
  <c r="D235" i="68" s="1"/>
  <c r="B234" i="68"/>
  <c r="D234" i="68" s="1"/>
  <c r="B233" i="68"/>
  <c r="B232" i="68"/>
  <c r="D232" i="68" s="1"/>
  <c r="B231" i="68"/>
  <c r="D231" i="68" s="1"/>
  <c r="B230" i="68"/>
  <c r="D230" i="68" s="1"/>
  <c r="B229" i="68"/>
  <c r="D229" i="68" s="1"/>
  <c r="B228" i="68"/>
  <c r="D228" i="68" s="1"/>
  <c r="B227" i="68"/>
  <c r="D227" i="68" s="1"/>
  <c r="B226" i="68"/>
  <c r="D226" i="68" s="1"/>
  <c r="B225" i="68"/>
  <c r="D225" i="68" s="1"/>
  <c r="B224" i="68"/>
  <c r="D224" i="68" s="1"/>
  <c r="B223" i="68"/>
  <c r="D223" i="68" s="1"/>
  <c r="B222" i="68"/>
  <c r="B221" i="68"/>
  <c r="D221" i="68" s="1"/>
  <c r="B220" i="68"/>
  <c r="D220" i="68" s="1"/>
  <c r="B219" i="68"/>
  <c r="D219" i="68" s="1"/>
  <c r="B218" i="68"/>
  <c r="D218" i="68" s="1"/>
  <c r="B217" i="68"/>
  <c r="D217" i="68" s="1"/>
  <c r="B216" i="68"/>
  <c r="D216" i="68" s="1"/>
  <c r="B215" i="68"/>
  <c r="D215" i="68" s="1"/>
  <c r="B214" i="68"/>
  <c r="D214" i="68" s="1"/>
  <c r="B213" i="68"/>
  <c r="D213" i="68" s="1"/>
  <c r="B212" i="68"/>
  <c r="D212" i="68" s="1"/>
  <c r="B211" i="68"/>
  <c r="D211" i="68" s="1"/>
  <c r="B210" i="68"/>
  <c r="D210" i="68" s="1"/>
  <c r="B209" i="68"/>
  <c r="D209" i="68" s="1"/>
  <c r="B208" i="68"/>
  <c r="D208" i="68" s="1"/>
  <c r="B207" i="68"/>
  <c r="D207" i="68" s="1"/>
  <c r="B206" i="68"/>
  <c r="D206" i="68" s="1"/>
  <c r="B205" i="68"/>
  <c r="D205" i="68" s="1"/>
  <c r="B204" i="68"/>
  <c r="D204" i="68" s="1"/>
  <c r="B203" i="68"/>
  <c r="D203" i="68" s="1"/>
  <c r="B202" i="68"/>
  <c r="D202" i="68" s="1"/>
  <c r="B201" i="68"/>
  <c r="D201" i="68" s="1"/>
  <c r="B200" i="68"/>
  <c r="D200" i="68" s="1"/>
  <c r="B199" i="68"/>
  <c r="D199" i="68" s="1"/>
  <c r="B198" i="68"/>
  <c r="D198" i="68" s="1"/>
  <c r="B197" i="68"/>
  <c r="D197" i="68" s="1"/>
  <c r="B196" i="68"/>
  <c r="D196" i="68" s="1"/>
  <c r="B195" i="68"/>
  <c r="D195" i="68" s="1"/>
  <c r="B194" i="68"/>
  <c r="D194" i="68" s="1"/>
  <c r="B193" i="68"/>
  <c r="D193" i="68" s="1"/>
  <c r="B192" i="68"/>
  <c r="D192" i="68" s="1"/>
  <c r="B191" i="68"/>
  <c r="D191" i="68" s="1"/>
  <c r="B190" i="68"/>
  <c r="D190" i="68" s="1"/>
  <c r="B189" i="68"/>
  <c r="D189" i="68" s="1"/>
  <c r="B188" i="68"/>
  <c r="D188" i="68" s="1"/>
  <c r="B187" i="68"/>
  <c r="D187" i="68" s="1"/>
  <c r="B186" i="68"/>
  <c r="D186" i="68" s="1"/>
  <c r="B185" i="68"/>
  <c r="D185" i="68" s="1"/>
  <c r="B184" i="68"/>
  <c r="D184" i="68" s="1"/>
  <c r="B183" i="68"/>
  <c r="D183" i="68" s="1"/>
  <c r="B182" i="68"/>
  <c r="D182" i="68" s="1"/>
  <c r="B181" i="68"/>
  <c r="D181" i="68" s="1"/>
  <c r="B180" i="68"/>
  <c r="D180" i="68" s="1"/>
  <c r="B179" i="68"/>
  <c r="D179" i="68" s="1"/>
  <c r="B178" i="68"/>
  <c r="D178" i="68" s="1"/>
  <c r="B177" i="68"/>
  <c r="D177" i="68" s="1"/>
  <c r="B176" i="68"/>
  <c r="D176" i="68" s="1"/>
  <c r="B175" i="68"/>
  <c r="D175" i="68" s="1"/>
  <c r="B174" i="68"/>
  <c r="D174" i="68" s="1"/>
  <c r="B173" i="68"/>
  <c r="D173" i="68" s="1"/>
  <c r="B172" i="68"/>
  <c r="D172" i="68" s="1"/>
  <c r="B171" i="68"/>
  <c r="D171" i="68" s="1"/>
  <c r="B170" i="68"/>
  <c r="D170" i="68" s="1"/>
  <c r="B169" i="68"/>
  <c r="D169" i="68" s="1"/>
  <c r="B168" i="68"/>
  <c r="D168" i="68" s="1"/>
  <c r="B167" i="68"/>
  <c r="D167" i="68" s="1"/>
  <c r="B166" i="68"/>
  <c r="D166" i="68" s="1"/>
  <c r="B165" i="68"/>
  <c r="D165" i="68" s="1"/>
  <c r="B164" i="68"/>
  <c r="D164" i="68" s="1"/>
  <c r="B163" i="68"/>
  <c r="D163" i="68" s="1"/>
  <c r="B162" i="68"/>
  <c r="D162" i="68" s="1"/>
  <c r="B161" i="68"/>
  <c r="D161" i="68" s="1"/>
  <c r="B160" i="68"/>
  <c r="D160" i="68" s="1"/>
  <c r="B159" i="68"/>
  <c r="D159" i="68" s="1"/>
  <c r="B158" i="68"/>
  <c r="D158" i="68" s="1"/>
  <c r="B157" i="68"/>
  <c r="D157" i="68" s="1"/>
  <c r="B156" i="68"/>
  <c r="D156" i="68" s="1"/>
  <c r="B155" i="68"/>
  <c r="D155" i="68" s="1"/>
  <c r="B154" i="68"/>
  <c r="D154" i="68" s="1"/>
  <c r="B153" i="68"/>
  <c r="D153" i="68" s="1"/>
  <c r="B152" i="68"/>
  <c r="D152" i="68" s="1"/>
  <c r="B151" i="68"/>
  <c r="D151" i="68" s="1"/>
  <c r="B150" i="68"/>
  <c r="D150" i="68" s="1"/>
  <c r="B149" i="68"/>
  <c r="D149" i="68" s="1"/>
  <c r="B148" i="68"/>
  <c r="D148" i="68" s="1"/>
  <c r="B147" i="68"/>
  <c r="D147" i="68" s="1"/>
  <c r="B146" i="68"/>
  <c r="D146" i="68" s="1"/>
  <c r="B145" i="68"/>
  <c r="D145" i="68" s="1"/>
  <c r="B144" i="68"/>
  <c r="D144" i="68" s="1"/>
  <c r="B143" i="68"/>
  <c r="D143" i="68" s="1"/>
  <c r="B142" i="68"/>
  <c r="D142" i="68" s="1"/>
  <c r="B141" i="68"/>
  <c r="D141" i="68" s="1"/>
  <c r="B140" i="68"/>
  <c r="D140" i="68" s="1"/>
  <c r="B139" i="68"/>
  <c r="D139" i="68" s="1"/>
  <c r="B138" i="68"/>
  <c r="D138" i="68" s="1"/>
  <c r="B137" i="68"/>
  <c r="D137" i="68" s="1"/>
  <c r="B136" i="68"/>
  <c r="D136" i="68" s="1"/>
  <c r="B135" i="68"/>
  <c r="D135" i="68" s="1"/>
  <c r="B134" i="68"/>
  <c r="D134" i="68" s="1"/>
  <c r="B133" i="68"/>
  <c r="D133" i="68" s="1"/>
  <c r="B132" i="68"/>
  <c r="D132" i="68" s="1"/>
  <c r="B131" i="68"/>
  <c r="D131" i="68" s="1"/>
  <c r="B130" i="68"/>
  <c r="D130" i="68" s="1"/>
  <c r="B129" i="68"/>
  <c r="D129" i="68" s="1"/>
  <c r="B128" i="68"/>
  <c r="D128" i="68" s="1"/>
  <c r="B127" i="68"/>
  <c r="D127" i="68" s="1"/>
  <c r="B126" i="68"/>
  <c r="D126" i="68" s="1"/>
  <c r="B125" i="68"/>
  <c r="D125" i="68" s="1"/>
  <c r="B124" i="68"/>
  <c r="D124" i="68" s="1"/>
  <c r="B123" i="68"/>
  <c r="D123" i="68" s="1"/>
  <c r="B122" i="68"/>
  <c r="D122" i="68" s="1"/>
  <c r="B121" i="68"/>
  <c r="D121" i="68" s="1"/>
  <c r="B120" i="68"/>
  <c r="D120" i="68" s="1"/>
  <c r="B119" i="68"/>
  <c r="D119" i="68" s="1"/>
  <c r="B118" i="68"/>
  <c r="D118" i="68" s="1"/>
  <c r="B117" i="68"/>
  <c r="D117" i="68" s="1"/>
  <c r="B116" i="68"/>
  <c r="D116" i="68" s="1"/>
  <c r="B115" i="68"/>
  <c r="D115" i="68" s="1"/>
  <c r="B114" i="68"/>
  <c r="D114" i="68" s="1"/>
  <c r="B113" i="68"/>
  <c r="D113" i="68" s="1"/>
  <c r="B112" i="68"/>
  <c r="D112" i="68" s="1"/>
  <c r="B111" i="68"/>
  <c r="D111" i="68" s="1"/>
  <c r="B110" i="68"/>
  <c r="D110" i="68" s="1"/>
  <c r="B109" i="68"/>
  <c r="D109" i="68" s="1"/>
  <c r="B108" i="68"/>
  <c r="D108" i="68" s="1"/>
  <c r="B107" i="68"/>
  <c r="D107" i="68" s="1"/>
  <c r="B106" i="68"/>
  <c r="D106" i="68" s="1"/>
  <c r="B105" i="68"/>
  <c r="D105" i="68" s="1"/>
  <c r="B104" i="68"/>
  <c r="D104" i="68" s="1"/>
  <c r="B103" i="68"/>
  <c r="D103" i="68" s="1"/>
  <c r="B102" i="68"/>
  <c r="D102" i="68" s="1"/>
  <c r="B101" i="68"/>
  <c r="D101" i="68" s="1"/>
  <c r="B100" i="68"/>
  <c r="D100" i="68" s="1"/>
  <c r="B99" i="68"/>
  <c r="D99" i="68" s="1"/>
  <c r="B98" i="68"/>
  <c r="D98" i="68" s="1"/>
  <c r="B97" i="68"/>
  <c r="D97" i="68" s="1"/>
  <c r="B96" i="68"/>
  <c r="D96" i="68" s="1"/>
  <c r="B95" i="68"/>
  <c r="D95" i="68" s="1"/>
  <c r="B94" i="68"/>
  <c r="D94" i="68" s="1"/>
  <c r="B93" i="68"/>
  <c r="D93" i="68" s="1"/>
  <c r="B92" i="68"/>
  <c r="D92" i="68" s="1"/>
  <c r="B91" i="68"/>
  <c r="D91" i="68" s="1"/>
  <c r="B90" i="68"/>
  <c r="D90" i="68" s="1"/>
  <c r="B89" i="68"/>
  <c r="D89" i="68" s="1"/>
  <c r="B88" i="68"/>
  <c r="D88" i="68" s="1"/>
  <c r="B87" i="68"/>
  <c r="D87" i="68" s="1"/>
  <c r="B86" i="68"/>
  <c r="D86" i="68" s="1"/>
  <c r="B85" i="68"/>
  <c r="D85" i="68" s="1"/>
  <c r="B84" i="68"/>
  <c r="D84" i="68" s="1"/>
  <c r="B83" i="68"/>
  <c r="D83" i="68" s="1"/>
  <c r="B82" i="68"/>
  <c r="D82" i="68" s="1"/>
  <c r="B81" i="68"/>
  <c r="D81" i="68" s="1"/>
  <c r="B80" i="68"/>
  <c r="D80" i="68" s="1"/>
  <c r="B79" i="68"/>
  <c r="D79" i="68" s="1"/>
  <c r="B78" i="68"/>
  <c r="D78" i="68" s="1"/>
  <c r="B77" i="68"/>
  <c r="D77" i="68" s="1"/>
  <c r="B76" i="68"/>
  <c r="D76" i="68" s="1"/>
  <c r="B75" i="68"/>
  <c r="D75" i="68" s="1"/>
  <c r="B74" i="68"/>
  <c r="D74" i="68" s="1"/>
  <c r="B73" i="68"/>
  <c r="D73" i="68" s="1"/>
  <c r="B72" i="68"/>
  <c r="D72" i="68" s="1"/>
  <c r="B71" i="68"/>
  <c r="D71" i="68" s="1"/>
  <c r="B70" i="68"/>
  <c r="D70" i="68" s="1"/>
  <c r="B69" i="68"/>
  <c r="D69" i="68" s="1"/>
  <c r="B68" i="68"/>
  <c r="D68" i="68" s="1"/>
  <c r="B67" i="68"/>
  <c r="D67" i="68" s="1"/>
  <c r="B66" i="68"/>
  <c r="D66" i="68" s="1"/>
  <c r="B65" i="68"/>
  <c r="D65" i="68" s="1"/>
  <c r="B64" i="68"/>
  <c r="D64" i="68" s="1"/>
  <c r="B63" i="68"/>
  <c r="D63" i="68" s="1"/>
  <c r="B62" i="68"/>
  <c r="D62" i="68" s="1"/>
  <c r="B61" i="68"/>
  <c r="D61" i="68" s="1"/>
  <c r="B60" i="68"/>
  <c r="D60" i="68" s="1"/>
  <c r="B59" i="68"/>
  <c r="D59" i="68" s="1"/>
  <c r="B58" i="68"/>
  <c r="D58" i="68" s="1"/>
  <c r="B57" i="68"/>
  <c r="D57" i="68" s="1"/>
  <c r="B56" i="68"/>
  <c r="D56" i="68" s="1"/>
  <c r="B55" i="68"/>
  <c r="D55" i="68" s="1"/>
  <c r="B54" i="68"/>
  <c r="D54" i="68" s="1"/>
  <c r="B53" i="68"/>
  <c r="D53" i="68" s="1"/>
  <c r="B52" i="68"/>
  <c r="D52" i="68" s="1"/>
  <c r="B51" i="68"/>
  <c r="D51" i="68" s="1"/>
  <c r="B50" i="68"/>
  <c r="D50" i="68" s="1"/>
  <c r="B49" i="68"/>
  <c r="D49" i="68" s="1"/>
  <c r="B48" i="68"/>
  <c r="D48" i="68" s="1"/>
  <c r="B47" i="68"/>
  <c r="D47" i="68" s="1"/>
  <c r="B46" i="68"/>
  <c r="D46" i="68" s="1"/>
  <c r="B45" i="68"/>
  <c r="D45" i="68" s="1"/>
  <c r="B44" i="68"/>
  <c r="D44" i="68" s="1"/>
  <c r="B43" i="68"/>
  <c r="D43" i="68" s="1"/>
  <c r="B42" i="68"/>
  <c r="D42" i="68" s="1"/>
  <c r="B41" i="68"/>
  <c r="D41" i="68" s="1"/>
  <c r="B40" i="68"/>
  <c r="D40" i="68" s="1"/>
  <c r="B39" i="68"/>
  <c r="D39" i="68" s="1"/>
  <c r="B38" i="68"/>
  <c r="D38" i="68" s="1"/>
  <c r="B37" i="68"/>
  <c r="D37" i="68" s="1"/>
  <c r="B36" i="68"/>
  <c r="D36" i="68" s="1"/>
  <c r="B35" i="68"/>
  <c r="D35" i="68" s="1"/>
  <c r="B34" i="68"/>
  <c r="D34" i="68" s="1"/>
  <c r="B33" i="68"/>
  <c r="D33" i="68" s="1"/>
  <c r="B32" i="68"/>
  <c r="D32" i="68" s="1"/>
  <c r="B31" i="68"/>
  <c r="D31" i="68" s="1"/>
  <c r="B30" i="68"/>
  <c r="D30" i="68" s="1"/>
  <c r="B29" i="68"/>
  <c r="D29" i="68" s="1"/>
  <c r="B28" i="68"/>
  <c r="D28" i="68" s="1"/>
  <c r="B27" i="68"/>
  <c r="D27" i="68" s="1"/>
  <c r="B26" i="68"/>
  <c r="D26" i="68" s="1"/>
  <c r="B25" i="68"/>
  <c r="D25" i="68" s="1"/>
  <c r="B24" i="68"/>
  <c r="D24" i="68" s="1"/>
  <c r="B23" i="68"/>
  <c r="D23" i="68" s="1"/>
  <c r="B22" i="68"/>
  <c r="D22" i="68" s="1"/>
  <c r="B21" i="68"/>
  <c r="D21" i="68" s="1"/>
  <c r="B20" i="68"/>
  <c r="D20" i="68" s="1"/>
  <c r="B19" i="68"/>
  <c r="D19" i="68" s="1"/>
  <c r="B18" i="68"/>
  <c r="D18" i="68" s="1"/>
  <c r="B17" i="68"/>
  <c r="D17" i="68" s="1"/>
  <c r="B16" i="68"/>
  <c r="D16" i="68" s="1"/>
  <c r="B15" i="68"/>
  <c r="D15" i="68" s="1"/>
  <c r="B14" i="68"/>
  <c r="D14" i="68" s="1"/>
  <c r="B13" i="68"/>
  <c r="D13" i="68" s="1"/>
  <c r="B12" i="68"/>
  <c r="D12" i="68" s="1"/>
  <c r="B11" i="68"/>
  <c r="D11" i="68" s="1"/>
  <c r="B10" i="68"/>
  <c r="D10" i="68" s="1"/>
  <c r="B9" i="68"/>
  <c r="D9" i="68" s="1"/>
  <c r="B8" i="68"/>
  <c r="D8" i="68" s="1"/>
  <c r="B7" i="68"/>
  <c r="D7" i="68" s="1"/>
  <c r="F1" i="68"/>
  <c r="E1" i="66"/>
  <c r="D1" i="66"/>
  <c r="C1" i="66"/>
  <c r="C7" i="68" l="1"/>
  <c r="C65" i="18"/>
  <c r="C64" i="18"/>
  <c r="C63" i="18"/>
  <c r="C61" i="18"/>
  <c r="C60" i="18"/>
  <c r="C59" i="18"/>
  <c r="C58" i="18"/>
  <c r="C57" i="18"/>
  <c r="C56" i="18"/>
  <c r="C55" i="18"/>
  <c r="C53" i="18"/>
  <c r="C49" i="18"/>
  <c r="C45" i="18"/>
  <c r="C41" i="18"/>
  <c r="G41" i="18"/>
  <c r="B40" i="18"/>
  <c r="F40" i="18"/>
  <c r="D40" i="18"/>
  <c r="C40" i="18"/>
  <c r="L36" i="18"/>
  <c r="F56" i="18"/>
  <c r="S691" i="22" s="1"/>
  <c r="W691" i="22"/>
  <c r="Q691" i="22"/>
  <c r="E56" i="18"/>
  <c r="R691" i="22" s="1"/>
  <c r="B686" i="22"/>
  <c r="E686" i="22"/>
  <c r="F686" i="22" s="1"/>
  <c r="B687" i="22"/>
  <c r="E687" i="22"/>
  <c r="F687" i="22" s="1"/>
  <c r="I687" i="22"/>
  <c r="B688" i="22"/>
  <c r="E688" i="22"/>
  <c r="F688" i="22" s="1"/>
  <c r="I688" i="22"/>
  <c r="B689" i="22"/>
  <c r="E689" i="22"/>
  <c r="F689" i="22" s="1"/>
  <c r="I689" i="22"/>
  <c r="B690" i="22"/>
  <c r="E690" i="22"/>
  <c r="F690" i="22" s="1"/>
  <c r="I690" i="22"/>
  <c r="B691" i="22"/>
  <c r="E691" i="22"/>
  <c r="F691" i="22" s="1"/>
  <c r="I691" i="22"/>
  <c r="B692" i="22"/>
  <c r="E692" i="22"/>
  <c r="F692" i="22" s="1"/>
  <c r="B693" i="22"/>
  <c r="E693" i="22"/>
  <c r="F693" i="22" s="1"/>
  <c r="I693" i="22"/>
  <c r="B694" i="22"/>
  <c r="E694" i="22"/>
  <c r="F694" i="22" s="1"/>
  <c r="I694" i="22"/>
  <c r="B695" i="22"/>
  <c r="E695" i="22"/>
  <c r="F695" i="22" s="1"/>
  <c r="I695" i="22"/>
  <c r="B696" i="22"/>
  <c r="E696" i="22"/>
  <c r="F696" i="22" s="1"/>
  <c r="I696" i="22"/>
  <c r="B697" i="22"/>
  <c r="E697" i="22"/>
  <c r="F697" i="22" s="1"/>
  <c r="I697" i="22"/>
  <c r="B698" i="22"/>
  <c r="E698" i="22"/>
  <c r="F698" i="22" s="1"/>
  <c r="I698" i="22"/>
  <c r="B699" i="22"/>
  <c r="E699" i="22"/>
  <c r="F699" i="22" s="1"/>
  <c r="I699" i="22"/>
  <c r="B700" i="22"/>
  <c r="E700" i="22"/>
  <c r="F700" i="22" s="1"/>
  <c r="I700" i="22"/>
  <c r="B701" i="22"/>
  <c r="E701" i="22"/>
  <c r="F701" i="22" s="1"/>
  <c r="I701" i="22"/>
  <c r="B702" i="22"/>
  <c r="E702" i="22"/>
  <c r="F702" i="22" s="1"/>
  <c r="I702" i="22"/>
  <c r="B703" i="22"/>
  <c r="E703" i="22"/>
  <c r="F703" i="22" s="1"/>
  <c r="I703" i="22"/>
  <c r="B704" i="22"/>
  <c r="E704" i="22"/>
  <c r="F704" i="22" s="1"/>
  <c r="I704" i="22"/>
  <c r="B705" i="22"/>
  <c r="E705" i="22"/>
  <c r="F705" i="22" s="1"/>
  <c r="I705" i="22"/>
  <c r="B706" i="22"/>
  <c r="E706" i="22"/>
  <c r="F706" i="22" s="1"/>
  <c r="I706" i="22"/>
  <c r="B707" i="22"/>
  <c r="E707" i="22"/>
  <c r="F707" i="22" s="1"/>
  <c r="I707" i="22"/>
  <c r="B708" i="22"/>
  <c r="E708" i="22"/>
  <c r="F708" i="22" s="1"/>
  <c r="I708" i="22"/>
  <c r="B709" i="22"/>
  <c r="E709" i="22"/>
  <c r="F709" i="22" s="1"/>
  <c r="I709" i="22"/>
  <c r="B710" i="22"/>
  <c r="E710" i="22"/>
  <c r="F710" i="22" s="1"/>
  <c r="I710" i="22"/>
  <c r="B711" i="22"/>
  <c r="E711" i="22"/>
  <c r="F711" i="22" s="1"/>
  <c r="I711" i="22"/>
  <c r="B712" i="22"/>
  <c r="E712" i="22"/>
  <c r="F712" i="22" s="1"/>
  <c r="I712" i="22"/>
  <c r="B713" i="22"/>
  <c r="E713" i="22"/>
  <c r="F713" i="22" s="1"/>
  <c r="I713" i="22"/>
  <c r="B714" i="22"/>
  <c r="E714" i="22"/>
  <c r="F714" i="22" s="1"/>
  <c r="I714" i="22"/>
  <c r="B715" i="22"/>
  <c r="E715" i="22"/>
  <c r="F715" i="22" s="1"/>
  <c r="I715" i="22"/>
  <c r="B716" i="22"/>
  <c r="E716" i="22"/>
  <c r="F716" i="22" s="1"/>
  <c r="I716" i="22"/>
  <c r="B717" i="22"/>
  <c r="E717" i="22"/>
  <c r="F717" i="22" s="1"/>
  <c r="I717" i="22"/>
  <c r="B718" i="22"/>
  <c r="E718" i="22"/>
  <c r="F718" i="22" s="1"/>
  <c r="I718" i="22"/>
  <c r="B719" i="22"/>
  <c r="E719" i="22"/>
  <c r="F719" i="22" s="1"/>
  <c r="I719" i="22"/>
  <c r="B720" i="22"/>
  <c r="E720" i="22"/>
  <c r="F720" i="22" s="1"/>
  <c r="I720" i="22"/>
  <c r="B721" i="22"/>
  <c r="E721" i="22"/>
  <c r="F721" i="22" s="1"/>
  <c r="I721" i="22"/>
  <c r="B722" i="22"/>
  <c r="E722" i="22"/>
  <c r="F722" i="22" s="1"/>
  <c r="I722" i="22"/>
  <c r="B723" i="22"/>
  <c r="E723" i="22"/>
  <c r="F723" i="22" s="1"/>
  <c r="I723" i="22"/>
  <c r="B724" i="22"/>
  <c r="E724" i="22"/>
  <c r="F724" i="22" s="1"/>
  <c r="I724" i="22"/>
  <c r="B725" i="22"/>
  <c r="E725" i="22"/>
  <c r="F725" i="22" s="1"/>
  <c r="I725" i="22"/>
  <c r="B726" i="22"/>
  <c r="E726" i="22"/>
  <c r="F726" i="22" s="1"/>
  <c r="I726" i="22"/>
  <c r="B727" i="22"/>
  <c r="E727" i="22"/>
  <c r="F727" i="22" s="1"/>
  <c r="I727" i="22"/>
  <c r="B728" i="22"/>
  <c r="E728" i="22"/>
  <c r="F728" i="22" s="1"/>
  <c r="I728" i="22"/>
  <c r="B729" i="22"/>
  <c r="E729" i="22"/>
  <c r="F729" i="22" s="1"/>
  <c r="I729" i="22"/>
  <c r="B730" i="22"/>
  <c r="E730" i="22"/>
  <c r="F730" i="22" s="1"/>
  <c r="I730" i="22"/>
  <c r="B731" i="22"/>
  <c r="E731" i="22"/>
  <c r="F731" i="22" s="1"/>
  <c r="I731" i="22"/>
  <c r="B732" i="22"/>
  <c r="E732" i="22"/>
  <c r="F732" i="22" s="1"/>
  <c r="I732" i="22"/>
  <c r="B733" i="22"/>
  <c r="E733" i="22"/>
  <c r="F733" i="22" s="1"/>
  <c r="I733" i="22"/>
  <c r="B734" i="22"/>
  <c r="E734" i="22"/>
  <c r="F734" i="22" s="1"/>
  <c r="I734" i="22"/>
  <c r="B735" i="22"/>
  <c r="E735" i="22"/>
  <c r="F735" i="22" s="1"/>
  <c r="I735" i="22"/>
  <c r="B736" i="22"/>
  <c r="E736" i="22"/>
  <c r="F736" i="22" s="1"/>
  <c r="I736" i="22"/>
  <c r="B737" i="22"/>
  <c r="E737" i="22"/>
  <c r="F737" i="22" s="1"/>
  <c r="B738" i="22"/>
  <c r="E738" i="22"/>
  <c r="F738" i="22" s="1"/>
  <c r="B739" i="22"/>
  <c r="E739" i="22"/>
  <c r="F739" i="22" s="1"/>
  <c r="I739" i="22"/>
  <c r="B740" i="22"/>
  <c r="E740" i="22"/>
  <c r="F740" i="22" s="1"/>
  <c r="I740" i="22"/>
  <c r="B741" i="22"/>
  <c r="E741" i="22"/>
  <c r="F741" i="22" s="1"/>
  <c r="B742" i="22"/>
  <c r="E742" i="22"/>
  <c r="F742" i="22" s="1"/>
  <c r="I742" i="22"/>
  <c r="B743" i="22"/>
  <c r="E743" i="22"/>
  <c r="F743" i="22" s="1"/>
  <c r="I743" i="22"/>
  <c r="B744" i="22"/>
  <c r="E744" i="22"/>
  <c r="F744" i="22" s="1"/>
  <c r="B745" i="22"/>
  <c r="E745" i="22"/>
  <c r="F745" i="22" s="1"/>
  <c r="I745" i="22"/>
  <c r="B746" i="22"/>
  <c r="E746" i="22"/>
  <c r="F746" i="22" s="1"/>
  <c r="I746" i="22"/>
  <c r="B747" i="22"/>
  <c r="E747" i="22"/>
  <c r="F747" i="22" s="1"/>
  <c r="I747" i="22"/>
  <c r="B748" i="22"/>
  <c r="E748" i="22"/>
  <c r="F748" i="22" s="1"/>
  <c r="I748" i="22"/>
  <c r="B749" i="22"/>
  <c r="E749" i="22"/>
  <c r="F749" i="22" s="1"/>
  <c r="I749" i="22"/>
  <c r="B750" i="22"/>
  <c r="E750" i="22"/>
  <c r="F750" i="22" s="1"/>
  <c r="I750" i="22"/>
  <c r="B751" i="22"/>
  <c r="E751" i="22"/>
  <c r="F751" i="22" s="1"/>
  <c r="B752" i="22"/>
  <c r="E752" i="22"/>
  <c r="F752" i="22" s="1"/>
  <c r="I752" i="22"/>
  <c r="B753" i="22"/>
  <c r="E753" i="22"/>
  <c r="F753" i="22" s="1"/>
  <c r="I753" i="22"/>
  <c r="B754" i="22"/>
  <c r="E754" i="22"/>
  <c r="F754" i="22" s="1"/>
  <c r="I754" i="22"/>
  <c r="B755" i="22"/>
  <c r="E755" i="22"/>
  <c r="F755" i="22" s="1"/>
  <c r="I755" i="22"/>
  <c r="B756" i="22"/>
  <c r="E756" i="22"/>
  <c r="F756" i="22" s="1"/>
  <c r="I756" i="22"/>
  <c r="B757" i="22"/>
  <c r="E757" i="22"/>
  <c r="F757" i="22" s="1"/>
  <c r="I757" i="22"/>
  <c r="B758" i="22"/>
  <c r="E758" i="22"/>
  <c r="F758" i="22" s="1"/>
  <c r="I758" i="22"/>
  <c r="B759" i="22"/>
  <c r="E759" i="22"/>
  <c r="F759" i="22" s="1"/>
  <c r="I759" i="22"/>
  <c r="B760" i="22"/>
  <c r="E760" i="22"/>
  <c r="F760" i="22" s="1"/>
  <c r="I760" i="22"/>
  <c r="B761" i="22"/>
  <c r="E761" i="22"/>
  <c r="F761" i="22" s="1"/>
  <c r="I761" i="22"/>
  <c r="B762" i="22"/>
  <c r="E762" i="22"/>
  <c r="F762" i="22" s="1"/>
  <c r="I762" i="22"/>
  <c r="B763" i="22"/>
  <c r="E763" i="22"/>
  <c r="F763" i="22" s="1"/>
  <c r="I763" i="22"/>
  <c r="B764" i="22"/>
  <c r="E764" i="22"/>
  <c r="F764" i="22" s="1"/>
  <c r="I764" i="22"/>
  <c r="B765" i="22"/>
  <c r="E765" i="22"/>
  <c r="F765" i="22" s="1"/>
  <c r="I765" i="22"/>
  <c r="B766" i="22"/>
  <c r="E766" i="22"/>
  <c r="F766" i="22" s="1"/>
  <c r="I766" i="22"/>
  <c r="B767" i="22"/>
  <c r="E767" i="22"/>
  <c r="F767" i="22" s="1"/>
  <c r="I767" i="22"/>
  <c r="B768" i="22"/>
  <c r="E768" i="22"/>
  <c r="F768" i="22" s="1"/>
  <c r="B769" i="22"/>
  <c r="E769" i="22"/>
  <c r="F769" i="22" s="1"/>
  <c r="I769" i="22"/>
  <c r="K61" i="18" s="1"/>
  <c r="F61" i="18" s="1"/>
  <c r="B770" i="22"/>
  <c r="E770" i="22"/>
  <c r="F770" i="22" s="1"/>
  <c r="I770" i="22"/>
  <c r="B771" i="22"/>
  <c r="E771" i="22"/>
  <c r="F771" i="22" s="1"/>
  <c r="I771" i="22"/>
  <c r="B772" i="22"/>
  <c r="E772" i="22"/>
  <c r="F772" i="22" s="1"/>
  <c r="I772" i="22"/>
  <c r="B773" i="22"/>
  <c r="E773" i="22"/>
  <c r="F773" i="22" s="1"/>
  <c r="I773" i="22"/>
  <c r="B774" i="22"/>
  <c r="E774" i="22"/>
  <c r="F774" i="22" s="1"/>
  <c r="I774" i="22"/>
  <c r="B775" i="22"/>
  <c r="E775" i="22"/>
  <c r="F775" i="22" s="1"/>
  <c r="B776" i="22"/>
  <c r="E776" i="22"/>
  <c r="F776" i="22" s="1"/>
  <c r="I776" i="22"/>
  <c r="B777" i="22"/>
  <c r="E777" i="22"/>
  <c r="F777" i="22" s="1"/>
  <c r="I777" i="22"/>
  <c r="B778" i="22"/>
  <c r="E778" i="22"/>
  <c r="F778" i="22" s="1"/>
  <c r="I778" i="22"/>
  <c r="B779" i="22"/>
  <c r="E779" i="22"/>
  <c r="F779" i="22" s="1"/>
  <c r="I779" i="22"/>
  <c r="B780" i="22"/>
  <c r="E780" i="22"/>
  <c r="F780" i="22" s="1"/>
  <c r="I780" i="22"/>
  <c r="B781" i="22"/>
  <c r="E781" i="22"/>
  <c r="F781" i="22" s="1"/>
  <c r="I781" i="22"/>
  <c r="B782" i="22"/>
  <c r="E782" i="22"/>
  <c r="F782" i="22" s="1"/>
  <c r="I782" i="22"/>
  <c r="B783" i="22"/>
  <c r="E783" i="22"/>
  <c r="F783" i="22" s="1"/>
  <c r="I783" i="22"/>
  <c r="B784" i="22"/>
  <c r="E784" i="22"/>
  <c r="F784" i="22" s="1"/>
  <c r="I784" i="22"/>
  <c r="B785" i="22"/>
  <c r="E785" i="22"/>
  <c r="F785" i="22" s="1"/>
  <c r="I785" i="22"/>
  <c r="B786" i="22"/>
  <c r="E786" i="22"/>
  <c r="F786" i="22" s="1"/>
  <c r="I786" i="22"/>
  <c r="B787" i="22"/>
  <c r="E787" i="22"/>
  <c r="F787" i="22" s="1"/>
  <c r="I787" i="22"/>
  <c r="B788" i="22"/>
  <c r="E788" i="22"/>
  <c r="F788" i="22" s="1"/>
  <c r="I788" i="22"/>
  <c r="B789" i="22"/>
  <c r="E789" i="22"/>
  <c r="F789" i="22" s="1"/>
  <c r="I789" i="22"/>
  <c r="B790" i="22"/>
  <c r="E790" i="22"/>
  <c r="F790" i="22" s="1"/>
  <c r="I790" i="22"/>
  <c r="B791" i="22"/>
  <c r="E791" i="22"/>
  <c r="F791" i="22" s="1"/>
  <c r="I791" i="22"/>
  <c r="B792" i="22"/>
  <c r="E792" i="22"/>
  <c r="F792" i="22" s="1"/>
  <c r="I792" i="22"/>
  <c r="B793" i="22"/>
  <c r="E793" i="22"/>
  <c r="F793" i="22" s="1"/>
  <c r="I793" i="22"/>
  <c r="B794" i="22"/>
  <c r="E794" i="22"/>
  <c r="F794" i="22" s="1"/>
  <c r="I794" i="22"/>
  <c r="B795" i="22"/>
  <c r="E795" i="22"/>
  <c r="F795" i="22" s="1"/>
  <c r="I795" i="22"/>
  <c r="B796" i="22"/>
  <c r="E796" i="22"/>
  <c r="F796" i="22" s="1"/>
  <c r="I796" i="22"/>
  <c r="B797" i="22"/>
  <c r="E797" i="22"/>
  <c r="F797" i="22" s="1"/>
  <c r="I797" i="22"/>
  <c r="B798" i="22"/>
  <c r="E798" i="22"/>
  <c r="F798" i="22" s="1"/>
  <c r="I798" i="22"/>
  <c r="B799" i="22"/>
  <c r="E799" i="22"/>
  <c r="F799" i="22" s="1"/>
  <c r="I799" i="22"/>
  <c r="B800" i="22"/>
  <c r="E800" i="22"/>
  <c r="F800" i="22" s="1"/>
  <c r="I800" i="22"/>
  <c r="B801" i="22"/>
  <c r="E801" i="22"/>
  <c r="F801" i="22" s="1"/>
  <c r="I801" i="22"/>
  <c r="B802" i="22"/>
  <c r="E802" i="22"/>
  <c r="F802" i="22" s="1"/>
  <c r="I802" i="22"/>
  <c r="B803" i="22"/>
  <c r="E803" i="22"/>
  <c r="F803" i="22" s="1"/>
  <c r="I803" i="22"/>
  <c r="B804" i="22"/>
  <c r="E804" i="22"/>
  <c r="F804" i="22" s="1"/>
  <c r="I804" i="22"/>
  <c r="B805" i="22"/>
  <c r="E805" i="22"/>
  <c r="F805" i="22" s="1"/>
  <c r="I805" i="22"/>
  <c r="B806" i="22"/>
  <c r="E806" i="22"/>
  <c r="F806" i="22" s="1"/>
  <c r="I806" i="22"/>
  <c r="B807" i="22"/>
  <c r="E807" i="22"/>
  <c r="F807" i="22" s="1"/>
  <c r="I807" i="22"/>
  <c r="B808" i="22"/>
  <c r="E808" i="22"/>
  <c r="F808" i="22" s="1"/>
  <c r="I808" i="22"/>
  <c r="B809" i="22"/>
  <c r="E809" i="22"/>
  <c r="F809" i="22" s="1"/>
  <c r="B810" i="22"/>
  <c r="E810" i="22"/>
  <c r="F810" i="22" s="1"/>
  <c r="I810" i="22"/>
  <c r="B811" i="22"/>
  <c r="E811" i="22"/>
  <c r="F811" i="22" s="1"/>
  <c r="I811" i="22"/>
  <c r="B812" i="22"/>
  <c r="E812" i="22"/>
  <c r="F812" i="22" s="1"/>
  <c r="I812" i="22"/>
  <c r="B813" i="22"/>
  <c r="E813" i="22"/>
  <c r="F813" i="22" s="1"/>
  <c r="I813" i="22"/>
  <c r="B814" i="22"/>
  <c r="E814" i="22"/>
  <c r="F814" i="22" s="1"/>
  <c r="I814" i="22"/>
  <c r="B815" i="22"/>
  <c r="E815" i="22"/>
  <c r="F815" i="22" s="1"/>
  <c r="I815" i="22"/>
  <c r="B816" i="22"/>
  <c r="E816" i="22"/>
  <c r="F816" i="22" s="1"/>
  <c r="B817" i="22"/>
  <c r="E817" i="22"/>
  <c r="F817" i="22" s="1"/>
  <c r="I817" i="22"/>
  <c r="B818" i="22"/>
  <c r="E818" i="22"/>
  <c r="F818" i="22" s="1"/>
  <c r="I818" i="22"/>
  <c r="B819" i="22"/>
  <c r="E819" i="22"/>
  <c r="F819" i="22" s="1"/>
  <c r="I819" i="22"/>
  <c r="K62" i="18" s="1"/>
  <c r="B820" i="22"/>
  <c r="E820" i="22"/>
  <c r="F820" i="22" s="1"/>
  <c r="I820" i="22"/>
  <c r="B821" i="22"/>
  <c r="E821" i="22"/>
  <c r="F821" i="22" s="1"/>
  <c r="I821" i="22"/>
  <c r="B822" i="22"/>
  <c r="E822" i="22"/>
  <c r="F822" i="22" s="1"/>
  <c r="B823" i="22"/>
  <c r="E823" i="22"/>
  <c r="F823" i="22" s="1"/>
  <c r="I823" i="22"/>
  <c r="B824" i="22"/>
  <c r="E824" i="22"/>
  <c r="F824" i="22" s="1"/>
  <c r="I824" i="22"/>
  <c r="B825" i="22"/>
  <c r="E825" i="22"/>
  <c r="F825" i="22" s="1"/>
  <c r="I825" i="22"/>
  <c r="B826" i="22"/>
  <c r="E826" i="22"/>
  <c r="F826" i="22" s="1"/>
  <c r="I826" i="22"/>
  <c r="B827" i="22"/>
  <c r="E827" i="22"/>
  <c r="F827" i="22" s="1"/>
  <c r="I827" i="22"/>
  <c r="B828" i="22"/>
  <c r="E828" i="22"/>
  <c r="F828" i="22" s="1"/>
  <c r="B829" i="22"/>
  <c r="E829" i="22"/>
  <c r="F829" i="22" s="1"/>
  <c r="B830" i="22"/>
  <c r="E830" i="22"/>
  <c r="F830" i="22" s="1"/>
  <c r="B831" i="22"/>
  <c r="E831" i="22"/>
  <c r="F831" i="22" s="1"/>
  <c r="B832" i="22"/>
  <c r="E832" i="22"/>
  <c r="F832" i="22" s="1"/>
  <c r="B833" i="22"/>
  <c r="E833" i="22"/>
  <c r="F833" i="22" s="1"/>
  <c r="I833" i="22"/>
  <c r="B834" i="22"/>
  <c r="E834" i="22"/>
  <c r="F834" i="22" s="1"/>
  <c r="I834" i="22"/>
  <c r="B835" i="22"/>
  <c r="E835" i="22"/>
  <c r="F835" i="22" s="1"/>
  <c r="I835" i="22"/>
  <c r="B836" i="22"/>
  <c r="E836" i="22"/>
  <c r="F836" i="22" s="1"/>
  <c r="I836" i="22"/>
  <c r="B837" i="22"/>
  <c r="E837" i="22"/>
  <c r="F837" i="22" s="1"/>
  <c r="I837" i="22"/>
  <c r="B838" i="22"/>
  <c r="E838" i="22"/>
  <c r="F838" i="22" s="1"/>
  <c r="I838" i="22"/>
  <c r="F62" i="18" l="1"/>
  <c r="E96" i="20" l="1"/>
  <c r="E94" i="20"/>
  <c r="C96" i="20"/>
  <c r="C95" i="20"/>
  <c r="C94" i="20"/>
  <c r="K3" i="64" l="1"/>
  <c r="K4" i="64"/>
  <c r="K5" i="64"/>
  <c r="K6" i="64"/>
  <c r="K7" i="64"/>
  <c r="K8" i="64"/>
  <c r="K9" i="64"/>
  <c r="K10" i="64"/>
  <c r="K11" i="64"/>
  <c r="K12" i="64"/>
  <c r="K13" i="64"/>
  <c r="K14" i="64"/>
  <c r="K15" i="64"/>
  <c r="K16" i="64"/>
  <c r="K17" i="64"/>
  <c r="K18" i="64"/>
  <c r="K19" i="64"/>
  <c r="K20" i="64"/>
  <c r="K21" i="64"/>
  <c r="K22" i="64"/>
  <c r="K23" i="64"/>
  <c r="K24" i="64"/>
  <c r="K25" i="64"/>
  <c r="K26" i="64"/>
  <c r="K27" i="64"/>
  <c r="K28" i="64"/>
  <c r="K29" i="64"/>
  <c r="K30" i="64"/>
  <c r="K31" i="64"/>
  <c r="K32" i="64"/>
  <c r="K33" i="64"/>
  <c r="K34" i="64"/>
  <c r="K35" i="64"/>
  <c r="K36" i="64"/>
  <c r="K37" i="64"/>
  <c r="K38" i="64"/>
  <c r="K39" i="64"/>
  <c r="K40" i="64"/>
  <c r="K41" i="64"/>
  <c r="K42" i="64"/>
  <c r="K43" i="64"/>
  <c r="K44" i="64"/>
  <c r="K45" i="64"/>
  <c r="K46" i="64"/>
  <c r="K47" i="64"/>
  <c r="K48" i="64"/>
  <c r="K49" i="64"/>
  <c r="K50" i="64"/>
  <c r="K51" i="64"/>
  <c r="K52" i="64"/>
  <c r="K53" i="64"/>
  <c r="K54" i="64"/>
  <c r="K55" i="64"/>
  <c r="K56" i="64"/>
  <c r="K57" i="64"/>
  <c r="K58" i="64"/>
  <c r="K59" i="64"/>
  <c r="K60" i="64"/>
  <c r="K61" i="64"/>
  <c r="K62" i="64"/>
  <c r="K63" i="64"/>
  <c r="K64" i="64"/>
  <c r="K65" i="64"/>
  <c r="K66" i="64"/>
  <c r="K67" i="64"/>
  <c r="K68" i="64"/>
  <c r="K69" i="64"/>
  <c r="K70" i="64"/>
  <c r="K71" i="64"/>
  <c r="K72" i="64"/>
  <c r="K73" i="64"/>
  <c r="K74" i="64"/>
  <c r="K75" i="64"/>
  <c r="K76" i="64"/>
  <c r="K77" i="64"/>
  <c r="K78" i="64"/>
  <c r="K79" i="64"/>
  <c r="K80" i="64"/>
  <c r="K81" i="64"/>
  <c r="K82" i="64"/>
  <c r="K83" i="64"/>
  <c r="K84" i="64"/>
  <c r="K85" i="64"/>
  <c r="K86" i="64"/>
  <c r="K87" i="64"/>
  <c r="K88" i="64"/>
  <c r="K89" i="64"/>
  <c r="K90" i="64"/>
  <c r="K91" i="64"/>
  <c r="K92" i="64"/>
  <c r="K93" i="64"/>
  <c r="K94" i="64"/>
  <c r="K95" i="64"/>
  <c r="K96" i="64"/>
  <c r="K97" i="64"/>
  <c r="K98" i="64"/>
  <c r="K99" i="64"/>
  <c r="K100" i="64"/>
  <c r="K101" i="64"/>
  <c r="K102" i="64"/>
  <c r="K103" i="64"/>
  <c r="K104" i="64"/>
  <c r="K105" i="64"/>
  <c r="K106" i="64"/>
  <c r="K107" i="64"/>
  <c r="K108" i="64"/>
  <c r="K109" i="64"/>
  <c r="K110" i="64"/>
  <c r="K111" i="64"/>
  <c r="K112" i="64"/>
  <c r="K113" i="64"/>
  <c r="K114" i="64"/>
  <c r="K115" i="64"/>
  <c r="K116" i="64"/>
  <c r="K117" i="64"/>
  <c r="K118" i="64"/>
  <c r="K119" i="64"/>
  <c r="K120" i="64"/>
  <c r="K121" i="64"/>
  <c r="K122" i="64"/>
  <c r="K123" i="64"/>
  <c r="K124" i="64"/>
  <c r="K125" i="64"/>
  <c r="K126" i="64"/>
  <c r="K127" i="64"/>
  <c r="K128" i="64"/>
  <c r="K129" i="64"/>
  <c r="K130" i="64"/>
  <c r="K131" i="64"/>
  <c r="K132" i="64"/>
  <c r="K133" i="64"/>
  <c r="K134" i="64"/>
  <c r="K135" i="64"/>
  <c r="K136" i="64"/>
  <c r="K137" i="64"/>
  <c r="K138" i="64"/>
  <c r="K139" i="64"/>
  <c r="K140" i="64"/>
  <c r="K141" i="64"/>
  <c r="K142" i="64"/>
  <c r="K143" i="64"/>
  <c r="K144" i="64"/>
  <c r="K145" i="64"/>
  <c r="K146" i="64"/>
  <c r="K147" i="64"/>
  <c r="K148" i="64"/>
  <c r="K149" i="64"/>
  <c r="K150" i="64"/>
  <c r="K151" i="64"/>
  <c r="K152" i="64"/>
  <c r="K153" i="64"/>
  <c r="K154" i="64"/>
  <c r="K155" i="64"/>
  <c r="K156" i="64"/>
  <c r="K157" i="64"/>
  <c r="K158" i="64"/>
  <c r="K2" i="64"/>
  <c r="J5" i="64"/>
  <c r="J7" i="64"/>
  <c r="J8" i="64"/>
  <c r="J9" i="64"/>
  <c r="J10" i="64"/>
  <c r="J11" i="64"/>
  <c r="J12" i="64"/>
  <c r="J13" i="64"/>
  <c r="J17" i="64"/>
  <c r="J18" i="64"/>
  <c r="J19" i="64"/>
  <c r="J20" i="64"/>
  <c r="J21" i="64"/>
  <c r="J22" i="64"/>
  <c r="J23" i="64"/>
  <c r="J24" i="64"/>
  <c r="J25" i="64"/>
  <c r="J26" i="64"/>
  <c r="J27" i="64"/>
  <c r="J30" i="64"/>
  <c r="J34" i="64"/>
  <c r="J37" i="64"/>
  <c r="J38" i="64"/>
  <c r="J39" i="64"/>
  <c r="J44" i="64"/>
  <c r="J46" i="64"/>
  <c r="J55" i="64"/>
  <c r="J56" i="64"/>
  <c r="J59" i="64"/>
  <c r="J62" i="64"/>
  <c r="J65" i="64"/>
  <c r="J69" i="64"/>
  <c r="J70" i="64"/>
  <c r="J73" i="64"/>
  <c r="J79" i="64"/>
  <c r="J81" i="64"/>
  <c r="J83" i="64"/>
  <c r="J86" i="64"/>
  <c r="J87" i="64"/>
  <c r="J88" i="64"/>
  <c r="J90" i="64"/>
  <c r="J92" i="64"/>
  <c r="J95" i="64"/>
  <c r="J97" i="64"/>
  <c r="J101" i="64"/>
  <c r="J102" i="64"/>
  <c r="J103" i="64"/>
  <c r="J119" i="64"/>
  <c r="J120" i="64"/>
  <c r="J121" i="64"/>
  <c r="J122" i="64"/>
  <c r="J123" i="64"/>
  <c r="J124" i="64"/>
  <c r="J125" i="64"/>
  <c r="J126" i="64"/>
  <c r="J127" i="64"/>
  <c r="J129" i="64"/>
  <c r="J132" i="64"/>
  <c r="J133" i="64"/>
  <c r="J135" i="64"/>
  <c r="J136" i="64"/>
  <c r="J142" i="64"/>
  <c r="J143" i="64"/>
  <c r="J144" i="64"/>
  <c r="J145" i="64"/>
  <c r="J146" i="64"/>
  <c r="J147" i="64"/>
  <c r="J148" i="64"/>
  <c r="J149" i="64"/>
  <c r="J150" i="64"/>
  <c r="J151" i="64"/>
  <c r="J152" i="64"/>
  <c r="J154" i="64"/>
  <c r="J155" i="64"/>
  <c r="J156" i="64"/>
  <c r="J157" i="64"/>
  <c r="J2" i="64"/>
  <c r="I5" i="64"/>
  <c r="I7" i="64"/>
  <c r="I8" i="64"/>
  <c r="I9" i="64"/>
  <c r="I10" i="64"/>
  <c r="I11" i="64"/>
  <c r="I12" i="64"/>
  <c r="I13" i="64"/>
  <c r="I17" i="64"/>
  <c r="I18" i="64"/>
  <c r="I19" i="64"/>
  <c r="I20" i="64"/>
  <c r="I21" i="64"/>
  <c r="I22" i="64"/>
  <c r="I23" i="64"/>
  <c r="I24" i="64"/>
  <c r="I25" i="64"/>
  <c r="I26" i="64"/>
  <c r="I27" i="64"/>
  <c r="I30" i="64"/>
  <c r="I34" i="64"/>
  <c r="I37" i="64"/>
  <c r="I38" i="64"/>
  <c r="I39" i="64"/>
  <c r="I44" i="64"/>
  <c r="I46" i="64"/>
  <c r="I55" i="64"/>
  <c r="I56" i="64"/>
  <c r="I59" i="64"/>
  <c r="I62" i="64"/>
  <c r="I65" i="64"/>
  <c r="I69" i="64"/>
  <c r="I70" i="64"/>
  <c r="I73" i="64"/>
  <c r="I79" i="64"/>
  <c r="I81" i="64"/>
  <c r="I83" i="64"/>
  <c r="I86" i="64"/>
  <c r="I87" i="64"/>
  <c r="I88" i="64"/>
  <c r="I90" i="64"/>
  <c r="I92" i="64"/>
  <c r="I95" i="64"/>
  <c r="I97" i="64"/>
  <c r="I101" i="64"/>
  <c r="I102" i="64"/>
  <c r="I103" i="64"/>
  <c r="I119" i="64"/>
  <c r="I120" i="64"/>
  <c r="I121" i="64"/>
  <c r="I122" i="64"/>
  <c r="I123" i="64"/>
  <c r="I124" i="64"/>
  <c r="I125" i="64"/>
  <c r="I126" i="64"/>
  <c r="I127" i="64"/>
  <c r="I129" i="64"/>
  <c r="I132" i="64"/>
  <c r="I133" i="64"/>
  <c r="I135" i="64"/>
  <c r="I136" i="64"/>
  <c r="I142" i="64"/>
  <c r="I143" i="64"/>
  <c r="I144" i="64"/>
  <c r="I145" i="64"/>
  <c r="I146" i="64"/>
  <c r="I147" i="64"/>
  <c r="I148" i="64"/>
  <c r="I149" i="64"/>
  <c r="I150" i="64"/>
  <c r="I151" i="64"/>
  <c r="I152" i="64"/>
  <c r="I154" i="64"/>
  <c r="I155" i="64"/>
  <c r="I156" i="64"/>
  <c r="I157" i="64"/>
  <c r="I2" i="64"/>
  <c r="H5" i="64" l="1"/>
  <c r="H7" i="64"/>
  <c r="H8" i="64"/>
  <c r="H9" i="64"/>
  <c r="H10" i="64"/>
  <c r="H11" i="64"/>
  <c r="H12" i="64"/>
  <c r="H13" i="64"/>
  <c r="H17" i="64"/>
  <c r="H18" i="64"/>
  <c r="H19" i="64"/>
  <c r="H20" i="64"/>
  <c r="H21" i="64"/>
  <c r="H22" i="64"/>
  <c r="H23" i="64"/>
  <c r="H24" i="64"/>
  <c r="H25" i="64"/>
  <c r="H26" i="64"/>
  <c r="H27" i="64"/>
  <c r="H30" i="64"/>
  <c r="H34" i="64"/>
  <c r="H37" i="64"/>
  <c r="H38" i="64"/>
  <c r="H39" i="64"/>
  <c r="H44" i="64"/>
  <c r="H46" i="64"/>
  <c r="H55" i="64"/>
  <c r="H56" i="64"/>
  <c r="H59" i="64"/>
  <c r="H62" i="64"/>
  <c r="H65" i="64"/>
  <c r="H69" i="64"/>
  <c r="H70" i="64"/>
  <c r="H73" i="64"/>
  <c r="H79" i="64"/>
  <c r="H81" i="64"/>
  <c r="H83" i="64"/>
  <c r="H86" i="64"/>
  <c r="H87" i="64"/>
  <c r="H88" i="64"/>
  <c r="H90" i="64"/>
  <c r="H92" i="64"/>
  <c r="H95" i="64"/>
  <c r="H97" i="64"/>
  <c r="H101" i="64"/>
  <c r="H102" i="64"/>
  <c r="H103" i="64"/>
  <c r="H119" i="64"/>
  <c r="H120" i="64"/>
  <c r="H121" i="64"/>
  <c r="H122" i="64"/>
  <c r="H123" i="64"/>
  <c r="H124" i="64"/>
  <c r="H125" i="64"/>
  <c r="H126" i="64"/>
  <c r="H127" i="64"/>
  <c r="H129" i="64"/>
  <c r="H132" i="64"/>
  <c r="H133" i="64"/>
  <c r="H135" i="64"/>
  <c r="H136" i="64"/>
  <c r="H142" i="64"/>
  <c r="H143" i="64"/>
  <c r="H144" i="64"/>
  <c r="H145" i="64"/>
  <c r="H146" i="64"/>
  <c r="H147" i="64"/>
  <c r="H148" i="64"/>
  <c r="H149" i="64"/>
  <c r="H150" i="64"/>
  <c r="H151" i="64"/>
  <c r="H152" i="64"/>
  <c r="H154" i="64"/>
  <c r="H155" i="64"/>
  <c r="H156" i="64"/>
  <c r="H157" i="64"/>
  <c r="H2" i="64"/>
  <c r="P685" i="22" l="1"/>
  <c r="O685" i="22"/>
  <c r="N685" i="22"/>
  <c r="M685" i="22"/>
  <c r="L685" i="22"/>
  <c r="K685" i="22"/>
  <c r="J685" i="22"/>
  <c r="F685" i="22"/>
  <c r="N670" i="22"/>
  <c r="M670" i="22"/>
  <c r="L670" i="22"/>
  <c r="K670" i="22"/>
  <c r="J670" i="22"/>
  <c r="D64" i="20" l="1"/>
  <c r="D278" i="34"/>
  <c r="H684" i="22"/>
  <c r="G684" i="22"/>
  <c r="F684" i="22"/>
  <c r="F278" i="34"/>
  <c r="W684" i="22"/>
  <c r="S684" i="22"/>
  <c r="R684" i="22"/>
  <c r="Q684" i="22"/>
  <c r="P684" i="22"/>
  <c r="O684" i="22"/>
  <c r="N684" i="22"/>
  <c r="M684" i="22"/>
  <c r="L684" i="22"/>
  <c r="K684" i="22"/>
  <c r="J684" i="22"/>
  <c r="B462" i="34"/>
  <c r="B463" i="34"/>
  <c r="B464" i="34"/>
  <c r="B465" i="34"/>
  <c r="B466" i="34"/>
  <c r="B467" i="34"/>
  <c r="B468" i="34"/>
  <c r="K36" i="18"/>
  <c r="D467" i="34" l="1"/>
  <c r="D463" i="34"/>
  <c r="D466" i="34"/>
  <c r="D462" i="34"/>
  <c r="D468" i="34"/>
  <c r="D464" i="34"/>
  <c r="D465" i="34"/>
  <c r="AF20" i="54"/>
  <c r="AF19" i="54"/>
  <c r="AF18" i="54"/>
  <c r="F23" i="40"/>
  <c r="AD21" i="54"/>
  <c r="AD20" i="54"/>
  <c r="AD19" i="54"/>
  <c r="AD18" i="54"/>
  <c r="F227" i="54"/>
  <c r="G227" i="54" s="1"/>
  <c r="F228" i="54"/>
  <c r="G228" i="54" s="1"/>
  <c r="F229" i="54"/>
  <c r="G229" i="54" s="1"/>
  <c r="F230" i="54"/>
  <c r="G230" i="54" s="1"/>
  <c r="F231" i="54"/>
  <c r="G231" i="54" s="1"/>
  <c r="F232" i="54"/>
  <c r="G232" i="54" s="1"/>
  <c r="F233" i="54"/>
  <c r="G233" i="54" s="1"/>
  <c r="F234" i="54"/>
  <c r="G234" i="54" s="1"/>
  <c r="F235" i="54"/>
  <c r="G235" i="54" s="1"/>
  <c r="F236" i="54"/>
  <c r="G236" i="54" s="1"/>
  <c r="F237" i="54"/>
  <c r="G237" i="54" s="1"/>
  <c r="F238" i="54"/>
  <c r="G238" i="54" s="1"/>
  <c r="F239" i="54"/>
  <c r="G239" i="54" s="1"/>
  <c r="F240" i="54"/>
  <c r="G240" i="54" s="1"/>
  <c r="F241" i="54"/>
  <c r="G241" i="54" s="1"/>
  <c r="F242" i="54"/>
  <c r="G242" i="54" s="1"/>
  <c r="F243" i="54"/>
  <c r="G243" i="54" s="1"/>
  <c r="F244" i="54"/>
  <c r="G244" i="54" s="1"/>
  <c r="F245" i="54"/>
  <c r="G245" i="54" s="1"/>
  <c r="F246" i="54"/>
  <c r="G246" i="54" s="1"/>
  <c r="F247" i="54"/>
  <c r="G247" i="54" s="1"/>
  <c r="F248" i="54"/>
  <c r="G248" i="54" s="1"/>
  <c r="F249" i="54"/>
  <c r="G249" i="54" s="1"/>
  <c r="F250" i="54"/>
  <c r="G250" i="54" s="1"/>
  <c r="F251" i="54"/>
  <c r="G251" i="54" s="1"/>
  <c r="F252" i="54"/>
  <c r="G252" i="54" s="1"/>
  <c r="F253" i="54"/>
  <c r="G253" i="54" s="1"/>
  <c r="F254" i="54"/>
  <c r="G254" i="54" s="1"/>
  <c r="F255" i="54"/>
  <c r="G255" i="54" s="1"/>
  <c r="F256" i="54"/>
  <c r="G256" i="54" s="1"/>
  <c r="F257" i="54"/>
  <c r="G257" i="54" s="1"/>
  <c r="F258" i="54"/>
  <c r="G258" i="54" s="1"/>
  <c r="F259" i="54"/>
  <c r="G259" i="54" s="1"/>
  <c r="F260" i="54"/>
  <c r="G260" i="54" s="1"/>
  <c r="F261" i="54"/>
  <c r="G261" i="54" s="1"/>
  <c r="F262" i="54"/>
  <c r="G262" i="54" s="1"/>
  <c r="F263" i="54"/>
  <c r="G263" i="54" s="1"/>
  <c r="F264" i="54"/>
  <c r="G264" i="54" s="1"/>
  <c r="F265" i="54"/>
  <c r="G265" i="54" s="1"/>
  <c r="F266" i="54"/>
  <c r="G266" i="54" s="1"/>
  <c r="F267" i="54"/>
  <c r="G267" i="54" s="1"/>
  <c r="F268" i="54"/>
  <c r="G268" i="54" s="1"/>
  <c r="F269" i="54"/>
  <c r="G269" i="54" s="1"/>
  <c r="F270" i="54"/>
  <c r="G270" i="54" s="1"/>
  <c r="F271" i="54"/>
  <c r="G271" i="54" s="1"/>
  <c r="F272" i="54"/>
  <c r="G272" i="54" s="1"/>
  <c r="F273" i="54"/>
  <c r="G273" i="54" s="1"/>
  <c r="F274" i="54"/>
  <c r="G274" i="54" s="1"/>
  <c r="F275" i="54"/>
  <c r="G275" i="54" s="1"/>
  <c r="F276" i="54"/>
  <c r="G276" i="54" s="1"/>
  <c r="F277" i="54"/>
  <c r="G277" i="54" s="1"/>
  <c r="F278" i="54"/>
  <c r="G278" i="54" s="1"/>
  <c r="F279" i="54"/>
  <c r="G279" i="54" s="1"/>
  <c r="F280" i="54"/>
  <c r="G280" i="54" s="1"/>
  <c r="F281" i="54"/>
  <c r="G281" i="54" s="1"/>
  <c r="F282" i="54"/>
  <c r="G282" i="54" s="1"/>
  <c r="F283" i="54"/>
  <c r="G283" i="54" s="1"/>
  <c r="F284" i="54"/>
  <c r="G284" i="54" s="1"/>
  <c r="F285" i="54"/>
  <c r="G285" i="54" s="1"/>
  <c r="F286" i="54"/>
  <c r="G286" i="54" s="1"/>
  <c r="F287" i="54"/>
  <c r="G287" i="54" s="1"/>
  <c r="F288" i="54"/>
  <c r="G288" i="54" s="1"/>
  <c r="F289" i="54"/>
  <c r="G289" i="54" s="1"/>
  <c r="F290" i="54"/>
  <c r="G290" i="54" s="1"/>
  <c r="F291" i="54"/>
  <c r="G291" i="54" s="1"/>
  <c r="F292" i="54"/>
  <c r="G292" i="54" s="1"/>
  <c r="F293" i="54"/>
  <c r="G293" i="54" s="1"/>
  <c r="F294" i="54"/>
  <c r="G294" i="54" s="1"/>
  <c r="F295" i="54"/>
  <c r="G295" i="54" s="1"/>
  <c r="F296" i="54"/>
  <c r="G296" i="54" s="1"/>
  <c r="F297" i="54"/>
  <c r="G297" i="54" s="1"/>
  <c r="F298" i="54"/>
  <c r="G298" i="54" s="1"/>
  <c r="F299" i="54"/>
  <c r="G299" i="54" s="1"/>
  <c r="F300" i="54"/>
  <c r="G300" i="54" s="1"/>
  <c r="F301" i="54"/>
  <c r="G301" i="54" s="1"/>
  <c r="F302" i="54"/>
  <c r="G302" i="54" s="1"/>
  <c r="F303" i="54"/>
  <c r="G303" i="54" s="1"/>
  <c r="F304" i="54"/>
  <c r="G304" i="54" s="1"/>
  <c r="F305" i="54"/>
  <c r="G305" i="54" s="1"/>
  <c r="F306" i="54"/>
  <c r="G306" i="54" s="1"/>
  <c r="F307" i="54"/>
  <c r="G307" i="54" s="1"/>
  <c r="F308" i="54"/>
  <c r="G308" i="54" s="1"/>
  <c r="F309" i="54"/>
  <c r="G309" i="54" s="1"/>
  <c r="F310" i="54"/>
  <c r="G310" i="54" s="1"/>
  <c r="F311" i="54"/>
  <c r="G311" i="54" s="1"/>
  <c r="F312" i="54"/>
  <c r="G312" i="54" s="1"/>
  <c r="F313" i="54"/>
  <c r="G313" i="54" s="1"/>
  <c r="F314" i="54"/>
  <c r="G314" i="54" s="1"/>
  <c r="F315" i="54"/>
  <c r="G315" i="54" s="1"/>
  <c r="F316" i="54"/>
  <c r="G316" i="54" s="1"/>
  <c r="F317" i="54"/>
  <c r="G317" i="54" s="1"/>
  <c r="F318" i="54"/>
  <c r="G318" i="54" s="1"/>
  <c r="F319" i="54"/>
  <c r="G319" i="54" s="1"/>
  <c r="F320" i="54"/>
  <c r="G320" i="54" s="1"/>
  <c r="F321" i="54"/>
  <c r="G321" i="54" s="1"/>
  <c r="F322" i="54"/>
  <c r="G322" i="54" s="1"/>
  <c r="F323" i="54"/>
  <c r="G323" i="54" s="1"/>
  <c r="F324" i="54"/>
  <c r="G324" i="54" s="1"/>
  <c r="F325" i="54"/>
  <c r="G325" i="54" s="1"/>
  <c r="F326" i="54"/>
  <c r="G326" i="54" s="1"/>
  <c r="F327" i="54"/>
  <c r="G327" i="54" s="1"/>
  <c r="F328" i="54"/>
  <c r="G328" i="54" s="1"/>
  <c r="F329" i="54"/>
  <c r="G329" i="54" s="1"/>
  <c r="F330" i="54"/>
  <c r="G330" i="54" s="1"/>
  <c r="F331" i="54"/>
  <c r="G331" i="54" s="1"/>
  <c r="F332" i="54"/>
  <c r="G332" i="54" s="1"/>
  <c r="F333" i="54"/>
  <c r="G333" i="54" s="1"/>
  <c r="F334" i="54"/>
  <c r="G334" i="54" s="1"/>
  <c r="F335" i="54"/>
  <c r="G335" i="54" s="1"/>
  <c r="F336" i="54"/>
  <c r="G336" i="54" s="1"/>
  <c r="F337" i="54"/>
  <c r="G337" i="54" s="1"/>
  <c r="F338" i="54"/>
  <c r="G338" i="54" s="1"/>
  <c r="F339" i="54"/>
  <c r="G339" i="54" s="1"/>
  <c r="F340" i="54"/>
  <c r="G340" i="54" s="1"/>
  <c r="F341" i="54"/>
  <c r="G341" i="54" s="1"/>
  <c r="F342" i="54"/>
  <c r="G342" i="54" s="1"/>
  <c r="F343" i="54"/>
  <c r="G343" i="54" s="1"/>
  <c r="F344" i="54"/>
  <c r="G344" i="54" s="1"/>
  <c r="F345" i="54"/>
  <c r="G345" i="54" s="1"/>
  <c r="F346" i="54"/>
  <c r="G346" i="54" s="1"/>
  <c r="F347" i="54"/>
  <c r="G347" i="54" s="1"/>
  <c r="F348" i="54"/>
  <c r="G348" i="54" s="1"/>
  <c r="F349" i="54"/>
  <c r="G349" i="54" s="1"/>
  <c r="F350" i="54"/>
  <c r="G350" i="54" s="1"/>
  <c r="F351" i="54"/>
  <c r="G351" i="54" s="1"/>
  <c r="F352" i="54"/>
  <c r="G352" i="54" s="1"/>
  <c r="F353" i="54"/>
  <c r="G353" i="54" s="1"/>
  <c r="F354" i="54"/>
  <c r="G354" i="54" s="1"/>
  <c r="F355" i="54"/>
  <c r="G355" i="54" s="1"/>
  <c r="F356" i="54"/>
  <c r="G356" i="54" s="1"/>
  <c r="F357" i="54"/>
  <c r="G357" i="54" s="1"/>
  <c r="F358" i="54"/>
  <c r="G358" i="54" s="1"/>
  <c r="F359" i="54"/>
  <c r="G359" i="54" s="1"/>
  <c r="F360" i="54"/>
  <c r="G360" i="54" s="1"/>
  <c r="F361" i="54"/>
  <c r="G361" i="54" s="1"/>
  <c r="F362" i="54"/>
  <c r="G362" i="54" s="1"/>
  <c r="F363" i="54"/>
  <c r="G363" i="54" s="1"/>
  <c r="F364" i="54"/>
  <c r="G364" i="54" s="1"/>
  <c r="F365" i="54"/>
  <c r="G365" i="54" s="1"/>
  <c r="F366" i="54"/>
  <c r="G366" i="54" s="1"/>
  <c r="F367" i="54"/>
  <c r="G367" i="54" s="1"/>
  <c r="F368" i="54"/>
  <c r="G368" i="54" s="1"/>
  <c r="F369" i="54"/>
  <c r="G369" i="54" s="1"/>
  <c r="F370" i="54"/>
  <c r="G370" i="54" s="1"/>
  <c r="F371" i="54"/>
  <c r="G371" i="54" s="1"/>
  <c r="F372" i="54"/>
  <c r="G372" i="54" s="1"/>
  <c r="F373" i="54"/>
  <c r="G373" i="54" s="1"/>
  <c r="F374" i="54"/>
  <c r="G374" i="54" s="1"/>
  <c r="F375" i="54"/>
  <c r="G375" i="54" s="1"/>
  <c r="F376" i="54"/>
  <c r="G376" i="54" s="1"/>
  <c r="F377" i="54"/>
  <c r="G377" i="54" s="1"/>
  <c r="F378" i="54"/>
  <c r="G378" i="54" s="1"/>
  <c r="F379" i="54"/>
  <c r="G379" i="54" s="1"/>
  <c r="F380" i="54"/>
  <c r="G380" i="54" s="1"/>
  <c r="F381" i="54"/>
  <c r="G381" i="54" s="1"/>
  <c r="F382" i="54"/>
  <c r="G382" i="54" s="1"/>
  <c r="F383" i="54"/>
  <c r="G383" i="54" s="1"/>
  <c r="F384" i="54"/>
  <c r="G384" i="54" s="1"/>
  <c r="F385" i="54"/>
  <c r="G385" i="54" s="1"/>
  <c r="F386" i="54"/>
  <c r="G386" i="54" s="1"/>
  <c r="F387" i="54"/>
  <c r="G387" i="54" s="1"/>
  <c r="F388" i="54"/>
  <c r="G388" i="54" s="1"/>
  <c r="F389" i="54"/>
  <c r="G389" i="54" s="1"/>
  <c r="F390" i="54"/>
  <c r="G390" i="54" s="1"/>
  <c r="F391" i="54"/>
  <c r="G391" i="54" s="1"/>
  <c r="F392" i="54"/>
  <c r="G392" i="54" s="1"/>
  <c r="F393" i="54"/>
  <c r="G393" i="54" s="1"/>
  <c r="F394" i="54"/>
  <c r="G394" i="54" s="1"/>
  <c r="F395" i="54"/>
  <c r="G395" i="54" s="1"/>
  <c r="F396" i="54"/>
  <c r="G396" i="54" s="1"/>
  <c r="F397" i="54"/>
  <c r="G397" i="54" s="1"/>
  <c r="F398" i="54"/>
  <c r="G398" i="54" s="1"/>
  <c r="F399" i="54"/>
  <c r="G399" i="54" s="1"/>
  <c r="F400" i="54"/>
  <c r="G400" i="54" s="1"/>
  <c r="F401" i="54"/>
  <c r="G401" i="54" s="1"/>
  <c r="F402" i="54"/>
  <c r="G402" i="54" s="1"/>
  <c r="F403" i="54"/>
  <c r="G403" i="54" s="1"/>
  <c r="F404" i="54"/>
  <c r="G404" i="54" s="1"/>
  <c r="F405" i="54"/>
  <c r="G405" i="54" s="1"/>
  <c r="F406" i="54"/>
  <c r="G406" i="54" s="1"/>
  <c r="F407" i="54"/>
  <c r="G407" i="54" s="1"/>
  <c r="F408" i="54"/>
  <c r="G408" i="54" s="1"/>
  <c r="F409" i="54"/>
  <c r="G409" i="54" s="1"/>
  <c r="F410" i="54"/>
  <c r="G410" i="54" s="1"/>
  <c r="F411" i="54"/>
  <c r="G411" i="54" s="1"/>
  <c r="F412" i="54"/>
  <c r="G412" i="54" s="1"/>
  <c r="F413" i="54"/>
  <c r="G413" i="54" s="1"/>
  <c r="F414" i="54"/>
  <c r="G414" i="54" s="1"/>
  <c r="F415" i="54"/>
  <c r="G415" i="54" s="1"/>
  <c r="F416" i="54"/>
  <c r="G416" i="54" s="1"/>
  <c r="F417" i="54"/>
  <c r="G417" i="54" s="1"/>
  <c r="F418" i="54"/>
  <c r="G418" i="54" s="1"/>
  <c r="F419" i="54"/>
  <c r="G419" i="54" s="1"/>
  <c r="F420" i="54"/>
  <c r="G420" i="54" s="1"/>
  <c r="F421" i="54"/>
  <c r="G421" i="54" s="1"/>
  <c r="F422" i="54"/>
  <c r="G422" i="54" s="1"/>
  <c r="F423" i="54"/>
  <c r="G423" i="54" s="1"/>
  <c r="F424" i="54"/>
  <c r="G424" i="54" s="1"/>
  <c r="F425" i="54"/>
  <c r="G425" i="54" s="1"/>
  <c r="F426" i="54"/>
  <c r="G426" i="54" s="1"/>
  <c r="F427" i="54"/>
  <c r="G427" i="54" s="1"/>
  <c r="F428" i="54"/>
  <c r="G428" i="54" s="1"/>
  <c r="F429" i="54"/>
  <c r="G429" i="54" s="1"/>
  <c r="F430" i="54"/>
  <c r="G430" i="54" s="1"/>
  <c r="F431" i="54"/>
  <c r="G431" i="54" s="1"/>
  <c r="F432" i="54"/>
  <c r="G432" i="54" s="1"/>
  <c r="F433" i="54"/>
  <c r="G433" i="54" s="1"/>
  <c r="F434" i="54"/>
  <c r="G434" i="54" s="1"/>
  <c r="F435" i="54"/>
  <c r="G435" i="54" s="1"/>
  <c r="F436" i="54"/>
  <c r="G436" i="54" s="1"/>
  <c r="F437" i="54"/>
  <c r="G437" i="54" s="1"/>
  <c r="F438" i="54"/>
  <c r="G438" i="54" s="1"/>
  <c r="F439" i="54"/>
  <c r="G439" i="54" s="1"/>
  <c r="F440" i="54"/>
  <c r="G440" i="54" s="1"/>
  <c r="F441" i="54"/>
  <c r="G441" i="54" s="1"/>
  <c r="F442" i="54"/>
  <c r="G442" i="54" s="1"/>
  <c r="F443" i="54"/>
  <c r="G443" i="54" s="1"/>
  <c r="F444" i="54"/>
  <c r="G444" i="54" s="1"/>
  <c r="F445" i="54"/>
  <c r="G445" i="54" s="1"/>
  <c r="F446" i="54"/>
  <c r="G446" i="54" s="1"/>
  <c r="F447" i="54"/>
  <c r="G447" i="54" s="1"/>
  <c r="F448" i="54"/>
  <c r="G448" i="54" s="1"/>
  <c r="F449" i="54"/>
  <c r="G449" i="54" s="1"/>
  <c r="F450" i="54"/>
  <c r="G450" i="54" s="1"/>
  <c r="F451" i="54"/>
  <c r="G451" i="54" s="1"/>
  <c r="F452" i="54"/>
  <c r="G452" i="54" s="1"/>
  <c r="F453" i="54"/>
  <c r="G453" i="54" s="1"/>
  <c r="F454" i="54"/>
  <c r="G454" i="54" s="1"/>
  <c r="F455" i="54"/>
  <c r="G455" i="54" s="1"/>
  <c r="F456" i="54"/>
  <c r="G456" i="54" s="1"/>
  <c r="F457" i="54"/>
  <c r="G457" i="54" s="1"/>
  <c r="F458" i="54"/>
  <c r="G458" i="54" s="1"/>
  <c r="F459" i="54"/>
  <c r="G459" i="54" s="1"/>
  <c r="F460" i="54"/>
  <c r="G460" i="54" s="1"/>
  <c r="F461" i="54"/>
  <c r="G461" i="54" s="1"/>
  <c r="F462" i="54"/>
  <c r="G462" i="54" s="1"/>
  <c r="F463" i="54"/>
  <c r="G463" i="54" s="1"/>
  <c r="F464" i="54"/>
  <c r="G464" i="54" s="1"/>
  <c r="F465" i="54"/>
  <c r="G465" i="54" s="1"/>
  <c r="F466" i="54"/>
  <c r="G466" i="54" s="1"/>
  <c r="F467" i="54"/>
  <c r="G467" i="54" s="1"/>
  <c r="F468" i="54"/>
  <c r="G468" i="54" s="1"/>
  <c r="F469" i="54"/>
  <c r="G469" i="54" s="1"/>
  <c r="F470" i="54"/>
  <c r="G470" i="54" s="1"/>
  <c r="F471" i="54"/>
  <c r="G471" i="54" s="1"/>
  <c r="F472" i="54"/>
  <c r="G472" i="54" s="1"/>
  <c r="F473" i="54"/>
  <c r="G473" i="54" s="1"/>
  <c r="F474" i="54"/>
  <c r="G474" i="54" s="1"/>
  <c r="F475" i="54"/>
  <c r="G475" i="54" s="1"/>
  <c r="F476" i="54"/>
  <c r="G476" i="54" s="1"/>
  <c r="F477" i="54"/>
  <c r="G477" i="54" s="1"/>
  <c r="F478" i="54"/>
  <c r="G478" i="54" s="1"/>
  <c r="F479" i="54"/>
  <c r="G479" i="54" s="1"/>
  <c r="F480" i="54"/>
  <c r="G480" i="54" s="1"/>
  <c r="F481" i="54"/>
  <c r="G481" i="54" s="1"/>
  <c r="F482" i="54"/>
  <c r="G482" i="54" s="1"/>
  <c r="F483" i="54"/>
  <c r="G483" i="54" s="1"/>
  <c r="F484" i="54"/>
  <c r="G484" i="54" s="1"/>
  <c r="F485" i="54"/>
  <c r="G485" i="54" s="1"/>
  <c r="F486" i="54"/>
  <c r="G486" i="54" s="1"/>
  <c r="F487" i="54"/>
  <c r="G487" i="54" s="1"/>
  <c r="F488" i="54"/>
  <c r="G488" i="54" s="1"/>
  <c r="F489" i="54"/>
  <c r="G489" i="54" s="1"/>
  <c r="F490" i="54"/>
  <c r="G490" i="54" s="1"/>
  <c r="F491" i="54"/>
  <c r="G491" i="54" s="1"/>
  <c r="F492" i="54"/>
  <c r="G492" i="54" s="1"/>
  <c r="F493" i="54"/>
  <c r="G493" i="54" s="1"/>
  <c r="F494" i="54"/>
  <c r="G494" i="54" s="1"/>
  <c r="F495" i="54"/>
  <c r="G495" i="54" s="1"/>
  <c r="F496" i="54"/>
  <c r="G496" i="54" s="1"/>
  <c r="F497" i="54"/>
  <c r="G497" i="54" s="1"/>
  <c r="F498" i="54"/>
  <c r="G498" i="54" s="1"/>
  <c r="F499" i="54"/>
  <c r="G499" i="54" s="1"/>
  <c r="F500" i="54"/>
  <c r="G500" i="54" s="1"/>
  <c r="F501" i="54"/>
  <c r="G501" i="54" s="1"/>
  <c r="F502" i="54"/>
  <c r="G502" i="54" s="1"/>
  <c r="F503" i="54"/>
  <c r="G503" i="54" s="1"/>
  <c r="F504" i="54"/>
  <c r="G504" i="54" s="1"/>
  <c r="F505" i="54"/>
  <c r="G505" i="54" s="1"/>
  <c r="F506" i="54"/>
  <c r="G506" i="54" s="1"/>
  <c r="F507" i="54"/>
  <c r="G507" i="54" s="1"/>
  <c r="F508" i="54"/>
  <c r="G508" i="54" s="1"/>
  <c r="F509" i="54"/>
  <c r="G509" i="54" s="1"/>
  <c r="Y18" i="54"/>
  <c r="Y19" i="54"/>
  <c r="Y20" i="54"/>
  <c r="Y21" i="54"/>
  <c r="Y22" i="54"/>
  <c r="Y23" i="54"/>
  <c r="Y24" i="54"/>
  <c r="Y25" i="54"/>
  <c r="Y26" i="54"/>
  <c r="Y27" i="54"/>
  <c r="Y28" i="54"/>
  <c r="Y29" i="54"/>
  <c r="Y30" i="54"/>
  <c r="Y31" i="54"/>
  <c r="Y32" i="54"/>
  <c r="Y33" i="54"/>
  <c r="Y34" i="54"/>
  <c r="Y35" i="54"/>
  <c r="Y36" i="54"/>
  <c r="Y37" i="54"/>
  <c r="Y38" i="54"/>
  <c r="Y39" i="54"/>
  <c r="Y40" i="54"/>
  <c r="Y41" i="54"/>
  <c r="Y42" i="54"/>
  <c r="Y43" i="54"/>
  <c r="Y44" i="54"/>
  <c r="Y45" i="54"/>
  <c r="Y46" i="54"/>
  <c r="Y47" i="54"/>
  <c r="Y48" i="54"/>
  <c r="Y49" i="54"/>
  <c r="Y50" i="54"/>
  <c r="Y51" i="54"/>
  <c r="Y52" i="54"/>
  <c r="Y53" i="54"/>
  <c r="Y54" i="54"/>
  <c r="Y55" i="54"/>
  <c r="Y56" i="54"/>
  <c r="Y57" i="54"/>
  <c r="Y58" i="54"/>
  <c r="Y59" i="54"/>
  <c r="Y60" i="54"/>
  <c r="Y61" i="54"/>
  <c r="Y62" i="54"/>
  <c r="Y63" i="54"/>
  <c r="Y64" i="54"/>
  <c r="Y65" i="54"/>
  <c r="Y66" i="54"/>
  <c r="Y67" i="54"/>
  <c r="Y68" i="54"/>
  <c r="Y69" i="54"/>
  <c r="Y70" i="54"/>
  <c r="Y71" i="54"/>
  <c r="Y72" i="54"/>
  <c r="Y73" i="54"/>
  <c r="Y74" i="54"/>
  <c r="Y75" i="54"/>
  <c r="Y76" i="54"/>
  <c r="Y77" i="54"/>
  <c r="Y78" i="54"/>
  <c r="Y79" i="54"/>
  <c r="Y80" i="54"/>
  <c r="Y81" i="54"/>
  <c r="Y82" i="54"/>
  <c r="Y83" i="54"/>
  <c r="Y84" i="54"/>
  <c r="Y85" i="54"/>
  <c r="Y86" i="54"/>
  <c r="Y87" i="54"/>
  <c r="Y88" i="54"/>
  <c r="Y89" i="54"/>
  <c r="Y90" i="54"/>
  <c r="Y91" i="54"/>
  <c r="Y92" i="54"/>
  <c r="Y93" i="54"/>
  <c r="Y94" i="54"/>
  <c r="Y95" i="54"/>
  <c r="Y96" i="54"/>
  <c r="Y97" i="54"/>
  <c r="Y98" i="54"/>
  <c r="Y99" i="54"/>
  <c r="Y100" i="54"/>
  <c r="Y101" i="54"/>
  <c r="Y102" i="54"/>
  <c r="Y103" i="54"/>
  <c r="Y104" i="54"/>
  <c r="Y105" i="54"/>
  <c r="Y106" i="54"/>
  <c r="Y107" i="54"/>
  <c r="Y108" i="54"/>
  <c r="Y109" i="54"/>
  <c r="Y110" i="54"/>
  <c r="Y111" i="54"/>
  <c r="Y112" i="54"/>
  <c r="Y113" i="54"/>
  <c r="Y114" i="54"/>
  <c r="Y115" i="54"/>
  <c r="Y116" i="54"/>
  <c r="Y117" i="54"/>
  <c r="Y118" i="54"/>
  <c r="Y119" i="54"/>
  <c r="Y120" i="54"/>
  <c r="Y121" i="54"/>
  <c r="Y122" i="54"/>
  <c r="Y123" i="54"/>
  <c r="Y124" i="54"/>
  <c r="Y125" i="54"/>
  <c r="Y126" i="54"/>
  <c r="Y127" i="54"/>
  <c r="Y128" i="54"/>
  <c r="Y129" i="54"/>
  <c r="Y130" i="54"/>
  <c r="Y131" i="54"/>
  <c r="Y132" i="54"/>
  <c r="Y133" i="54"/>
  <c r="Y134" i="54"/>
  <c r="Y135" i="54"/>
  <c r="Y136" i="54"/>
  <c r="Y137" i="54"/>
  <c r="Y138" i="54"/>
  <c r="Y139" i="54"/>
  <c r="Y140" i="54"/>
  <c r="Y141" i="54"/>
  <c r="Y142" i="54"/>
  <c r="Y143" i="54"/>
  <c r="Y144" i="54"/>
  <c r="Y145" i="54"/>
  <c r="Y146" i="54"/>
  <c r="Y147" i="54"/>
  <c r="Y148" i="54"/>
  <c r="Y149" i="54"/>
  <c r="Y150" i="54"/>
  <c r="Y151" i="54"/>
  <c r="Y152" i="54"/>
  <c r="Y153" i="54"/>
  <c r="Y154" i="54"/>
  <c r="Y155" i="54"/>
  <c r="Y156" i="54"/>
  <c r="Y157" i="54"/>
  <c r="Y158" i="54"/>
  <c r="Y159" i="54"/>
  <c r="Y160" i="54"/>
  <c r="Y161" i="54"/>
  <c r="Y162" i="54"/>
  <c r="Y163" i="54"/>
  <c r="Y164" i="54"/>
  <c r="Y165" i="54"/>
  <c r="Y166" i="54"/>
  <c r="Y167" i="54"/>
  <c r="Y168" i="54"/>
  <c r="Y169" i="54"/>
  <c r="Y170" i="54"/>
  <c r="Y171" i="54"/>
  <c r="Y172" i="54"/>
  <c r="Y173" i="54"/>
  <c r="Y174" i="54"/>
  <c r="Y175" i="54"/>
  <c r="Y176" i="54"/>
  <c r="Y177" i="54"/>
  <c r="Y178" i="54"/>
  <c r="Y179" i="54"/>
  <c r="Y180" i="54"/>
  <c r="Y181" i="54"/>
  <c r="Y182" i="54"/>
  <c r="Y183" i="54"/>
  <c r="Y184" i="54"/>
  <c r="Y185" i="54"/>
  <c r="Y186" i="54"/>
  <c r="Y187" i="54"/>
  <c r="Y188" i="54"/>
  <c r="Y189" i="54"/>
  <c r="Y190" i="54"/>
  <c r="Y191" i="54"/>
  <c r="Y192" i="54"/>
  <c r="Y193" i="54"/>
  <c r="Y194" i="54"/>
  <c r="Y195" i="54"/>
  <c r="Y196" i="54"/>
  <c r="Y197" i="54"/>
  <c r="Y198" i="54"/>
  <c r="Y199" i="54"/>
  <c r="Y200" i="54"/>
  <c r="Y201" i="54"/>
  <c r="Y202" i="54"/>
  <c r="Y203" i="54"/>
  <c r="Y204" i="54"/>
  <c r="Y205" i="54"/>
  <c r="Y206" i="54"/>
  <c r="Y207" i="54"/>
  <c r="Y208" i="54"/>
  <c r="Y209" i="54"/>
  <c r="Y210" i="54"/>
  <c r="Y211" i="54"/>
  <c r="Y212" i="54"/>
  <c r="Y213" i="54"/>
  <c r="Y214" i="54"/>
  <c r="Y215" i="54"/>
  <c r="Y216" i="54"/>
  <c r="Y217" i="54"/>
  <c r="Y218" i="54"/>
  <c r="Y219" i="54"/>
  <c r="Y220" i="54"/>
  <c r="Y221" i="54"/>
  <c r="Y222" i="54"/>
  <c r="Y223" i="54"/>
  <c r="Y224" i="54"/>
  <c r="Y225" i="54"/>
  <c r="Y226" i="54"/>
  <c r="Y227" i="54"/>
  <c r="Y228" i="54"/>
  <c r="Y229" i="54"/>
  <c r="Y230" i="54"/>
  <c r="Y231" i="54"/>
  <c r="Y232" i="54"/>
  <c r="Y233" i="54"/>
  <c r="Y234" i="54"/>
  <c r="Y235" i="54"/>
  <c r="Y236" i="54"/>
  <c r="Y237" i="54"/>
  <c r="Y238" i="54"/>
  <c r="Y239" i="54"/>
  <c r="Y240" i="54"/>
  <c r="Y241" i="54"/>
  <c r="Y242" i="54"/>
  <c r="Y243" i="54"/>
  <c r="Y244" i="54"/>
  <c r="Y245" i="54"/>
  <c r="Y246" i="54"/>
  <c r="Y247" i="54"/>
  <c r="Y248" i="54"/>
  <c r="Y249" i="54"/>
  <c r="Y250" i="54"/>
  <c r="Y251" i="54"/>
  <c r="Y252" i="54"/>
  <c r="Y253" i="54"/>
  <c r="Y254" i="54"/>
  <c r="Y255" i="54"/>
  <c r="Y256" i="54"/>
  <c r="Y257" i="54"/>
  <c r="Y258" i="54"/>
  <c r="Y259" i="54"/>
  <c r="Y260" i="54"/>
  <c r="Y261" i="54"/>
  <c r="Y262" i="54"/>
  <c r="Y263" i="54"/>
  <c r="Y264" i="54"/>
  <c r="Y265" i="54"/>
  <c r="Y266" i="54"/>
  <c r="Y267" i="54"/>
  <c r="Y268" i="54"/>
  <c r="Y269" i="54"/>
  <c r="Y270" i="54"/>
  <c r="Y271" i="54"/>
  <c r="Y272" i="54"/>
  <c r="Y273" i="54"/>
  <c r="Y274" i="54"/>
  <c r="Y275" i="54"/>
  <c r="Y276" i="54"/>
  <c r="Y277" i="54"/>
  <c r="Y278" i="54"/>
  <c r="Y279" i="54"/>
  <c r="Y280" i="54"/>
  <c r="Y281" i="54"/>
  <c r="Y282" i="54"/>
  <c r="Y283" i="54"/>
  <c r="Y284" i="54"/>
  <c r="Y285" i="54"/>
  <c r="Y286" i="54"/>
  <c r="Y287" i="54"/>
  <c r="Y288" i="54"/>
  <c r="Y289" i="54"/>
  <c r="Y290" i="54"/>
  <c r="Y291" i="54"/>
  <c r="Y292" i="54"/>
  <c r="Y293" i="54"/>
  <c r="Y294" i="54"/>
  <c r="Y295" i="54"/>
  <c r="Y296" i="54"/>
  <c r="Y297" i="54"/>
  <c r="Y298" i="54"/>
  <c r="Y299" i="54"/>
  <c r="Y300" i="54"/>
  <c r="Y301" i="54"/>
  <c r="Y302" i="54"/>
  <c r="Y303" i="54"/>
  <c r="Y304" i="54"/>
  <c r="Y305" i="54"/>
  <c r="Y306" i="54"/>
  <c r="Y307" i="54"/>
  <c r="Y308" i="54"/>
  <c r="Y309" i="54"/>
  <c r="Y310" i="54"/>
  <c r="Y311" i="54"/>
  <c r="Y312" i="54"/>
  <c r="Y313" i="54"/>
  <c r="Y314" i="54"/>
  <c r="Y315" i="54"/>
  <c r="Y316" i="54"/>
  <c r="Y317" i="54"/>
  <c r="Y318" i="54"/>
  <c r="Y319" i="54"/>
  <c r="Y320" i="54"/>
  <c r="Y321" i="54"/>
  <c r="Y322" i="54"/>
  <c r="Y323" i="54"/>
  <c r="Y324" i="54"/>
  <c r="Y325" i="54"/>
  <c r="Y326" i="54"/>
  <c r="Y327" i="54"/>
  <c r="Y328" i="54"/>
  <c r="Y329" i="54"/>
  <c r="Y330" i="54"/>
  <c r="Y331" i="54"/>
  <c r="Y332" i="54"/>
  <c r="Y333" i="54"/>
  <c r="Y334" i="54"/>
  <c r="Y335" i="54"/>
  <c r="Y336" i="54"/>
  <c r="Y337" i="54"/>
  <c r="Y338" i="54"/>
  <c r="Y339" i="54"/>
  <c r="Y340" i="54"/>
  <c r="Y341" i="54"/>
  <c r="Y342" i="54"/>
  <c r="Y343" i="54"/>
  <c r="Y344" i="54"/>
  <c r="Y345" i="54"/>
  <c r="Y346" i="54"/>
  <c r="Y347" i="54"/>
  <c r="Y348" i="54"/>
  <c r="Y349" i="54"/>
  <c r="Y350" i="54"/>
  <c r="Y351" i="54"/>
  <c r="Y352" i="54"/>
  <c r="Y353" i="54"/>
  <c r="Y354" i="54"/>
  <c r="Y355" i="54"/>
  <c r="Y356" i="54"/>
  <c r="Y357" i="54"/>
  <c r="Y358" i="54"/>
  <c r="Y359" i="54"/>
  <c r="Y360" i="54"/>
  <c r="Y361" i="54"/>
  <c r="Y362" i="54"/>
  <c r="Y363" i="54"/>
  <c r="Y364" i="54"/>
  <c r="Y365" i="54"/>
  <c r="Y366" i="54"/>
  <c r="Y367" i="54"/>
  <c r="Y368" i="54"/>
  <c r="Y369" i="54"/>
  <c r="Y370" i="54"/>
  <c r="Y371" i="54"/>
  <c r="Y372" i="54"/>
  <c r="Y373" i="54"/>
  <c r="Y374" i="54"/>
  <c r="Y375" i="54"/>
  <c r="Y376" i="54"/>
  <c r="Y377" i="54"/>
  <c r="Y378" i="54"/>
  <c r="Y379" i="54"/>
  <c r="Y380" i="54"/>
  <c r="Y381" i="54"/>
  <c r="Y382" i="54"/>
  <c r="Y383" i="54"/>
  <c r="Y384" i="54"/>
  <c r="Y385" i="54"/>
  <c r="Y386" i="54"/>
  <c r="Y387" i="54"/>
  <c r="Y388" i="54"/>
  <c r="Y389" i="54"/>
  <c r="Y390" i="54"/>
  <c r="Y391" i="54"/>
  <c r="Y392" i="54"/>
  <c r="Y393" i="54"/>
  <c r="Y394" i="54"/>
  <c r="Y395" i="54"/>
  <c r="Y396" i="54"/>
  <c r="Y397" i="54"/>
  <c r="Y398" i="54"/>
  <c r="Y399" i="54"/>
  <c r="Y400" i="54"/>
  <c r="Y401" i="54"/>
  <c r="Y402" i="54"/>
  <c r="Y403" i="54"/>
  <c r="Y404" i="54"/>
  <c r="Y405" i="54"/>
  <c r="Y406" i="54"/>
  <c r="Y407" i="54"/>
  <c r="Y408" i="54"/>
  <c r="Y409" i="54"/>
  <c r="Y410" i="54"/>
  <c r="Y411" i="54"/>
  <c r="Y412" i="54"/>
  <c r="Y413" i="54"/>
  <c r="Y414" i="54"/>
  <c r="Y415" i="54"/>
  <c r="Y416" i="54"/>
  <c r="Y417" i="54"/>
  <c r="Y418" i="54"/>
  <c r="Y419" i="54"/>
  <c r="Y420" i="54"/>
  <c r="Y421" i="54"/>
  <c r="Y422" i="54"/>
  <c r="Y423" i="54"/>
  <c r="Y424" i="54"/>
  <c r="Y425" i="54"/>
  <c r="Y426" i="54"/>
  <c r="Y427" i="54"/>
  <c r="Y428" i="54"/>
  <c r="Y429" i="54"/>
  <c r="Y430" i="54"/>
  <c r="Y431" i="54"/>
  <c r="Y432" i="54"/>
  <c r="Y433" i="54"/>
  <c r="Y434" i="54"/>
  <c r="Y435" i="54"/>
  <c r="Y436" i="54"/>
  <c r="Y437" i="54"/>
  <c r="Y438" i="54"/>
  <c r="Y439" i="54"/>
  <c r="Y440" i="54"/>
  <c r="Y441" i="54"/>
  <c r="Y442" i="54"/>
  <c r="Y443" i="54"/>
  <c r="Y444" i="54"/>
  <c r="Y445" i="54"/>
  <c r="Y446" i="54"/>
  <c r="Y447" i="54"/>
  <c r="Y448" i="54"/>
  <c r="Y449" i="54"/>
  <c r="Y450" i="54"/>
  <c r="Y451" i="54"/>
  <c r="Y452" i="54"/>
  <c r="Y453" i="54"/>
  <c r="Y454" i="54"/>
  <c r="Y455" i="54"/>
  <c r="Y456" i="54"/>
  <c r="Y457" i="54"/>
  <c r="Y458" i="54"/>
  <c r="Y459" i="54"/>
  <c r="Y460" i="54"/>
  <c r="Y461" i="54"/>
  <c r="Y462" i="54"/>
  <c r="Y463" i="54"/>
  <c r="Y464" i="54"/>
  <c r="Y465" i="54"/>
  <c r="Y466" i="54"/>
  <c r="Y467" i="54"/>
  <c r="Y468" i="54"/>
  <c r="Y469" i="54"/>
  <c r="Y470" i="54"/>
  <c r="Y471" i="54"/>
  <c r="Y472" i="54"/>
  <c r="Y473" i="54"/>
  <c r="Y474" i="54"/>
  <c r="Y475" i="54"/>
  <c r="Y476" i="54"/>
  <c r="Y477" i="54"/>
  <c r="Y478" i="54"/>
  <c r="Y479" i="54"/>
  <c r="Y480" i="54"/>
  <c r="Y481" i="54"/>
  <c r="Y482" i="54"/>
  <c r="Y483" i="54"/>
  <c r="Y484" i="54"/>
  <c r="Y485" i="54"/>
  <c r="Y486" i="54"/>
  <c r="Y487" i="54"/>
  <c r="Y488" i="54"/>
  <c r="Y489" i="54"/>
  <c r="Y490" i="54"/>
  <c r="Y491" i="54"/>
  <c r="Y492" i="54"/>
  <c r="Y493" i="54"/>
  <c r="Y494" i="54"/>
  <c r="Y495" i="54"/>
  <c r="Y496" i="54"/>
  <c r="Y497" i="54"/>
  <c r="Y498" i="54"/>
  <c r="Y499" i="54"/>
  <c r="Y500" i="54"/>
  <c r="Y501" i="54"/>
  <c r="Y502" i="54"/>
  <c r="Y503" i="54"/>
  <c r="Y504" i="54"/>
  <c r="Y505" i="54"/>
  <c r="Y506" i="54"/>
  <c r="Y507" i="54"/>
  <c r="Y508" i="54"/>
  <c r="Y509" i="54"/>
  <c r="D1" i="54"/>
  <c r="R1" i="54"/>
  <c r="D2" i="54"/>
  <c r="H52" i="57"/>
  <c r="K91" i="57"/>
  <c r="J91" i="57"/>
  <c r="I91" i="57"/>
  <c r="H91" i="57"/>
  <c r="G91" i="57"/>
  <c r="F91" i="57"/>
  <c r="E91" i="57"/>
  <c r="D91" i="57"/>
  <c r="C91" i="57"/>
  <c r="B91" i="57"/>
  <c r="A91" i="57"/>
  <c r="N90" i="57"/>
  <c r="M90" i="57"/>
  <c r="L90" i="57"/>
  <c r="K90" i="57"/>
  <c r="J90" i="57"/>
  <c r="I90" i="57"/>
  <c r="H90" i="57"/>
  <c r="G90" i="57"/>
  <c r="F90" i="57"/>
  <c r="E90" i="57"/>
  <c r="D90" i="57"/>
  <c r="C90" i="57"/>
  <c r="B90" i="57"/>
  <c r="A90" i="57"/>
  <c r="N89" i="57"/>
  <c r="M89" i="57"/>
  <c r="L89" i="57"/>
  <c r="K89" i="57"/>
  <c r="J89" i="57"/>
  <c r="I89" i="57"/>
  <c r="H89" i="57"/>
  <c r="G89" i="57"/>
  <c r="F89" i="57"/>
  <c r="E89" i="57"/>
  <c r="D89" i="57"/>
  <c r="C89" i="57"/>
  <c r="B89" i="57"/>
  <c r="A89" i="57"/>
  <c r="N88" i="57"/>
  <c r="M88" i="57"/>
  <c r="L88" i="57"/>
  <c r="K88" i="57"/>
  <c r="J88" i="57"/>
  <c r="I88" i="57"/>
  <c r="H88" i="57"/>
  <c r="G88" i="57"/>
  <c r="F88" i="57"/>
  <c r="E88" i="57"/>
  <c r="D88" i="57"/>
  <c r="C88" i="57"/>
  <c r="B88" i="57"/>
  <c r="A88" i="57"/>
  <c r="N87" i="57"/>
  <c r="M87" i="57"/>
  <c r="L87" i="57"/>
  <c r="K87" i="57"/>
  <c r="J87" i="57"/>
  <c r="I87" i="57"/>
  <c r="H87" i="57"/>
  <c r="G87" i="57"/>
  <c r="F87" i="57"/>
  <c r="E87" i="57"/>
  <c r="D87" i="57"/>
  <c r="C87" i="57"/>
  <c r="B87" i="57"/>
  <c r="A87" i="57"/>
  <c r="N86" i="57"/>
  <c r="M86" i="57"/>
  <c r="L86" i="57"/>
  <c r="K86" i="57"/>
  <c r="J86" i="57"/>
  <c r="I86" i="57"/>
  <c r="H86" i="57"/>
  <c r="G86" i="57"/>
  <c r="F86" i="57"/>
  <c r="E86" i="57"/>
  <c r="D86" i="57"/>
  <c r="C86" i="57"/>
  <c r="B86" i="57"/>
  <c r="A86" i="57"/>
  <c r="N85" i="57"/>
  <c r="M85" i="57"/>
  <c r="L85" i="57"/>
  <c r="K85" i="57"/>
  <c r="J85" i="57"/>
  <c r="I85" i="57"/>
  <c r="H85" i="57"/>
  <c r="G85" i="57"/>
  <c r="F85" i="57"/>
  <c r="E85" i="57"/>
  <c r="D85" i="57"/>
  <c r="C85" i="57"/>
  <c r="B85" i="57"/>
  <c r="A85" i="57"/>
  <c r="N84" i="57"/>
  <c r="M84" i="57"/>
  <c r="L84" i="57"/>
  <c r="K84" i="57"/>
  <c r="J84" i="57"/>
  <c r="I84" i="57"/>
  <c r="H84" i="57"/>
  <c r="G84" i="57"/>
  <c r="F84" i="57"/>
  <c r="E84" i="57"/>
  <c r="D84" i="57"/>
  <c r="C84" i="57"/>
  <c r="B84" i="57"/>
  <c r="A84" i="57"/>
  <c r="N83" i="57"/>
  <c r="M83" i="57"/>
  <c r="L83" i="57"/>
  <c r="K83" i="57"/>
  <c r="J83" i="57"/>
  <c r="I83" i="57"/>
  <c r="H83" i="57"/>
  <c r="G83" i="57"/>
  <c r="F83" i="57"/>
  <c r="E83" i="57"/>
  <c r="D83" i="57"/>
  <c r="C83" i="57"/>
  <c r="B83" i="57"/>
  <c r="A83" i="57"/>
  <c r="N82" i="57"/>
  <c r="K82" i="57"/>
  <c r="J82" i="57"/>
  <c r="I82" i="57"/>
  <c r="H82" i="57"/>
  <c r="G82" i="57"/>
  <c r="F82" i="57"/>
  <c r="E82" i="57"/>
  <c r="D82" i="57"/>
  <c r="C82" i="57"/>
  <c r="B82" i="57"/>
  <c r="A82" i="57"/>
  <c r="K81" i="57"/>
  <c r="J81" i="57"/>
  <c r="I81" i="57"/>
  <c r="H81" i="57"/>
  <c r="G81" i="57"/>
  <c r="F81" i="57"/>
  <c r="E81" i="57"/>
  <c r="D81" i="57"/>
  <c r="C81" i="57"/>
  <c r="B81" i="57"/>
  <c r="A81" i="57"/>
  <c r="N80" i="57"/>
  <c r="K80" i="57"/>
  <c r="J80" i="57"/>
  <c r="I80" i="57"/>
  <c r="H80" i="57"/>
  <c r="G80" i="57"/>
  <c r="F80" i="57"/>
  <c r="E80" i="57"/>
  <c r="D80" i="57"/>
  <c r="C80" i="57"/>
  <c r="B80" i="57"/>
  <c r="A80" i="57"/>
  <c r="K79" i="57"/>
  <c r="J79" i="57"/>
  <c r="I79" i="57"/>
  <c r="H79" i="57"/>
  <c r="G79" i="57"/>
  <c r="F79" i="57"/>
  <c r="E79" i="57"/>
  <c r="D79" i="57"/>
  <c r="C79" i="57"/>
  <c r="B79" i="57"/>
  <c r="A79" i="57"/>
  <c r="K78" i="57"/>
  <c r="J78" i="57"/>
  <c r="I78" i="57"/>
  <c r="H78" i="57"/>
  <c r="G78" i="57"/>
  <c r="F78" i="57"/>
  <c r="E78" i="57"/>
  <c r="D78" i="57"/>
  <c r="C78" i="57"/>
  <c r="B78" i="57"/>
  <c r="A78" i="57"/>
  <c r="K77" i="57"/>
  <c r="J77" i="57"/>
  <c r="I77" i="57"/>
  <c r="H77" i="57"/>
  <c r="G77" i="57"/>
  <c r="F77" i="57"/>
  <c r="E77" i="57"/>
  <c r="D77" i="57"/>
  <c r="C77" i="57"/>
  <c r="B77" i="57"/>
  <c r="A77" i="57"/>
  <c r="K76" i="57"/>
  <c r="J76" i="57"/>
  <c r="I76" i="57"/>
  <c r="H76" i="57"/>
  <c r="G76" i="57"/>
  <c r="F76" i="57"/>
  <c r="E76" i="57"/>
  <c r="D76" i="57"/>
  <c r="C76" i="57"/>
  <c r="B76" i="57"/>
  <c r="A76" i="57"/>
  <c r="K75" i="57"/>
  <c r="J75" i="57"/>
  <c r="I75" i="57"/>
  <c r="H75" i="57"/>
  <c r="G75" i="57"/>
  <c r="F75" i="57"/>
  <c r="E75" i="57"/>
  <c r="D75" i="57"/>
  <c r="C75" i="57"/>
  <c r="B75" i="57"/>
  <c r="A75" i="57"/>
  <c r="K74" i="57"/>
  <c r="J74" i="57"/>
  <c r="I74" i="57"/>
  <c r="H74" i="57"/>
  <c r="G74" i="57"/>
  <c r="F74" i="57"/>
  <c r="E74" i="57"/>
  <c r="D74" i="57"/>
  <c r="C74" i="57"/>
  <c r="B74" i="57"/>
  <c r="A74" i="57"/>
  <c r="K73" i="57"/>
  <c r="J73" i="57"/>
  <c r="I73" i="57"/>
  <c r="H73" i="57"/>
  <c r="G73" i="57"/>
  <c r="F73" i="57"/>
  <c r="E73" i="57"/>
  <c r="D73" i="57"/>
  <c r="C73" i="57"/>
  <c r="B73" i="57"/>
  <c r="A73" i="57"/>
  <c r="K72" i="57"/>
  <c r="J72" i="57"/>
  <c r="I72" i="57"/>
  <c r="H72" i="57"/>
  <c r="G72" i="57"/>
  <c r="F72" i="57"/>
  <c r="E72" i="57"/>
  <c r="D72" i="57"/>
  <c r="C72" i="57"/>
  <c r="B72" i="57"/>
  <c r="A72" i="57"/>
  <c r="K71" i="57"/>
  <c r="J71" i="57"/>
  <c r="I71" i="57"/>
  <c r="H71" i="57"/>
  <c r="G71" i="57"/>
  <c r="F71" i="57"/>
  <c r="E71" i="57"/>
  <c r="D71" i="57"/>
  <c r="C71" i="57"/>
  <c r="B71" i="57"/>
  <c r="A71" i="57"/>
  <c r="K70" i="57"/>
  <c r="J70" i="57"/>
  <c r="I70" i="57"/>
  <c r="H70" i="57"/>
  <c r="G70" i="57"/>
  <c r="F70" i="57"/>
  <c r="E70" i="57"/>
  <c r="D70" i="57"/>
  <c r="C70" i="57"/>
  <c r="B70" i="57"/>
  <c r="A70" i="57"/>
  <c r="K69" i="57"/>
  <c r="J69" i="57"/>
  <c r="I69" i="57"/>
  <c r="H69" i="57"/>
  <c r="G69" i="57"/>
  <c r="F69" i="57"/>
  <c r="E69" i="57"/>
  <c r="D69" i="57"/>
  <c r="C69" i="57"/>
  <c r="B69" i="57"/>
  <c r="A69" i="57"/>
  <c r="K68" i="57"/>
  <c r="J68" i="57"/>
  <c r="I68" i="57"/>
  <c r="H68" i="57"/>
  <c r="G68" i="57"/>
  <c r="F68" i="57"/>
  <c r="E68" i="57"/>
  <c r="D68" i="57"/>
  <c r="C68" i="57"/>
  <c r="B68" i="57"/>
  <c r="A68" i="57"/>
  <c r="K67" i="57"/>
  <c r="J67" i="57"/>
  <c r="I67" i="57"/>
  <c r="H67" i="57"/>
  <c r="G67" i="57"/>
  <c r="F67" i="57"/>
  <c r="E67" i="57"/>
  <c r="D67" i="57"/>
  <c r="C67" i="57"/>
  <c r="B67" i="57"/>
  <c r="A67" i="57"/>
  <c r="K66" i="57"/>
  <c r="J66" i="57"/>
  <c r="I66" i="57"/>
  <c r="H66" i="57"/>
  <c r="G66" i="57"/>
  <c r="F66" i="57"/>
  <c r="E66" i="57"/>
  <c r="D66" i="57"/>
  <c r="C66" i="57"/>
  <c r="B66" i="57"/>
  <c r="A66" i="57"/>
  <c r="K65" i="57"/>
  <c r="J65" i="57"/>
  <c r="I65" i="57"/>
  <c r="H65" i="57"/>
  <c r="G65" i="57"/>
  <c r="F65" i="57"/>
  <c r="E65" i="57"/>
  <c r="D65" i="57"/>
  <c r="C65" i="57"/>
  <c r="B65" i="57"/>
  <c r="A65" i="57"/>
  <c r="K64" i="57"/>
  <c r="J64" i="57"/>
  <c r="I64" i="57"/>
  <c r="H64" i="57"/>
  <c r="G64" i="57"/>
  <c r="F64" i="57"/>
  <c r="E64" i="57"/>
  <c r="D64" i="57"/>
  <c r="C64" i="57"/>
  <c r="B64" i="57"/>
  <c r="A64" i="57"/>
  <c r="K63" i="57"/>
  <c r="J63" i="57"/>
  <c r="I63" i="57"/>
  <c r="H63" i="57"/>
  <c r="G63" i="57"/>
  <c r="F63" i="57"/>
  <c r="E63" i="57"/>
  <c r="D63" i="57"/>
  <c r="C63" i="57"/>
  <c r="B63" i="57"/>
  <c r="A63" i="57"/>
  <c r="K62" i="57"/>
  <c r="J62" i="57"/>
  <c r="I62" i="57"/>
  <c r="H62" i="57"/>
  <c r="G62" i="57"/>
  <c r="F62" i="57"/>
  <c r="E62" i="57"/>
  <c r="D62" i="57"/>
  <c r="C62" i="57"/>
  <c r="B62" i="57"/>
  <c r="A62" i="57"/>
  <c r="K61" i="57"/>
  <c r="J61" i="57"/>
  <c r="I61" i="57"/>
  <c r="H61" i="57"/>
  <c r="G61" i="57"/>
  <c r="F61" i="57"/>
  <c r="E61" i="57"/>
  <c r="D61" i="57"/>
  <c r="C61" i="57"/>
  <c r="B61" i="57"/>
  <c r="A61" i="57"/>
  <c r="K60" i="57"/>
  <c r="J60" i="57"/>
  <c r="I60" i="57"/>
  <c r="H60" i="57"/>
  <c r="G60" i="57"/>
  <c r="F60" i="57"/>
  <c r="E60" i="57"/>
  <c r="D60" i="57"/>
  <c r="C60" i="57"/>
  <c r="B60" i="57"/>
  <c r="A60" i="57"/>
  <c r="K59" i="57"/>
  <c r="J59" i="57"/>
  <c r="I59" i="57"/>
  <c r="H59" i="57"/>
  <c r="G59" i="57"/>
  <c r="F59" i="57"/>
  <c r="E59" i="57"/>
  <c r="D59" i="57"/>
  <c r="C59" i="57"/>
  <c r="B59" i="57"/>
  <c r="A59" i="57"/>
  <c r="K58" i="57"/>
  <c r="J58" i="57"/>
  <c r="I58" i="57"/>
  <c r="H58" i="57"/>
  <c r="G58" i="57"/>
  <c r="F58" i="57"/>
  <c r="E58" i="57"/>
  <c r="D58" i="57"/>
  <c r="C58" i="57"/>
  <c r="B58" i="57"/>
  <c r="A58" i="57"/>
  <c r="K57" i="57"/>
  <c r="J57" i="57"/>
  <c r="I57" i="57"/>
  <c r="H57" i="57"/>
  <c r="G57" i="57"/>
  <c r="F57" i="57"/>
  <c r="E57" i="57"/>
  <c r="D57" i="57"/>
  <c r="C57" i="57"/>
  <c r="B57" i="57"/>
  <c r="A57" i="57"/>
  <c r="M56" i="57"/>
  <c r="K56" i="57"/>
  <c r="J56" i="57"/>
  <c r="I56" i="57"/>
  <c r="H56" i="57"/>
  <c r="G56" i="57"/>
  <c r="F56" i="57"/>
  <c r="E56" i="57"/>
  <c r="D56" i="57"/>
  <c r="C56" i="57"/>
  <c r="B56" i="57"/>
  <c r="A56" i="57"/>
  <c r="N55" i="57"/>
  <c r="M55" i="57"/>
  <c r="L55" i="57"/>
  <c r="K55" i="57"/>
  <c r="J55" i="57"/>
  <c r="I55" i="57"/>
  <c r="H55" i="57"/>
  <c r="G55" i="57"/>
  <c r="F55" i="57"/>
  <c r="E55" i="57"/>
  <c r="D55" i="57"/>
  <c r="C55" i="57"/>
  <c r="B55" i="57"/>
  <c r="A55" i="57"/>
  <c r="K54" i="57"/>
  <c r="J54" i="57"/>
  <c r="I54" i="57"/>
  <c r="H54" i="57"/>
  <c r="G54" i="57"/>
  <c r="F54" i="57"/>
  <c r="E54" i="57"/>
  <c r="D54" i="57"/>
  <c r="C54" i="57"/>
  <c r="B54" i="57"/>
  <c r="A54" i="57"/>
  <c r="N53" i="57"/>
  <c r="M53" i="57"/>
  <c r="L53" i="57"/>
  <c r="K53" i="57"/>
  <c r="J53" i="57"/>
  <c r="I53" i="57"/>
  <c r="H53" i="57"/>
  <c r="G53" i="57"/>
  <c r="F53" i="57"/>
  <c r="E53" i="57"/>
  <c r="D53" i="57"/>
  <c r="C53" i="57"/>
  <c r="B53" i="57"/>
  <c r="A53" i="57"/>
  <c r="K52" i="57"/>
  <c r="J52" i="57"/>
  <c r="I52" i="57"/>
  <c r="G52" i="57"/>
  <c r="F52" i="57"/>
  <c r="E52" i="57"/>
  <c r="D52" i="57"/>
  <c r="C52" i="57"/>
  <c r="B52" i="57"/>
  <c r="A52" i="57"/>
  <c r="N51" i="57"/>
  <c r="M51" i="57"/>
  <c r="L51" i="57"/>
  <c r="K51" i="57"/>
  <c r="J51" i="57"/>
  <c r="I51" i="57"/>
  <c r="H51" i="57"/>
  <c r="G51" i="57"/>
  <c r="F51" i="57"/>
  <c r="E51" i="57"/>
  <c r="D51" i="57"/>
  <c r="C51" i="57"/>
  <c r="B51" i="57"/>
  <c r="A51" i="57"/>
  <c r="R5" i="61"/>
  <c r="R4" i="61"/>
  <c r="R3" i="61"/>
  <c r="P5" i="61"/>
  <c r="Q16" i="36"/>
  <c r="O16" i="36"/>
  <c r="P6" i="61"/>
  <c r="P4" i="61"/>
  <c r="P3" i="61"/>
  <c r="L13" i="61"/>
  <c r="M13" i="61"/>
  <c r="N13" i="61"/>
  <c r="L14" i="61"/>
  <c r="L54" i="57" s="1"/>
  <c r="M14" i="61"/>
  <c r="M54" i="57" s="1"/>
  <c r="N14" i="61"/>
  <c r="N54" i="57" s="1"/>
  <c r="L56" i="57"/>
  <c r="N56" i="57"/>
  <c r="L57" i="57"/>
  <c r="M57" i="57"/>
  <c r="N57" i="57"/>
  <c r="L18" i="61"/>
  <c r="L58" i="57" s="1"/>
  <c r="M18" i="61"/>
  <c r="M58" i="57" s="1"/>
  <c r="N18" i="61"/>
  <c r="N58" i="57" s="1"/>
  <c r="L19" i="61"/>
  <c r="L59" i="57" s="1"/>
  <c r="M19" i="61"/>
  <c r="M59" i="57" s="1"/>
  <c r="N19" i="61"/>
  <c r="N59" i="57" s="1"/>
  <c r="L20" i="61"/>
  <c r="L60" i="57" s="1"/>
  <c r="M20" i="61"/>
  <c r="M60" i="57" s="1"/>
  <c r="N20" i="61"/>
  <c r="N60" i="57" s="1"/>
  <c r="L21" i="61"/>
  <c r="L61" i="57" s="1"/>
  <c r="M21" i="61"/>
  <c r="M61" i="57" s="1"/>
  <c r="N21" i="61"/>
  <c r="N61" i="57" s="1"/>
  <c r="L22" i="61"/>
  <c r="L62" i="57" s="1"/>
  <c r="M22" i="61"/>
  <c r="M62" i="57" s="1"/>
  <c r="N22" i="61"/>
  <c r="N62" i="57" s="1"/>
  <c r="L23" i="61"/>
  <c r="L63" i="57" s="1"/>
  <c r="M23" i="61"/>
  <c r="M63" i="57" s="1"/>
  <c r="N23" i="61"/>
  <c r="N63" i="57" s="1"/>
  <c r="L24" i="61"/>
  <c r="L64" i="57" s="1"/>
  <c r="M24" i="61"/>
  <c r="M64" i="57" s="1"/>
  <c r="N24" i="61"/>
  <c r="N64" i="57" s="1"/>
  <c r="L25" i="61"/>
  <c r="L65" i="57" s="1"/>
  <c r="M25" i="61"/>
  <c r="M65" i="57" s="1"/>
  <c r="N25" i="61"/>
  <c r="N65" i="57" s="1"/>
  <c r="L26" i="61"/>
  <c r="L66" i="57" s="1"/>
  <c r="M26" i="61"/>
  <c r="M66" i="57" s="1"/>
  <c r="N26" i="61"/>
  <c r="N66" i="57" s="1"/>
  <c r="L27" i="61"/>
  <c r="L67" i="57" s="1"/>
  <c r="M27" i="61"/>
  <c r="M67" i="57" s="1"/>
  <c r="N27" i="61"/>
  <c r="N67" i="57" s="1"/>
  <c r="L28" i="61"/>
  <c r="L68" i="57" s="1"/>
  <c r="M28" i="61"/>
  <c r="M68" i="57" s="1"/>
  <c r="N28" i="61"/>
  <c r="N68" i="57" s="1"/>
  <c r="L29" i="61"/>
  <c r="L69" i="57" s="1"/>
  <c r="M29" i="61"/>
  <c r="M69" i="57" s="1"/>
  <c r="N29" i="61"/>
  <c r="N69" i="57" s="1"/>
  <c r="L30" i="61"/>
  <c r="L70" i="57" s="1"/>
  <c r="M30" i="61"/>
  <c r="M70" i="57" s="1"/>
  <c r="N30" i="61"/>
  <c r="N70" i="57" s="1"/>
  <c r="L31" i="61"/>
  <c r="L71" i="57" s="1"/>
  <c r="M31" i="61"/>
  <c r="M71" i="57" s="1"/>
  <c r="N31" i="61"/>
  <c r="N71" i="57" s="1"/>
  <c r="L32" i="61"/>
  <c r="L72" i="57" s="1"/>
  <c r="M32" i="61"/>
  <c r="M72" i="57" s="1"/>
  <c r="N32" i="61"/>
  <c r="N72" i="57" s="1"/>
  <c r="L33" i="61"/>
  <c r="L73" i="57" s="1"/>
  <c r="M33" i="61"/>
  <c r="M73" i="57" s="1"/>
  <c r="N33" i="61"/>
  <c r="N73" i="57" s="1"/>
  <c r="L34" i="61"/>
  <c r="L74" i="57" s="1"/>
  <c r="M34" i="61"/>
  <c r="M74" i="57" s="1"/>
  <c r="N34" i="61"/>
  <c r="N74" i="57" s="1"/>
  <c r="L35" i="61"/>
  <c r="L75" i="57" s="1"/>
  <c r="M35" i="61"/>
  <c r="M75" i="57" s="1"/>
  <c r="N35" i="61"/>
  <c r="N75" i="57" s="1"/>
  <c r="L36" i="61"/>
  <c r="L76" i="57" s="1"/>
  <c r="M36" i="61"/>
  <c r="M76" i="57" s="1"/>
  <c r="N36" i="61"/>
  <c r="N76" i="57" s="1"/>
  <c r="L37" i="61"/>
  <c r="L77" i="57" s="1"/>
  <c r="M37" i="61"/>
  <c r="M77" i="57" s="1"/>
  <c r="N37" i="61"/>
  <c r="N77" i="57" s="1"/>
  <c r="L38" i="61"/>
  <c r="L78" i="57" s="1"/>
  <c r="M38" i="61"/>
  <c r="M78" i="57" s="1"/>
  <c r="N38" i="61"/>
  <c r="N78" i="57" s="1"/>
  <c r="L39" i="61"/>
  <c r="L79" i="57" s="1"/>
  <c r="M39" i="61"/>
  <c r="M79" i="57" s="1"/>
  <c r="N39" i="61"/>
  <c r="N79" i="57" s="1"/>
  <c r="L40" i="61"/>
  <c r="L80" i="57" s="1"/>
  <c r="M40" i="61"/>
  <c r="M80" i="57" s="1"/>
  <c r="N40" i="61"/>
  <c r="L41" i="61"/>
  <c r="L81" i="57" s="1"/>
  <c r="M41" i="61"/>
  <c r="M81" i="57" s="1"/>
  <c r="N41" i="61"/>
  <c r="N81" i="57" s="1"/>
  <c r="L42" i="61"/>
  <c r="L82" i="57" s="1"/>
  <c r="M42" i="61"/>
  <c r="M82" i="57" s="1"/>
  <c r="N42" i="61"/>
  <c r="L43" i="61"/>
  <c r="M43" i="61"/>
  <c r="N43" i="61"/>
  <c r="L44" i="61"/>
  <c r="M44" i="61"/>
  <c r="N44" i="61"/>
  <c r="L45" i="61"/>
  <c r="M45" i="61"/>
  <c r="N45" i="61"/>
  <c r="L46" i="61"/>
  <c r="M46" i="61"/>
  <c r="N46" i="61"/>
  <c r="L47" i="61"/>
  <c r="M47" i="61"/>
  <c r="N47" i="61"/>
  <c r="L48" i="61"/>
  <c r="M48" i="61"/>
  <c r="N48" i="61"/>
  <c r="L49" i="61"/>
  <c r="M49" i="61"/>
  <c r="N49" i="61"/>
  <c r="L50" i="61"/>
  <c r="M50" i="61"/>
  <c r="N50" i="61"/>
  <c r="L51" i="61"/>
  <c r="L91" i="57" s="1"/>
  <c r="M51" i="61"/>
  <c r="M91" i="57" s="1"/>
  <c r="N51" i="61"/>
  <c r="N91" i="57" s="1"/>
  <c r="L52" i="61"/>
  <c r="M52" i="61"/>
  <c r="N52" i="61"/>
  <c r="L53" i="61"/>
  <c r="M53" i="61"/>
  <c r="N53" i="61"/>
  <c r="L54" i="61"/>
  <c r="M54" i="61"/>
  <c r="N54" i="61"/>
  <c r="L55" i="61"/>
  <c r="M55" i="61"/>
  <c r="N55" i="61"/>
  <c r="L56" i="61"/>
  <c r="M56" i="61"/>
  <c r="N56" i="61"/>
  <c r="L57" i="61"/>
  <c r="M57" i="61"/>
  <c r="N57" i="61"/>
  <c r="L58" i="61"/>
  <c r="M58" i="61"/>
  <c r="N58" i="61"/>
  <c r="L59" i="61"/>
  <c r="M59" i="61"/>
  <c r="N59" i="61"/>
  <c r="L60" i="61"/>
  <c r="M60" i="61"/>
  <c r="N60" i="61"/>
  <c r="L61" i="61"/>
  <c r="M61" i="61"/>
  <c r="N61" i="61"/>
  <c r="L62" i="61"/>
  <c r="M62" i="61"/>
  <c r="N62" i="61"/>
  <c r="L63" i="61"/>
  <c r="M63" i="61"/>
  <c r="N63" i="61"/>
  <c r="L64" i="61"/>
  <c r="M64" i="61"/>
  <c r="N64" i="61"/>
  <c r="L65" i="61"/>
  <c r="M65" i="61"/>
  <c r="N65" i="61"/>
  <c r="L66" i="61"/>
  <c r="M66" i="61"/>
  <c r="N66" i="61"/>
  <c r="L67" i="61"/>
  <c r="M67" i="61"/>
  <c r="N67" i="61"/>
  <c r="L68" i="61"/>
  <c r="M68" i="61"/>
  <c r="N68" i="61"/>
  <c r="L69" i="61"/>
  <c r="M69" i="61"/>
  <c r="N69" i="61"/>
  <c r="L70" i="61"/>
  <c r="M70" i="61"/>
  <c r="N70" i="61"/>
  <c r="L71" i="61"/>
  <c r="M71" i="61"/>
  <c r="N71" i="61"/>
  <c r="L72" i="61"/>
  <c r="M72" i="61"/>
  <c r="N72" i="61"/>
  <c r="L73" i="61"/>
  <c r="M73" i="61"/>
  <c r="N73" i="61"/>
  <c r="N12" i="61"/>
  <c r="N52" i="57" s="1"/>
  <c r="M12" i="61"/>
  <c r="L12" i="61"/>
  <c r="L52" i="57" s="1"/>
  <c r="B5" i="61"/>
  <c r="B1" i="61"/>
  <c r="P14" i="36"/>
  <c r="D145" i="18" l="1"/>
  <c r="I679" i="22"/>
  <c r="M52" i="57"/>
  <c r="Q5" i="61"/>
  <c r="AE20" i="54" s="1"/>
  <c r="AG20" i="54" s="1"/>
  <c r="Q4" i="61"/>
  <c r="S4" i="61" s="1"/>
  <c r="Q3" i="61"/>
  <c r="S3" i="61" s="1"/>
  <c r="S5" i="61" l="1"/>
  <c r="S6" i="61" s="1"/>
  <c r="P16" i="36"/>
  <c r="R16" i="36" s="1"/>
  <c r="Q6" i="61"/>
  <c r="D11" i="55" l="1"/>
  <c r="D5" i="55"/>
  <c r="B5" i="55"/>
  <c r="O14" i="36"/>
  <c r="B4" i="55"/>
  <c r="C3" i="55"/>
  <c r="C1" i="55"/>
  <c r="F27" i="18"/>
  <c r="F32" i="18"/>
  <c r="F33" i="18"/>
  <c r="F21" i="18"/>
  <c r="F8" i="18"/>
  <c r="B53" i="40"/>
  <c r="B52" i="40"/>
  <c r="B48" i="40"/>
  <c r="B44" i="40"/>
  <c r="B43" i="40"/>
  <c r="B42" i="40"/>
  <c r="B41" i="40"/>
  <c r="B40" i="40"/>
  <c r="B39" i="40"/>
  <c r="F466" i="34"/>
  <c r="F467" i="34"/>
  <c r="F468" i="34"/>
  <c r="F462" i="34"/>
  <c r="F463" i="34"/>
  <c r="F464" i="34"/>
  <c r="F465" i="34"/>
  <c r="C44" i="40"/>
  <c r="B47" i="40"/>
  <c r="B49" i="40"/>
  <c r="B46" i="40"/>
  <c r="B18" i="14"/>
  <c r="B17" i="14"/>
  <c r="B15" i="14"/>
  <c r="C261" i="62"/>
  <c r="C260" i="62"/>
  <c r="E260" i="62" s="1"/>
  <c r="C259" i="62"/>
  <c r="E259" i="62" s="1"/>
  <c r="C258" i="62"/>
  <c r="C257" i="62"/>
  <c r="C256" i="62"/>
  <c r="C255" i="62"/>
  <c r="E255" i="62" s="1"/>
  <c r="C254" i="62"/>
  <c r="E254" i="62" s="1"/>
  <c r="C253" i="62"/>
  <c r="C252" i="62"/>
  <c r="C251" i="62"/>
  <c r="C250" i="62"/>
  <c r="E250" i="62" s="1"/>
  <c r="C249" i="62"/>
  <c r="C248" i="62"/>
  <c r="E248" i="62" s="1"/>
  <c r="C247" i="62"/>
  <c r="E247" i="62" s="1"/>
  <c r="C246" i="62"/>
  <c r="E246" i="62" s="1"/>
  <c r="C245" i="62"/>
  <c r="C244" i="62"/>
  <c r="E244" i="62" s="1"/>
  <c r="C243" i="62"/>
  <c r="E243" i="62" s="1"/>
  <c r="C242" i="62"/>
  <c r="E242" i="62" s="1"/>
  <c r="C241" i="62"/>
  <c r="C240" i="62"/>
  <c r="C239" i="62"/>
  <c r="E239" i="62" s="1"/>
  <c r="C238" i="62"/>
  <c r="C237" i="62"/>
  <c r="C236" i="62"/>
  <c r="C235" i="62"/>
  <c r="C234" i="62"/>
  <c r="E234" i="62" s="1"/>
  <c r="C233" i="62"/>
  <c r="C232" i="62"/>
  <c r="E232" i="62" s="1"/>
  <c r="C231" i="62"/>
  <c r="E231" i="62" s="1"/>
  <c r="E257" i="62"/>
  <c r="E256" i="62"/>
  <c r="E253" i="62"/>
  <c r="E252" i="62"/>
  <c r="E251" i="62"/>
  <c r="E249" i="62"/>
  <c r="E245" i="62"/>
  <c r="E241" i="62"/>
  <c r="E240" i="62"/>
  <c r="E237" i="62"/>
  <c r="E236" i="62"/>
  <c r="E235" i="62"/>
  <c r="E233" i="62"/>
  <c r="E230" i="62"/>
  <c r="E261" i="62"/>
  <c r="D225" i="62"/>
  <c r="E225" i="62" s="1"/>
  <c r="D221" i="62"/>
  <c r="E221" i="62" s="1"/>
  <c r="D217" i="62"/>
  <c r="E217" i="62" s="1"/>
  <c r="D213" i="62"/>
  <c r="E213" i="62" s="1"/>
  <c r="D209" i="62"/>
  <c r="E209" i="62" s="1"/>
  <c r="D205" i="62"/>
  <c r="E205" i="62" s="1"/>
  <c r="D201" i="62"/>
  <c r="E201" i="62" s="1"/>
  <c r="D197" i="62"/>
  <c r="E197" i="62" s="1"/>
  <c r="D193" i="62"/>
  <c r="E193" i="62" s="1"/>
  <c r="D189" i="62"/>
  <c r="E189" i="62" s="1"/>
  <c r="D185" i="62"/>
  <c r="E185" i="62" s="1"/>
  <c r="D181" i="62"/>
  <c r="E181" i="62" s="1"/>
  <c r="D177" i="62"/>
  <c r="E177" i="62" s="1"/>
  <c r="D173" i="62"/>
  <c r="E173" i="62" s="1"/>
  <c r="D169" i="62"/>
  <c r="E169" i="62" s="1"/>
  <c r="D165" i="62"/>
  <c r="D161" i="62"/>
  <c r="D157" i="62"/>
  <c r="D153" i="62"/>
  <c r="D149" i="62"/>
  <c r="D145" i="62"/>
  <c r="E145" i="62" s="1"/>
  <c r="D141" i="62"/>
  <c r="D137" i="62"/>
  <c r="D133" i="62"/>
  <c r="D129" i="62"/>
  <c r="E129" i="62" s="1"/>
  <c r="D125" i="62"/>
  <c r="E125" i="62" s="1"/>
  <c r="D121" i="62"/>
  <c r="E121" i="62" s="1"/>
  <c r="D117" i="62"/>
  <c r="E117" i="62" s="1"/>
  <c r="D113" i="62"/>
  <c r="E113" i="62" s="1"/>
  <c r="D109" i="62"/>
  <c r="E109" i="62" s="1"/>
  <c r="D105" i="62"/>
  <c r="E105" i="62" s="1"/>
  <c r="D101" i="62"/>
  <c r="E101" i="62" s="1"/>
  <c r="D97" i="62"/>
  <c r="E97" i="62" s="1"/>
  <c r="D93" i="62"/>
  <c r="E93" i="62" s="1"/>
  <c r="D89" i="62"/>
  <c r="D85" i="62"/>
  <c r="E85" i="62" s="1"/>
  <c r="D81" i="62"/>
  <c r="D77" i="62"/>
  <c r="E77" i="62" s="1"/>
  <c r="D73" i="62"/>
  <c r="D69" i="62"/>
  <c r="D65" i="62"/>
  <c r="D61" i="62"/>
  <c r="D56" i="62"/>
  <c r="E56" i="62" s="1"/>
  <c r="D52" i="62"/>
  <c r="I4" i="64" s="1"/>
  <c r="D37" i="62"/>
  <c r="E37" i="62" s="1"/>
  <c r="D33" i="62"/>
  <c r="I104" i="64" s="1"/>
  <c r="D29" i="62"/>
  <c r="I115" i="64" s="1"/>
  <c r="D25" i="62"/>
  <c r="I112" i="64" s="1"/>
  <c r="D265" i="62"/>
  <c r="E265" i="62" s="1"/>
  <c r="D269" i="62"/>
  <c r="E269" i="62" s="1"/>
  <c r="D285" i="62"/>
  <c r="E285" i="62" s="1"/>
  <c r="D297" i="62"/>
  <c r="E297" i="62" s="1"/>
  <c r="D301" i="62"/>
  <c r="E301" i="62" s="1"/>
  <c r="D313" i="62"/>
  <c r="E313" i="62" s="1"/>
  <c r="D317" i="62"/>
  <c r="E317" i="62" s="1"/>
  <c r="C331" i="62"/>
  <c r="D331" i="62" s="1"/>
  <c r="E331" i="62" s="1"/>
  <c r="C332" i="62"/>
  <c r="D332" i="62" s="1"/>
  <c r="E332" i="62" s="1"/>
  <c r="C333" i="62"/>
  <c r="D333" i="62" s="1"/>
  <c r="E333" i="62" s="1"/>
  <c r="C334" i="62"/>
  <c r="D334" i="62" s="1"/>
  <c r="E334" i="62" s="1"/>
  <c r="C335" i="62"/>
  <c r="D335" i="62" s="1"/>
  <c r="E335" i="62" s="1"/>
  <c r="C336" i="62"/>
  <c r="D336" i="62" s="1"/>
  <c r="E336" i="62" s="1"/>
  <c r="C337" i="62"/>
  <c r="D337" i="62" s="1"/>
  <c r="E337" i="62" s="1"/>
  <c r="C308" i="62"/>
  <c r="D308" i="62" s="1"/>
  <c r="E308" i="62" s="1"/>
  <c r="C309" i="62"/>
  <c r="D309" i="62" s="1"/>
  <c r="E309" i="62" s="1"/>
  <c r="C310" i="62"/>
  <c r="C311" i="62"/>
  <c r="D311" i="62" s="1"/>
  <c r="E311" i="62" s="1"/>
  <c r="C312" i="62"/>
  <c r="C313" i="62"/>
  <c r="C314" i="62"/>
  <c r="D314" i="62" s="1"/>
  <c r="E314" i="62" s="1"/>
  <c r="C315" i="62"/>
  <c r="D315" i="62" s="1"/>
  <c r="E315" i="62" s="1"/>
  <c r="C316" i="62"/>
  <c r="D316" i="62" s="1"/>
  <c r="E316" i="62" s="1"/>
  <c r="C317" i="62"/>
  <c r="C318" i="62"/>
  <c r="D318" i="62" s="1"/>
  <c r="E318" i="62" s="1"/>
  <c r="C319" i="62"/>
  <c r="D319" i="62" s="1"/>
  <c r="E319" i="62" s="1"/>
  <c r="C320" i="62"/>
  <c r="D320" i="62" s="1"/>
  <c r="E320" i="62" s="1"/>
  <c r="C321" i="62"/>
  <c r="D321" i="62" s="1"/>
  <c r="E321" i="62" s="1"/>
  <c r="C322" i="62"/>
  <c r="D322" i="62" s="1"/>
  <c r="E322" i="62" s="1"/>
  <c r="C323" i="62"/>
  <c r="C324" i="62"/>
  <c r="C325" i="62"/>
  <c r="D325" i="62" s="1"/>
  <c r="E325" i="62" s="1"/>
  <c r="C326" i="62"/>
  <c r="D326" i="62" s="1"/>
  <c r="E326" i="62" s="1"/>
  <c r="C327" i="62"/>
  <c r="D327" i="62" s="1"/>
  <c r="E327" i="62" s="1"/>
  <c r="C328" i="62"/>
  <c r="D328" i="62" s="1"/>
  <c r="E328" i="62" s="1"/>
  <c r="C329" i="62"/>
  <c r="D329" i="62" s="1"/>
  <c r="E329" i="62" s="1"/>
  <c r="C330" i="62"/>
  <c r="D330" i="62" s="1"/>
  <c r="E330" i="62" s="1"/>
  <c r="C283" i="62"/>
  <c r="D283" i="62" s="1"/>
  <c r="E283" i="62" s="1"/>
  <c r="C284" i="62"/>
  <c r="C285" i="62"/>
  <c r="C286" i="62"/>
  <c r="C287" i="62"/>
  <c r="D287" i="62" s="1"/>
  <c r="E287" i="62" s="1"/>
  <c r="C288" i="62"/>
  <c r="C289" i="62"/>
  <c r="D289" i="62" s="1"/>
  <c r="E289" i="62" s="1"/>
  <c r="C290" i="62"/>
  <c r="C291" i="62"/>
  <c r="D291" i="62" s="1"/>
  <c r="E291" i="62" s="1"/>
  <c r="C292" i="62"/>
  <c r="C293" i="62"/>
  <c r="D293" i="62" s="1"/>
  <c r="E293" i="62" s="1"/>
  <c r="C294" i="62"/>
  <c r="D294" i="62" s="1"/>
  <c r="E294" i="62" s="1"/>
  <c r="C295" i="62"/>
  <c r="D295" i="62" s="1"/>
  <c r="E295" i="62" s="1"/>
  <c r="C296" i="62"/>
  <c r="D296" i="62" s="1"/>
  <c r="E296" i="62" s="1"/>
  <c r="C297" i="62"/>
  <c r="C298" i="62"/>
  <c r="D298" i="62" s="1"/>
  <c r="E298" i="62" s="1"/>
  <c r="C299" i="62"/>
  <c r="D299" i="62" s="1"/>
  <c r="E299" i="62" s="1"/>
  <c r="C300" i="62"/>
  <c r="D300" i="62" s="1"/>
  <c r="E300" i="62" s="1"/>
  <c r="C301" i="62"/>
  <c r="C302" i="62"/>
  <c r="D302" i="62" s="1"/>
  <c r="E302" i="62" s="1"/>
  <c r="C303" i="62"/>
  <c r="D303" i="62" s="1"/>
  <c r="E303" i="62" s="1"/>
  <c r="C304" i="62"/>
  <c r="D304" i="62" s="1"/>
  <c r="E304" i="62" s="1"/>
  <c r="C305" i="62"/>
  <c r="D305" i="62" s="1"/>
  <c r="E305" i="62" s="1"/>
  <c r="C306" i="62"/>
  <c r="D306" i="62" s="1"/>
  <c r="E306" i="62" s="1"/>
  <c r="C307" i="62"/>
  <c r="D307" i="62" s="1"/>
  <c r="E307" i="62" s="1"/>
  <c r="C278" i="62"/>
  <c r="D278" i="62" s="1"/>
  <c r="E278" i="62" s="1"/>
  <c r="C279" i="62"/>
  <c r="D279" i="62" s="1"/>
  <c r="E279" i="62" s="1"/>
  <c r="C280" i="62"/>
  <c r="D280" i="62" s="1"/>
  <c r="E280" i="62" s="1"/>
  <c r="C281" i="62"/>
  <c r="D281" i="62" s="1"/>
  <c r="E281" i="62" s="1"/>
  <c r="C282" i="62"/>
  <c r="C268" i="62"/>
  <c r="D268" i="62" s="1"/>
  <c r="E268" i="62" s="1"/>
  <c r="C269" i="62"/>
  <c r="C270" i="62"/>
  <c r="D270" i="62" s="1"/>
  <c r="E270" i="62" s="1"/>
  <c r="C271" i="62"/>
  <c r="D271" i="62" s="1"/>
  <c r="E271" i="62" s="1"/>
  <c r="C272" i="62"/>
  <c r="D272" i="62" s="1"/>
  <c r="E272" i="62" s="1"/>
  <c r="C273" i="62"/>
  <c r="D273" i="62" s="1"/>
  <c r="E273" i="62" s="1"/>
  <c r="C274" i="62"/>
  <c r="D274" i="62" s="1"/>
  <c r="E274" i="62" s="1"/>
  <c r="C275" i="62"/>
  <c r="D275" i="62" s="1"/>
  <c r="E275" i="62" s="1"/>
  <c r="C276" i="62"/>
  <c r="D276" i="62" s="1"/>
  <c r="E276" i="62" s="1"/>
  <c r="C277" i="62"/>
  <c r="D277" i="62" s="1"/>
  <c r="E277" i="62" s="1"/>
  <c r="C263" i="62"/>
  <c r="D263" i="62" s="1"/>
  <c r="E263" i="62" s="1"/>
  <c r="C264" i="62"/>
  <c r="D264" i="62" s="1"/>
  <c r="E264" i="62" s="1"/>
  <c r="C265" i="62"/>
  <c r="C266" i="62"/>
  <c r="D266" i="62" s="1"/>
  <c r="E266" i="62" s="1"/>
  <c r="C267" i="62"/>
  <c r="D267" i="62" s="1"/>
  <c r="E267" i="62" s="1"/>
  <c r="C230" i="62"/>
  <c r="D230" i="62" s="1"/>
  <c r="C25" i="62"/>
  <c r="H112" i="64" s="1"/>
  <c r="C26" i="62"/>
  <c r="H114" i="64" s="1"/>
  <c r="C27" i="62"/>
  <c r="H113" i="64" s="1"/>
  <c r="C28" i="62"/>
  <c r="H107" i="64" s="1"/>
  <c r="C29" i="62"/>
  <c r="H115" i="64" s="1"/>
  <c r="C30" i="62"/>
  <c r="H110" i="64" s="1"/>
  <c r="C31" i="62"/>
  <c r="H117" i="64" s="1"/>
  <c r="C32" i="62"/>
  <c r="H108" i="64" s="1"/>
  <c r="C33" i="62"/>
  <c r="H104" i="64" s="1"/>
  <c r="C34" i="62"/>
  <c r="D34" i="62" s="1"/>
  <c r="E34" i="62" s="1"/>
  <c r="C35" i="62"/>
  <c r="H116" i="64" s="1"/>
  <c r="C36" i="62"/>
  <c r="D36" i="62" s="1"/>
  <c r="E36" i="62" s="1"/>
  <c r="C37" i="62"/>
  <c r="C38" i="62"/>
  <c r="D38" i="62" s="1"/>
  <c r="E38" i="62" s="1"/>
  <c r="C39" i="62"/>
  <c r="D39" i="62" s="1"/>
  <c r="E39" i="62" s="1"/>
  <c r="C51" i="62"/>
  <c r="D51" i="62" s="1"/>
  <c r="E51" i="62" s="1"/>
  <c r="C52" i="62"/>
  <c r="H4" i="64" s="1"/>
  <c r="C53" i="62"/>
  <c r="H3" i="64" s="1"/>
  <c r="C54" i="62"/>
  <c r="D54" i="62" s="1"/>
  <c r="E54" i="62" s="1"/>
  <c r="C55" i="62"/>
  <c r="H6" i="64" s="1"/>
  <c r="C56" i="62"/>
  <c r="C57" i="62"/>
  <c r="H134" i="64" s="1"/>
  <c r="C58" i="62"/>
  <c r="D58" i="62" s="1"/>
  <c r="E58" i="62" s="1"/>
  <c r="C59" i="62"/>
  <c r="H32" i="64" s="1"/>
  <c r="C60" i="62"/>
  <c r="H31" i="64" s="1"/>
  <c r="C61" i="62"/>
  <c r="H35" i="64" s="1"/>
  <c r="C62" i="62"/>
  <c r="H47" i="64" s="1"/>
  <c r="C63" i="62"/>
  <c r="H41" i="64" s="1"/>
  <c r="C64" i="62"/>
  <c r="H36" i="64" s="1"/>
  <c r="C65" i="62"/>
  <c r="H28" i="64" s="1"/>
  <c r="C66" i="62"/>
  <c r="H33" i="64" s="1"/>
  <c r="C67" i="62"/>
  <c r="H45" i="64" s="1"/>
  <c r="C68" i="62"/>
  <c r="H29" i="64" s="1"/>
  <c r="C69" i="62"/>
  <c r="H48" i="64" s="1"/>
  <c r="C70" i="62"/>
  <c r="H43" i="64" s="1"/>
  <c r="C71" i="62"/>
  <c r="H42" i="64" s="1"/>
  <c r="C72" i="62"/>
  <c r="D72" i="62" s="1"/>
  <c r="E72" i="62" s="1"/>
  <c r="C73" i="62"/>
  <c r="H158" i="64" s="1"/>
  <c r="C74" i="62"/>
  <c r="H153" i="64" s="1"/>
  <c r="C75" i="62"/>
  <c r="D75" i="62" s="1"/>
  <c r="E75" i="62" s="1"/>
  <c r="C76" i="62"/>
  <c r="D76" i="62" s="1"/>
  <c r="E76" i="62" s="1"/>
  <c r="C77" i="62"/>
  <c r="C78" i="62"/>
  <c r="H80" i="64" s="1"/>
  <c r="C79" i="62"/>
  <c r="H77" i="64" s="1"/>
  <c r="C80" i="62"/>
  <c r="H74" i="64" s="1"/>
  <c r="C81" i="62"/>
  <c r="H78" i="64" s="1"/>
  <c r="C82" i="62"/>
  <c r="H75" i="64" s="1"/>
  <c r="C83" i="62"/>
  <c r="H82" i="64" s="1"/>
  <c r="C84" i="62"/>
  <c r="H76" i="64" s="1"/>
  <c r="C85" i="62"/>
  <c r="C86" i="62"/>
  <c r="D86" i="62" s="1"/>
  <c r="E86" i="62" s="1"/>
  <c r="C87" i="62"/>
  <c r="H66" i="64" s="1"/>
  <c r="C88" i="62"/>
  <c r="H67" i="64" s="1"/>
  <c r="C89" i="62"/>
  <c r="H72" i="64" s="1"/>
  <c r="C90" i="62"/>
  <c r="H71" i="64" s="1"/>
  <c r="C91" i="62"/>
  <c r="H68" i="64" s="1"/>
  <c r="C92" i="62"/>
  <c r="D92" i="62" s="1"/>
  <c r="E92" i="62" s="1"/>
  <c r="C93" i="62"/>
  <c r="C94" i="62"/>
  <c r="D94" i="62" s="1"/>
  <c r="E94" i="62" s="1"/>
  <c r="C95" i="62"/>
  <c r="D95" i="62" s="1"/>
  <c r="E95" i="62" s="1"/>
  <c r="C96" i="62"/>
  <c r="H84" i="64" s="1"/>
  <c r="C97" i="62"/>
  <c r="C98" i="62"/>
  <c r="D98" i="62" s="1"/>
  <c r="E98" i="62" s="1"/>
  <c r="C99" i="62"/>
  <c r="D99" i="62" s="1"/>
  <c r="E99" i="62" s="1"/>
  <c r="C100" i="62"/>
  <c r="D100" i="62" s="1"/>
  <c r="E100" i="62" s="1"/>
  <c r="C101" i="62"/>
  <c r="C102" i="62"/>
  <c r="D102" i="62" s="1"/>
  <c r="E102" i="62" s="1"/>
  <c r="C103" i="62"/>
  <c r="D103" i="62" s="1"/>
  <c r="E103" i="62" s="1"/>
  <c r="C104" i="62"/>
  <c r="D104" i="62" s="1"/>
  <c r="E104" i="62" s="1"/>
  <c r="C105" i="62"/>
  <c r="C106" i="62"/>
  <c r="D106" i="62" s="1"/>
  <c r="E106" i="62" s="1"/>
  <c r="C107" i="62"/>
  <c r="D107" i="62" s="1"/>
  <c r="E107" i="62" s="1"/>
  <c r="C108" i="62"/>
  <c r="D108" i="62" s="1"/>
  <c r="E108" i="62" s="1"/>
  <c r="C109" i="62"/>
  <c r="C110" i="62"/>
  <c r="D110" i="62" s="1"/>
  <c r="E110" i="62" s="1"/>
  <c r="C111" i="62"/>
  <c r="D111" i="62" s="1"/>
  <c r="E111" i="62" s="1"/>
  <c r="C112" i="62"/>
  <c r="D112" i="62" s="1"/>
  <c r="E112" i="62" s="1"/>
  <c r="C113" i="62"/>
  <c r="C114" i="62"/>
  <c r="D114" i="62" s="1"/>
  <c r="E114" i="62" s="1"/>
  <c r="C115" i="62"/>
  <c r="D115" i="62" s="1"/>
  <c r="E115" i="62" s="1"/>
  <c r="C116" i="62"/>
  <c r="D116" i="62" s="1"/>
  <c r="E116" i="62" s="1"/>
  <c r="C117" i="62"/>
  <c r="C118" i="62"/>
  <c r="D118" i="62" s="1"/>
  <c r="E118" i="62" s="1"/>
  <c r="C119" i="62"/>
  <c r="D119" i="62" s="1"/>
  <c r="E119" i="62" s="1"/>
  <c r="C120" i="62"/>
  <c r="D120" i="62" s="1"/>
  <c r="E120" i="62" s="1"/>
  <c r="C121" i="62"/>
  <c r="C122" i="62"/>
  <c r="D122" i="62" s="1"/>
  <c r="E122" i="62" s="1"/>
  <c r="C123" i="62"/>
  <c r="D123" i="62" s="1"/>
  <c r="E123" i="62" s="1"/>
  <c r="C124" i="62"/>
  <c r="D124" i="62" s="1"/>
  <c r="E124" i="62" s="1"/>
  <c r="C125" i="62"/>
  <c r="C126" i="62"/>
  <c r="D126" i="62" s="1"/>
  <c r="E126" i="62" s="1"/>
  <c r="C127" i="62"/>
  <c r="D127" i="62" s="1"/>
  <c r="E127" i="62" s="1"/>
  <c r="C128" i="62"/>
  <c r="D128" i="62" s="1"/>
  <c r="E128" i="62" s="1"/>
  <c r="C129" i="62"/>
  <c r="C130" i="62"/>
  <c r="D130" i="62" s="1"/>
  <c r="E130" i="62" s="1"/>
  <c r="C131" i="62"/>
  <c r="D131" i="62" s="1"/>
  <c r="E131" i="62" s="1"/>
  <c r="C132" i="62"/>
  <c r="H100" i="64" s="1"/>
  <c r="C133" i="62"/>
  <c r="H99" i="64" s="1"/>
  <c r="C134" i="62"/>
  <c r="H91" i="64" s="1"/>
  <c r="C135" i="62"/>
  <c r="H93" i="64" s="1"/>
  <c r="C136" i="62"/>
  <c r="H89" i="64" s="1"/>
  <c r="C137" i="62"/>
  <c r="H96" i="64" s="1"/>
  <c r="C138" i="62"/>
  <c r="H98" i="64" s="1"/>
  <c r="C139" i="62"/>
  <c r="H94" i="64" s="1"/>
  <c r="C140" i="62"/>
  <c r="D140" i="62" s="1"/>
  <c r="E140" i="62" s="1"/>
  <c r="C141" i="62"/>
  <c r="H64" i="64" s="1"/>
  <c r="C142" i="62"/>
  <c r="H61" i="64" s="1"/>
  <c r="C143" i="62"/>
  <c r="H57" i="64" s="1"/>
  <c r="C144" i="62"/>
  <c r="H58" i="64" s="1"/>
  <c r="C145" i="62"/>
  <c r="C146" i="62"/>
  <c r="H54" i="64" s="1"/>
  <c r="C147" i="62"/>
  <c r="H53" i="64" s="1"/>
  <c r="C148" i="62"/>
  <c r="H52" i="64" s="1"/>
  <c r="C149" i="62"/>
  <c r="H60" i="64" s="1"/>
  <c r="C150" i="62"/>
  <c r="H49" i="64" s="1"/>
  <c r="C151" i="62"/>
  <c r="H50" i="64" s="1"/>
  <c r="C152" i="62"/>
  <c r="H51" i="64" s="1"/>
  <c r="C153" i="62"/>
  <c r="H63" i="64" s="1"/>
  <c r="C154" i="62"/>
  <c r="H130" i="64" s="1"/>
  <c r="C155" i="62"/>
  <c r="H141" i="64" s="1"/>
  <c r="C156" i="62"/>
  <c r="D156" i="62" s="1"/>
  <c r="E156" i="62" s="1"/>
  <c r="C157" i="62"/>
  <c r="H15" i="64" s="1"/>
  <c r="C158" i="62"/>
  <c r="H16" i="64" s="1"/>
  <c r="C159" i="62"/>
  <c r="H14" i="64" s="1"/>
  <c r="C160" i="62"/>
  <c r="D160" i="62" s="1"/>
  <c r="E160" i="62" s="1"/>
  <c r="C161" i="62"/>
  <c r="H118" i="64" s="1"/>
  <c r="C162" i="62"/>
  <c r="H139" i="64" s="1"/>
  <c r="C163" i="62"/>
  <c r="H138" i="64" s="1"/>
  <c r="C164" i="62"/>
  <c r="H137" i="64" s="1"/>
  <c r="C165" i="62"/>
  <c r="H140" i="64" s="1"/>
  <c r="C166" i="62"/>
  <c r="D166" i="62" s="1"/>
  <c r="E166" i="62" s="1"/>
  <c r="C167" i="62"/>
  <c r="H40" i="64" s="1"/>
  <c r="C168" i="62"/>
  <c r="H85" i="64" s="1"/>
  <c r="C169" i="62"/>
  <c r="C170" i="62"/>
  <c r="D170" i="62" s="1"/>
  <c r="E170" i="62" s="1"/>
  <c r="C171" i="62"/>
  <c r="D171" i="62" s="1"/>
  <c r="E171" i="62" s="1"/>
  <c r="C172" i="62"/>
  <c r="D172" i="62" s="1"/>
  <c r="E172" i="62" s="1"/>
  <c r="C173" i="62"/>
  <c r="C174" i="62"/>
  <c r="D174" i="62" s="1"/>
  <c r="E174" i="62" s="1"/>
  <c r="C175" i="62"/>
  <c r="D175" i="62" s="1"/>
  <c r="E175" i="62" s="1"/>
  <c r="C176" i="62"/>
  <c r="D176" i="62" s="1"/>
  <c r="E176" i="62" s="1"/>
  <c r="C177" i="62"/>
  <c r="C178" i="62"/>
  <c r="D178" i="62" s="1"/>
  <c r="E178" i="62" s="1"/>
  <c r="C179" i="62"/>
  <c r="D179" i="62" s="1"/>
  <c r="E179" i="62" s="1"/>
  <c r="C180" i="62"/>
  <c r="D180" i="62" s="1"/>
  <c r="E180" i="62" s="1"/>
  <c r="C181" i="62"/>
  <c r="C182" i="62"/>
  <c r="D182" i="62" s="1"/>
  <c r="E182" i="62" s="1"/>
  <c r="C183" i="62"/>
  <c r="D183" i="62" s="1"/>
  <c r="E183" i="62" s="1"/>
  <c r="C184" i="62"/>
  <c r="D184" i="62" s="1"/>
  <c r="E184" i="62" s="1"/>
  <c r="C185" i="62"/>
  <c r="C186" i="62"/>
  <c r="D186" i="62" s="1"/>
  <c r="E186" i="62" s="1"/>
  <c r="C187" i="62"/>
  <c r="D187" i="62" s="1"/>
  <c r="E187" i="62" s="1"/>
  <c r="C188" i="62"/>
  <c r="D188" i="62" s="1"/>
  <c r="E188" i="62" s="1"/>
  <c r="C189" i="62"/>
  <c r="C190" i="62"/>
  <c r="D190" i="62" s="1"/>
  <c r="E190" i="62" s="1"/>
  <c r="C191" i="62"/>
  <c r="D191" i="62" s="1"/>
  <c r="E191" i="62" s="1"/>
  <c r="C192" i="62"/>
  <c r="D192" i="62" s="1"/>
  <c r="E192" i="62" s="1"/>
  <c r="C193" i="62"/>
  <c r="C194" i="62"/>
  <c r="D194" i="62" s="1"/>
  <c r="E194" i="62" s="1"/>
  <c r="C195" i="62"/>
  <c r="D195" i="62" s="1"/>
  <c r="E195" i="62" s="1"/>
  <c r="C196" i="62"/>
  <c r="D196" i="62" s="1"/>
  <c r="E196" i="62" s="1"/>
  <c r="C197" i="62"/>
  <c r="C198" i="62"/>
  <c r="D198" i="62" s="1"/>
  <c r="E198" i="62" s="1"/>
  <c r="C199" i="62"/>
  <c r="D199" i="62" s="1"/>
  <c r="E199" i="62" s="1"/>
  <c r="C200" i="62"/>
  <c r="D200" i="62" s="1"/>
  <c r="E200" i="62" s="1"/>
  <c r="C201" i="62"/>
  <c r="C202" i="62"/>
  <c r="D202" i="62" s="1"/>
  <c r="E202" i="62" s="1"/>
  <c r="C203" i="62"/>
  <c r="D203" i="62" s="1"/>
  <c r="E203" i="62" s="1"/>
  <c r="C204" i="62"/>
  <c r="D204" i="62" s="1"/>
  <c r="E204" i="62" s="1"/>
  <c r="C205" i="62"/>
  <c r="C206" i="62"/>
  <c r="D206" i="62" s="1"/>
  <c r="E206" i="62" s="1"/>
  <c r="C207" i="62"/>
  <c r="D207" i="62" s="1"/>
  <c r="E207" i="62" s="1"/>
  <c r="C208" i="62"/>
  <c r="D208" i="62" s="1"/>
  <c r="E208" i="62" s="1"/>
  <c r="C209" i="62"/>
  <c r="C210" i="62"/>
  <c r="D210" i="62" s="1"/>
  <c r="E210" i="62" s="1"/>
  <c r="C211" i="62"/>
  <c r="D211" i="62" s="1"/>
  <c r="E211" i="62" s="1"/>
  <c r="C212" i="62"/>
  <c r="D212" i="62" s="1"/>
  <c r="E212" i="62" s="1"/>
  <c r="C213" i="62"/>
  <c r="C214" i="62"/>
  <c r="D214" i="62" s="1"/>
  <c r="E214" i="62" s="1"/>
  <c r="C215" i="62"/>
  <c r="D215" i="62" s="1"/>
  <c r="E215" i="62" s="1"/>
  <c r="C216" i="62"/>
  <c r="D216" i="62" s="1"/>
  <c r="E216" i="62" s="1"/>
  <c r="C217" i="62"/>
  <c r="C218" i="62"/>
  <c r="D218" i="62" s="1"/>
  <c r="E218" i="62" s="1"/>
  <c r="C219" i="62"/>
  <c r="D219" i="62" s="1"/>
  <c r="E219" i="62" s="1"/>
  <c r="C220" i="62"/>
  <c r="D220" i="62" s="1"/>
  <c r="E220" i="62" s="1"/>
  <c r="C221" i="62"/>
  <c r="C222" i="62"/>
  <c r="D222" i="62" s="1"/>
  <c r="E222" i="62" s="1"/>
  <c r="C223" i="62"/>
  <c r="D223" i="62" s="1"/>
  <c r="E223" i="62" s="1"/>
  <c r="C224" i="62"/>
  <c r="D224" i="62" s="1"/>
  <c r="E224" i="62" s="1"/>
  <c r="C225" i="62"/>
  <c r="C226" i="62"/>
  <c r="D226" i="62" s="1"/>
  <c r="E226" i="62" s="1"/>
  <c r="C227" i="62"/>
  <c r="D227" i="62" s="1"/>
  <c r="E227" i="62" s="1"/>
  <c r="C228" i="62"/>
  <c r="D228" i="62" s="1"/>
  <c r="E228" i="62" s="1"/>
  <c r="C229" i="62"/>
  <c r="D229" i="62" s="1"/>
  <c r="E229" i="62" s="1"/>
  <c r="C2" i="62"/>
  <c r="D2" i="62" s="1"/>
  <c r="E2" i="62" s="1"/>
  <c r="C3" i="62"/>
  <c r="D3" i="62" s="1"/>
  <c r="E3" i="62" s="1"/>
  <c r="C4" i="62"/>
  <c r="D4" i="62" s="1"/>
  <c r="E4" i="62" s="1"/>
  <c r="C5" i="62"/>
  <c r="D5" i="62" s="1"/>
  <c r="E5" i="62" s="1"/>
  <c r="C6" i="62"/>
  <c r="D6" i="62" s="1"/>
  <c r="E6" i="62" s="1"/>
  <c r="C7" i="62"/>
  <c r="D7" i="62" s="1"/>
  <c r="E7" i="62" s="1"/>
  <c r="C8" i="62"/>
  <c r="D8" i="62" s="1"/>
  <c r="E8" i="62" s="1"/>
  <c r="C9" i="62"/>
  <c r="D9" i="62" s="1"/>
  <c r="E9" i="62" s="1"/>
  <c r="C10" i="62"/>
  <c r="D10" i="62" s="1"/>
  <c r="E10" i="62" s="1"/>
  <c r="C11" i="62"/>
  <c r="D11" i="62" s="1"/>
  <c r="E11" i="62" s="1"/>
  <c r="C12" i="62"/>
  <c r="D12" i="62" s="1"/>
  <c r="E12" i="62" s="1"/>
  <c r="C13" i="62"/>
  <c r="D13" i="62" s="1"/>
  <c r="E13" i="62" s="1"/>
  <c r="C14" i="62"/>
  <c r="D14" i="62" s="1"/>
  <c r="E14" i="62" s="1"/>
  <c r="C15" i="62"/>
  <c r="D15" i="62" s="1"/>
  <c r="E15" i="62" s="1"/>
  <c r="C16" i="62"/>
  <c r="H128" i="64" s="1"/>
  <c r="C17" i="62"/>
  <c r="H131" i="64" s="1"/>
  <c r="C18" i="62"/>
  <c r="D18" i="62" s="1"/>
  <c r="E18" i="62" s="1"/>
  <c r="C19" i="62"/>
  <c r="D19" i="62" s="1"/>
  <c r="E19" i="62" s="1"/>
  <c r="C20" i="62"/>
  <c r="D20" i="62" s="1"/>
  <c r="E20" i="62" s="1"/>
  <c r="C21" i="62"/>
  <c r="H109" i="64" s="1"/>
  <c r="C22" i="62"/>
  <c r="H111" i="64" s="1"/>
  <c r="C23" i="62"/>
  <c r="H105" i="64" s="1"/>
  <c r="C24" i="62"/>
  <c r="H106" i="64" s="1"/>
  <c r="D17" i="14"/>
  <c r="D16" i="14"/>
  <c r="D88" i="20" l="1"/>
  <c r="D84" i="20"/>
  <c r="D95" i="20"/>
  <c r="E95" i="20" s="1"/>
  <c r="E65" i="62"/>
  <c r="J28" i="64" s="1"/>
  <c r="I28" i="64"/>
  <c r="E89" i="62"/>
  <c r="J72" i="64" s="1"/>
  <c r="I72" i="64"/>
  <c r="E137" i="62"/>
  <c r="J96" i="64" s="1"/>
  <c r="I96" i="64"/>
  <c r="E149" i="62"/>
  <c r="J60" i="64" s="1"/>
  <c r="I60" i="64"/>
  <c r="E161" i="62"/>
  <c r="J118" i="64" s="1"/>
  <c r="I118" i="64"/>
  <c r="D17" i="62"/>
  <c r="D21" i="62"/>
  <c r="D23" i="62"/>
  <c r="D27" i="62"/>
  <c r="D31" i="62"/>
  <c r="D35" i="62"/>
  <c r="D62" i="62"/>
  <c r="D66" i="62"/>
  <c r="D70" i="62"/>
  <c r="D74" i="62"/>
  <c r="D78" i="62"/>
  <c r="D82" i="62"/>
  <c r="D90" i="62"/>
  <c r="D134" i="62"/>
  <c r="D138" i="62"/>
  <c r="D142" i="62"/>
  <c r="D146" i="62"/>
  <c r="D150" i="62"/>
  <c r="D154" i="62"/>
  <c r="D158" i="62"/>
  <c r="D162" i="62"/>
  <c r="E61" i="62"/>
  <c r="J35" i="64" s="1"/>
  <c r="I35" i="64"/>
  <c r="E73" i="62"/>
  <c r="J158" i="64" s="1"/>
  <c r="I158" i="64"/>
  <c r="E133" i="62"/>
  <c r="J99" i="64" s="1"/>
  <c r="I99" i="64"/>
  <c r="E141" i="62"/>
  <c r="J64" i="64" s="1"/>
  <c r="I64" i="64"/>
  <c r="E153" i="62"/>
  <c r="J63" i="64" s="1"/>
  <c r="I63" i="64"/>
  <c r="E165" i="62"/>
  <c r="J140" i="64" s="1"/>
  <c r="I140" i="64"/>
  <c r="E25" i="62"/>
  <c r="J112" i="64" s="1"/>
  <c r="E29" i="62"/>
  <c r="J115" i="64" s="1"/>
  <c r="E33" i="62"/>
  <c r="J104" i="64" s="1"/>
  <c r="E52" i="62"/>
  <c r="J4" i="64" s="1"/>
  <c r="D59" i="62"/>
  <c r="D63" i="62"/>
  <c r="D67" i="62"/>
  <c r="D71" i="62"/>
  <c r="D79" i="62"/>
  <c r="D83" i="62"/>
  <c r="D87" i="62"/>
  <c r="D91" i="62"/>
  <c r="D135" i="62"/>
  <c r="D139" i="62"/>
  <c r="D143" i="62"/>
  <c r="D147" i="62"/>
  <c r="D151" i="62"/>
  <c r="D155" i="62"/>
  <c r="D159" i="62"/>
  <c r="D163" i="62"/>
  <c r="D167" i="62"/>
  <c r="E69" i="62"/>
  <c r="J48" i="64" s="1"/>
  <c r="I48" i="64"/>
  <c r="E81" i="62"/>
  <c r="J78" i="64" s="1"/>
  <c r="I78" i="64"/>
  <c r="E157" i="62"/>
  <c r="J15" i="64" s="1"/>
  <c r="I15" i="64"/>
  <c r="D16" i="62"/>
  <c r="D22" i="62"/>
  <c r="D24" i="62"/>
  <c r="D26" i="62"/>
  <c r="D28" i="62"/>
  <c r="D30" i="62"/>
  <c r="D32" i="62"/>
  <c r="D53" i="62"/>
  <c r="D55" i="62"/>
  <c r="D57" i="62"/>
  <c r="D60" i="62"/>
  <c r="D64" i="62"/>
  <c r="D68" i="62"/>
  <c r="D80" i="62"/>
  <c r="D84" i="62"/>
  <c r="D88" i="62"/>
  <c r="D96" i="62"/>
  <c r="D132" i="62"/>
  <c r="D136" i="62"/>
  <c r="D144" i="62"/>
  <c r="D148" i="62"/>
  <c r="D152" i="62"/>
  <c r="D164" i="62"/>
  <c r="D168" i="62"/>
  <c r="E238" i="62"/>
  <c r="E258" i="62"/>
  <c r="D282" i="62"/>
  <c r="E282" i="62" s="1"/>
  <c r="D292" i="62"/>
  <c r="E292" i="62" s="1"/>
  <c r="D288" i="62"/>
  <c r="E288" i="62" s="1"/>
  <c r="D284" i="62"/>
  <c r="E284" i="62" s="1"/>
  <c r="D312" i="62"/>
  <c r="E312" i="62" s="1"/>
  <c r="D323" i="62"/>
  <c r="E323" i="62" s="1"/>
  <c r="D310" i="62"/>
  <c r="E310" i="62" s="1"/>
  <c r="D290" i="62"/>
  <c r="E290" i="62" s="1"/>
  <c r="D286" i="62"/>
  <c r="E286" i="62" s="1"/>
  <c r="D324" i="62"/>
  <c r="E324" i="62" s="1"/>
  <c r="E151" i="62" l="1"/>
  <c r="J50" i="64" s="1"/>
  <c r="I50" i="64"/>
  <c r="E79" i="62"/>
  <c r="J77" i="64" s="1"/>
  <c r="I77" i="64"/>
  <c r="E150" i="62"/>
  <c r="J49" i="64" s="1"/>
  <c r="I49" i="64"/>
  <c r="E134" i="62"/>
  <c r="J91" i="64" s="1"/>
  <c r="I91" i="64"/>
  <c r="E74" i="62"/>
  <c r="J153" i="64" s="1"/>
  <c r="I153" i="64"/>
  <c r="I116" i="64"/>
  <c r="E35" i="62"/>
  <c r="J116" i="64" s="1"/>
  <c r="I109" i="64"/>
  <c r="E21" i="62"/>
  <c r="J109" i="64" s="1"/>
  <c r="E148" i="62"/>
  <c r="J52" i="64" s="1"/>
  <c r="I52" i="64"/>
  <c r="E96" i="62"/>
  <c r="J84" i="64" s="1"/>
  <c r="I84" i="64"/>
  <c r="E68" i="62"/>
  <c r="J29" i="64" s="1"/>
  <c r="I29" i="64"/>
  <c r="I6" i="64"/>
  <c r="E55" i="62"/>
  <c r="J6" i="64" s="1"/>
  <c r="I107" i="64"/>
  <c r="E28" i="62"/>
  <c r="J107" i="64" s="1"/>
  <c r="I128" i="64"/>
  <c r="E16" i="62"/>
  <c r="J128" i="64" s="1"/>
  <c r="E163" i="62"/>
  <c r="J138" i="64" s="1"/>
  <c r="I138" i="64"/>
  <c r="E147" i="62"/>
  <c r="J53" i="64" s="1"/>
  <c r="I53" i="64"/>
  <c r="E91" i="62"/>
  <c r="J68" i="64" s="1"/>
  <c r="I68" i="64"/>
  <c r="E71" i="62"/>
  <c r="J42" i="64" s="1"/>
  <c r="I42" i="64"/>
  <c r="E162" i="62"/>
  <c r="J139" i="64" s="1"/>
  <c r="I139" i="64"/>
  <c r="E146" i="62"/>
  <c r="J54" i="64" s="1"/>
  <c r="I54" i="64"/>
  <c r="E90" i="62"/>
  <c r="J71" i="64" s="1"/>
  <c r="I71" i="64"/>
  <c r="E70" i="62"/>
  <c r="J43" i="64" s="1"/>
  <c r="I43" i="64"/>
  <c r="I117" i="64"/>
  <c r="E31" i="62"/>
  <c r="J117" i="64" s="1"/>
  <c r="I131" i="64"/>
  <c r="E17" i="62"/>
  <c r="J131" i="64" s="1"/>
  <c r="E152" i="62"/>
  <c r="J51" i="64" s="1"/>
  <c r="I51" i="64"/>
  <c r="E80" i="62"/>
  <c r="J74" i="64" s="1"/>
  <c r="I74" i="64"/>
  <c r="I134" i="64"/>
  <c r="E57" i="62"/>
  <c r="J134" i="64" s="1"/>
  <c r="I111" i="64"/>
  <c r="E22" i="62"/>
  <c r="J111" i="64" s="1"/>
  <c r="E167" i="62"/>
  <c r="J40" i="64" s="1"/>
  <c r="I40" i="64"/>
  <c r="E135" i="62"/>
  <c r="J93" i="64" s="1"/>
  <c r="I93" i="64"/>
  <c r="E59" i="62"/>
  <c r="J32" i="64" s="1"/>
  <c r="I32" i="64"/>
  <c r="E159" i="62"/>
  <c r="J14" i="64" s="1"/>
  <c r="I14" i="64"/>
  <c r="E143" i="62"/>
  <c r="J57" i="64" s="1"/>
  <c r="I57" i="64"/>
  <c r="E87" i="62"/>
  <c r="J66" i="64" s="1"/>
  <c r="I66" i="64"/>
  <c r="E67" i="62"/>
  <c r="J45" i="64" s="1"/>
  <c r="I45" i="64"/>
  <c r="E158" i="62"/>
  <c r="J16" i="64" s="1"/>
  <c r="I16" i="64"/>
  <c r="E142" i="62"/>
  <c r="J61" i="64" s="1"/>
  <c r="I61" i="64"/>
  <c r="E82" i="62"/>
  <c r="J75" i="64" s="1"/>
  <c r="I75" i="64"/>
  <c r="E66" i="62"/>
  <c r="J33" i="64" s="1"/>
  <c r="I33" i="64"/>
  <c r="I113" i="64"/>
  <c r="E27" i="62"/>
  <c r="J113" i="64" s="1"/>
  <c r="E132" i="62"/>
  <c r="J100" i="64" s="1"/>
  <c r="I100" i="64"/>
  <c r="I110" i="64"/>
  <c r="E30" i="62"/>
  <c r="J110" i="64" s="1"/>
  <c r="E168" i="62"/>
  <c r="J85" i="64" s="1"/>
  <c r="I85" i="64"/>
  <c r="E144" i="62"/>
  <c r="J58" i="64" s="1"/>
  <c r="I58" i="64"/>
  <c r="E88" i="62"/>
  <c r="J67" i="64" s="1"/>
  <c r="I67" i="64"/>
  <c r="E64" i="62"/>
  <c r="J36" i="64" s="1"/>
  <c r="I36" i="64"/>
  <c r="I3" i="64"/>
  <c r="E53" i="62"/>
  <c r="J3" i="64" s="1"/>
  <c r="I114" i="64"/>
  <c r="E26" i="62"/>
  <c r="J114" i="64" s="1"/>
  <c r="E164" i="62"/>
  <c r="J137" i="64" s="1"/>
  <c r="I137" i="64"/>
  <c r="E136" i="62"/>
  <c r="J89" i="64" s="1"/>
  <c r="I89" i="64"/>
  <c r="E84" i="62"/>
  <c r="J76" i="64" s="1"/>
  <c r="I76" i="64"/>
  <c r="E60" i="62"/>
  <c r="J31" i="64" s="1"/>
  <c r="I31" i="64"/>
  <c r="I108" i="64"/>
  <c r="E32" i="62"/>
  <c r="J108" i="64" s="1"/>
  <c r="I106" i="64"/>
  <c r="E24" i="62"/>
  <c r="J106" i="64" s="1"/>
  <c r="E155" i="62"/>
  <c r="J141" i="64" s="1"/>
  <c r="I141" i="64"/>
  <c r="E139" i="62"/>
  <c r="J94" i="64" s="1"/>
  <c r="I94" i="64"/>
  <c r="E83" i="62"/>
  <c r="J82" i="64" s="1"/>
  <c r="I82" i="64"/>
  <c r="E63" i="62"/>
  <c r="J41" i="64" s="1"/>
  <c r="I41" i="64"/>
  <c r="E154" i="62"/>
  <c r="J130" i="64" s="1"/>
  <c r="I130" i="64"/>
  <c r="E138" i="62"/>
  <c r="J98" i="64" s="1"/>
  <c r="I98" i="64"/>
  <c r="E78" i="62"/>
  <c r="J80" i="64" s="1"/>
  <c r="I80" i="64"/>
  <c r="E62" i="62"/>
  <c r="J47" i="64" s="1"/>
  <c r="I47" i="64"/>
  <c r="I105" i="64"/>
  <c r="E23" i="62"/>
  <c r="J105" i="64" s="1"/>
  <c r="G6" i="14"/>
  <c r="H6" i="14"/>
  <c r="G7" i="14"/>
  <c r="H7" i="14"/>
  <c r="G8" i="14"/>
  <c r="H8" i="14"/>
  <c r="G9" i="14"/>
  <c r="H9" i="14"/>
  <c r="G10" i="14"/>
  <c r="G11" i="14"/>
  <c r="H11" i="14"/>
  <c r="G12" i="14"/>
  <c r="H12" i="14"/>
  <c r="G13" i="14"/>
  <c r="H13" i="14"/>
  <c r="G14" i="14"/>
  <c r="G15" i="14"/>
  <c r="H15" i="14"/>
  <c r="G16" i="14"/>
  <c r="H16" i="14"/>
  <c r="G18" i="14"/>
  <c r="H18" i="14"/>
  <c r="E33" i="57"/>
  <c r="E18" i="57"/>
  <c r="E35" i="57"/>
  <c r="C46" i="57"/>
  <c r="A47" i="57"/>
  <c r="E41" i="57"/>
  <c r="G41" i="57"/>
  <c r="G40" i="57"/>
  <c r="E40" i="57"/>
  <c r="C41" i="57"/>
  <c r="C40" i="57"/>
  <c r="A41" i="57"/>
  <c r="A40" i="57"/>
  <c r="A30" i="57"/>
  <c r="B6" i="57"/>
  <c r="L14" i="20"/>
  <c r="L15" i="20"/>
  <c r="L16" i="20"/>
  <c r="L17" i="20"/>
  <c r="L18" i="20"/>
  <c r="L19" i="20"/>
  <c r="L20" i="20"/>
  <c r="L21" i="20"/>
  <c r="L22" i="20"/>
  <c r="L23" i="20"/>
  <c r="L24" i="20"/>
  <c r="L25" i="20"/>
  <c r="L26" i="20"/>
  <c r="L27" i="20"/>
  <c r="L28" i="20"/>
  <c r="L29" i="20"/>
  <c r="L30" i="20"/>
  <c r="L31" i="20"/>
  <c r="L32" i="20"/>
  <c r="L33" i="20"/>
  <c r="L34" i="20"/>
  <c r="L35" i="20"/>
  <c r="L36" i="20"/>
  <c r="L37" i="20"/>
  <c r="L38" i="20"/>
  <c r="L39" i="20"/>
  <c r="L40" i="20"/>
  <c r="L41" i="20"/>
  <c r="L42" i="20"/>
  <c r="L43" i="20"/>
  <c r="L44" i="20"/>
  <c r="L45" i="20"/>
  <c r="L46" i="20"/>
  <c r="L47" i="20"/>
  <c r="L48" i="20"/>
  <c r="L49" i="20"/>
  <c r="L50" i="20"/>
  <c r="L51" i="20"/>
  <c r="L52" i="20"/>
  <c r="L53" i="20"/>
  <c r="L54" i="20"/>
  <c r="L55" i="20"/>
  <c r="L56" i="20"/>
  <c r="L57" i="20"/>
  <c r="L58" i="20"/>
  <c r="L59" i="20"/>
  <c r="L60" i="20"/>
  <c r="L61" i="20"/>
  <c r="L62" i="20"/>
  <c r="L63" i="20"/>
  <c r="L64" i="20"/>
  <c r="L65" i="20"/>
  <c r="L66" i="20"/>
  <c r="L67" i="20"/>
  <c r="L68" i="20"/>
  <c r="L69" i="20"/>
  <c r="L70" i="20"/>
  <c r="L71" i="20"/>
  <c r="L72" i="20"/>
  <c r="L73" i="20"/>
  <c r="L74" i="20"/>
  <c r="L75" i="20"/>
  <c r="F316" i="34" l="1"/>
  <c r="F317" i="34"/>
  <c r="F318" i="34"/>
  <c r="F319" i="34"/>
  <c r="F320" i="34"/>
  <c r="F321" i="34"/>
  <c r="F322" i="34"/>
  <c r="F323" i="34"/>
  <c r="F324" i="34"/>
  <c r="F325" i="34"/>
  <c r="F326" i="34"/>
  <c r="F327" i="34"/>
  <c r="F328" i="34"/>
  <c r="F329" i="34"/>
  <c r="F330" i="34"/>
  <c r="F331" i="34"/>
  <c r="F332" i="34"/>
  <c r="F333" i="34"/>
  <c r="F334" i="34"/>
  <c r="F335" i="34"/>
  <c r="F336" i="34"/>
  <c r="F337" i="34"/>
  <c r="F338" i="34"/>
  <c r="F339" i="34"/>
  <c r="F340" i="34"/>
  <c r="F341" i="34"/>
  <c r="F342" i="34"/>
  <c r="F343" i="34"/>
  <c r="F344" i="34"/>
  <c r="F345" i="34"/>
  <c r="F346" i="34"/>
  <c r="F347" i="34"/>
  <c r="F348" i="34"/>
  <c r="F349" i="34"/>
  <c r="F350" i="34"/>
  <c r="F351" i="34"/>
  <c r="F352" i="34"/>
  <c r="F353" i="34"/>
  <c r="F354" i="34"/>
  <c r="F355" i="34"/>
  <c r="F356" i="34"/>
  <c r="F357" i="34"/>
  <c r="F358" i="34"/>
  <c r="F359" i="34"/>
  <c r="F360" i="34"/>
  <c r="F361" i="34"/>
  <c r="F362" i="34"/>
  <c r="F363" i="34"/>
  <c r="F364" i="34"/>
  <c r="F365" i="34"/>
  <c r="F366" i="34"/>
  <c r="F367" i="34"/>
  <c r="F368" i="34"/>
  <c r="F369" i="34"/>
  <c r="F370" i="34"/>
  <c r="F371" i="34"/>
  <c r="F372" i="34"/>
  <c r="F373" i="34"/>
  <c r="F374" i="34"/>
  <c r="F375" i="34"/>
  <c r="F376" i="34"/>
  <c r="F377" i="34"/>
  <c r="F378" i="34"/>
  <c r="F379" i="34"/>
  <c r="F380" i="34"/>
  <c r="F381" i="34"/>
  <c r="F382" i="34"/>
  <c r="F383" i="34"/>
  <c r="F384" i="34"/>
  <c r="F385" i="34"/>
  <c r="F386" i="34"/>
  <c r="F387" i="34"/>
  <c r="F388" i="34"/>
  <c r="F389" i="34"/>
  <c r="F390" i="34"/>
  <c r="F391" i="34"/>
  <c r="F392" i="34"/>
  <c r="F393" i="34"/>
  <c r="F394" i="34"/>
  <c r="F395" i="34"/>
  <c r="F396" i="34"/>
  <c r="F397" i="34"/>
  <c r="F398" i="34"/>
  <c r="F399" i="34"/>
  <c r="F400" i="34"/>
  <c r="F401" i="34"/>
  <c r="F402" i="34"/>
  <c r="F403" i="34"/>
  <c r="F404" i="34"/>
  <c r="F405" i="34"/>
  <c r="F406" i="34"/>
  <c r="F407" i="34"/>
  <c r="F408" i="34"/>
  <c r="F409" i="34"/>
  <c r="F410" i="34"/>
  <c r="F411" i="34"/>
  <c r="F412" i="34"/>
  <c r="F413" i="34"/>
  <c r="F414" i="34"/>
  <c r="F415" i="34"/>
  <c r="F416" i="34"/>
  <c r="F417" i="34"/>
  <c r="F418" i="34"/>
  <c r="F419" i="34"/>
  <c r="F420" i="34"/>
  <c r="F421" i="34"/>
  <c r="F422" i="34"/>
  <c r="F423" i="34"/>
  <c r="F424" i="34"/>
  <c r="F425" i="34"/>
  <c r="F426" i="34"/>
  <c r="F427" i="34"/>
  <c r="F428" i="34"/>
  <c r="F429" i="34"/>
  <c r="F430" i="34"/>
  <c r="F431" i="34"/>
  <c r="F432" i="34"/>
  <c r="F433" i="34"/>
  <c r="F434" i="34"/>
  <c r="F435" i="34"/>
  <c r="F436" i="34"/>
  <c r="F437" i="34"/>
  <c r="F438" i="34"/>
  <c r="F439" i="34"/>
  <c r="F440" i="34"/>
  <c r="F441" i="34"/>
  <c r="F442" i="34"/>
  <c r="F443" i="34"/>
  <c r="F444" i="34"/>
  <c r="F445" i="34"/>
  <c r="F446" i="34"/>
  <c r="F447" i="34"/>
  <c r="F448" i="34"/>
  <c r="F449" i="34"/>
  <c r="F450" i="34"/>
  <c r="F451" i="34"/>
  <c r="F452" i="34"/>
  <c r="F453" i="34"/>
  <c r="F454" i="34"/>
  <c r="F455" i="34"/>
  <c r="F456" i="34"/>
  <c r="F457" i="34"/>
  <c r="F458" i="34"/>
  <c r="F459" i="34"/>
  <c r="F460" i="34"/>
  <c r="F461" i="34"/>
  <c r="B316" i="34"/>
  <c r="B317" i="34"/>
  <c r="B318" i="34"/>
  <c r="B319" i="34"/>
  <c r="B320" i="34"/>
  <c r="B321" i="34"/>
  <c r="B322" i="34"/>
  <c r="B323" i="34"/>
  <c r="B324" i="34"/>
  <c r="B325" i="34"/>
  <c r="B326" i="34"/>
  <c r="B327" i="34"/>
  <c r="B328" i="34"/>
  <c r="B329" i="34"/>
  <c r="B330" i="34"/>
  <c r="B331" i="34"/>
  <c r="B332" i="34"/>
  <c r="B333" i="34"/>
  <c r="B334" i="34"/>
  <c r="B335" i="34"/>
  <c r="B336" i="34"/>
  <c r="B337" i="34"/>
  <c r="B338" i="34"/>
  <c r="B339" i="34"/>
  <c r="B340" i="34"/>
  <c r="B341" i="34"/>
  <c r="B342" i="34"/>
  <c r="B343" i="34"/>
  <c r="B344" i="34"/>
  <c r="B345" i="34"/>
  <c r="B346" i="34"/>
  <c r="B347" i="34"/>
  <c r="B348" i="34"/>
  <c r="B349" i="34"/>
  <c r="B350" i="34"/>
  <c r="B351" i="34"/>
  <c r="B352" i="34"/>
  <c r="B353" i="34"/>
  <c r="B354" i="34"/>
  <c r="B355" i="34"/>
  <c r="B356" i="34"/>
  <c r="B357" i="34"/>
  <c r="B358" i="34"/>
  <c r="B359" i="34"/>
  <c r="B360" i="34"/>
  <c r="B361" i="34"/>
  <c r="B362" i="34"/>
  <c r="B363" i="34"/>
  <c r="B364" i="34"/>
  <c r="B365" i="34"/>
  <c r="B366" i="34"/>
  <c r="B367" i="34"/>
  <c r="B368" i="34"/>
  <c r="B369" i="34"/>
  <c r="B370" i="34"/>
  <c r="B371" i="34"/>
  <c r="B372" i="34"/>
  <c r="B373" i="34"/>
  <c r="B374" i="34"/>
  <c r="B375" i="34"/>
  <c r="B376" i="34"/>
  <c r="B377" i="34"/>
  <c r="B378" i="34"/>
  <c r="B379" i="34"/>
  <c r="B380" i="34"/>
  <c r="B381" i="34"/>
  <c r="B382" i="34"/>
  <c r="B383" i="34"/>
  <c r="B384" i="34"/>
  <c r="B385" i="34"/>
  <c r="B386" i="34"/>
  <c r="B387" i="34"/>
  <c r="B388" i="34"/>
  <c r="B389" i="34"/>
  <c r="B390" i="34"/>
  <c r="B391" i="34"/>
  <c r="B392" i="34"/>
  <c r="B393" i="34"/>
  <c r="B394" i="34"/>
  <c r="B395" i="34"/>
  <c r="B396" i="34"/>
  <c r="B397" i="34"/>
  <c r="B398" i="34"/>
  <c r="B399" i="34"/>
  <c r="B400" i="34"/>
  <c r="B401" i="34"/>
  <c r="B402" i="34"/>
  <c r="B403" i="34"/>
  <c r="B404" i="34"/>
  <c r="B405" i="34"/>
  <c r="B406" i="34"/>
  <c r="B407" i="34"/>
  <c r="B408" i="34"/>
  <c r="B409" i="34"/>
  <c r="B410" i="34"/>
  <c r="B411" i="34"/>
  <c r="B412" i="34"/>
  <c r="B413" i="34"/>
  <c r="B414" i="34"/>
  <c r="B415" i="34"/>
  <c r="B416" i="34"/>
  <c r="B417" i="34"/>
  <c r="B418" i="34"/>
  <c r="B419" i="34"/>
  <c r="B420" i="34"/>
  <c r="B421" i="34"/>
  <c r="B422" i="34"/>
  <c r="B423" i="34"/>
  <c r="B424" i="34"/>
  <c r="B425" i="34"/>
  <c r="B426" i="34"/>
  <c r="B427" i="34"/>
  <c r="B428" i="34"/>
  <c r="B429" i="34"/>
  <c r="B430" i="34"/>
  <c r="B431" i="34"/>
  <c r="B432" i="34"/>
  <c r="B433" i="34"/>
  <c r="B434" i="34"/>
  <c r="B435" i="34"/>
  <c r="B436" i="34"/>
  <c r="B437" i="34"/>
  <c r="B438" i="34"/>
  <c r="B439" i="34"/>
  <c r="B440" i="34"/>
  <c r="B441" i="34"/>
  <c r="B442" i="34"/>
  <c r="B443" i="34"/>
  <c r="B444" i="34"/>
  <c r="B445" i="34"/>
  <c r="B446" i="34"/>
  <c r="B447" i="34"/>
  <c r="B448" i="34"/>
  <c r="B449" i="34"/>
  <c r="B450" i="34"/>
  <c r="B451" i="34"/>
  <c r="B452" i="34"/>
  <c r="B453" i="34"/>
  <c r="B454" i="34"/>
  <c r="B455" i="34"/>
  <c r="B456" i="34"/>
  <c r="B457" i="34"/>
  <c r="B458" i="34"/>
  <c r="B459" i="34"/>
  <c r="B460" i="34"/>
  <c r="B461" i="34"/>
  <c r="D370" i="34" l="1"/>
  <c r="D366" i="34"/>
  <c r="D362" i="34"/>
  <c r="D358" i="34"/>
  <c r="D354" i="34"/>
  <c r="D350" i="34"/>
  <c r="D347" i="34"/>
  <c r="D343" i="34"/>
  <c r="D339" i="34"/>
  <c r="D335" i="34"/>
  <c r="D331" i="34"/>
  <c r="D327" i="34"/>
  <c r="D320" i="34"/>
  <c r="D460" i="34"/>
  <c r="D448" i="34"/>
  <c r="D432" i="34"/>
  <c r="D412" i="34"/>
  <c r="D376" i="34"/>
  <c r="D373" i="34"/>
  <c r="D369" i="34"/>
  <c r="D365" i="34"/>
  <c r="D361" i="34"/>
  <c r="D357" i="34"/>
  <c r="D353" i="34"/>
  <c r="D346" i="34"/>
  <c r="D342" i="34"/>
  <c r="D338" i="34"/>
  <c r="D334" i="34"/>
  <c r="D330" i="34"/>
  <c r="D326" i="34"/>
  <c r="D323" i="34"/>
  <c r="D461" i="34"/>
  <c r="D457" i="34"/>
  <c r="D453" i="34"/>
  <c r="D449" i="34"/>
  <c r="D445" i="34"/>
  <c r="D441" i="34"/>
  <c r="D437" i="34"/>
  <c r="D433" i="34"/>
  <c r="D429" i="34"/>
  <c r="D425" i="34"/>
  <c r="D421" i="34"/>
  <c r="D417" i="34"/>
  <c r="D413" i="34"/>
  <c r="D409" i="34"/>
  <c r="D405" i="34"/>
  <c r="D401" i="34"/>
  <c r="D397" i="34"/>
  <c r="D393" i="34"/>
  <c r="D386" i="34"/>
  <c r="D382" i="34"/>
  <c r="D378" i="34"/>
  <c r="D374" i="34"/>
  <c r="D371" i="34"/>
  <c r="D367" i="34"/>
  <c r="D363" i="34"/>
  <c r="D359" i="34"/>
  <c r="D355" i="34"/>
  <c r="D351" i="34"/>
  <c r="D348" i="34"/>
  <c r="D344" i="34"/>
  <c r="D340" i="34"/>
  <c r="D336" i="34"/>
  <c r="D332" i="34"/>
  <c r="D328" i="34"/>
  <c r="D324" i="34"/>
  <c r="D321" i="34"/>
  <c r="D456" i="34"/>
  <c r="D452" i="34"/>
  <c r="D444" i="34"/>
  <c r="D440" i="34"/>
  <c r="D436" i="34"/>
  <c r="D428" i="34"/>
  <c r="D424" i="34"/>
  <c r="D420" i="34"/>
  <c r="D416" i="34"/>
  <c r="D408" i="34"/>
  <c r="D404" i="34"/>
  <c r="D400" i="34"/>
  <c r="D396" i="34"/>
  <c r="D392" i="34"/>
  <c r="D389" i="34"/>
  <c r="D385" i="34"/>
  <c r="D381" i="34"/>
  <c r="D377" i="34"/>
  <c r="D459" i="34"/>
  <c r="D455" i="34"/>
  <c r="D451" i="34"/>
  <c r="D447" i="34"/>
  <c r="D443" i="34"/>
  <c r="D439" i="34"/>
  <c r="D435" i="34"/>
  <c r="D431" i="34"/>
  <c r="D427" i="34"/>
  <c r="D423" i="34"/>
  <c r="D419" i="34"/>
  <c r="D415" i="34"/>
  <c r="D411" i="34"/>
  <c r="D407" i="34"/>
  <c r="D403" i="34"/>
  <c r="D399" i="34"/>
  <c r="D395" i="34"/>
  <c r="D391" i="34"/>
  <c r="D388" i="34"/>
  <c r="D384" i="34"/>
  <c r="D380" i="34"/>
  <c r="D458" i="34"/>
  <c r="D454" i="34"/>
  <c r="D450" i="34"/>
  <c r="D446" i="34"/>
  <c r="D442" i="34"/>
  <c r="D438" i="34"/>
  <c r="D434" i="34"/>
  <c r="D430" i="34"/>
  <c r="D426" i="34"/>
  <c r="D422" i="34"/>
  <c r="D418" i="34"/>
  <c r="D414" i="34"/>
  <c r="D410" i="34"/>
  <c r="D406" i="34"/>
  <c r="D402" i="34"/>
  <c r="D398" i="34"/>
  <c r="D394" i="34"/>
  <c r="D390" i="34"/>
  <c r="D387" i="34"/>
  <c r="D383" i="34"/>
  <c r="D379" i="34"/>
  <c r="D375" i="34"/>
  <c r="D372" i="34"/>
  <c r="D368" i="34"/>
  <c r="D364" i="34"/>
  <c r="D360" i="34"/>
  <c r="D356" i="34"/>
  <c r="D352" i="34"/>
  <c r="D349" i="34"/>
  <c r="D345" i="34"/>
  <c r="D341" i="34"/>
  <c r="D337" i="34"/>
  <c r="D333" i="34"/>
  <c r="D329" i="34"/>
  <c r="D325" i="34"/>
  <c r="D322" i="34"/>
  <c r="D319" i="34"/>
  <c r="D318" i="34"/>
  <c r="D317" i="34"/>
  <c r="D316" i="34"/>
  <c r="E58" i="18"/>
  <c r="F60" i="18"/>
  <c r="F59" i="18"/>
  <c r="F58" i="18"/>
  <c r="F57" i="18"/>
  <c r="F55" i="18" l="1"/>
  <c r="F54" i="18"/>
  <c r="F53" i="18"/>
  <c r="L197" i="34"/>
  <c r="I197" i="34"/>
  <c r="B197" i="34"/>
  <c r="F197" i="34"/>
  <c r="B198" i="34"/>
  <c r="F198" i="34"/>
  <c r="I198" i="34"/>
  <c r="L198" i="34"/>
  <c r="B199" i="34"/>
  <c r="F49" i="18"/>
  <c r="F45" i="18"/>
  <c r="F41" i="18"/>
  <c r="D198" i="34" l="1"/>
  <c r="D197" i="34"/>
  <c r="E19" i="54"/>
  <c r="E20" i="54"/>
  <c r="E21" i="54"/>
  <c r="E22" i="54"/>
  <c r="E23" i="54"/>
  <c r="E24" i="54"/>
  <c r="E25" i="54"/>
  <c r="E26" i="54"/>
  <c r="E27" i="54"/>
  <c r="E28" i="54"/>
  <c r="E29" i="54"/>
  <c r="E30" i="54"/>
  <c r="E31" i="54"/>
  <c r="E32" i="54"/>
  <c r="E33" i="54"/>
  <c r="E34" i="54"/>
  <c r="E35" i="54"/>
  <c r="E36" i="54"/>
  <c r="E37" i="54"/>
  <c r="E38" i="54"/>
  <c r="E39" i="54"/>
  <c r="E40" i="54"/>
  <c r="E41" i="54"/>
  <c r="E42" i="54"/>
  <c r="E43" i="54"/>
  <c r="E44" i="54"/>
  <c r="E45" i="54"/>
  <c r="E46" i="54"/>
  <c r="E47" i="54"/>
  <c r="E48" i="54"/>
  <c r="E49" i="54"/>
  <c r="E50" i="54"/>
  <c r="E51" i="54"/>
  <c r="E52" i="54"/>
  <c r="E53" i="54"/>
  <c r="E54" i="54"/>
  <c r="E55" i="54"/>
  <c r="E56" i="54"/>
  <c r="E57" i="54"/>
  <c r="E58" i="54"/>
  <c r="E59" i="54"/>
  <c r="E60" i="54"/>
  <c r="E61" i="54"/>
  <c r="E62" i="54"/>
  <c r="E63" i="54"/>
  <c r="E64" i="54"/>
  <c r="E65" i="54"/>
  <c r="E66" i="54"/>
  <c r="E67" i="54"/>
  <c r="E68" i="54"/>
  <c r="E69" i="54"/>
  <c r="E70" i="54"/>
  <c r="E71" i="54"/>
  <c r="E72" i="54"/>
  <c r="E73" i="54"/>
  <c r="E74" i="54"/>
  <c r="E75" i="54"/>
  <c r="E76" i="54"/>
  <c r="E77" i="54"/>
  <c r="E78" i="54"/>
  <c r="E79" i="54"/>
  <c r="E80" i="54"/>
  <c r="E81" i="54"/>
  <c r="E82" i="54"/>
  <c r="E83" i="54"/>
  <c r="E84" i="54"/>
  <c r="E85" i="54"/>
  <c r="E86" i="54"/>
  <c r="E87" i="54"/>
  <c r="E88" i="54"/>
  <c r="E89" i="54"/>
  <c r="E90" i="54"/>
  <c r="E91" i="54"/>
  <c r="E92" i="54"/>
  <c r="E93" i="54"/>
  <c r="E94" i="54"/>
  <c r="E95" i="54"/>
  <c r="E96" i="54"/>
  <c r="E97" i="54"/>
  <c r="E98" i="54"/>
  <c r="E99" i="54"/>
  <c r="E100" i="54"/>
  <c r="E101" i="54"/>
  <c r="E102" i="54"/>
  <c r="E103" i="54"/>
  <c r="E104" i="54"/>
  <c r="E105" i="54"/>
  <c r="E106" i="54"/>
  <c r="E107" i="54"/>
  <c r="E108" i="54"/>
  <c r="E109" i="54"/>
  <c r="E110" i="54"/>
  <c r="E111" i="54"/>
  <c r="E112" i="54"/>
  <c r="E113" i="54"/>
  <c r="E114" i="54"/>
  <c r="E115" i="54"/>
  <c r="E116" i="54"/>
  <c r="E117" i="54"/>
  <c r="E118" i="54"/>
  <c r="E119" i="54"/>
  <c r="E120" i="54"/>
  <c r="E121" i="54"/>
  <c r="E122" i="54"/>
  <c r="E123" i="54"/>
  <c r="E124" i="54"/>
  <c r="E125" i="54"/>
  <c r="E126" i="54"/>
  <c r="E127" i="54"/>
  <c r="E128" i="54"/>
  <c r="E129" i="54"/>
  <c r="E130" i="54"/>
  <c r="E131" i="54"/>
  <c r="E132" i="54"/>
  <c r="E133" i="54"/>
  <c r="E134" i="54"/>
  <c r="E135" i="54"/>
  <c r="E136" i="54"/>
  <c r="E137" i="54"/>
  <c r="E138" i="54"/>
  <c r="E139" i="54"/>
  <c r="E140" i="54"/>
  <c r="E141" i="54"/>
  <c r="E142" i="54"/>
  <c r="E143" i="54"/>
  <c r="E144" i="54"/>
  <c r="E145" i="54"/>
  <c r="E146" i="54"/>
  <c r="E147" i="54"/>
  <c r="E148" i="54"/>
  <c r="E149" i="54"/>
  <c r="E150" i="54"/>
  <c r="E151" i="54"/>
  <c r="E152" i="54"/>
  <c r="E153" i="54"/>
  <c r="E154" i="54"/>
  <c r="E155" i="54"/>
  <c r="E156" i="54"/>
  <c r="E157" i="54"/>
  <c r="E158" i="54"/>
  <c r="E159" i="54"/>
  <c r="E160" i="54"/>
  <c r="E161" i="54"/>
  <c r="E162" i="54"/>
  <c r="E163" i="54"/>
  <c r="E164" i="54"/>
  <c r="E165" i="54"/>
  <c r="E166" i="54"/>
  <c r="E167" i="54"/>
  <c r="E168" i="54"/>
  <c r="E169" i="54"/>
  <c r="E170" i="54"/>
  <c r="E171" i="54"/>
  <c r="E172" i="54"/>
  <c r="E173" i="54"/>
  <c r="E174" i="54"/>
  <c r="E175" i="54"/>
  <c r="E176" i="54"/>
  <c r="E177" i="54"/>
  <c r="E178" i="54"/>
  <c r="E179" i="54"/>
  <c r="E180" i="54"/>
  <c r="E181" i="54"/>
  <c r="E182" i="54"/>
  <c r="E183" i="54"/>
  <c r="E184" i="54"/>
  <c r="E185" i="54"/>
  <c r="E186" i="54"/>
  <c r="E187" i="54"/>
  <c r="E188" i="54"/>
  <c r="E189" i="54"/>
  <c r="E190" i="54"/>
  <c r="E191" i="54"/>
  <c r="E192" i="54"/>
  <c r="E193" i="54"/>
  <c r="E194" i="54"/>
  <c r="E195" i="54"/>
  <c r="E196" i="54"/>
  <c r="E197" i="54"/>
  <c r="E198" i="54"/>
  <c r="E199" i="54"/>
  <c r="E200" i="54"/>
  <c r="E201" i="54"/>
  <c r="E202" i="54"/>
  <c r="E203" i="54"/>
  <c r="E204" i="54"/>
  <c r="E205" i="54"/>
  <c r="E206" i="54"/>
  <c r="E207" i="54"/>
  <c r="E208" i="54"/>
  <c r="E209" i="54"/>
  <c r="E210" i="54"/>
  <c r="E211" i="54"/>
  <c r="E212" i="54"/>
  <c r="E213" i="54"/>
  <c r="E214" i="54"/>
  <c r="E215" i="54"/>
  <c r="E216" i="54"/>
  <c r="E217" i="54"/>
  <c r="E218" i="54"/>
  <c r="E219" i="54"/>
  <c r="E220" i="54"/>
  <c r="E221" i="54"/>
  <c r="E222" i="54"/>
  <c r="E223" i="54"/>
  <c r="E224" i="54"/>
  <c r="E225" i="54"/>
  <c r="E226" i="54"/>
  <c r="E227" i="54"/>
  <c r="E228" i="54"/>
  <c r="E229" i="54"/>
  <c r="E230" i="54"/>
  <c r="E231" i="54"/>
  <c r="E232" i="54"/>
  <c r="E233" i="54"/>
  <c r="E234" i="54"/>
  <c r="E235" i="54"/>
  <c r="E236" i="54"/>
  <c r="E237" i="54"/>
  <c r="E238" i="54"/>
  <c r="E239" i="54"/>
  <c r="E240" i="54"/>
  <c r="E241" i="54"/>
  <c r="E242" i="54"/>
  <c r="E243" i="54"/>
  <c r="E244" i="54"/>
  <c r="E245" i="54"/>
  <c r="E246" i="54"/>
  <c r="E247" i="54"/>
  <c r="E248" i="54"/>
  <c r="E249" i="54"/>
  <c r="E250" i="54"/>
  <c r="E251" i="54"/>
  <c r="E252" i="54"/>
  <c r="E253" i="54"/>
  <c r="E254" i="54"/>
  <c r="E255" i="54"/>
  <c r="E256" i="54"/>
  <c r="E257" i="54"/>
  <c r="E258" i="54"/>
  <c r="E259" i="54"/>
  <c r="E260" i="54"/>
  <c r="E261" i="54"/>
  <c r="E262" i="54"/>
  <c r="E263" i="54"/>
  <c r="E264" i="54"/>
  <c r="E265" i="54"/>
  <c r="E266" i="54"/>
  <c r="E267" i="54"/>
  <c r="E268" i="54"/>
  <c r="E269" i="54"/>
  <c r="E270" i="54"/>
  <c r="E271" i="54"/>
  <c r="E272" i="54"/>
  <c r="E273" i="54"/>
  <c r="E274" i="54"/>
  <c r="E275" i="54"/>
  <c r="E276" i="54"/>
  <c r="E277" i="54"/>
  <c r="E278" i="54"/>
  <c r="E279" i="54"/>
  <c r="E280" i="54"/>
  <c r="E281" i="54"/>
  <c r="E282" i="54"/>
  <c r="E283" i="54"/>
  <c r="E284" i="54"/>
  <c r="E285" i="54"/>
  <c r="E286" i="54"/>
  <c r="E287" i="54"/>
  <c r="E288" i="54"/>
  <c r="E289" i="54"/>
  <c r="E290" i="54"/>
  <c r="E291" i="54"/>
  <c r="E292" i="54"/>
  <c r="E293" i="54"/>
  <c r="E294" i="54"/>
  <c r="E295" i="54"/>
  <c r="E296" i="54"/>
  <c r="E297" i="54"/>
  <c r="E298" i="54"/>
  <c r="E299" i="54"/>
  <c r="E300" i="54"/>
  <c r="E301" i="54"/>
  <c r="E302" i="54"/>
  <c r="E303" i="54"/>
  <c r="E304" i="54"/>
  <c r="E305" i="54"/>
  <c r="E306" i="54"/>
  <c r="E307" i="54"/>
  <c r="E308" i="54"/>
  <c r="E309" i="54"/>
  <c r="E310" i="54"/>
  <c r="E311" i="54"/>
  <c r="E312" i="54"/>
  <c r="E313" i="54"/>
  <c r="E314" i="54"/>
  <c r="E315" i="54"/>
  <c r="E316" i="54"/>
  <c r="E317" i="54"/>
  <c r="E318" i="54"/>
  <c r="E319" i="54"/>
  <c r="E320" i="54"/>
  <c r="E321" i="54"/>
  <c r="E322" i="54"/>
  <c r="E323" i="54"/>
  <c r="E324" i="54"/>
  <c r="E325" i="54"/>
  <c r="E326" i="54"/>
  <c r="E327" i="54"/>
  <c r="E328" i="54"/>
  <c r="E329" i="54"/>
  <c r="E330" i="54"/>
  <c r="E331" i="54"/>
  <c r="E332" i="54"/>
  <c r="E333" i="54"/>
  <c r="E334" i="54"/>
  <c r="E335" i="54"/>
  <c r="E336" i="54"/>
  <c r="E337" i="54"/>
  <c r="E338" i="54"/>
  <c r="E339" i="54"/>
  <c r="E340" i="54"/>
  <c r="E341" i="54"/>
  <c r="E342" i="54"/>
  <c r="E343" i="54"/>
  <c r="E344" i="54"/>
  <c r="E345" i="54"/>
  <c r="E346" i="54"/>
  <c r="E347" i="54"/>
  <c r="E348" i="54"/>
  <c r="E349" i="54"/>
  <c r="E350" i="54"/>
  <c r="E351" i="54"/>
  <c r="E352" i="54"/>
  <c r="E353" i="54"/>
  <c r="E354" i="54"/>
  <c r="E355" i="54"/>
  <c r="E356" i="54"/>
  <c r="E357" i="54"/>
  <c r="E358" i="54"/>
  <c r="E359" i="54"/>
  <c r="E360" i="54"/>
  <c r="E361" i="54"/>
  <c r="E362" i="54"/>
  <c r="E363" i="54"/>
  <c r="E364" i="54"/>
  <c r="E365" i="54"/>
  <c r="E366" i="54"/>
  <c r="E367" i="54"/>
  <c r="E368" i="54"/>
  <c r="E369" i="54"/>
  <c r="E370" i="54"/>
  <c r="E371" i="54"/>
  <c r="E372" i="54"/>
  <c r="E373" i="54"/>
  <c r="E374" i="54"/>
  <c r="E375" i="54"/>
  <c r="E376" i="54"/>
  <c r="E377" i="54"/>
  <c r="E378" i="54"/>
  <c r="E379" i="54"/>
  <c r="E380" i="54"/>
  <c r="E381" i="54"/>
  <c r="E382" i="54"/>
  <c r="E383" i="54"/>
  <c r="E384" i="54"/>
  <c r="E385" i="54"/>
  <c r="E386" i="54"/>
  <c r="E387" i="54"/>
  <c r="E388" i="54"/>
  <c r="E389" i="54"/>
  <c r="E390" i="54"/>
  <c r="E391" i="54"/>
  <c r="E392" i="54"/>
  <c r="E393" i="54"/>
  <c r="E394" i="54"/>
  <c r="E395" i="54"/>
  <c r="E396" i="54"/>
  <c r="E397" i="54"/>
  <c r="E398" i="54"/>
  <c r="E399" i="54"/>
  <c r="E400" i="54"/>
  <c r="E401" i="54"/>
  <c r="E402" i="54"/>
  <c r="E403" i="54"/>
  <c r="E404" i="54"/>
  <c r="E405" i="54"/>
  <c r="E406" i="54"/>
  <c r="E407" i="54"/>
  <c r="E408" i="54"/>
  <c r="E409" i="54"/>
  <c r="E410" i="54"/>
  <c r="E411" i="54"/>
  <c r="E412" i="54"/>
  <c r="E413" i="54"/>
  <c r="E414" i="54"/>
  <c r="E415" i="54"/>
  <c r="E416" i="54"/>
  <c r="E417" i="54"/>
  <c r="E418" i="54"/>
  <c r="E419" i="54"/>
  <c r="E420" i="54"/>
  <c r="E421" i="54"/>
  <c r="E422" i="54"/>
  <c r="E423" i="54"/>
  <c r="E424" i="54"/>
  <c r="E425" i="54"/>
  <c r="E426" i="54"/>
  <c r="E427" i="54"/>
  <c r="E428" i="54"/>
  <c r="E429" i="54"/>
  <c r="E430" i="54"/>
  <c r="E431" i="54"/>
  <c r="E432" i="54"/>
  <c r="E433" i="54"/>
  <c r="E434" i="54"/>
  <c r="E435" i="54"/>
  <c r="E436" i="54"/>
  <c r="E437" i="54"/>
  <c r="E438" i="54"/>
  <c r="E439" i="54"/>
  <c r="E440" i="54"/>
  <c r="E441" i="54"/>
  <c r="E442" i="54"/>
  <c r="E443" i="54"/>
  <c r="E444" i="54"/>
  <c r="E445" i="54"/>
  <c r="E446" i="54"/>
  <c r="E447" i="54"/>
  <c r="E448" i="54"/>
  <c r="E449" i="54"/>
  <c r="E450" i="54"/>
  <c r="E451" i="54"/>
  <c r="E452" i="54"/>
  <c r="E453" i="54"/>
  <c r="E454" i="54"/>
  <c r="E455" i="54"/>
  <c r="E456" i="54"/>
  <c r="E457" i="54"/>
  <c r="E458" i="54"/>
  <c r="E459" i="54"/>
  <c r="E460" i="54"/>
  <c r="E461" i="54"/>
  <c r="E462" i="54"/>
  <c r="E463" i="54"/>
  <c r="E464" i="54"/>
  <c r="E465" i="54"/>
  <c r="E466" i="54"/>
  <c r="E467" i="54"/>
  <c r="E468" i="54"/>
  <c r="E469" i="54"/>
  <c r="E470" i="54"/>
  <c r="E471" i="54"/>
  <c r="E472" i="54"/>
  <c r="E473" i="54"/>
  <c r="E474" i="54"/>
  <c r="E475" i="54"/>
  <c r="E476" i="54"/>
  <c r="E477" i="54"/>
  <c r="E478" i="54"/>
  <c r="E479" i="54"/>
  <c r="E480" i="54"/>
  <c r="E481" i="54"/>
  <c r="E482" i="54"/>
  <c r="E483" i="54"/>
  <c r="E484" i="54"/>
  <c r="E485" i="54"/>
  <c r="E486" i="54"/>
  <c r="E487" i="54"/>
  <c r="E488" i="54"/>
  <c r="E489" i="54"/>
  <c r="E490" i="54"/>
  <c r="E491" i="54"/>
  <c r="E492" i="54"/>
  <c r="E493" i="54"/>
  <c r="E494" i="54"/>
  <c r="E495" i="54"/>
  <c r="E496" i="54"/>
  <c r="E497" i="54"/>
  <c r="E498" i="54"/>
  <c r="E499" i="54"/>
  <c r="E500" i="54"/>
  <c r="E501" i="54"/>
  <c r="E502" i="54"/>
  <c r="E503" i="54"/>
  <c r="E504" i="54"/>
  <c r="E505" i="54"/>
  <c r="E506" i="54"/>
  <c r="E507" i="54"/>
  <c r="E508" i="54"/>
  <c r="E509" i="54"/>
  <c r="M18" i="54"/>
  <c r="Q18" i="54"/>
  <c r="U18" i="54"/>
  <c r="M19" i="54"/>
  <c r="Q19" i="54"/>
  <c r="U19" i="54"/>
  <c r="M20" i="54"/>
  <c r="Q20" i="54"/>
  <c r="U20" i="54"/>
  <c r="M21" i="54"/>
  <c r="Q21" i="54"/>
  <c r="U21" i="54"/>
  <c r="M22" i="54"/>
  <c r="Q22" i="54"/>
  <c r="U22" i="54"/>
  <c r="M23" i="54"/>
  <c r="Q23" i="54"/>
  <c r="U23" i="54"/>
  <c r="M24" i="54"/>
  <c r="Q24" i="54"/>
  <c r="U24" i="54"/>
  <c r="M25" i="54"/>
  <c r="Q25" i="54"/>
  <c r="U25" i="54"/>
  <c r="M26" i="54"/>
  <c r="Q26" i="54"/>
  <c r="U26" i="54"/>
  <c r="M27" i="54"/>
  <c r="Q27" i="54"/>
  <c r="U27" i="54"/>
  <c r="M28" i="54"/>
  <c r="Q28" i="54"/>
  <c r="U28" i="54"/>
  <c r="M29" i="54"/>
  <c r="Q29" i="54"/>
  <c r="U29" i="54"/>
  <c r="M30" i="54"/>
  <c r="Q30" i="54"/>
  <c r="U30" i="54"/>
  <c r="M31" i="54"/>
  <c r="Q31" i="54"/>
  <c r="U31" i="54"/>
  <c r="M32" i="54"/>
  <c r="Q32" i="54"/>
  <c r="U32" i="54"/>
  <c r="M33" i="54"/>
  <c r="Q33" i="54"/>
  <c r="U33" i="54"/>
  <c r="M34" i="54"/>
  <c r="Q34" i="54"/>
  <c r="U34" i="54"/>
  <c r="M35" i="54"/>
  <c r="Q35" i="54"/>
  <c r="U35" i="54"/>
  <c r="M36" i="54"/>
  <c r="Q36" i="54"/>
  <c r="U36" i="54"/>
  <c r="M37" i="54"/>
  <c r="Q37" i="54"/>
  <c r="U37" i="54"/>
  <c r="M38" i="54"/>
  <c r="Q38" i="54"/>
  <c r="U38" i="54"/>
  <c r="M39" i="54"/>
  <c r="Q39" i="54"/>
  <c r="U39" i="54"/>
  <c r="M40" i="54"/>
  <c r="Q40" i="54"/>
  <c r="U40" i="54"/>
  <c r="M41" i="54"/>
  <c r="Q41" i="54"/>
  <c r="U41" i="54"/>
  <c r="M42" i="54"/>
  <c r="Q42" i="54"/>
  <c r="U42" i="54"/>
  <c r="M43" i="54"/>
  <c r="Q43" i="54"/>
  <c r="U43" i="54"/>
  <c r="M44" i="54"/>
  <c r="Q44" i="54"/>
  <c r="U44" i="54"/>
  <c r="M45" i="54"/>
  <c r="Q45" i="54"/>
  <c r="U45" i="54"/>
  <c r="M46" i="54"/>
  <c r="Q46" i="54"/>
  <c r="U46" i="54"/>
  <c r="M47" i="54"/>
  <c r="Q47" i="54"/>
  <c r="U47" i="54"/>
  <c r="M48" i="54"/>
  <c r="Q48" i="54"/>
  <c r="U48" i="54"/>
  <c r="M49" i="54"/>
  <c r="Q49" i="54"/>
  <c r="U49" i="54"/>
  <c r="M50" i="54"/>
  <c r="Q50" i="54"/>
  <c r="U50" i="54"/>
  <c r="M51" i="54"/>
  <c r="Q51" i="54"/>
  <c r="U51" i="54"/>
  <c r="M52" i="54"/>
  <c r="Q52" i="54"/>
  <c r="U52" i="54"/>
  <c r="M53" i="54"/>
  <c r="Q53" i="54"/>
  <c r="U53" i="54"/>
  <c r="M54" i="54"/>
  <c r="Q54" i="54"/>
  <c r="U54" i="54"/>
  <c r="M55" i="54"/>
  <c r="Q55" i="54"/>
  <c r="U55" i="54"/>
  <c r="M56" i="54"/>
  <c r="Q56" i="54"/>
  <c r="U56" i="54"/>
  <c r="M57" i="54"/>
  <c r="Q57" i="54"/>
  <c r="U57" i="54"/>
  <c r="M58" i="54"/>
  <c r="Q58" i="54"/>
  <c r="U58" i="54"/>
  <c r="M59" i="54"/>
  <c r="Q59" i="54"/>
  <c r="U59" i="54"/>
  <c r="M60" i="54"/>
  <c r="Q60" i="54"/>
  <c r="U60" i="54"/>
  <c r="M61" i="54"/>
  <c r="Q61" i="54"/>
  <c r="U61" i="54"/>
  <c r="M62" i="54"/>
  <c r="Q62" i="54"/>
  <c r="U62" i="54"/>
  <c r="M63" i="54"/>
  <c r="Q63" i="54"/>
  <c r="U63" i="54"/>
  <c r="M64" i="54"/>
  <c r="Q64" i="54"/>
  <c r="U64" i="54"/>
  <c r="M65" i="54"/>
  <c r="Q65" i="54"/>
  <c r="U65" i="54"/>
  <c r="M66" i="54"/>
  <c r="Q66" i="54"/>
  <c r="U66" i="54"/>
  <c r="M67" i="54"/>
  <c r="Q67" i="54"/>
  <c r="U67" i="54"/>
  <c r="M68" i="54"/>
  <c r="Q68" i="54"/>
  <c r="U68" i="54"/>
  <c r="M69" i="54"/>
  <c r="Q69" i="54"/>
  <c r="U69" i="54"/>
  <c r="M70" i="54"/>
  <c r="Q70" i="54"/>
  <c r="U70" i="54"/>
  <c r="M71" i="54"/>
  <c r="Q71" i="54"/>
  <c r="U71" i="54"/>
  <c r="M72" i="54"/>
  <c r="Q72" i="54"/>
  <c r="U72" i="54"/>
  <c r="M73" i="54"/>
  <c r="Q73" i="54"/>
  <c r="U73" i="54"/>
  <c r="M74" i="54"/>
  <c r="Q74" i="54"/>
  <c r="U74" i="54"/>
  <c r="M75" i="54"/>
  <c r="Q75" i="54"/>
  <c r="U75" i="54"/>
  <c r="M76" i="54"/>
  <c r="Q76" i="54"/>
  <c r="U76" i="54"/>
  <c r="M77" i="54"/>
  <c r="Q77" i="54"/>
  <c r="U77" i="54"/>
  <c r="M78" i="54"/>
  <c r="Q78" i="54"/>
  <c r="U78" i="54"/>
  <c r="M79" i="54"/>
  <c r="Q79" i="54"/>
  <c r="U79" i="54"/>
  <c r="M80" i="54"/>
  <c r="Q80" i="54"/>
  <c r="U80" i="54"/>
  <c r="M81" i="54"/>
  <c r="Q81" i="54"/>
  <c r="U81" i="54"/>
  <c r="M82" i="54"/>
  <c r="Q82" i="54"/>
  <c r="U82" i="54"/>
  <c r="M83" i="54"/>
  <c r="Q83" i="54"/>
  <c r="U83" i="54"/>
  <c r="M84" i="54"/>
  <c r="Q84" i="54"/>
  <c r="U84" i="54"/>
  <c r="M85" i="54"/>
  <c r="Q85" i="54"/>
  <c r="U85" i="54"/>
  <c r="M86" i="54"/>
  <c r="Q86" i="54"/>
  <c r="U86" i="54"/>
  <c r="M87" i="54"/>
  <c r="Q87" i="54"/>
  <c r="U87" i="54"/>
  <c r="M88" i="54"/>
  <c r="Q88" i="54"/>
  <c r="U88" i="54"/>
  <c r="M89" i="54"/>
  <c r="Q89" i="54"/>
  <c r="U89" i="54"/>
  <c r="M90" i="54"/>
  <c r="Q90" i="54"/>
  <c r="U90" i="54"/>
  <c r="M91" i="54"/>
  <c r="Q91" i="54"/>
  <c r="U91" i="54"/>
  <c r="M92" i="54"/>
  <c r="Q92" i="54"/>
  <c r="U92" i="54"/>
  <c r="M93" i="54"/>
  <c r="Q93" i="54"/>
  <c r="U93" i="54"/>
  <c r="M94" i="54"/>
  <c r="Q94" i="54"/>
  <c r="U94" i="54"/>
  <c r="M95" i="54"/>
  <c r="Q95" i="54"/>
  <c r="U95" i="54"/>
  <c r="M96" i="54"/>
  <c r="Q96" i="54"/>
  <c r="U96" i="54"/>
  <c r="M97" i="54"/>
  <c r="Q97" i="54"/>
  <c r="U97" i="54"/>
  <c r="M98" i="54"/>
  <c r="Q98" i="54"/>
  <c r="U98" i="54"/>
  <c r="M99" i="54"/>
  <c r="Q99" i="54"/>
  <c r="U99" i="54"/>
  <c r="M100" i="54"/>
  <c r="Q100" i="54"/>
  <c r="U100" i="54"/>
  <c r="M101" i="54"/>
  <c r="Q101" i="54"/>
  <c r="U101" i="54"/>
  <c r="K73" i="61"/>
  <c r="K72" i="61"/>
  <c r="K71" i="61"/>
  <c r="K70" i="61"/>
  <c r="K69" i="61"/>
  <c r="K68" i="61"/>
  <c r="K67" i="61"/>
  <c r="K66" i="61"/>
  <c r="K65" i="61"/>
  <c r="K64" i="61"/>
  <c r="K63" i="61"/>
  <c r="K62" i="61"/>
  <c r="K61" i="61"/>
  <c r="K60" i="61"/>
  <c r="K59" i="61"/>
  <c r="K58" i="61"/>
  <c r="K57" i="61"/>
  <c r="K56" i="61"/>
  <c r="K55" i="61"/>
  <c r="K54" i="61"/>
  <c r="K53" i="61"/>
  <c r="K52" i="61"/>
  <c r="K51" i="61"/>
  <c r="K50" i="61"/>
  <c r="K49" i="61"/>
  <c r="K48" i="61"/>
  <c r="K47" i="61"/>
  <c r="K46" i="61"/>
  <c r="K45" i="61"/>
  <c r="K44" i="61"/>
  <c r="K43" i="61"/>
  <c r="K42" i="61"/>
  <c r="K41" i="61"/>
  <c r="K40" i="61"/>
  <c r="K39" i="61"/>
  <c r="K38" i="61"/>
  <c r="K37" i="61"/>
  <c r="K36" i="61"/>
  <c r="K35" i="61"/>
  <c r="K34" i="61"/>
  <c r="K33" i="61"/>
  <c r="K32" i="61"/>
  <c r="K31" i="61"/>
  <c r="K30" i="61"/>
  <c r="K29" i="61"/>
  <c r="K28" i="61"/>
  <c r="K27" i="61"/>
  <c r="K26" i="61"/>
  <c r="K25" i="61"/>
  <c r="K24" i="61"/>
  <c r="K23" i="61"/>
  <c r="K22" i="61"/>
  <c r="K21" i="61"/>
  <c r="K20" i="61"/>
  <c r="K19" i="61"/>
  <c r="K18" i="61"/>
  <c r="K17" i="61"/>
  <c r="K16" i="61"/>
  <c r="K15" i="61"/>
  <c r="K14" i="61"/>
  <c r="K13" i="61"/>
  <c r="K12" i="61"/>
  <c r="I17" i="54"/>
  <c r="I18" i="54"/>
  <c r="M17" i="54"/>
  <c r="Q17" i="54"/>
  <c r="O15" i="60"/>
  <c r="O14" i="60"/>
  <c r="B15" i="54"/>
  <c r="B14" i="54"/>
  <c r="B13" i="54"/>
  <c r="D550" i="60" l="1"/>
  <c r="E550" i="60" s="1"/>
  <c r="F550" i="60" s="1"/>
  <c r="G550" i="60" s="1"/>
  <c r="F549" i="60"/>
  <c r="G549" i="60" s="1"/>
  <c r="E549" i="60"/>
  <c r="E548" i="60"/>
  <c r="F548" i="60" s="1"/>
  <c r="G548" i="60" s="1"/>
  <c r="E547" i="60"/>
  <c r="F547" i="60" s="1"/>
  <c r="G547" i="60" s="1"/>
  <c r="E546" i="60"/>
  <c r="F546" i="60" s="1"/>
  <c r="G546" i="60" s="1"/>
  <c r="G545" i="60"/>
  <c r="F545" i="60"/>
  <c r="E545" i="60"/>
  <c r="E544" i="60"/>
  <c r="F544" i="60" s="1"/>
  <c r="G544" i="60" s="1"/>
  <c r="E543" i="60"/>
  <c r="F543" i="60" s="1"/>
  <c r="G543" i="60" s="1"/>
  <c r="E542" i="60"/>
  <c r="F542" i="60" s="1"/>
  <c r="G542" i="60" s="1"/>
  <c r="G541" i="60"/>
  <c r="F541" i="60"/>
  <c r="E541" i="60"/>
  <c r="E540" i="60"/>
  <c r="F540" i="60" s="1"/>
  <c r="G540" i="60" s="1"/>
  <c r="E539" i="60"/>
  <c r="F539" i="60" s="1"/>
  <c r="G539" i="60" s="1"/>
  <c r="E538" i="60"/>
  <c r="F538" i="60" s="1"/>
  <c r="G538" i="60" s="1"/>
  <c r="G537" i="60"/>
  <c r="F537" i="60"/>
  <c r="E537" i="60"/>
  <c r="F536" i="60"/>
  <c r="G536" i="60" s="1"/>
  <c r="E536" i="60"/>
  <c r="E535" i="60"/>
  <c r="F535" i="60" s="1"/>
  <c r="G535" i="60" s="1"/>
  <c r="E534" i="60"/>
  <c r="F534" i="60" s="1"/>
  <c r="G534" i="60" s="1"/>
  <c r="G533" i="60"/>
  <c r="F533" i="60"/>
  <c r="E533" i="60"/>
  <c r="E532" i="60"/>
  <c r="F532" i="60" s="1"/>
  <c r="G532" i="60" s="1"/>
  <c r="E531" i="60"/>
  <c r="F531" i="60" s="1"/>
  <c r="G531" i="60" s="1"/>
  <c r="E530" i="60"/>
  <c r="F530" i="60" s="1"/>
  <c r="G530" i="60" s="1"/>
  <c r="G529" i="60"/>
  <c r="F529" i="60"/>
  <c r="E529" i="60"/>
  <c r="E528" i="60"/>
  <c r="F528" i="60" s="1"/>
  <c r="G528" i="60" s="1"/>
  <c r="E527" i="60"/>
  <c r="F527" i="60" s="1"/>
  <c r="G527" i="60" s="1"/>
  <c r="E526" i="60"/>
  <c r="F526" i="60" s="1"/>
  <c r="G526" i="60" s="1"/>
  <c r="G525" i="60"/>
  <c r="F525" i="60"/>
  <c r="E525" i="60"/>
  <c r="E524" i="60"/>
  <c r="F524" i="60" s="1"/>
  <c r="G524" i="60" s="1"/>
  <c r="E523" i="60"/>
  <c r="F523" i="60" s="1"/>
  <c r="G523" i="60" s="1"/>
  <c r="E522" i="60"/>
  <c r="F522" i="60" s="1"/>
  <c r="G522" i="60" s="1"/>
  <c r="G521" i="60"/>
  <c r="F521" i="60"/>
  <c r="E521" i="60"/>
  <c r="F520" i="60"/>
  <c r="G520" i="60" s="1"/>
  <c r="E520" i="60"/>
  <c r="E519" i="60"/>
  <c r="F519" i="60" s="1"/>
  <c r="G519" i="60" s="1"/>
  <c r="E518" i="60"/>
  <c r="F518" i="60" s="1"/>
  <c r="G518" i="60" s="1"/>
  <c r="G517" i="60"/>
  <c r="F517" i="60"/>
  <c r="E517" i="60"/>
  <c r="E516" i="60"/>
  <c r="F516" i="60" s="1"/>
  <c r="G516" i="60" s="1"/>
  <c r="E515" i="60"/>
  <c r="F515" i="60" s="1"/>
  <c r="G515" i="60" s="1"/>
  <c r="E514" i="60"/>
  <c r="F514" i="60" s="1"/>
  <c r="G514" i="60" s="1"/>
  <c r="G513" i="60"/>
  <c r="F513" i="60"/>
  <c r="E513" i="60"/>
  <c r="E512" i="60"/>
  <c r="F512" i="60" s="1"/>
  <c r="G512" i="60" s="1"/>
  <c r="E511" i="60"/>
  <c r="F511" i="60" s="1"/>
  <c r="G511" i="60" s="1"/>
  <c r="E510" i="60"/>
  <c r="F510" i="60" s="1"/>
  <c r="G510" i="60" s="1"/>
  <c r="G509" i="60"/>
  <c r="F509" i="60"/>
  <c r="E509" i="60"/>
  <c r="E508" i="60"/>
  <c r="F508" i="60" s="1"/>
  <c r="G508" i="60" s="1"/>
  <c r="E507" i="60"/>
  <c r="F507" i="60" s="1"/>
  <c r="G507" i="60" s="1"/>
  <c r="E506" i="60"/>
  <c r="F506" i="60" s="1"/>
  <c r="G506" i="60" s="1"/>
  <c r="G505" i="60"/>
  <c r="F505" i="60"/>
  <c r="E505" i="60"/>
  <c r="F504" i="60"/>
  <c r="G504" i="60" s="1"/>
  <c r="E504" i="60"/>
  <c r="E503" i="60"/>
  <c r="F503" i="60" s="1"/>
  <c r="G503" i="60" s="1"/>
  <c r="E502" i="60"/>
  <c r="F502" i="60" s="1"/>
  <c r="G502" i="60" s="1"/>
  <c r="G501" i="60"/>
  <c r="F501" i="60"/>
  <c r="E501" i="60"/>
  <c r="E500" i="60"/>
  <c r="F500" i="60" s="1"/>
  <c r="G500" i="60" s="1"/>
  <c r="E499" i="60"/>
  <c r="F499" i="60" s="1"/>
  <c r="G499" i="60" s="1"/>
  <c r="E498" i="60"/>
  <c r="F498" i="60" s="1"/>
  <c r="G498" i="60" s="1"/>
  <c r="G497" i="60"/>
  <c r="F497" i="60"/>
  <c r="E497" i="60"/>
  <c r="E496" i="60"/>
  <c r="F496" i="60" s="1"/>
  <c r="G496" i="60" s="1"/>
  <c r="E495" i="60"/>
  <c r="F495" i="60" s="1"/>
  <c r="G495" i="60" s="1"/>
  <c r="E494" i="60"/>
  <c r="F494" i="60" s="1"/>
  <c r="G494" i="60" s="1"/>
  <c r="G493" i="60"/>
  <c r="F493" i="60"/>
  <c r="E493" i="60"/>
  <c r="E492" i="60"/>
  <c r="F492" i="60" s="1"/>
  <c r="G492" i="60" s="1"/>
  <c r="E491" i="60"/>
  <c r="F491" i="60" s="1"/>
  <c r="G491" i="60" s="1"/>
  <c r="E490" i="60"/>
  <c r="F490" i="60" s="1"/>
  <c r="G490" i="60" s="1"/>
  <c r="G489" i="60"/>
  <c r="F489" i="60"/>
  <c r="E489" i="60"/>
  <c r="F488" i="60"/>
  <c r="G488" i="60" s="1"/>
  <c r="E488" i="60"/>
  <c r="E487" i="60"/>
  <c r="F487" i="60" s="1"/>
  <c r="G487" i="60" s="1"/>
  <c r="E486" i="60"/>
  <c r="F486" i="60" s="1"/>
  <c r="G486" i="60" s="1"/>
  <c r="G485" i="60"/>
  <c r="F485" i="60"/>
  <c r="E485" i="60"/>
  <c r="E484" i="60"/>
  <c r="F484" i="60" s="1"/>
  <c r="G484" i="60" s="1"/>
  <c r="E483" i="60"/>
  <c r="F483" i="60" s="1"/>
  <c r="G483" i="60" s="1"/>
  <c r="E482" i="60"/>
  <c r="F482" i="60" s="1"/>
  <c r="G482" i="60" s="1"/>
  <c r="F481" i="60"/>
  <c r="G481" i="60" s="1"/>
  <c r="E481" i="60"/>
  <c r="E480" i="60"/>
  <c r="F480" i="60" s="1"/>
  <c r="G480" i="60" s="1"/>
  <c r="E479" i="60"/>
  <c r="F479" i="60" s="1"/>
  <c r="G479" i="60" s="1"/>
  <c r="E478" i="60"/>
  <c r="F478" i="60" s="1"/>
  <c r="G478" i="60" s="1"/>
  <c r="F477" i="60"/>
  <c r="G477" i="60" s="1"/>
  <c r="E477" i="60"/>
  <c r="E476" i="60"/>
  <c r="F476" i="60" s="1"/>
  <c r="G476" i="60" s="1"/>
  <c r="E475" i="60"/>
  <c r="F475" i="60" s="1"/>
  <c r="G475" i="60" s="1"/>
  <c r="E474" i="60"/>
  <c r="F474" i="60" s="1"/>
  <c r="G474" i="60" s="1"/>
  <c r="F473" i="60"/>
  <c r="G473" i="60" s="1"/>
  <c r="E473" i="60"/>
  <c r="F472" i="60"/>
  <c r="G472" i="60" s="1"/>
  <c r="E472" i="60"/>
  <c r="E471" i="60"/>
  <c r="F471" i="60" s="1"/>
  <c r="G471" i="60" s="1"/>
  <c r="E470" i="60"/>
  <c r="F470" i="60" s="1"/>
  <c r="G470" i="60" s="1"/>
  <c r="G469" i="60"/>
  <c r="F469" i="60"/>
  <c r="E469" i="60"/>
  <c r="E468" i="60"/>
  <c r="F468" i="60" s="1"/>
  <c r="G468" i="60" s="1"/>
  <c r="E467" i="60"/>
  <c r="F467" i="60" s="1"/>
  <c r="G467" i="60" s="1"/>
  <c r="E466" i="60"/>
  <c r="F466" i="60" s="1"/>
  <c r="G466" i="60" s="1"/>
  <c r="F465" i="60"/>
  <c r="G465" i="60" s="1"/>
  <c r="E465" i="60"/>
  <c r="E464" i="60"/>
  <c r="F464" i="60" s="1"/>
  <c r="G464" i="60" s="1"/>
  <c r="E463" i="60"/>
  <c r="F463" i="60" s="1"/>
  <c r="G463" i="60" s="1"/>
  <c r="E462" i="60"/>
  <c r="F462" i="60" s="1"/>
  <c r="G462" i="60" s="1"/>
  <c r="F461" i="60"/>
  <c r="G461" i="60" s="1"/>
  <c r="E461" i="60"/>
  <c r="F460" i="60"/>
  <c r="G460" i="60" s="1"/>
  <c r="E460" i="60"/>
  <c r="E459" i="60"/>
  <c r="F459" i="60" s="1"/>
  <c r="G459" i="60" s="1"/>
  <c r="E458" i="60"/>
  <c r="F458" i="60" s="1"/>
  <c r="G458" i="60" s="1"/>
  <c r="G457" i="60"/>
  <c r="F457" i="60"/>
  <c r="E457" i="60"/>
  <c r="F456" i="60"/>
  <c r="G456" i="60" s="1"/>
  <c r="E456" i="60"/>
  <c r="E455" i="60"/>
  <c r="F455" i="60" s="1"/>
  <c r="G455" i="60" s="1"/>
  <c r="E454" i="60"/>
  <c r="F454" i="60" s="1"/>
  <c r="G454" i="60" s="1"/>
  <c r="G453" i="60"/>
  <c r="F453" i="60"/>
  <c r="E453" i="60"/>
  <c r="E452" i="60"/>
  <c r="F452" i="60" s="1"/>
  <c r="G452" i="60" s="1"/>
  <c r="E451" i="60"/>
  <c r="F451" i="60" s="1"/>
  <c r="G451" i="60" s="1"/>
  <c r="E450" i="60"/>
  <c r="F450" i="60" s="1"/>
  <c r="G450" i="60" s="1"/>
  <c r="F449" i="60"/>
  <c r="G449" i="60" s="1"/>
  <c r="E449" i="60"/>
  <c r="E448" i="60"/>
  <c r="F448" i="60" s="1"/>
  <c r="G448" i="60" s="1"/>
  <c r="E447" i="60"/>
  <c r="F447" i="60" s="1"/>
  <c r="G447" i="60" s="1"/>
  <c r="E446" i="60"/>
  <c r="F446" i="60" s="1"/>
  <c r="G446" i="60" s="1"/>
  <c r="F445" i="60"/>
  <c r="G445" i="60" s="1"/>
  <c r="E445" i="60"/>
  <c r="F444" i="60"/>
  <c r="G444" i="60" s="1"/>
  <c r="E444" i="60"/>
  <c r="E443" i="60"/>
  <c r="F443" i="60" s="1"/>
  <c r="G443" i="60" s="1"/>
  <c r="E442" i="60"/>
  <c r="F442" i="60" s="1"/>
  <c r="G442" i="60" s="1"/>
  <c r="G441" i="60"/>
  <c r="F441" i="60"/>
  <c r="E441" i="60"/>
  <c r="F440" i="60"/>
  <c r="G440" i="60" s="1"/>
  <c r="E440" i="60"/>
  <c r="E439" i="60"/>
  <c r="F439" i="60" s="1"/>
  <c r="G439" i="60" s="1"/>
  <c r="E438" i="60"/>
  <c r="F438" i="60" s="1"/>
  <c r="G438" i="60" s="1"/>
  <c r="G437" i="60"/>
  <c r="F437" i="60"/>
  <c r="E437" i="60"/>
  <c r="E436" i="60"/>
  <c r="F436" i="60" s="1"/>
  <c r="G436" i="60" s="1"/>
  <c r="E435" i="60"/>
  <c r="F435" i="60" s="1"/>
  <c r="G435" i="60" s="1"/>
  <c r="E434" i="60"/>
  <c r="F434" i="60" s="1"/>
  <c r="G434" i="60" s="1"/>
  <c r="F433" i="60"/>
  <c r="G433" i="60" s="1"/>
  <c r="E433" i="60"/>
  <c r="E432" i="60"/>
  <c r="F432" i="60" s="1"/>
  <c r="G432" i="60" s="1"/>
  <c r="E431" i="60"/>
  <c r="F431" i="60" s="1"/>
  <c r="G431" i="60" s="1"/>
  <c r="E430" i="60"/>
  <c r="F430" i="60" s="1"/>
  <c r="G430" i="60" s="1"/>
  <c r="F429" i="60"/>
  <c r="G429" i="60" s="1"/>
  <c r="E429" i="60"/>
  <c r="F428" i="60"/>
  <c r="G428" i="60" s="1"/>
  <c r="E428" i="60"/>
  <c r="E427" i="60"/>
  <c r="F427" i="60" s="1"/>
  <c r="G427" i="60" s="1"/>
  <c r="E426" i="60"/>
  <c r="F426" i="60" s="1"/>
  <c r="G426" i="60" s="1"/>
  <c r="G425" i="60"/>
  <c r="F425" i="60"/>
  <c r="E425" i="60"/>
  <c r="F424" i="60"/>
  <c r="G424" i="60" s="1"/>
  <c r="E424" i="60"/>
  <c r="E423" i="60"/>
  <c r="F423" i="60" s="1"/>
  <c r="G423" i="60" s="1"/>
  <c r="E422" i="60"/>
  <c r="F422" i="60" s="1"/>
  <c r="G422" i="60" s="1"/>
  <c r="G421" i="60"/>
  <c r="F421" i="60"/>
  <c r="E421" i="60"/>
  <c r="E420" i="60"/>
  <c r="F420" i="60" s="1"/>
  <c r="G420" i="60" s="1"/>
  <c r="E419" i="60"/>
  <c r="F419" i="60" s="1"/>
  <c r="G419" i="60" s="1"/>
  <c r="E418" i="60"/>
  <c r="F418" i="60" s="1"/>
  <c r="G418" i="60" s="1"/>
  <c r="F417" i="60"/>
  <c r="G417" i="60" s="1"/>
  <c r="E417" i="60"/>
  <c r="E416" i="60"/>
  <c r="F416" i="60" s="1"/>
  <c r="G416" i="60" s="1"/>
  <c r="E415" i="60"/>
  <c r="F415" i="60" s="1"/>
  <c r="G415" i="60" s="1"/>
  <c r="E414" i="60"/>
  <c r="F414" i="60" s="1"/>
  <c r="G414" i="60" s="1"/>
  <c r="F413" i="60"/>
  <c r="G413" i="60" s="1"/>
  <c r="E413" i="60"/>
  <c r="F412" i="60"/>
  <c r="G412" i="60" s="1"/>
  <c r="E412" i="60"/>
  <c r="E411" i="60"/>
  <c r="F411" i="60" s="1"/>
  <c r="G411" i="60" s="1"/>
  <c r="E410" i="60"/>
  <c r="F410" i="60" s="1"/>
  <c r="G410" i="60" s="1"/>
  <c r="G409" i="60"/>
  <c r="F409" i="60"/>
  <c r="E409" i="60"/>
  <c r="F408" i="60"/>
  <c r="G408" i="60" s="1"/>
  <c r="E408" i="60"/>
  <c r="E407" i="60"/>
  <c r="F407" i="60" s="1"/>
  <c r="G407" i="60" s="1"/>
  <c r="E406" i="60"/>
  <c r="F406" i="60" s="1"/>
  <c r="G406" i="60" s="1"/>
  <c r="G405" i="60"/>
  <c r="F405" i="60"/>
  <c r="E405" i="60"/>
  <c r="E404" i="60"/>
  <c r="F404" i="60" s="1"/>
  <c r="G404" i="60" s="1"/>
  <c r="E403" i="60"/>
  <c r="F403" i="60" s="1"/>
  <c r="G403" i="60" s="1"/>
  <c r="E402" i="60"/>
  <c r="F402" i="60" s="1"/>
  <c r="G402" i="60" s="1"/>
  <c r="F401" i="60"/>
  <c r="G401" i="60" s="1"/>
  <c r="E401" i="60"/>
  <c r="E400" i="60"/>
  <c r="F400" i="60" s="1"/>
  <c r="G400" i="60" s="1"/>
  <c r="E399" i="60"/>
  <c r="F399" i="60" s="1"/>
  <c r="G399" i="60" s="1"/>
  <c r="E398" i="60"/>
  <c r="F398" i="60" s="1"/>
  <c r="G398" i="60" s="1"/>
  <c r="F397" i="60"/>
  <c r="G397" i="60" s="1"/>
  <c r="E397" i="60"/>
  <c r="F396" i="60"/>
  <c r="G396" i="60" s="1"/>
  <c r="E396" i="60"/>
  <c r="E395" i="60"/>
  <c r="F395" i="60" s="1"/>
  <c r="G395" i="60" s="1"/>
  <c r="E394" i="60"/>
  <c r="F394" i="60" s="1"/>
  <c r="G394" i="60" s="1"/>
  <c r="G393" i="60"/>
  <c r="F393" i="60"/>
  <c r="E393" i="60"/>
  <c r="F392" i="60"/>
  <c r="G392" i="60" s="1"/>
  <c r="E392" i="60"/>
  <c r="E391" i="60"/>
  <c r="F391" i="60" s="1"/>
  <c r="G391" i="60" s="1"/>
  <c r="E390" i="60"/>
  <c r="F390" i="60" s="1"/>
  <c r="G390" i="60" s="1"/>
  <c r="G389" i="60"/>
  <c r="F389" i="60"/>
  <c r="E389" i="60"/>
  <c r="E388" i="60"/>
  <c r="F388" i="60" s="1"/>
  <c r="G388" i="60" s="1"/>
  <c r="E387" i="60"/>
  <c r="F387" i="60" s="1"/>
  <c r="G387" i="60" s="1"/>
  <c r="E386" i="60"/>
  <c r="F386" i="60" s="1"/>
  <c r="G386" i="60" s="1"/>
  <c r="F385" i="60"/>
  <c r="G385" i="60" s="1"/>
  <c r="E385" i="60"/>
  <c r="E384" i="60"/>
  <c r="F384" i="60" s="1"/>
  <c r="G384" i="60" s="1"/>
  <c r="E383" i="60"/>
  <c r="F383" i="60" s="1"/>
  <c r="G383" i="60" s="1"/>
  <c r="E382" i="60"/>
  <c r="F382" i="60" s="1"/>
  <c r="G382" i="60" s="1"/>
  <c r="F381" i="60"/>
  <c r="G381" i="60" s="1"/>
  <c r="E381" i="60"/>
  <c r="E380" i="60"/>
  <c r="F380" i="60" s="1"/>
  <c r="G380" i="60" s="1"/>
  <c r="F379" i="60"/>
  <c r="G379" i="60" s="1"/>
  <c r="E379" i="60"/>
  <c r="E378" i="60"/>
  <c r="F378" i="60" s="1"/>
  <c r="G378" i="60" s="1"/>
  <c r="G377" i="60"/>
  <c r="F377" i="60"/>
  <c r="E377" i="60"/>
  <c r="G376" i="60"/>
  <c r="F376" i="60"/>
  <c r="E376" i="60"/>
  <c r="E375" i="60"/>
  <c r="F375" i="60" s="1"/>
  <c r="G375" i="60" s="1"/>
  <c r="G374" i="60"/>
  <c r="E374" i="60"/>
  <c r="F374" i="60" s="1"/>
  <c r="F373" i="60"/>
  <c r="G373" i="60" s="1"/>
  <c r="E373" i="60"/>
  <c r="E372" i="60"/>
  <c r="F372" i="60" s="1"/>
  <c r="G372" i="60" s="1"/>
  <c r="F371" i="60"/>
  <c r="G371" i="60" s="1"/>
  <c r="E371" i="60"/>
  <c r="E370" i="60"/>
  <c r="F370" i="60" s="1"/>
  <c r="G370" i="60" s="1"/>
  <c r="G369" i="60"/>
  <c r="F369" i="60"/>
  <c r="E369" i="60"/>
  <c r="F368" i="60"/>
  <c r="G368" i="60" s="1"/>
  <c r="E368" i="60"/>
  <c r="E367" i="60"/>
  <c r="F367" i="60" s="1"/>
  <c r="G367" i="60" s="1"/>
  <c r="G366" i="60"/>
  <c r="E366" i="60"/>
  <c r="F366" i="60" s="1"/>
  <c r="F365" i="60"/>
  <c r="G365" i="60" s="1"/>
  <c r="E365" i="60"/>
  <c r="E364" i="60"/>
  <c r="F364" i="60" s="1"/>
  <c r="G364" i="60" s="1"/>
  <c r="F363" i="60"/>
  <c r="G363" i="60" s="1"/>
  <c r="E363" i="60"/>
  <c r="E362" i="60"/>
  <c r="F362" i="60" s="1"/>
  <c r="G362" i="60" s="1"/>
  <c r="G361" i="60"/>
  <c r="F361" i="60"/>
  <c r="E361" i="60"/>
  <c r="F360" i="60"/>
  <c r="G360" i="60" s="1"/>
  <c r="E360" i="60"/>
  <c r="E359" i="60"/>
  <c r="F359" i="60" s="1"/>
  <c r="G359" i="60" s="1"/>
  <c r="G358" i="60"/>
  <c r="E358" i="60"/>
  <c r="F358" i="60" s="1"/>
  <c r="F357" i="60"/>
  <c r="G357" i="60" s="1"/>
  <c r="E357" i="60"/>
  <c r="E356" i="60"/>
  <c r="F356" i="60" s="1"/>
  <c r="G356" i="60" s="1"/>
  <c r="F355" i="60"/>
  <c r="G355" i="60" s="1"/>
  <c r="E355" i="60"/>
  <c r="E354" i="60"/>
  <c r="F354" i="60" s="1"/>
  <c r="G354" i="60" s="1"/>
  <c r="G353" i="60"/>
  <c r="F353" i="60"/>
  <c r="E353" i="60"/>
  <c r="F352" i="60"/>
  <c r="G352" i="60" s="1"/>
  <c r="E352" i="60"/>
  <c r="E351" i="60"/>
  <c r="F351" i="60" s="1"/>
  <c r="G351" i="60" s="1"/>
  <c r="G350" i="60"/>
  <c r="E350" i="60"/>
  <c r="F350" i="60" s="1"/>
  <c r="F349" i="60"/>
  <c r="G349" i="60" s="1"/>
  <c r="E349" i="60"/>
  <c r="E348" i="60"/>
  <c r="F348" i="60" s="1"/>
  <c r="G348" i="60" s="1"/>
  <c r="F347" i="60"/>
  <c r="G347" i="60" s="1"/>
  <c r="E347" i="60"/>
  <c r="E346" i="60"/>
  <c r="F346" i="60" s="1"/>
  <c r="G346" i="60" s="1"/>
  <c r="G345" i="60"/>
  <c r="F345" i="60"/>
  <c r="E345" i="60"/>
  <c r="G344" i="60"/>
  <c r="F344" i="60"/>
  <c r="E344" i="60"/>
  <c r="E343" i="60"/>
  <c r="F343" i="60" s="1"/>
  <c r="G343" i="60" s="1"/>
  <c r="G342" i="60"/>
  <c r="E342" i="60"/>
  <c r="F342" i="60" s="1"/>
  <c r="F341" i="60"/>
  <c r="G341" i="60" s="1"/>
  <c r="E341" i="60"/>
  <c r="E340" i="60"/>
  <c r="F340" i="60" s="1"/>
  <c r="G340" i="60" s="1"/>
  <c r="F339" i="60"/>
  <c r="G339" i="60" s="1"/>
  <c r="E339" i="60"/>
  <c r="E338" i="60"/>
  <c r="F338" i="60" s="1"/>
  <c r="G338" i="60" s="1"/>
  <c r="G337" i="60"/>
  <c r="F337" i="60"/>
  <c r="E337" i="60"/>
  <c r="F336" i="60"/>
  <c r="G336" i="60" s="1"/>
  <c r="E336" i="60"/>
  <c r="E335" i="60"/>
  <c r="F335" i="60" s="1"/>
  <c r="G335" i="60" s="1"/>
  <c r="G334" i="60"/>
  <c r="E334" i="60"/>
  <c r="F334" i="60" s="1"/>
  <c r="F333" i="60"/>
  <c r="G333" i="60" s="1"/>
  <c r="E333" i="60"/>
  <c r="E332" i="60"/>
  <c r="F332" i="60" s="1"/>
  <c r="G332" i="60" s="1"/>
  <c r="F331" i="60"/>
  <c r="G331" i="60" s="1"/>
  <c r="E331" i="60"/>
  <c r="E330" i="60"/>
  <c r="F330" i="60" s="1"/>
  <c r="G330" i="60" s="1"/>
  <c r="G329" i="60"/>
  <c r="F329" i="60"/>
  <c r="E329" i="60"/>
  <c r="F328" i="60"/>
  <c r="G328" i="60" s="1"/>
  <c r="E328" i="60"/>
  <c r="E327" i="60"/>
  <c r="F327" i="60" s="1"/>
  <c r="G327" i="60" s="1"/>
  <c r="G326" i="60"/>
  <c r="E326" i="60"/>
  <c r="F326" i="60" s="1"/>
  <c r="F325" i="60"/>
  <c r="G325" i="60" s="1"/>
  <c r="E325" i="60"/>
  <c r="E324" i="60"/>
  <c r="F324" i="60" s="1"/>
  <c r="G324" i="60" s="1"/>
  <c r="F323" i="60"/>
  <c r="G323" i="60" s="1"/>
  <c r="E323" i="60"/>
  <c r="E322" i="60"/>
  <c r="F322" i="60" s="1"/>
  <c r="G322" i="60" s="1"/>
  <c r="G321" i="60"/>
  <c r="F321" i="60"/>
  <c r="E321" i="60"/>
  <c r="F320" i="60"/>
  <c r="G320" i="60" s="1"/>
  <c r="E320" i="60"/>
  <c r="E319" i="60"/>
  <c r="F319" i="60" s="1"/>
  <c r="G319" i="60" s="1"/>
  <c r="G318" i="60"/>
  <c r="E318" i="60"/>
  <c r="F318" i="60" s="1"/>
  <c r="F317" i="60"/>
  <c r="G317" i="60" s="1"/>
  <c r="E317" i="60"/>
  <c r="E316" i="60"/>
  <c r="F316" i="60" s="1"/>
  <c r="G316" i="60" s="1"/>
  <c r="F315" i="60"/>
  <c r="G315" i="60" s="1"/>
  <c r="E315" i="60"/>
  <c r="E314" i="60"/>
  <c r="F314" i="60" s="1"/>
  <c r="G314" i="60" s="1"/>
  <c r="G313" i="60"/>
  <c r="F313" i="60"/>
  <c r="E313" i="60"/>
  <c r="G312" i="60"/>
  <c r="F312" i="60"/>
  <c r="E312" i="60"/>
  <c r="E311" i="60"/>
  <c r="F311" i="60" s="1"/>
  <c r="G311" i="60" s="1"/>
  <c r="G310" i="60"/>
  <c r="E310" i="60"/>
  <c r="F310" i="60" s="1"/>
  <c r="F309" i="60"/>
  <c r="G309" i="60" s="1"/>
  <c r="E309" i="60"/>
  <c r="E308" i="60"/>
  <c r="F308" i="60" s="1"/>
  <c r="G308" i="60" s="1"/>
  <c r="F307" i="60"/>
  <c r="G307" i="60" s="1"/>
  <c r="E307" i="60"/>
  <c r="E306" i="60"/>
  <c r="F306" i="60" s="1"/>
  <c r="G306" i="60" s="1"/>
  <c r="G305" i="60"/>
  <c r="F305" i="60"/>
  <c r="E305" i="60"/>
  <c r="F304" i="60"/>
  <c r="G304" i="60" s="1"/>
  <c r="E304" i="60"/>
  <c r="E303" i="60"/>
  <c r="F303" i="60" s="1"/>
  <c r="G303" i="60" s="1"/>
  <c r="G302" i="60"/>
  <c r="E302" i="60"/>
  <c r="F302" i="60" s="1"/>
  <c r="F301" i="60"/>
  <c r="G301" i="60" s="1"/>
  <c r="E301" i="60"/>
  <c r="E300" i="60"/>
  <c r="F300" i="60" s="1"/>
  <c r="G300" i="60" s="1"/>
  <c r="F299" i="60"/>
  <c r="G299" i="60" s="1"/>
  <c r="E299" i="60"/>
  <c r="E298" i="60"/>
  <c r="F298" i="60" s="1"/>
  <c r="G298" i="60" s="1"/>
  <c r="G297" i="60"/>
  <c r="F297" i="60"/>
  <c r="E297" i="60"/>
  <c r="F296" i="60"/>
  <c r="G296" i="60" s="1"/>
  <c r="E296" i="60"/>
  <c r="E295" i="60"/>
  <c r="F295" i="60" s="1"/>
  <c r="G295" i="60" s="1"/>
  <c r="G294" i="60"/>
  <c r="F294" i="60"/>
  <c r="E294" i="60"/>
  <c r="F293" i="60"/>
  <c r="G293" i="60" s="1"/>
  <c r="E293" i="60"/>
  <c r="F292" i="60"/>
  <c r="G292" i="60" s="1"/>
  <c r="E292" i="60"/>
  <c r="E291" i="60"/>
  <c r="F291" i="60" s="1"/>
  <c r="G291" i="60" s="1"/>
  <c r="G290" i="60"/>
  <c r="F290" i="60"/>
  <c r="E290" i="60"/>
  <c r="F289" i="60"/>
  <c r="G289" i="60" s="1"/>
  <c r="E289" i="60"/>
  <c r="E288" i="60"/>
  <c r="F288" i="60" s="1"/>
  <c r="G288" i="60" s="1"/>
  <c r="E287" i="60"/>
  <c r="F287" i="60" s="1"/>
  <c r="G287" i="60" s="1"/>
  <c r="G286" i="60"/>
  <c r="F286" i="60"/>
  <c r="E286" i="60"/>
  <c r="F285" i="60"/>
  <c r="G285" i="60" s="1"/>
  <c r="E285" i="60"/>
  <c r="E284" i="60"/>
  <c r="F284" i="60" s="1"/>
  <c r="G284" i="60" s="1"/>
  <c r="E283" i="60"/>
  <c r="F283" i="60" s="1"/>
  <c r="G283" i="60" s="1"/>
  <c r="G282" i="60"/>
  <c r="F282" i="60"/>
  <c r="E282" i="60"/>
  <c r="G281" i="60"/>
  <c r="F281" i="60"/>
  <c r="E281" i="60"/>
  <c r="E280" i="60"/>
  <c r="F280" i="60" s="1"/>
  <c r="G280" i="60" s="1"/>
  <c r="E279" i="60"/>
  <c r="F279" i="60" s="1"/>
  <c r="G279" i="60" s="1"/>
  <c r="G278" i="60"/>
  <c r="F278" i="60"/>
  <c r="E278" i="60"/>
  <c r="F277" i="60"/>
  <c r="G277" i="60" s="1"/>
  <c r="E277" i="60"/>
  <c r="F276" i="60"/>
  <c r="G276" i="60" s="1"/>
  <c r="E276" i="60"/>
  <c r="E275" i="60"/>
  <c r="F275" i="60" s="1"/>
  <c r="G275" i="60" s="1"/>
  <c r="G274" i="60"/>
  <c r="F274" i="60"/>
  <c r="E274" i="60"/>
  <c r="F273" i="60"/>
  <c r="G273" i="60" s="1"/>
  <c r="E273" i="60"/>
  <c r="E272" i="60"/>
  <c r="F272" i="60" s="1"/>
  <c r="G272" i="60" s="1"/>
  <c r="E271" i="60"/>
  <c r="F271" i="60" s="1"/>
  <c r="G271" i="60" s="1"/>
  <c r="G270" i="60"/>
  <c r="F270" i="60"/>
  <c r="E270" i="60"/>
  <c r="F269" i="60"/>
  <c r="G269" i="60" s="1"/>
  <c r="E269" i="60"/>
  <c r="E268" i="60"/>
  <c r="F268" i="60" s="1"/>
  <c r="G268" i="60" s="1"/>
  <c r="E267" i="60"/>
  <c r="F267" i="60" s="1"/>
  <c r="G267" i="60" s="1"/>
  <c r="G266" i="60"/>
  <c r="F266" i="60"/>
  <c r="E266" i="60"/>
  <c r="G265" i="60"/>
  <c r="F265" i="60"/>
  <c r="E265" i="60"/>
  <c r="E264" i="60"/>
  <c r="F264" i="60" s="1"/>
  <c r="G264" i="60" s="1"/>
  <c r="E263" i="60"/>
  <c r="F263" i="60" s="1"/>
  <c r="G263" i="60" s="1"/>
  <c r="G262" i="60"/>
  <c r="F262" i="60"/>
  <c r="E262" i="60"/>
  <c r="F261" i="60"/>
  <c r="G261" i="60" s="1"/>
  <c r="E261" i="60"/>
  <c r="F260" i="60"/>
  <c r="G260" i="60" s="1"/>
  <c r="E260" i="60"/>
  <c r="E259" i="60"/>
  <c r="F259" i="60" s="1"/>
  <c r="G259" i="60" s="1"/>
  <c r="G258" i="60"/>
  <c r="F258" i="60"/>
  <c r="E258" i="60"/>
  <c r="F257" i="60"/>
  <c r="G257" i="60" s="1"/>
  <c r="E257" i="60"/>
  <c r="E256" i="60"/>
  <c r="F256" i="60" s="1"/>
  <c r="G256" i="60" s="1"/>
  <c r="E255" i="60"/>
  <c r="F255" i="60" s="1"/>
  <c r="G255" i="60" s="1"/>
  <c r="G254" i="60"/>
  <c r="F254" i="60"/>
  <c r="E254" i="60"/>
  <c r="F253" i="60"/>
  <c r="G253" i="60" s="1"/>
  <c r="E253" i="60"/>
  <c r="E252" i="60"/>
  <c r="F252" i="60" s="1"/>
  <c r="G252" i="60" s="1"/>
  <c r="E251" i="60"/>
  <c r="F251" i="60" s="1"/>
  <c r="G251" i="60" s="1"/>
  <c r="G250" i="60"/>
  <c r="F250" i="60"/>
  <c r="E250" i="60"/>
  <c r="G249" i="60"/>
  <c r="F249" i="60"/>
  <c r="E249" i="60"/>
  <c r="E248" i="60"/>
  <c r="F248" i="60" s="1"/>
  <c r="G248" i="60" s="1"/>
  <c r="E247" i="60"/>
  <c r="F247" i="60" s="1"/>
  <c r="G247" i="60" s="1"/>
  <c r="G246" i="60"/>
  <c r="F246" i="60"/>
  <c r="E246" i="60"/>
  <c r="F245" i="60"/>
  <c r="G245" i="60" s="1"/>
  <c r="E245" i="60"/>
  <c r="F244" i="60"/>
  <c r="G244" i="60" s="1"/>
  <c r="E244" i="60"/>
  <c r="E243" i="60"/>
  <c r="F243" i="60" s="1"/>
  <c r="G243" i="60" s="1"/>
  <c r="G242" i="60"/>
  <c r="F242" i="60"/>
  <c r="E242" i="60"/>
  <c r="F241" i="60"/>
  <c r="G241" i="60" s="1"/>
  <c r="E241" i="60"/>
  <c r="E240" i="60"/>
  <c r="F240" i="60" s="1"/>
  <c r="G240" i="60" s="1"/>
  <c r="E239" i="60"/>
  <c r="F239" i="60" s="1"/>
  <c r="G239" i="60" s="1"/>
  <c r="F238" i="60"/>
  <c r="G238" i="60" s="1"/>
  <c r="E238" i="60"/>
  <c r="E237" i="60"/>
  <c r="F237" i="60" s="1"/>
  <c r="G237" i="60" s="1"/>
  <c r="E236" i="60"/>
  <c r="F236" i="60" s="1"/>
  <c r="G236" i="60" s="1"/>
  <c r="E235" i="60"/>
  <c r="F235" i="60" s="1"/>
  <c r="G235" i="60" s="1"/>
  <c r="G234" i="60"/>
  <c r="F234" i="60"/>
  <c r="E234" i="60"/>
  <c r="E233" i="60"/>
  <c r="F233" i="60" s="1"/>
  <c r="G233" i="60" s="1"/>
  <c r="E232" i="60"/>
  <c r="F232" i="60" s="1"/>
  <c r="G232" i="60" s="1"/>
  <c r="E231" i="60"/>
  <c r="F231" i="60" s="1"/>
  <c r="G231" i="60" s="1"/>
  <c r="F230" i="60"/>
  <c r="G230" i="60" s="1"/>
  <c r="E230" i="60"/>
  <c r="E229" i="60"/>
  <c r="F229" i="60" s="1"/>
  <c r="G229" i="60" s="1"/>
  <c r="F228" i="60"/>
  <c r="G228" i="60" s="1"/>
  <c r="E228" i="60"/>
  <c r="E227" i="60"/>
  <c r="F227" i="60" s="1"/>
  <c r="G227" i="60" s="1"/>
  <c r="F226" i="60"/>
  <c r="G226" i="60" s="1"/>
  <c r="E226" i="60"/>
  <c r="E225" i="60"/>
  <c r="F225" i="60" s="1"/>
  <c r="G225" i="60" s="1"/>
  <c r="E224" i="60"/>
  <c r="F224" i="60" s="1"/>
  <c r="G224" i="60" s="1"/>
  <c r="E223" i="60"/>
  <c r="F223" i="60" s="1"/>
  <c r="G223" i="60" s="1"/>
  <c r="F222" i="60"/>
  <c r="G222" i="60" s="1"/>
  <c r="E222" i="60"/>
  <c r="E221" i="60"/>
  <c r="F221" i="60" s="1"/>
  <c r="G221" i="60" s="1"/>
  <c r="E220" i="60"/>
  <c r="F220" i="60" s="1"/>
  <c r="G220" i="60" s="1"/>
  <c r="E219" i="60"/>
  <c r="F219" i="60" s="1"/>
  <c r="G219" i="60" s="1"/>
  <c r="F218" i="60"/>
  <c r="G218" i="60" s="1"/>
  <c r="E218" i="60"/>
  <c r="E217" i="60"/>
  <c r="F217" i="60" s="1"/>
  <c r="G217" i="60" s="1"/>
  <c r="E216" i="60"/>
  <c r="F216" i="60" s="1"/>
  <c r="G216" i="60" s="1"/>
  <c r="G215" i="60"/>
  <c r="E215" i="60"/>
  <c r="F215" i="60" s="1"/>
  <c r="F214" i="60"/>
  <c r="G214" i="60" s="1"/>
  <c r="E214" i="60"/>
  <c r="G213" i="60"/>
  <c r="E213" i="60"/>
  <c r="F213" i="60" s="1"/>
  <c r="E212" i="60"/>
  <c r="F212" i="60" s="1"/>
  <c r="G212" i="60" s="1"/>
  <c r="E211" i="60"/>
  <c r="F211" i="60" s="1"/>
  <c r="G211" i="60" s="1"/>
  <c r="F210" i="60"/>
  <c r="G210" i="60" s="1"/>
  <c r="E210" i="60"/>
  <c r="E209" i="60"/>
  <c r="F209" i="60" s="1"/>
  <c r="G209" i="60" s="1"/>
  <c r="E208" i="60"/>
  <c r="F208" i="60" s="1"/>
  <c r="G208" i="60" s="1"/>
  <c r="G207" i="60"/>
  <c r="E207" i="60"/>
  <c r="F207" i="60" s="1"/>
  <c r="F206" i="60"/>
  <c r="G206" i="60" s="1"/>
  <c r="E206" i="60"/>
  <c r="G205" i="60"/>
  <c r="E205" i="60"/>
  <c r="F205" i="60" s="1"/>
  <c r="E204" i="60"/>
  <c r="F204" i="60" s="1"/>
  <c r="G204" i="60" s="1"/>
  <c r="E203" i="60"/>
  <c r="F203" i="60" s="1"/>
  <c r="G203" i="60" s="1"/>
  <c r="F202" i="60"/>
  <c r="G202" i="60" s="1"/>
  <c r="E202" i="60"/>
  <c r="E201" i="60"/>
  <c r="F201" i="60" s="1"/>
  <c r="G201" i="60" s="1"/>
  <c r="E200" i="60"/>
  <c r="F200" i="60" s="1"/>
  <c r="G200" i="60" s="1"/>
  <c r="G199" i="60"/>
  <c r="E199" i="60"/>
  <c r="F199" i="60" s="1"/>
  <c r="F198" i="60"/>
  <c r="G198" i="60" s="1"/>
  <c r="E198" i="60"/>
  <c r="G197" i="60"/>
  <c r="E197" i="60"/>
  <c r="F197" i="60" s="1"/>
  <c r="E196" i="60"/>
  <c r="F196" i="60" s="1"/>
  <c r="G196" i="60" s="1"/>
  <c r="E195" i="60"/>
  <c r="F195" i="60" s="1"/>
  <c r="G195" i="60" s="1"/>
  <c r="F194" i="60"/>
  <c r="G194" i="60" s="1"/>
  <c r="E194" i="60"/>
  <c r="E193" i="60"/>
  <c r="F193" i="60" s="1"/>
  <c r="G193" i="60" s="1"/>
  <c r="E192" i="60"/>
  <c r="F192" i="60" s="1"/>
  <c r="G192" i="60" s="1"/>
  <c r="G191" i="60"/>
  <c r="E191" i="60"/>
  <c r="F191" i="60" s="1"/>
  <c r="F190" i="60"/>
  <c r="G190" i="60" s="1"/>
  <c r="E190" i="60"/>
  <c r="G189" i="60"/>
  <c r="E189" i="60"/>
  <c r="F189" i="60" s="1"/>
  <c r="E188" i="60"/>
  <c r="F188" i="60" s="1"/>
  <c r="G188" i="60" s="1"/>
  <c r="E187" i="60"/>
  <c r="F187" i="60" s="1"/>
  <c r="G187" i="60" s="1"/>
  <c r="F186" i="60"/>
  <c r="G186" i="60" s="1"/>
  <c r="E186" i="60"/>
  <c r="E185" i="60"/>
  <c r="F185" i="60" s="1"/>
  <c r="G185" i="60" s="1"/>
  <c r="E184" i="60"/>
  <c r="F184" i="60" s="1"/>
  <c r="G184" i="60" s="1"/>
  <c r="G183" i="60"/>
  <c r="E183" i="60"/>
  <c r="F183" i="60" s="1"/>
  <c r="F182" i="60"/>
  <c r="G182" i="60" s="1"/>
  <c r="E182" i="60"/>
  <c r="G181" i="60"/>
  <c r="E181" i="60"/>
  <c r="F181" i="60" s="1"/>
  <c r="E180" i="60"/>
  <c r="F180" i="60" s="1"/>
  <c r="G180" i="60" s="1"/>
  <c r="E179" i="60"/>
  <c r="F179" i="60" s="1"/>
  <c r="G179" i="60" s="1"/>
  <c r="F178" i="60"/>
  <c r="G178" i="60" s="1"/>
  <c r="E178" i="60"/>
  <c r="E177" i="60"/>
  <c r="F177" i="60" s="1"/>
  <c r="G177" i="60" s="1"/>
  <c r="E176" i="60"/>
  <c r="F176" i="60" s="1"/>
  <c r="G176" i="60" s="1"/>
  <c r="G175" i="60"/>
  <c r="E175" i="60"/>
  <c r="F175" i="60" s="1"/>
  <c r="F174" i="60"/>
  <c r="G174" i="60" s="1"/>
  <c r="E174" i="60"/>
  <c r="G173" i="60"/>
  <c r="E173" i="60"/>
  <c r="F173" i="60" s="1"/>
  <c r="E172" i="60"/>
  <c r="F172" i="60" s="1"/>
  <c r="G172" i="60" s="1"/>
  <c r="E171" i="60"/>
  <c r="F171" i="60" s="1"/>
  <c r="G171" i="60" s="1"/>
  <c r="F170" i="60"/>
  <c r="G170" i="60" s="1"/>
  <c r="E170" i="60"/>
  <c r="E169" i="60"/>
  <c r="F169" i="60" s="1"/>
  <c r="G169" i="60" s="1"/>
  <c r="E168" i="60"/>
  <c r="F168" i="60" s="1"/>
  <c r="G168" i="60" s="1"/>
  <c r="G167" i="60"/>
  <c r="E167" i="60"/>
  <c r="F167" i="60" s="1"/>
  <c r="F166" i="60"/>
  <c r="G166" i="60" s="1"/>
  <c r="E166" i="60"/>
  <c r="G165" i="60"/>
  <c r="E165" i="60"/>
  <c r="F165" i="60" s="1"/>
  <c r="E164" i="60"/>
  <c r="F164" i="60" s="1"/>
  <c r="G164" i="60" s="1"/>
  <c r="E163" i="60"/>
  <c r="F163" i="60" s="1"/>
  <c r="G163" i="60" s="1"/>
  <c r="F162" i="60"/>
  <c r="G162" i="60" s="1"/>
  <c r="E162" i="60"/>
  <c r="E161" i="60"/>
  <c r="F161" i="60" s="1"/>
  <c r="G161" i="60" s="1"/>
  <c r="E160" i="60"/>
  <c r="F160" i="60" s="1"/>
  <c r="G160" i="60" s="1"/>
  <c r="G159" i="60"/>
  <c r="E159" i="60"/>
  <c r="F159" i="60" s="1"/>
  <c r="F158" i="60"/>
  <c r="G158" i="60" s="1"/>
  <c r="E158" i="60"/>
  <c r="G157" i="60"/>
  <c r="E157" i="60"/>
  <c r="F157" i="60" s="1"/>
  <c r="E156" i="60"/>
  <c r="F156" i="60" s="1"/>
  <c r="G156" i="60" s="1"/>
  <c r="E155" i="60"/>
  <c r="F155" i="60" s="1"/>
  <c r="G155" i="60" s="1"/>
  <c r="F154" i="60"/>
  <c r="G154" i="60" s="1"/>
  <c r="E154" i="60"/>
  <c r="E153" i="60"/>
  <c r="F153" i="60" s="1"/>
  <c r="G153" i="60" s="1"/>
  <c r="E152" i="60"/>
  <c r="F152" i="60" s="1"/>
  <c r="G152" i="60" s="1"/>
  <c r="G151" i="60"/>
  <c r="E151" i="60"/>
  <c r="F151" i="60" s="1"/>
  <c r="F150" i="60"/>
  <c r="G150" i="60" s="1"/>
  <c r="E150" i="60"/>
  <c r="G149" i="60"/>
  <c r="E149" i="60"/>
  <c r="F149" i="60" s="1"/>
  <c r="E148" i="60"/>
  <c r="F148" i="60" s="1"/>
  <c r="G148" i="60" s="1"/>
  <c r="E147" i="60"/>
  <c r="F147" i="60" s="1"/>
  <c r="G147" i="60" s="1"/>
  <c r="F146" i="60"/>
  <c r="G146" i="60" s="1"/>
  <c r="E146" i="60"/>
  <c r="E145" i="60"/>
  <c r="F145" i="60" s="1"/>
  <c r="G145" i="60" s="1"/>
  <c r="E144" i="60"/>
  <c r="F144" i="60" s="1"/>
  <c r="G144" i="60" s="1"/>
  <c r="G143" i="60"/>
  <c r="E143" i="60"/>
  <c r="F143" i="60" s="1"/>
  <c r="F142" i="60"/>
  <c r="G142" i="60" s="1"/>
  <c r="E142" i="60"/>
  <c r="G141" i="60"/>
  <c r="E141" i="60"/>
  <c r="F141" i="60" s="1"/>
  <c r="E140" i="60"/>
  <c r="F140" i="60" s="1"/>
  <c r="G140" i="60" s="1"/>
  <c r="E139" i="60"/>
  <c r="F139" i="60" s="1"/>
  <c r="G139" i="60" s="1"/>
  <c r="F138" i="60"/>
  <c r="G138" i="60" s="1"/>
  <c r="E138" i="60"/>
  <c r="E137" i="60"/>
  <c r="F137" i="60" s="1"/>
  <c r="G137" i="60" s="1"/>
  <c r="E136" i="60"/>
  <c r="F136" i="60" s="1"/>
  <c r="G136" i="60" s="1"/>
  <c r="G135" i="60"/>
  <c r="E135" i="60"/>
  <c r="F135" i="60" s="1"/>
  <c r="F134" i="60"/>
  <c r="G134" i="60" s="1"/>
  <c r="E134" i="60"/>
  <c r="G133" i="60"/>
  <c r="E133" i="60"/>
  <c r="F133" i="60" s="1"/>
  <c r="E132" i="60"/>
  <c r="F132" i="60" s="1"/>
  <c r="G132" i="60" s="1"/>
  <c r="E131" i="60"/>
  <c r="F131" i="60" s="1"/>
  <c r="G131" i="60" s="1"/>
  <c r="F130" i="60"/>
  <c r="G130" i="60" s="1"/>
  <c r="E130" i="60"/>
  <c r="E129" i="60"/>
  <c r="F129" i="60" s="1"/>
  <c r="G129" i="60" s="1"/>
  <c r="E128" i="60"/>
  <c r="F128" i="60" s="1"/>
  <c r="G128" i="60" s="1"/>
  <c r="G127" i="60"/>
  <c r="E127" i="60"/>
  <c r="F127" i="60" s="1"/>
  <c r="F126" i="60"/>
  <c r="G126" i="60" s="1"/>
  <c r="E126" i="60"/>
  <c r="G125" i="60"/>
  <c r="E125" i="60"/>
  <c r="F125" i="60" s="1"/>
  <c r="E124" i="60"/>
  <c r="F124" i="60" s="1"/>
  <c r="G124" i="60" s="1"/>
  <c r="E123" i="60"/>
  <c r="F123" i="60" s="1"/>
  <c r="G123" i="60" s="1"/>
  <c r="F122" i="60"/>
  <c r="G122" i="60" s="1"/>
  <c r="E122" i="60"/>
  <c r="E121" i="60"/>
  <c r="F121" i="60" s="1"/>
  <c r="G121" i="60" s="1"/>
  <c r="E120" i="60"/>
  <c r="F120" i="60" s="1"/>
  <c r="G120" i="60" s="1"/>
  <c r="G119" i="60"/>
  <c r="E119" i="60"/>
  <c r="F119" i="60" s="1"/>
  <c r="F118" i="60"/>
  <c r="G118" i="60" s="1"/>
  <c r="E118" i="60"/>
  <c r="G117" i="60"/>
  <c r="E117" i="60"/>
  <c r="F117" i="60" s="1"/>
  <c r="E116" i="60"/>
  <c r="F116" i="60" s="1"/>
  <c r="G116" i="60" s="1"/>
  <c r="E115" i="60"/>
  <c r="F115" i="60" s="1"/>
  <c r="G115" i="60" s="1"/>
  <c r="F114" i="60"/>
  <c r="G114" i="60" s="1"/>
  <c r="E114" i="60"/>
  <c r="E113" i="60"/>
  <c r="F113" i="60" s="1"/>
  <c r="G113" i="60" s="1"/>
  <c r="E112" i="60"/>
  <c r="F112" i="60" s="1"/>
  <c r="G112" i="60" s="1"/>
  <c r="G111" i="60"/>
  <c r="E111" i="60"/>
  <c r="F111" i="60" s="1"/>
  <c r="F110" i="60"/>
  <c r="G110" i="60" s="1"/>
  <c r="E110" i="60"/>
  <c r="G109" i="60"/>
  <c r="E109" i="60"/>
  <c r="F109" i="60" s="1"/>
  <c r="E108" i="60"/>
  <c r="F108" i="60" s="1"/>
  <c r="G108" i="60" s="1"/>
  <c r="E107" i="60"/>
  <c r="F107" i="60" s="1"/>
  <c r="G107" i="60" s="1"/>
  <c r="F106" i="60"/>
  <c r="G106" i="60" s="1"/>
  <c r="E106" i="60"/>
  <c r="E105" i="60"/>
  <c r="F105" i="60" s="1"/>
  <c r="G105" i="60" s="1"/>
  <c r="E104" i="60"/>
  <c r="F104" i="60" s="1"/>
  <c r="G104" i="60" s="1"/>
  <c r="E103" i="60"/>
  <c r="F103" i="60" s="1"/>
  <c r="G103" i="60" s="1"/>
  <c r="F102" i="60"/>
  <c r="G102" i="60" s="1"/>
  <c r="E102" i="60"/>
  <c r="E101" i="60"/>
  <c r="F101" i="60" s="1"/>
  <c r="G101" i="60" s="1"/>
  <c r="E100" i="60"/>
  <c r="F100" i="60" s="1"/>
  <c r="G100" i="60" s="1"/>
  <c r="E99" i="60"/>
  <c r="F99" i="60" s="1"/>
  <c r="G99" i="60" s="1"/>
  <c r="F98" i="60"/>
  <c r="G98" i="60" s="1"/>
  <c r="E98" i="60"/>
  <c r="E97" i="60"/>
  <c r="F97" i="60" s="1"/>
  <c r="G97" i="60" s="1"/>
  <c r="E96" i="60"/>
  <c r="F96" i="60" s="1"/>
  <c r="G96" i="60" s="1"/>
  <c r="E95" i="60"/>
  <c r="F95" i="60" s="1"/>
  <c r="G95" i="60" s="1"/>
  <c r="F94" i="60"/>
  <c r="G94" i="60" s="1"/>
  <c r="E94" i="60"/>
  <c r="E93" i="60"/>
  <c r="F93" i="60" s="1"/>
  <c r="G93" i="60" s="1"/>
  <c r="E92" i="60"/>
  <c r="F92" i="60" s="1"/>
  <c r="G92" i="60" s="1"/>
  <c r="E91" i="60"/>
  <c r="F91" i="60" s="1"/>
  <c r="G91" i="60" s="1"/>
  <c r="F90" i="60"/>
  <c r="G90" i="60" s="1"/>
  <c r="E90" i="60"/>
  <c r="E89" i="60"/>
  <c r="F89" i="60" s="1"/>
  <c r="G89" i="60" s="1"/>
  <c r="E88" i="60"/>
  <c r="F88" i="60" s="1"/>
  <c r="G88" i="60" s="1"/>
  <c r="E87" i="60"/>
  <c r="F87" i="60" s="1"/>
  <c r="G87" i="60" s="1"/>
  <c r="F86" i="60"/>
  <c r="G86" i="60" s="1"/>
  <c r="E86" i="60"/>
  <c r="E85" i="60"/>
  <c r="F85" i="60" s="1"/>
  <c r="G85" i="60" s="1"/>
  <c r="E84" i="60"/>
  <c r="F84" i="60" s="1"/>
  <c r="G84" i="60" s="1"/>
  <c r="E83" i="60"/>
  <c r="F83" i="60" s="1"/>
  <c r="G83" i="60" s="1"/>
  <c r="F82" i="60"/>
  <c r="G82" i="60" s="1"/>
  <c r="E82" i="60"/>
  <c r="E81" i="60"/>
  <c r="F81" i="60" s="1"/>
  <c r="G81" i="60" s="1"/>
  <c r="E80" i="60"/>
  <c r="F80" i="60" s="1"/>
  <c r="G80" i="60" s="1"/>
  <c r="E79" i="60"/>
  <c r="F79" i="60" s="1"/>
  <c r="G79" i="60" s="1"/>
  <c r="F78" i="60"/>
  <c r="G78" i="60" s="1"/>
  <c r="E78" i="60"/>
  <c r="E77" i="60"/>
  <c r="F77" i="60" s="1"/>
  <c r="G77" i="60" s="1"/>
  <c r="E76" i="60"/>
  <c r="F76" i="60" s="1"/>
  <c r="G76" i="60" s="1"/>
  <c r="F75" i="60"/>
  <c r="G75" i="60" s="1"/>
  <c r="E75" i="60"/>
  <c r="E74" i="60"/>
  <c r="F74" i="60" s="1"/>
  <c r="G74" i="60" s="1"/>
  <c r="E73" i="60"/>
  <c r="F73" i="60" s="1"/>
  <c r="G73" i="60" s="1"/>
  <c r="E72" i="60"/>
  <c r="F72" i="60" s="1"/>
  <c r="G72" i="60" s="1"/>
  <c r="F71" i="60"/>
  <c r="G71" i="60" s="1"/>
  <c r="E71" i="60"/>
  <c r="E70" i="60"/>
  <c r="F70" i="60" s="1"/>
  <c r="G70" i="60" s="1"/>
  <c r="E69" i="60"/>
  <c r="F69" i="60" s="1"/>
  <c r="G69" i="60" s="1"/>
  <c r="E68" i="60"/>
  <c r="F68" i="60" s="1"/>
  <c r="G68" i="60" s="1"/>
  <c r="F67" i="60"/>
  <c r="G67" i="60" s="1"/>
  <c r="E67" i="60"/>
  <c r="E66" i="60"/>
  <c r="F66" i="60" s="1"/>
  <c r="G66" i="60" s="1"/>
  <c r="E65" i="60"/>
  <c r="F65" i="60" s="1"/>
  <c r="G65" i="60" s="1"/>
  <c r="E64" i="60"/>
  <c r="F64" i="60" s="1"/>
  <c r="G64" i="60" s="1"/>
  <c r="F63" i="60"/>
  <c r="G63" i="60" s="1"/>
  <c r="E63" i="60"/>
  <c r="E62" i="60"/>
  <c r="F62" i="60" s="1"/>
  <c r="G62" i="60" s="1"/>
  <c r="E61" i="60"/>
  <c r="F61" i="60" s="1"/>
  <c r="G61" i="60" s="1"/>
  <c r="E60" i="60"/>
  <c r="F60" i="60" s="1"/>
  <c r="G60" i="60" s="1"/>
  <c r="F59" i="60"/>
  <c r="G59" i="60" s="1"/>
  <c r="E59" i="60"/>
  <c r="E58" i="60"/>
  <c r="F58" i="60" s="1"/>
  <c r="G58" i="60" s="1"/>
  <c r="E57" i="60"/>
  <c r="F57" i="60" s="1"/>
  <c r="G57" i="60" s="1"/>
  <c r="E56" i="60"/>
  <c r="F56" i="60" s="1"/>
  <c r="G56" i="60" s="1"/>
  <c r="F55" i="60"/>
  <c r="G55" i="60" s="1"/>
  <c r="E55" i="60"/>
  <c r="E54" i="60"/>
  <c r="F54" i="60" s="1"/>
  <c r="G54" i="60" s="1"/>
  <c r="E53" i="60"/>
  <c r="F53" i="60" s="1"/>
  <c r="G53" i="60" s="1"/>
  <c r="E52" i="60"/>
  <c r="F52" i="60" s="1"/>
  <c r="G52" i="60" s="1"/>
  <c r="F51" i="60"/>
  <c r="G51" i="60" s="1"/>
  <c r="E51" i="60"/>
  <c r="E50" i="60"/>
  <c r="F50" i="60" s="1"/>
  <c r="G50" i="60" s="1"/>
  <c r="E49" i="60"/>
  <c r="F49" i="60" s="1"/>
  <c r="G49" i="60" s="1"/>
  <c r="E48" i="60"/>
  <c r="F48" i="60" s="1"/>
  <c r="G48" i="60" s="1"/>
  <c r="F47" i="60"/>
  <c r="G47" i="60" s="1"/>
  <c r="E47" i="60"/>
  <c r="E46" i="60"/>
  <c r="F46" i="60" s="1"/>
  <c r="G46" i="60" s="1"/>
  <c r="E45" i="60"/>
  <c r="F45" i="60" s="1"/>
  <c r="G45" i="60" s="1"/>
  <c r="E44" i="60"/>
  <c r="F44" i="60" s="1"/>
  <c r="G44" i="60" s="1"/>
  <c r="F43" i="60"/>
  <c r="G43" i="60" s="1"/>
  <c r="E43" i="60"/>
  <c r="E42" i="60"/>
  <c r="F42" i="60" s="1"/>
  <c r="G42" i="60" s="1"/>
  <c r="E41" i="60"/>
  <c r="F41" i="60" s="1"/>
  <c r="G41" i="60" s="1"/>
  <c r="E40" i="60"/>
  <c r="F40" i="60" s="1"/>
  <c r="G40" i="60" s="1"/>
  <c r="F39" i="60"/>
  <c r="G39" i="60" s="1"/>
  <c r="E39" i="60"/>
  <c r="E38" i="60"/>
  <c r="F38" i="60" s="1"/>
  <c r="G38" i="60" s="1"/>
  <c r="E37" i="60"/>
  <c r="F37" i="60" s="1"/>
  <c r="G37" i="60" s="1"/>
  <c r="E36" i="60"/>
  <c r="F36" i="60" s="1"/>
  <c r="G36" i="60" s="1"/>
  <c r="F35" i="60"/>
  <c r="G35" i="60" s="1"/>
  <c r="E35" i="60"/>
  <c r="E34" i="60"/>
  <c r="F34" i="60" s="1"/>
  <c r="G34" i="60" s="1"/>
  <c r="E33" i="60"/>
  <c r="F33" i="60" s="1"/>
  <c r="G33" i="60" s="1"/>
  <c r="E32" i="60"/>
  <c r="F32" i="60" s="1"/>
  <c r="G32" i="60" s="1"/>
  <c r="F31" i="60"/>
  <c r="G31" i="60" s="1"/>
  <c r="E31" i="60"/>
  <c r="E30" i="60"/>
  <c r="F30" i="60" s="1"/>
  <c r="G30" i="60" s="1"/>
  <c r="E29" i="60"/>
  <c r="F29" i="60" s="1"/>
  <c r="G29" i="60" s="1"/>
  <c r="E28" i="60"/>
  <c r="F28" i="60" s="1"/>
  <c r="G28" i="60" s="1"/>
  <c r="F27" i="60"/>
  <c r="G27" i="60" s="1"/>
  <c r="E27" i="60"/>
  <c r="E26" i="60"/>
  <c r="F26" i="60" s="1"/>
  <c r="G26" i="60" s="1"/>
  <c r="E25" i="60"/>
  <c r="F25" i="60" s="1"/>
  <c r="G25" i="60" s="1"/>
  <c r="E24" i="60"/>
  <c r="F24" i="60" s="1"/>
  <c r="G24" i="60" s="1"/>
  <c r="F23" i="60"/>
  <c r="G23" i="60" s="1"/>
  <c r="E23" i="60"/>
  <c r="E22" i="60"/>
  <c r="F22" i="60" s="1"/>
  <c r="G22" i="60" s="1"/>
  <c r="E21" i="60"/>
  <c r="F21" i="60" s="1"/>
  <c r="G21" i="60" s="1"/>
  <c r="E20" i="60"/>
  <c r="F20" i="60" s="1"/>
  <c r="G20" i="60" s="1"/>
  <c r="F19" i="60"/>
  <c r="G19" i="60" s="1"/>
  <c r="E19" i="60"/>
  <c r="E18" i="60"/>
  <c r="F18" i="60" s="1"/>
  <c r="G18" i="60" s="1"/>
  <c r="O17" i="60"/>
  <c r="E17" i="60"/>
  <c r="F17" i="60" s="1"/>
  <c r="G17" i="60" s="1"/>
  <c r="O16" i="60"/>
  <c r="G16" i="60"/>
  <c r="F16" i="60"/>
  <c r="E16" i="60"/>
  <c r="Q15" i="60"/>
  <c r="F15" i="60"/>
  <c r="G15" i="60" s="1"/>
  <c r="E15" i="60"/>
  <c r="Q14" i="60"/>
  <c r="E14" i="60"/>
  <c r="F14" i="60" s="1"/>
  <c r="G14" i="60" s="1"/>
  <c r="G13" i="60"/>
  <c r="F13" i="60"/>
  <c r="E13" i="60"/>
  <c r="D13" i="60"/>
  <c r="O7" i="60"/>
  <c r="D5" i="60"/>
  <c r="D4" i="60"/>
  <c r="B3" i="60"/>
  <c r="B1" i="60"/>
  <c r="P14" i="60"/>
  <c r="P15" i="60" l="1"/>
  <c r="P16" i="60" s="1"/>
  <c r="R14" i="60"/>
  <c r="E52" i="18"/>
  <c r="E51" i="18"/>
  <c r="E50" i="18"/>
  <c r="E49" i="18"/>
  <c r="E41" i="18"/>
  <c r="E44" i="18"/>
  <c r="E43" i="18"/>
  <c r="E42" i="18"/>
  <c r="F43" i="18" l="1"/>
  <c r="F42" i="18"/>
  <c r="F44" i="18"/>
  <c r="E46" i="18"/>
  <c r="E45" i="18"/>
  <c r="E48" i="18"/>
  <c r="E47" i="18"/>
  <c r="R15" i="60"/>
  <c r="R16" i="60" s="1"/>
  <c r="G3" i="20"/>
  <c r="L45" i="18" l="1"/>
  <c r="K45" i="18"/>
  <c r="L65" i="18"/>
  <c r="K65" i="18"/>
  <c r="F65" i="18" s="1"/>
  <c r="L64" i="18"/>
  <c r="K64" i="18"/>
  <c r="F64" i="18" s="1"/>
  <c r="L63" i="18"/>
  <c r="K63" i="18"/>
  <c r="F63" i="18" s="1"/>
  <c r="L61" i="18"/>
  <c r="L60" i="18"/>
  <c r="L59" i="18"/>
  <c r="K59" i="18"/>
  <c r="L58" i="18"/>
  <c r="K58" i="18"/>
  <c r="L56" i="18"/>
  <c r="K56" i="18"/>
  <c r="L53" i="18"/>
  <c r="K53" i="18"/>
  <c r="K49" i="18"/>
  <c r="L41" i="18"/>
  <c r="K41" i="18"/>
  <c r="F46" i="18" l="1"/>
  <c r="F47" i="18" l="1"/>
  <c r="E17" i="14"/>
  <c r="E16" i="14"/>
  <c r="L6" i="20"/>
  <c r="L13" i="20"/>
  <c r="L12" i="20"/>
  <c r="D11" i="20"/>
  <c r="L11" i="20" s="1"/>
  <c r="D10" i="20"/>
  <c r="L10" i="20" s="1"/>
  <c r="D9" i="20"/>
  <c r="L9" i="20" s="1"/>
  <c r="L8" i="20"/>
  <c r="L7" i="20"/>
  <c r="F48" i="18" l="1"/>
  <c r="G4" i="14"/>
  <c r="H18" i="55"/>
  <c r="C30" i="40"/>
  <c r="C25" i="40"/>
  <c r="L49" i="18" l="1"/>
  <c r="H19" i="55"/>
  <c r="B38" i="40"/>
  <c r="E5" i="55" s="1"/>
  <c r="B37" i="40"/>
  <c r="B36" i="40"/>
  <c r="B35" i="40"/>
  <c r="B31" i="40"/>
  <c r="B28" i="40"/>
  <c r="B22" i="40"/>
  <c r="B30" i="40"/>
  <c r="B23" i="40"/>
  <c r="F20" i="40"/>
  <c r="F24" i="40"/>
  <c r="F30" i="18"/>
  <c r="H20" i="55" l="1"/>
  <c r="E21" i="57"/>
  <c r="E20" i="57"/>
  <c r="F21" i="57"/>
  <c r="F19" i="57"/>
  <c r="E14" i="57"/>
  <c r="F14" i="57" s="1"/>
  <c r="E12" i="57"/>
  <c r="F13" i="57"/>
  <c r="B5" i="57"/>
  <c r="B4" i="57"/>
  <c r="B3" i="57"/>
  <c r="B2" i="57"/>
  <c r="H21" i="55" l="1"/>
  <c r="F20" i="57"/>
  <c r="D332" i="21"/>
  <c r="D331" i="21"/>
  <c r="D330" i="21"/>
  <c r="D114" i="21"/>
  <c r="D113" i="21"/>
  <c r="D112" i="21"/>
  <c r="D111" i="21"/>
  <c r="D110" i="21"/>
  <c r="D109" i="21"/>
  <c r="C109" i="21"/>
  <c r="B109" i="21"/>
  <c r="B110" i="21"/>
  <c r="C110" i="21"/>
  <c r="B111" i="21"/>
  <c r="C111" i="21"/>
  <c r="B112" i="21"/>
  <c r="C112" i="21"/>
  <c r="B113" i="21"/>
  <c r="C113" i="21"/>
  <c r="B114" i="21"/>
  <c r="C114" i="21"/>
  <c r="H22" i="55" l="1"/>
  <c r="H23" i="55" l="1"/>
  <c r="C38" i="40"/>
  <c r="C5" i="55"/>
  <c r="F34" i="57" l="1"/>
  <c r="F35" i="57"/>
  <c r="H24" i="55"/>
  <c r="K10" i="55"/>
  <c r="K8" i="55"/>
  <c r="K12" i="55"/>
  <c r="E7" i="55"/>
  <c r="U311" i="54"/>
  <c r="U312" i="54"/>
  <c r="U313" i="54"/>
  <c r="U314" i="54"/>
  <c r="U315" i="54"/>
  <c r="U316" i="54"/>
  <c r="U317" i="54"/>
  <c r="U318" i="54"/>
  <c r="U319" i="54"/>
  <c r="U320" i="54"/>
  <c r="U321" i="54"/>
  <c r="U322" i="54"/>
  <c r="U323" i="54"/>
  <c r="U324" i="54"/>
  <c r="U325" i="54"/>
  <c r="U326" i="54"/>
  <c r="U327" i="54"/>
  <c r="U328" i="54"/>
  <c r="U329" i="54"/>
  <c r="U330" i="54"/>
  <c r="U331" i="54"/>
  <c r="U332" i="54"/>
  <c r="U333" i="54"/>
  <c r="U334" i="54"/>
  <c r="U335" i="54"/>
  <c r="U336" i="54"/>
  <c r="U337" i="54"/>
  <c r="U338" i="54"/>
  <c r="U339" i="54"/>
  <c r="U340" i="54"/>
  <c r="U341" i="54"/>
  <c r="U342" i="54"/>
  <c r="U343" i="54"/>
  <c r="U344" i="54"/>
  <c r="U345" i="54"/>
  <c r="U346" i="54"/>
  <c r="U347" i="54"/>
  <c r="U348" i="54"/>
  <c r="U349" i="54"/>
  <c r="U350" i="54"/>
  <c r="U351" i="54"/>
  <c r="U352" i="54"/>
  <c r="U353" i="54"/>
  <c r="U354" i="54"/>
  <c r="U355" i="54"/>
  <c r="U356" i="54"/>
  <c r="U357" i="54"/>
  <c r="U358" i="54"/>
  <c r="U359" i="54"/>
  <c r="U360" i="54"/>
  <c r="U361" i="54"/>
  <c r="U362" i="54"/>
  <c r="U363" i="54"/>
  <c r="U364" i="54"/>
  <c r="U365" i="54"/>
  <c r="U366" i="54"/>
  <c r="U367" i="54"/>
  <c r="U368" i="54"/>
  <c r="U369" i="54"/>
  <c r="U370" i="54"/>
  <c r="U371" i="54"/>
  <c r="U372" i="54"/>
  <c r="U373" i="54"/>
  <c r="U374" i="54"/>
  <c r="U375" i="54"/>
  <c r="U376" i="54"/>
  <c r="U377" i="54"/>
  <c r="U378" i="54"/>
  <c r="U379" i="54"/>
  <c r="U380" i="54"/>
  <c r="U381" i="54"/>
  <c r="U382" i="54"/>
  <c r="U383" i="54"/>
  <c r="U384" i="54"/>
  <c r="U385" i="54"/>
  <c r="U386" i="54"/>
  <c r="U387" i="54"/>
  <c r="U388" i="54"/>
  <c r="U389" i="54"/>
  <c r="U390" i="54"/>
  <c r="U391" i="54"/>
  <c r="U392" i="54"/>
  <c r="U393" i="54"/>
  <c r="U394" i="54"/>
  <c r="U395" i="54"/>
  <c r="U396" i="54"/>
  <c r="U397" i="54"/>
  <c r="U398" i="54"/>
  <c r="U399" i="54"/>
  <c r="U400" i="54"/>
  <c r="U401" i="54"/>
  <c r="U402" i="54"/>
  <c r="U403" i="54"/>
  <c r="U404" i="54"/>
  <c r="U405" i="54"/>
  <c r="U406" i="54"/>
  <c r="U407" i="54"/>
  <c r="U408" i="54"/>
  <c r="U409" i="54"/>
  <c r="U410" i="54"/>
  <c r="U411" i="54"/>
  <c r="U412" i="54"/>
  <c r="U413" i="54"/>
  <c r="U414" i="54"/>
  <c r="U415" i="54"/>
  <c r="U416" i="54"/>
  <c r="U417" i="54"/>
  <c r="U418" i="54"/>
  <c r="U419" i="54"/>
  <c r="U420" i="54"/>
  <c r="U421" i="54"/>
  <c r="U422" i="54"/>
  <c r="U423" i="54"/>
  <c r="U424" i="54"/>
  <c r="U425" i="54"/>
  <c r="U426" i="54"/>
  <c r="U427" i="54"/>
  <c r="U428" i="54"/>
  <c r="U429" i="54"/>
  <c r="U430" i="54"/>
  <c r="U431" i="54"/>
  <c r="U432" i="54"/>
  <c r="U433" i="54"/>
  <c r="U434" i="54"/>
  <c r="U435" i="54"/>
  <c r="U436" i="54"/>
  <c r="U437" i="54"/>
  <c r="U438" i="54"/>
  <c r="U439" i="54"/>
  <c r="U440" i="54"/>
  <c r="U441" i="54"/>
  <c r="U442" i="54"/>
  <c r="U443" i="54"/>
  <c r="U444" i="54"/>
  <c r="U445" i="54"/>
  <c r="U446" i="54"/>
  <c r="U447" i="54"/>
  <c r="U448" i="54"/>
  <c r="U449" i="54"/>
  <c r="U450" i="54"/>
  <c r="U451" i="54"/>
  <c r="U452" i="54"/>
  <c r="U453" i="54"/>
  <c r="U454" i="54"/>
  <c r="U455" i="54"/>
  <c r="U456" i="54"/>
  <c r="U457" i="54"/>
  <c r="U458" i="54"/>
  <c r="U459" i="54"/>
  <c r="U460" i="54"/>
  <c r="U461" i="54"/>
  <c r="U462" i="54"/>
  <c r="U463" i="54"/>
  <c r="U464" i="54"/>
  <c r="U465" i="54"/>
  <c r="U466" i="54"/>
  <c r="U467" i="54"/>
  <c r="U468" i="54"/>
  <c r="U469" i="54"/>
  <c r="U470" i="54"/>
  <c r="U471" i="54"/>
  <c r="U472" i="54"/>
  <c r="U473" i="54"/>
  <c r="U474" i="54"/>
  <c r="U475" i="54"/>
  <c r="U476" i="54"/>
  <c r="U477" i="54"/>
  <c r="U478" i="54"/>
  <c r="U479" i="54"/>
  <c r="U480" i="54"/>
  <c r="U481" i="54"/>
  <c r="U482" i="54"/>
  <c r="U483" i="54"/>
  <c r="U484" i="54"/>
  <c r="U485" i="54"/>
  <c r="U486" i="54"/>
  <c r="U487" i="54"/>
  <c r="U488" i="54"/>
  <c r="U489" i="54"/>
  <c r="U490" i="54"/>
  <c r="U491" i="54"/>
  <c r="U492" i="54"/>
  <c r="U493" i="54"/>
  <c r="U494" i="54"/>
  <c r="U495" i="54"/>
  <c r="U496" i="54"/>
  <c r="U497" i="54"/>
  <c r="U498" i="54"/>
  <c r="U499" i="54"/>
  <c r="U500" i="54"/>
  <c r="U501" i="54"/>
  <c r="U502" i="54"/>
  <c r="U503" i="54"/>
  <c r="U504" i="54"/>
  <c r="U505" i="54"/>
  <c r="U506" i="54"/>
  <c r="U507" i="54"/>
  <c r="U508" i="54"/>
  <c r="U509" i="54"/>
  <c r="Q311" i="54"/>
  <c r="Q312" i="54"/>
  <c r="Q313" i="54"/>
  <c r="Q314" i="54"/>
  <c r="Q315" i="54"/>
  <c r="Q316" i="54"/>
  <c r="Q317" i="54"/>
  <c r="Q318" i="54"/>
  <c r="Q319" i="54"/>
  <c r="Q320" i="54"/>
  <c r="Q321" i="54"/>
  <c r="Q322" i="54"/>
  <c r="Q323" i="54"/>
  <c r="Q324" i="54"/>
  <c r="Q325" i="54"/>
  <c r="Q326" i="54"/>
  <c r="Q327" i="54"/>
  <c r="Q328" i="54"/>
  <c r="Q329" i="54"/>
  <c r="Q330" i="54"/>
  <c r="Q331" i="54"/>
  <c r="Q332" i="54"/>
  <c r="Q333" i="54"/>
  <c r="Q334" i="54"/>
  <c r="Q335" i="54"/>
  <c r="Q336" i="54"/>
  <c r="Q337" i="54"/>
  <c r="Q338" i="54"/>
  <c r="Q339" i="54"/>
  <c r="Q340" i="54"/>
  <c r="Q341" i="54"/>
  <c r="Q342" i="54"/>
  <c r="Q343" i="54"/>
  <c r="Q344" i="54"/>
  <c r="Q345" i="54"/>
  <c r="Q346" i="54"/>
  <c r="Q347" i="54"/>
  <c r="Q348" i="54"/>
  <c r="Q349" i="54"/>
  <c r="Q350" i="54"/>
  <c r="Q351" i="54"/>
  <c r="Q352" i="54"/>
  <c r="Q353" i="54"/>
  <c r="Q354" i="54"/>
  <c r="Q355" i="54"/>
  <c r="Q356" i="54"/>
  <c r="Q357" i="54"/>
  <c r="Q358" i="54"/>
  <c r="Q359" i="54"/>
  <c r="Q360" i="54"/>
  <c r="Q361" i="54"/>
  <c r="Q362" i="54"/>
  <c r="Q363" i="54"/>
  <c r="Q364" i="54"/>
  <c r="Q365" i="54"/>
  <c r="Q366" i="54"/>
  <c r="Q367" i="54"/>
  <c r="Q368" i="54"/>
  <c r="Q369" i="54"/>
  <c r="Q370" i="54"/>
  <c r="Q371" i="54"/>
  <c r="Q372" i="54"/>
  <c r="Q373" i="54"/>
  <c r="Q374" i="54"/>
  <c r="Q375" i="54"/>
  <c r="Q376" i="54"/>
  <c r="Q377" i="54"/>
  <c r="Q378" i="54"/>
  <c r="Q379" i="54"/>
  <c r="Q380" i="54"/>
  <c r="Q381" i="54"/>
  <c r="Q382" i="54"/>
  <c r="Q383" i="54"/>
  <c r="Q384" i="54"/>
  <c r="Q385" i="54"/>
  <c r="Q386" i="54"/>
  <c r="Q387" i="54"/>
  <c r="Q388" i="54"/>
  <c r="Q389" i="54"/>
  <c r="Q390" i="54"/>
  <c r="Q391" i="54"/>
  <c r="Q392" i="54"/>
  <c r="Q393" i="54"/>
  <c r="Q394" i="54"/>
  <c r="Q395" i="54"/>
  <c r="Q396" i="54"/>
  <c r="Q397" i="54"/>
  <c r="Q398" i="54"/>
  <c r="Q399" i="54"/>
  <c r="Q400" i="54"/>
  <c r="Q401" i="54"/>
  <c r="Q402" i="54"/>
  <c r="Q403" i="54"/>
  <c r="Q404" i="54"/>
  <c r="Q405" i="54"/>
  <c r="Q406" i="54"/>
  <c r="Q407" i="54"/>
  <c r="Q408" i="54"/>
  <c r="Q409" i="54"/>
  <c r="Q410" i="54"/>
  <c r="Q411" i="54"/>
  <c r="Q412" i="54"/>
  <c r="Q413" i="54"/>
  <c r="Q414" i="54"/>
  <c r="Q415" i="54"/>
  <c r="Q416" i="54"/>
  <c r="Q417" i="54"/>
  <c r="Q418" i="54"/>
  <c r="Q419" i="54"/>
  <c r="Q420" i="54"/>
  <c r="Q421" i="54"/>
  <c r="Q422" i="54"/>
  <c r="Q423" i="54"/>
  <c r="Q424" i="54"/>
  <c r="Q425" i="54"/>
  <c r="Q426" i="54"/>
  <c r="Q427" i="54"/>
  <c r="Q428" i="54"/>
  <c r="Q429" i="54"/>
  <c r="Q430" i="54"/>
  <c r="Q431" i="54"/>
  <c r="Q432" i="54"/>
  <c r="Q433" i="54"/>
  <c r="Q434" i="54"/>
  <c r="Q435" i="54"/>
  <c r="Q436" i="54"/>
  <c r="Q437" i="54"/>
  <c r="Q438" i="54"/>
  <c r="Q439" i="54"/>
  <c r="Q440" i="54"/>
  <c r="Q441" i="54"/>
  <c r="Q442" i="54"/>
  <c r="Q443" i="54"/>
  <c r="Q444" i="54"/>
  <c r="Q445" i="54"/>
  <c r="Q446" i="54"/>
  <c r="Q447" i="54"/>
  <c r="Q448" i="54"/>
  <c r="Q449" i="54"/>
  <c r="Q450" i="54"/>
  <c r="Q451" i="54"/>
  <c r="Q452" i="54"/>
  <c r="Q453" i="54"/>
  <c r="Q454" i="54"/>
  <c r="Q455" i="54"/>
  <c r="Q456" i="54"/>
  <c r="Q457" i="54"/>
  <c r="Q458" i="54"/>
  <c r="Q459" i="54"/>
  <c r="Q460" i="54"/>
  <c r="Q461" i="54"/>
  <c r="Q462" i="54"/>
  <c r="Q463" i="54"/>
  <c r="Q464" i="54"/>
  <c r="Q465" i="54"/>
  <c r="Q466" i="54"/>
  <c r="Q467" i="54"/>
  <c r="Q468" i="54"/>
  <c r="Q469" i="54"/>
  <c r="Q470" i="54"/>
  <c r="Q471" i="54"/>
  <c r="Q472" i="54"/>
  <c r="Q473" i="54"/>
  <c r="Q474" i="54"/>
  <c r="Q475" i="54"/>
  <c r="Q476" i="54"/>
  <c r="Q477" i="54"/>
  <c r="Q478" i="54"/>
  <c r="Q479" i="54"/>
  <c r="Q480" i="54"/>
  <c r="Q481" i="54"/>
  <c r="Q482" i="54"/>
  <c r="Q483" i="54"/>
  <c r="Q484" i="54"/>
  <c r="Q485" i="54"/>
  <c r="Q486" i="54"/>
  <c r="Q487" i="54"/>
  <c r="Q488" i="54"/>
  <c r="Q489" i="54"/>
  <c r="Q490" i="54"/>
  <c r="Q491" i="54"/>
  <c r="Q492" i="54"/>
  <c r="Q493" i="54"/>
  <c r="Q494" i="54"/>
  <c r="Q495" i="54"/>
  <c r="Q496" i="54"/>
  <c r="Q497" i="54"/>
  <c r="Q498" i="54"/>
  <c r="Q499" i="54"/>
  <c r="Q500" i="54"/>
  <c r="Q501" i="54"/>
  <c r="Q502" i="54"/>
  <c r="Q503" i="54"/>
  <c r="Q504" i="54"/>
  <c r="Q505" i="54"/>
  <c r="Q506" i="54"/>
  <c r="Q507" i="54"/>
  <c r="Q508" i="54"/>
  <c r="Q509" i="54"/>
  <c r="M311" i="54"/>
  <c r="M312" i="54"/>
  <c r="M313" i="54"/>
  <c r="M314" i="54"/>
  <c r="M315" i="54"/>
  <c r="M316" i="54"/>
  <c r="M317" i="54"/>
  <c r="M318" i="54"/>
  <c r="M319" i="54"/>
  <c r="M320" i="54"/>
  <c r="M321" i="54"/>
  <c r="M322" i="54"/>
  <c r="M323" i="54"/>
  <c r="M324" i="54"/>
  <c r="M325" i="54"/>
  <c r="M326" i="54"/>
  <c r="M327" i="54"/>
  <c r="M328" i="54"/>
  <c r="M329" i="54"/>
  <c r="M330" i="54"/>
  <c r="M331" i="54"/>
  <c r="M332" i="54"/>
  <c r="M333" i="54"/>
  <c r="M334" i="54"/>
  <c r="M335" i="54"/>
  <c r="M336" i="54"/>
  <c r="M337" i="54"/>
  <c r="M338" i="54"/>
  <c r="M339" i="54"/>
  <c r="M340" i="54"/>
  <c r="M341" i="54"/>
  <c r="M342" i="54"/>
  <c r="M343" i="54"/>
  <c r="M344" i="54"/>
  <c r="M345" i="54"/>
  <c r="M346" i="54"/>
  <c r="M347" i="54"/>
  <c r="M348" i="54"/>
  <c r="M349" i="54"/>
  <c r="M350" i="54"/>
  <c r="M351" i="54"/>
  <c r="M352" i="54"/>
  <c r="M353" i="54"/>
  <c r="M354" i="54"/>
  <c r="M355" i="54"/>
  <c r="M356" i="54"/>
  <c r="M357" i="54"/>
  <c r="M358" i="54"/>
  <c r="M359" i="54"/>
  <c r="M360" i="54"/>
  <c r="M361" i="54"/>
  <c r="M362" i="54"/>
  <c r="M363" i="54"/>
  <c r="M364" i="54"/>
  <c r="M365" i="54"/>
  <c r="M366" i="54"/>
  <c r="M367" i="54"/>
  <c r="M368" i="54"/>
  <c r="M369" i="54"/>
  <c r="M370" i="54"/>
  <c r="M371" i="54"/>
  <c r="M372" i="54"/>
  <c r="M373" i="54"/>
  <c r="M374" i="54"/>
  <c r="M375" i="54"/>
  <c r="M376" i="54"/>
  <c r="M377" i="54"/>
  <c r="M378" i="54"/>
  <c r="M379" i="54"/>
  <c r="M380" i="54"/>
  <c r="M381" i="54"/>
  <c r="M382" i="54"/>
  <c r="M383" i="54"/>
  <c r="M384" i="54"/>
  <c r="M385" i="54"/>
  <c r="M386" i="54"/>
  <c r="M387" i="54"/>
  <c r="M388" i="54"/>
  <c r="M389" i="54"/>
  <c r="M390" i="54"/>
  <c r="M391" i="54"/>
  <c r="M392" i="54"/>
  <c r="M393" i="54"/>
  <c r="M394" i="54"/>
  <c r="M395" i="54"/>
  <c r="M396" i="54"/>
  <c r="M397" i="54"/>
  <c r="M398" i="54"/>
  <c r="M399" i="54"/>
  <c r="M400" i="54"/>
  <c r="M401" i="54"/>
  <c r="M402" i="54"/>
  <c r="M403" i="54"/>
  <c r="M404" i="54"/>
  <c r="M405" i="54"/>
  <c r="M406" i="54"/>
  <c r="M407" i="54"/>
  <c r="M408" i="54"/>
  <c r="M409" i="54"/>
  <c r="M410" i="54"/>
  <c r="M411" i="54"/>
  <c r="M412" i="54"/>
  <c r="M413" i="54"/>
  <c r="M414" i="54"/>
  <c r="M415" i="54"/>
  <c r="M416" i="54"/>
  <c r="M417" i="54"/>
  <c r="M418" i="54"/>
  <c r="M419" i="54"/>
  <c r="M420" i="54"/>
  <c r="M421" i="54"/>
  <c r="M422" i="54"/>
  <c r="M423" i="54"/>
  <c r="M424" i="54"/>
  <c r="M425" i="54"/>
  <c r="M426" i="54"/>
  <c r="M427" i="54"/>
  <c r="M428" i="54"/>
  <c r="M429" i="54"/>
  <c r="M430" i="54"/>
  <c r="M431" i="54"/>
  <c r="M432" i="54"/>
  <c r="M433" i="54"/>
  <c r="M434" i="54"/>
  <c r="M435" i="54"/>
  <c r="M436" i="54"/>
  <c r="M437" i="54"/>
  <c r="M438" i="54"/>
  <c r="M439" i="54"/>
  <c r="M440" i="54"/>
  <c r="M441" i="54"/>
  <c r="M442" i="54"/>
  <c r="M443" i="54"/>
  <c r="M444" i="54"/>
  <c r="M445" i="54"/>
  <c r="M446" i="54"/>
  <c r="M447" i="54"/>
  <c r="M448" i="54"/>
  <c r="M449" i="54"/>
  <c r="M450" i="54"/>
  <c r="M451" i="54"/>
  <c r="M452" i="54"/>
  <c r="M453" i="54"/>
  <c r="M454" i="54"/>
  <c r="M455" i="54"/>
  <c r="M456" i="54"/>
  <c r="M457" i="54"/>
  <c r="M458" i="54"/>
  <c r="M459" i="54"/>
  <c r="M460" i="54"/>
  <c r="M461" i="54"/>
  <c r="M462" i="54"/>
  <c r="M463" i="54"/>
  <c r="M464" i="54"/>
  <c r="M465" i="54"/>
  <c r="M466" i="54"/>
  <c r="M467" i="54"/>
  <c r="M468" i="54"/>
  <c r="M469" i="54"/>
  <c r="M470" i="54"/>
  <c r="M471" i="54"/>
  <c r="M472" i="54"/>
  <c r="M473" i="54"/>
  <c r="M474" i="54"/>
  <c r="M475" i="54"/>
  <c r="M476" i="54"/>
  <c r="M477" i="54"/>
  <c r="M478" i="54"/>
  <c r="M479" i="54"/>
  <c r="M480" i="54"/>
  <c r="M481" i="54"/>
  <c r="M482" i="54"/>
  <c r="M483" i="54"/>
  <c r="M484" i="54"/>
  <c r="M485" i="54"/>
  <c r="M486" i="54"/>
  <c r="M487" i="54"/>
  <c r="M488" i="54"/>
  <c r="M489" i="54"/>
  <c r="M490" i="54"/>
  <c r="M491" i="54"/>
  <c r="M492" i="54"/>
  <c r="M493" i="54"/>
  <c r="M494" i="54"/>
  <c r="M495" i="54"/>
  <c r="M496" i="54"/>
  <c r="M497" i="54"/>
  <c r="M498" i="54"/>
  <c r="M499" i="54"/>
  <c r="M500" i="54"/>
  <c r="M501" i="54"/>
  <c r="M502" i="54"/>
  <c r="M503" i="54"/>
  <c r="M504" i="54"/>
  <c r="M505" i="54"/>
  <c r="M506" i="54"/>
  <c r="M507" i="54"/>
  <c r="M508" i="54"/>
  <c r="M509" i="54"/>
  <c r="I311" i="54"/>
  <c r="I312" i="54"/>
  <c r="I313" i="54"/>
  <c r="I314" i="54"/>
  <c r="I315" i="54"/>
  <c r="I316" i="54"/>
  <c r="I317" i="54"/>
  <c r="I318" i="54"/>
  <c r="I319" i="54"/>
  <c r="I320" i="54"/>
  <c r="I321" i="54"/>
  <c r="I322" i="54"/>
  <c r="I323" i="54"/>
  <c r="I324" i="54"/>
  <c r="I325" i="54"/>
  <c r="I326" i="54"/>
  <c r="I327" i="54"/>
  <c r="I328" i="54"/>
  <c r="I329" i="54"/>
  <c r="I330" i="54"/>
  <c r="I331" i="54"/>
  <c r="I332" i="54"/>
  <c r="I333" i="54"/>
  <c r="I334" i="54"/>
  <c r="I335" i="54"/>
  <c r="I336" i="54"/>
  <c r="I337" i="54"/>
  <c r="I338" i="54"/>
  <c r="I339" i="54"/>
  <c r="I340" i="54"/>
  <c r="I341" i="54"/>
  <c r="I342" i="54"/>
  <c r="I343" i="54"/>
  <c r="I344" i="54"/>
  <c r="I345" i="54"/>
  <c r="I346" i="54"/>
  <c r="I347" i="54"/>
  <c r="I348" i="54"/>
  <c r="I349" i="54"/>
  <c r="I350" i="54"/>
  <c r="I351" i="54"/>
  <c r="I352" i="54"/>
  <c r="I353" i="54"/>
  <c r="I354" i="54"/>
  <c r="I355" i="54"/>
  <c r="I356" i="54"/>
  <c r="I357" i="54"/>
  <c r="I358" i="54"/>
  <c r="I359" i="54"/>
  <c r="I360" i="54"/>
  <c r="I361" i="54"/>
  <c r="I362" i="54"/>
  <c r="I363" i="54"/>
  <c r="I364" i="54"/>
  <c r="I365" i="54"/>
  <c r="I366" i="54"/>
  <c r="I367" i="54"/>
  <c r="I368" i="54"/>
  <c r="I369" i="54"/>
  <c r="I370" i="54"/>
  <c r="I371" i="54"/>
  <c r="I372" i="54"/>
  <c r="I373" i="54"/>
  <c r="I374" i="54"/>
  <c r="I375" i="54"/>
  <c r="I376" i="54"/>
  <c r="I377" i="54"/>
  <c r="I378" i="54"/>
  <c r="I379" i="54"/>
  <c r="I380" i="54"/>
  <c r="I381" i="54"/>
  <c r="I382" i="54"/>
  <c r="I383" i="54"/>
  <c r="I384" i="54"/>
  <c r="I385" i="54"/>
  <c r="I386" i="54"/>
  <c r="I387" i="54"/>
  <c r="I388" i="54"/>
  <c r="I389" i="54"/>
  <c r="I390" i="54"/>
  <c r="I391" i="54"/>
  <c r="I392" i="54"/>
  <c r="I393" i="54"/>
  <c r="I394" i="54"/>
  <c r="I395" i="54"/>
  <c r="I396" i="54"/>
  <c r="I397" i="54"/>
  <c r="I398" i="54"/>
  <c r="I399" i="54"/>
  <c r="I400" i="54"/>
  <c r="I401" i="54"/>
  <c r="I402" i="54"/>
  <c r="I403" i="54"/>
  <c r="I404" i="54"/>
  <c r="I405" i="54"/>
  <c r="I406" i="54"/>
  <c r="I407" i="54"/>
  <c r="I408" i="54"/>
  <c r="I409" i="54"/>
  <c r="I410" i="54"/>
  <c r="I411" i="54"/>
  <c r="I412" i="54"/>
  <c r="I413" i="54"/>
  <c r="I414" i="54"/>
  <c r="I415" i="54"/>
  <c r="I416" i="54"/>
  <c r="I417" i="54"/>
  <c r="I418" i="54"/>
  <c r="I419" i="54"/>
  <c r="I420" i="54"/>
  <c r="I421" i="54"/>
  <c r="I422" i="54"/>
  <c r="I423" i="54"/>
  <c r="I424" i="54"/>
  <c r="I425" i="54"/>
  <c r="I426" i="54"/>
  <c r="I427" i="54"/>
  <c r="I428" i="54"/>
  <c r="I429" i="54"/>
  <c r="I430" i="54"/>
  <c r="I431" i="54"/>
  <c r="I432" i="54"/>
  <c r="I433" i="54"/>
  <c r="I434" i="54"/>
  <c r="I435" i="54"/>
  <c r="I436" i="54"/>
  <c r="I437" i="54"/>
  <c r="I438" i="54"/>
  <c r="I439" i="54"/>
  <c r="I440" i="54"/>
  <c r="I441" i="54"/>
  <c r="I442" i="54"/>
  <c r="I443" i="54"/>
  <c r="I444" i="54"/>
  <c r="I445" i="54"/>
  <c r="I446" i="54"/>
  <c r="I447" i="54"/>
  <c r="I448" i="54"/>
  <c r="I449" i="54"/>
  <c r="I450" i="54"/>
  <c r="I451" i="54"/>
  <c r="I452" i="54"/>
  <c r="I453" i="54"/>
  <c r="I454" i="54"/>
  <c r="I455" i="54"/>
  <c r="I456" i="54"/>
  <c r="I457" i="54"/>
  <c r="I458" i="54"/>
  <c r="I459" i="54"/>
  <c r="I460" i="54"/>
  <c r="I461" i="54"/>
  <c r="I462" i="54"/>
  <c r="I463" i="54"/>
  <c r="I464" i="54"/>
  <c r="I465" i="54"/>
  <c r="I466" i="54"/>
  <c r="I467" i="54"/>
  <c r="I468" i="54"/>
  <c r="I469" i="54"/>
  <c r="I470" i="54"/>
  <c r="I471" i="54"/>
  <c r="I472" i="54"/>
  <c r="I473" i="54"/>
  <c r="I474" i="54"/>
  <c r="I475" i="54"/>
  <c r="I476" i="54"/>
  <c r="I477" i="54"/>
  <c r="I478" i="54"/>
  <c r="I479" i="54"/>
  <c r="I480" i="54"/>
  <c r="I481" i="54"/>
  <c r="I482" i="54"/>
  <c r="I483" i="54"/>
  <c r="I484" i="54"/>
  <c r="I485" i="54"/>
  <c r="I486" i="54"/>
  <c r="I487" i="54"/>
  <c r="I488" i="54"/>
  <c r="I489" i="54"/>
  <c r="I490" i="54"/>
  <c r="I491" i="54"/>
  <c r="I492" i="54"/>
  <c r="I493" i="54"/>
  <c r="I494" i="54"/>
  <c r="I495" i="54"/>
  <c r="I496" i="54"/>
  <c r="I497" i="54"/>
  <c r="I498" i="54"/>
  <c r="I499" i="54"/>
  <c r="I500" i="54"/>
  <c r="I501" i="54"/>
  <c r="I502" i="54"/>
  <c r="I503" i="54"/>
  <c r="I504" i="54"/>
  <c r="I505" i="54"/>
  <c r="I506" i="54"/>
  <c r="I507" i="54"/>
  <c r="I508" i="54"/>
  <c r="I509" i="54"/>
  <c r="C311" i="54"/>
  <c r="C312" i="54"/>
  <c r="C313" i="54"/>
  <c r="C314" i="54"/>
  <c r="C315" i="54"/>
  <c r="C316" i="54"/>
  <c r="C317" i="54"/>
  <c r="C318" i="54"/>
  <c r="C319" i="54"/>
  <c r="C320" i="54"/>
  <c r="C321" i="54"/>
  <c r="C322" i="54"/>
  <c r="C323" i="54"/>
  <c r="C324" i="54"/>
  <c r="C325" i="54"/>
  <c r="C326" i="54"/>
  <c r="C327" i="54"/>
  <c r="C328" i="54"/>
  <c r="C329" i="54"/>
  <c r="C330" i="54"/>
  <c r="C331" i="54"/>
  <c r="C332" i="54"/>
  <c r="C333" i="54"/>
  <c r="C334" i="54"/>
  <c r="C335" i="54"/>
  <c r="C336" i="54"/>
  <c r="C337" i="54"/>
  <c r="C338" i="54"/>
  <c r="C339" i="54"/>
  <c r="C340" i="54"/>
  <c r="C341" i="54"/>
  <c r="C342" i="54"/>
  <c r="C343" i="54"/>
  <c r="C344" i="54"/>
  <c r="C345" i="54"/>
  <c r="C346" i="54"/>
  <c r="C347" i="54"/>
  <c r="C348" i="54"/>
  <c r="C349" i="54"/>
  <c r="C350" i="54"/>
  <c r="C351" i="54"/>
  <c r="C352" i="54"/>
  <c r="C353" i="54"/>
  <c r="C354" i="54"/>
  <c r="C355" i="54"/>
  <c r="C356" i="54"/>
  <c r="C357" i="54"/>
  <c r="C358" i="54"/>
  <c r="C359" i="54"/>
  <c r="C360" i="54"/>
  <c r="C361" i="54"/>
  <c r="C362" i="54"/>
  <c r="C363" i="54"/>
  <c r="C364" i="54"/>
  <c r="C365" i="54"/>
  <c r="C366" i="54"/>
  <c r="C367" i="54"/>
  <c r="C368" i="54"/>
  <c r="C369" i="54"/>
  <c r="C370" i="54"/>
  <c r="C371" i="54"/>
  <c r="C372" i="54"/>
  <c r="C373" i="54"/>
  <c r="C374" i="54"/>
  <c r="C375" i="54"/>
  <c r="C376" i="54"/>
  <c r="C377" i="54"/>
  <c r="C378" i="54"/>
  <c r="C379" i="54"/>
  <c r="C380" i="54"/>
  <c r="C381" i="54"/>
  <c r="C382" i="54"/>
  <c r="C383" i="54"/>
  <c r="C384" i="54"/>
  <c r="C385" i="54"/>
  <c r="C386" i="54"/>
  <c r="C387" i="54"/>
  <c r="C388" i="54"/>
  <c r="C389" i="54"/>
  <c r="C390" i="54"/>
  <c r="C391" i="54"/>
  <c r="C392" i="54"/>
  <c r="C393" i="54"/>
  <c r="C394" i="54"/>
  <c r="C395" i="54"/>
  <c r="C396" i="54"/>
  <c r="C397" i="54"/>
  <c r="C398" i="54"/>
  <c r="C399" i="54"/>
  <c r="C400" i="54"/>
  <c r="C401" i="54"/>
  <c r="C402" i="54"/>
  <c r="C403" i="54"/>
  <c r="C404" i="54"/>
  <c r="C405" i="54"/>
  <c r="C406" i="54"/>
  <c r="C407" i="54"/>
  <c r="C408" i="54"/>
  <c r="C409" i="54"/>
  <c r="C410" i="54"/>
  <c r="C411" i="54"/>
  <c r="C412" i="54"/>
  <c r="C413" i="54"/>
  <c r="C414" i="54"/>
  <c r="C415" i="54"/>
  <c r="C416" i="54"/>
  <c r="C417" i="54"/>
  <c r="C418" i="54"/>
  <c r="C419" i="54"/>
  <c r="C420" i="54"/>
  <c r="C421" i="54"/>
  <c r="C422" i="54"/>
  <c r="C423" i="54"/>
  <c r="C424" i="54"/>
  <c r="C425" i="54"/>
  <c r="C426" i="54"/>
  <c r="C427" i="54"/>
  <c r="C428" i="54"/>
  <c r="C429" i="54"/>
  <c r="C430" i="54"/>
  <c r="C431" i="54"/>
  <c r="C432" i="54"/>
  <c r="C433" i="54"/>
  <c r="C434" i="54"/>
  <c r="C435" i="54"/>
  <c r="C436" i="54"/>
  <c r="C437" i="54"/>
  <c r="C438" i="54"/>
  <c r="C439" i="54"/>
  <c r="C440" i="54"/>
  <c r="C441" i="54"/>
  <c r="C442" i="54"/>
  <c r="C443" i="54"/>
  <c r="C444" i="54"/>
  <c r="C445" i="54"/>
  <c r="C446" i="54"/>
  <c r="C447" i="54"/>
  <c r="C448" i="54"/>
  <c r="C449" i="54"/>
  <c r="C450" i="54"/>
  <c r="C451" i="54"/>
  <c r="C452" i="54"/>
  <c r="C453" i="54"/>
  <c r="C454" i="54"/>
  <c r="C455" i="54"/>
  <c r="C456" i="54"/>
  <c r="C457" i="54"/>
  <c r="C458" i="54"/>
  <c r="C459" i="54"/>
  <c r="C460" i="54"/>
  <c r="C461" i="54"/>
  <c r="C462" i="54"/>
  <c r="C463" i="54"/>
  <c r="C464" i="54"/>
  <c r="C465" i="54"/>
  <c r="C466" i="54"/>
  <c r="C467" i="54"/>
  <c r="C468" i="54"/>
  <c r="C469" i="54"/>
  <c r="C470" i="54"/>
  <c r="C471" i="54"/>
  <c r="C472" i="54"/>
  <c r="C473" i="54"/>
  <c r="C474" i="54"/>
  <c r="C475" i="54"/>
  <c r="C476" i="54"/>
  <c r="C477" i="54"/>
  <c r="C478" i="54"/>
  <c r="C479" i="54"/>
  <c r="C480" i="54"/>
  <c r="C481" i="54"/>
  <c r="C482" i="54"/>
  <c r="C483" i="54"/>
  <c r="C484" i="54"/>
  <c r="C485" i="54"/>
  <c r="C486" i="54"/>
  <c r="C487" i="54"/>
  <c r="C488" i="54"/>
  <c r="C489" i="54"/>
  <c r="C490" i="54"/>
  <c r="C491" i="54"/>
  <c r="C492" i="54"/>
  <c r="C493" i="54"/>
  <c r="C494" i="54"/>
  <c r="C495" i="54"/>
  <c r="C496" i="54"/>
  <c r="C497" i="54"/>
  <c r="C498" i="54"/>
  <c r="C499" i="54"/>
  <c r="C500" i="54"/>
  <c r="C501" i="54"/>
  <c r="C502" i="54"/>
  <c r="C503" i="54"/>
  <c r="C504" i="54"/>
  <c r="C505" i="54"/>
  <c r="C506" i="54"/>
  <c r="C507" i="54"/>
  <c r="C508" i="54"/>
  <c r="C509" i="54"/>
  <c r="B311" i="54"/>
  <c r="B312" i="54"/>
  <c r="B313" i="54"/>
  <c r="B314" i="54"/>
  <c r="B315" i="54"/>
  <c r="B316" i="54"/>
  <c r="B317" i="54"/>
  <c r="B318" i="54"/>
  <c r="B319" i="54"/>
  <c r="B320" i="54"/>
  <c r="B321" i="54"/>
  <c r="B322" i="54"/>
  <c r="B323" i="54"/>
  <c r="B324" i="54"/>
  <c r="B325" i="54"/>
  <c r="B326" i="54"/>
  <c r="B327" i="54"/>
  <c r="B328" i="54"/>
  <c r="B329" i="54"/>
  <c r="B330" i="54"/>
  <c r="B331" i="54"/>
  <c r="B332" i="54"/>
  <c r="B333" i="54"/>
  <c r="B334" i="54"/>
  <c r="B335" i="54"/>
  <c r="B336" i="54"/>
  <c r="B337" i="54"/>
  <c r="B338" i="54"/>
  <c r="B339" i="54"/>
  <c r="B340" i="54"/>
  <c r="B341" i="54"/>
  <c r="B342" i="54"/>
  <c r="B343" i="54"/>
  <c r="B344" i="54"/>
  <c r="B345" i="54"/>
  <c r="B346" i="54"/>
  <c r="B347" i="54"/>
  <c r="B348" i="54"/>
  <c r="B349" i="54"/>
  <c r="B350" i="54"/>
  <c r="B351" i="54"/>
  <c r="B352" i="54"/>
  <c r="B353" i="54"/>
  <c r="B354" i="54"/>
  <c r="B355" i="54"/>
  <c r="B356" i="54"/>
  <c r="B357" i="54"/>
  <c r="B358" i="54"/>
  <c r="B359" i="54"/>
  <c r="B360" i="54"/>
  <c r="B361" i="54"/>
  <c r="B362" i="54"/>
  <c r="B363" i="54"/>
  <c r="B364" i="54"/>
  <c r="B365" i="54"/>
  <c r="B366" i="54"/>
  <c r="B367" i="54"/>
  <c r="B368" i="54"/>
  <c r="B369" i="54"/>
  <c r="B370" i="54"/>
  <c r="B371" i="54"/>
  <c r="B372" i="54"/>
  <c r="B373" i="54"/>
  <c r="B374" i="54"/>
  <c r="B375" i="54"/>
  <c r="B376" i="54"/>
  <c r="B377" i="54"/>
  <c r="B378" i="54"/>
  <c r="B379" i="54"/>
  <c r="B380" i="54"/>
  <c r="B381" i="54"/>
  <c r="B382" i="54"/>
  <c r="B383" i="54"/>
  <c r="B384" i="54"/>
  <c r="B385" i="54"/>
  <c r="B386" i="54"/>
  <c r="B387" i="54"/>
  <c r="B388" i="54"/>
  <c r="B389" i="54"/>
  <c r="B390" i="54"/>
  <c r="B391" i="54"/>
  <c r="B392" i="54"/>
  <c r="B393" i="54"/>
  <c r="B394" i="54"/>
  <c r="B395" i="54"/>
  <c r="B396" i="54"/>
  <c r="B397" i="54"/>
  <c r="B398" i="54"/>
  <c r="B399" i="54"/>
  <c r="B400" i="54"/>
  <c r="B401" i="54"/>
  <c r="B402" i="54"/>
  <c r="B403" i="54"/>
  <c r="B404" i="54"/>
  <c r="B405" i="54"/>
  <c r="B406" i="54"/>
  <c r="B407" i="54"/>
  <c r="B408" i="54"/>
  <c r="B409" i="54"/>
  <c r="B410" i="54"/>
  <c r="B411" i="54"/>
  <c r="B412" i="54"/>
  <c r="B413" i="54"/>
  <c r="B414" i="54"/>
  <c r="B415" i="54"/>
  <c r="B416" i="54"/>
  <c r="B417" i="54"/>
  <c r="B418" i="54"/>
  <c r="B419" i="54"/>
  <c r="B420" i="54"/>
  <c r="B421" i="54"/>
  <c r="B422" i="54"/>
  <c r="B423" i="54"/>
  <c r="B424" i="54"/>
  <c r="B425" i="54"/>
  <c r="B426" i="54"/>
  <c r="B427" i="54"/>
  <c r="B428" i="54"/>
  <c r="B429" i="54"/>
  <c r="B430" i="54"/>
  <c r="B431" i="54"/>
  <c r="B432" i="54"/>
  <c r="B433" i="54"/>
  <c r="B434" i="54"/>
  <c r="B435" i="54"/>
  <c r="B436" i="54"/>
  <c r="B437" i="54"/>
  <c r="B438" i="54"/>
  <c r="B439" i="54"/>
  <c r="B440" i="54"/>
  <c r="B441" i="54"/>
  <c r="B442" i="54"/>
  <c r="B443" i="54"/>
  <c r="B444" i="54"/>
  <c r="B445" i="54"/>
  <c r="B446" i="54"/>
  <c r="B447" i="54"/>
  <c r="B448" i="54"/>
  <c r="B449" i="54"/>
  <c r="B450" i="54"/>
  <c r="B451" i="54"/>
  <c r="B452" i="54"/>
  <c r="B453" i="54"/>
  <c r="B454" i="54"/>
  <c r="B455" i="54"/>
  <c r="B456" i="54"/>
  <c r="B457" i="54"/>
  <c r="B458" i="54"/>
  <c r="B459" i="54"/>
  <c r="B460" i="54"/>
  <c r="B461" i="54"/>
  <c r="B462" i="54"/>
  <c r="B463" i="54"/>
  <c r="B464" i="54"/>
  <c r="B465" i="54"/>
  <c r="B466" i="54"/>
  <c r="B467" i="54"/>
  <c r="B468" i="54"/>
  <c r="B469" i="54"/>
  <c r="B470" i="54"/>
  <c r="B471" i="54"/>
  <c r="B472" i="54"/>
  <c r="B473" i="54"/>
  <c r="B474" i="54"/>
  <c r="B475" i="54"/>
  <c r="B476" i="54"/>
  <c r="B477" i="54"/>
  <c r="B478" i="54"/>
  <c r="B479" i="54"/>
  <c r="B480" i="54"/>
  <c r="B481" i="54"/>
  <c r="B482" i="54"/>
  <c r="B483" i="54"/>
  <c r="B484" i="54"/>
  <c r="B485" i="54"/>
  <c r="B486" i="54"/>
  <c r="B487" i="54"/>
  <c r="B488" i="54"/>
  <c r="B489" i="54"/>
  <c r="B490" i="54"/>
  <c r="B491" i="54"/>
  <c r="B492" i="54"/>
  <c r="B493" i="54"/>
  <c r="B494" i="54"/>
  <c r="B495" i="54"/>
  <c r="B496" i="54"/>
  <c r="B497" i="54"/>
  <c r="B498" i="54"/>
  <c r="B499" i="54"/>
  <c r="B500" i="54"/>
  <c r="B501" i="54"/>
  <c r="B502" i="54"/>
  <c r="B503" i="54"/>
  <c r="B504" i="54"/>
  <c r="B505" i="54"/>
  <c r="B506" i="54"/>
  <c r="B507" i="54"/>
  <c r="B508" i="54"/>
  <c r="B509" i="54"/>
  <c r="Q102" i="54"/>
  <c r="Q103" i="54"/>
  <c r="Q104" i="54"/>
  <c r="Q105" i="54"/>
  <c r="Q106" i="54"/>
  <c r="Q107" i="54"/>
  <c r="Q108" i="54"/>
  <c r="Q109" i="54"/>
  <c r="Q110" i="54"/>
  <c r="Q111" i="54"/>
  <c r="Q112" i="54"/>
  <c r="Q113" i="54"/>
  <c r="Q114" i="54"/>
  <c r="Q115" i="54"/>
  <c r="Q116" i="54"/>
  <c r="Q117" i="54"/>
  <c r="Q118" i="54"/>
  <c r="Q119" i="54"/>
  <c r="Q120" i="54"/>
  <c r="Q121" i="54"/>
  <c r="Q122" i="54"/>
  <c r="Q123" i="54"/>
  <c r="Q124" i="54"/>
  <c r="Q125" i="54"/>
  <c r="Q126" i="54"/>
  <c r="Q127" i="54"/>
  <c r="Q128" i="54"/>
  <c r="Q129" i="54"/>
  <c r="Q130" i="54"/>
  <c r="Q131" i="54"/>
  <c r="Q132" i="54"/>
  <c r="Q133" i="54"/>
  <c r="Q134" i="54"/>
  <c r="Q135" i="54"/>
  <c r="Q136" i="54"/>
  <c r="Q137" i="54"/>
  <c r="Q138" i="54"/>
  <c r="Q139" i="54"/>
  <c r="Q140" i="54"/>
  <c r="Q141" i="54"/>
  <c r="Q142" i="54"/>
  <c r="Q143" i="54"/>
  <c r="Q144" i="54"/>
  <c r="Q145" i="54"/>
  <c r="Q146" i="54"/>
  <c r="Q147" i="54"/>
  <c r="Q148" i="54"/>
  <c r="Q149" i="54"/>
  <c r="Q150" i="54"/>
  <c r="Q151" i="54"/>
  <c r="Q152" i="54"/>
  <c r="Q153" i="54"/>
  <c r="Q154" i="54"/>
  <c r="Q155" i="54"/>
  <c r="Q156" i="54"/>
  <c r="Q157" i="54"/>
  <c r="Q158" i="54"/>
  <c r="Q159" i="54"/>
  <c r="Q160" i="54"/>
  <c r="Q161" i="54"/>
  <c r="Q162" i="54"/>
  <c r="Q163" i="54"/>
  <c r="Q164" i="54"/>
  <c r="Q165" i="54"/>
  <c r="Q166" i="54"/>
  <c r="Q167" i="54"/>
  <c r="Q168" i="54"/>
  <c r="Q169" i="54"/>
  <c r="Q170" i="54"/>
  <c r="Q171" i="54"/>
  <c r="Q172" i="54"/>
  <c r="Q173" i="54"/>
  <c r="Q174" i="54"/>
  <c r="Q175" i="54"/>
  <c r="Q176" i="54"/>
  <c r="Q177" i="54"/>
  <c r="Q178" i="54"/>
  <c r="Q179" i="54"/>
  <c r="Q180" i="54"/>
  <c r="Q181" i="54"/>
  <c r="Q182" i="54"/>
  <c r="Q183" i="54"/>
  <c r="Q184" i="54"/>
  <c r="Q185" i="54"/>
  <c r="Q186" i="54"/>
  <c r="Q187" i="54"/>
  <c r="Q188" i="54"/>
  <c r="Q189" i="54"/>
  <c r="Q190" i="54"/>
  <c r="Q191" i="54"/>
  <c r="Q192" i="54"/>
  <c r="Q193" i="54"/>
  <c r="Q194" i="54"/>
  <c r="Q195" i="54"/>
  <c r="Q196" i="54"/>
  <c r="Q197" i="54"/>
  <c r="Q198" i="54"/>
  <c r="Q199" i="54"/>
  <c r="Q200" i="54"/>
  <c r="Q201" i="54"/>
  <c r="Q202" i="54"/>
  <c r="Q203" i="54"/>
  <c r="Q204" i="54"/>
  <c r="Q205" i="54"/>
  <c r="Q206" i="54"/>
  <c r="Q207" i="54"/>
  <c r="Q208" i="54"/>
  <c r="Q209" i="54"/>
  <c r="Q210" i="54"/>
  <c r="Q211" i="54"/>
  <c r="Q212" i="54"/>
  <c r="Q213" i="54"/>
  <c r="Q214" i="54"/>
  <c r="Q215" i="54"/>
  <c r="Q216" i="54"/>
  <c r="Q217" i="54"/>
  <c r="Q218" i="54"/>
  <c r="Q219" i="54"/>
  <c r="Q220" i="54"/>
  <c r="Q221" i="54"/>
  <c r="Q222" i="54"/>
  <c r="Q223" i="54"/>
  <c r="Q224" i="54"/>
  <c r="Q225" i="54"/>
  <c r="Q226" i="54"/>
  <c r="Q227" i="54"/>
  <c r="Q228" i="54"/>
  <c r="Q229" i="54"/>
  <c r="Q230" i="54"/>
  <c r="Q231" i="54"/>
  <c r="Q232" i="54"/>
  <c r="Q233" i="54"/>
  <c r="Q234" i="54"/>
  <c r="Q235" i="54"/>
  <c r="Q236" i="54"/>
  <c r="Q237" i="54"/>
  <c r="Q238" i="54"/>
  <c r="Q239" i="54"/>
  <c r="Q240" i="54"/>
  <c r="Q241" i="54"/>
  <c r="Q242" i="54"/>
  <c r="Q243" i="54"/>
  <c r="Q244" i="54"/>
  <c r="Q245" i="54"/>
  <c r="Q246" i="54"/>
  <c r="Q247" i="54"/>
  <c r="Q248" i="54"/>
  <c r="Q249" i="54"/>
  <c r="Q250" i="54"/>
  <c r="Q251" i="54"/>
  <c r="Q252" i="54"/>
  <c r="Q253" i="54"/>
  <c r="Q254" i="54"/>
  <c r="Q255" i="54"/>
  <c r="Q256" i="54"/>
  <c r="Q257" i="54"/>
  <c r="Q258" i="54"/>
  <c r="Q259" i="54"/>
  <c r="Q260" i="54"/>
  <c r="Q261" i="54"/>
  <c r="Q262" i="54"/>
  <c r="Q263" i="54"/>
  <c r="Q264" i="54"/>
  <c r="Q265" i="54"/>
  <c r="Q266" i="54"/>
  <c r="Q267" i="54"/>
  <c r="Q268" i="54"/>
  <c r="Q269" i="54"/>
  <c r="Q270" i="54"/>
  <c r="Q271" i="54"/>
  <c r="Q272" i="54"/>
  <c r="Q273" i="54"/>
  <c r="Q274" i="54"/>
  <c r="Q275" i="54"/>
  <c r="Q276" i="54"/>
  <c r="Q277" i="54"/>
  <c r="Q278" i="54"/>
  <c r="Q279" i="54"/>
  <c r="Q280" i="54"/>
  <c r="Q281" i="54"/>
  <c r="Q282" i="54"/>
  <c r="Q283" i="54"/>
  <c r="Q284" i="54"/>
  <c r="Q285" i="54"/>
  <c r="Q286" i="54"/>
  <c r="Q287" i="54"/>
  <c r="Q288" i="54"/>
  <c r="Q289" i="54"/>
  <c r="Q290" i="54"/>
  <c r="Q291" i="54"/>
  <c r="Q292" i="54"/>
  <c r="Q293" i="54"/>
  <c r="Q294" i="54"/>
  <c r="Q295" i="54"/>
  <c r="Q296" i="54"/>
  <c r="Q297" i="54"/>
  <c r="Q298" i="54"/>
  <c r="Q299" i="54"/>
  <c r="Q300" i="54"/>
  <c r="Q301" i="54"/>
  <c r="Q302" i="54"/>
  <c r="Q303" i="54"/>
  <c r="Q304" i="54"/>
  <c r="Q305" i="54"/>
  <c r="Q306" i="54"/>
  <c r="Q307" i="54"/>
  <c r="Q308" i="54"/>
  <c r="Q309" i="54"/>
  <c r="Q310" i="54"/>
  <c r="U17" i="54"/>
  <c r="U102" i="54"/>
  <c r="U103" i="54"/>
  <c r="U104" i="54"/>
  <c r="U105" i="54"/>
  <c r="U106" i="54"/>
  <c r="U107" i="54"/>
  <c r="U108" i="54"/>
  <c r="U109" i="54"/>
  <c r="U110" i="54"/>
  <c r="U111" i="54"/>
  <c r="U112" i="54"/>
  <c r="U113" i="54"/>
  <c r="U114" i="54"/>
  <c r="U115" i="54"/>
  <c r="U116" i="54"/>
  <c r="U117" i="54"/>
  <c r="U118" i="54"/>
  <c r="U119" i="54"/>
  <c r="U120" i="54"/>
  <c r="U121" i="54"/>
  <c r="U122" i="54"/>
  <c r="U123" i="54"/>
  <c r="U124" i="54"/>
  <c r="U125" i="54"/>
  <c r="U126" i="54"/>
  <c r="U127" i="54"/>
  <c r="U128" i="54"/>
  <c r="U129" i="54"/>
  <c r="U130" i="54"/>
  <c r="U131" i="54"/>
  <c r="U132" i="54"/>
  <c r="U133" i="54"/>
  <c r="U134" i="54"/>
  <c r="U135" i="54"/>
  <c r="U136" i="54"/>
  <c r="U137" i="54"/>
  <c r="U138" i="54"/>
  <c r="U139" i="54"/>
  <c r="U140" i="54"/>
  <c r="U141" i="54"/>
  <c r="U142" i="54"/>
  <c r="U143" i="54"/>
  <c r="U144" i="54"/>
  <c r="U145" i="54"/>
  <c r="U146" i="54"/>
  <c r="U147" i="54"/>
  <c r="U148" i="54"/>
  <c r="U149" i="54"/>
  <c r="U150" i="54"/>
  <c r="U151" i="54"/>
  <c r="U152" i="54"/>
  <c r="U153" i="54"/>
  <c r="U154" i="54"/>
  <c r="U155" i="54"/>
  <c r="U156" i="54"/>
  <c r="U157" i="54"/>
  <c r="U158" i="54"/>
  <c r="U159" i="54"/>
  <c r="U160" i="54"/>
  <c r="U161" i="54"/>
  <c r="U162" i="54"/>
  <c r="U163" i="54"/>
  <c r="U164" i="54"/>
  <c r="U165" i="54"/>
  <c r="U166" i="54"/>
  <c r="U167" i="54"/>
  <c r="U168" i="54"/>
  <c r="U169" i="54"/>
  <c r="U170" i="54"/>
  <c r="U171" i="54"/>
  <c r="U172" i="54"/>
  <c r="U173" i="54"/>
  <c r="U174" i="54"/>
  <c r="U175" i="54"/>
  <c r="U176" i="54"/>
  <c r="U177" i="54"/>
  <c r="U178" i="54"/>
  <c r="U179" i="54"/>
  <c r="U180" i="54"/>
  <c r="U181" i="54"/>
  <c r="U182" i="54"/>
  <c r="U183" i="54"/>
  <c r="U184" i="54"/>
  <c r="U185" i="54"/>
  <c r="U186" i="54"/>
  <c r="U187" i="54"/>
  <c r="U188" i="54"/>
  <c r="U189" i="54"/>
  <c r="U190" i="54"/>
  <c r="U191" i="54"/>
  <c r="U192" i="54"/>
  <c r="U193" i="54"/>
  <c r="U194" i="54"/>
  <c r="U195" i="54"/>
  <c r="U196" i="54"/>
  <c r="U197" i="54"/>
  <c r="U198" i="54"/>
  <c r="U199" i="54"/>
  <c r="U200" i="54"/>
  <c r="U201" i="54"/>
  <c r="U202" i="54"/>
  <c r="U203" i="54"/>
  <c r="U204" i="54"/>
  <c r="U205" i="54"/>
  <c r="U206" i="54"/>
  <c r="U207" i="54"/>
  <c r="U208" i="54"/>
  <c r="U209" i="54"/>
  <c r="U210" i="54"/>
  <c r="U211" i="54"/>
  <c r="U212" i="54"/>
  <c r="U213" i="54"/>
  <c r="U214" i="54"/>
  <c r="U215" i="54"/>
  <c r="U216" i="54"/>
  <c r="U217" i="54"/>
  <c r="U218" i="54"/>
  <c r="U219" i="54"/>
  <c r="U220" i="54"/>
  <c r="U221" i="54"/>
  <c r="U222" i="54"/>
  <c r="U223" i="54"/>
  <c r="U224" i="54"/>
  <c r="U225" i="54"/>
  <c r="U226" i="54"/>
  <c r="U227" i="54"/>
  <c r="U228" i="54"/>
  <c r="U229" i="54"/>
  <c r="U230" i="54"/>
  <c r="U231" i="54"/>
  <c r="U232" i="54"/>
  <c r="U233" i="54"/>
  <c r="U234" i="54"/>
  <c r="U235" i="54"/>
  <c r="U236" i="54"/>
  <c r="U237" i="54"/>
  <c r="U238" i="54"/>
  <c r="U239" i="54"/>
  <c r="U240" i="54"/>
  <c r="U241" i="54"/>
  <c r="U242" i="54"/>
  <c r="U243" i="54"/>
  <c r="U244" i="54"/>
  <c r="U245" i="54"/>
  <c r="U246" i="54"/>
  <c r="U247" i="54"/>
  <c r="U248" i="54"/>
  <c r="U249" i="54"/>
  <c r="U250" i="54"/>
  <c r="U251" i="54"/>
  <c r="U252" i="54"/>
  <c r="U253" i="54"/>
  <c r="U254" i="54"/>
  <c r="U255" i="54"/>
  <c r="U256" i="54"/>
  <c r="U257" i="54"/>
  <c r="U258" i="54"/>
  <c r="U259" i="54"/>
  <c r="U260" i="54"/>
  <c r="U261" i="54"/>
  <c r="U262" i="54"/>
  <c r="U263" i="54"/>
  <c r="U264" i="54"/>
  <c r="U265" i="54"/>
  <c r="U266" i="54"/>
  <c r="U267" i="54"/>
  <c r="U268" i="54"/>
  <c r="U269" i="54"/>
  <c r="U270" i="54"/>
  <c r="U271" i="54"/>
  <c r="U272" i="54"/>
  <c r="U273" i="54"/>
  <c r="U274" i="54"/>
  <c r="U275" i="54"/>
  <c r="U276" i="54"/>
  <c r="U277" i="54"/>
  <c r="U278" i="54"/>
  <c r="U279" i="54"/>
  <c r="U280" i="54"/>
  <c r="U281" i="54"/>
  <c r="U282" i="54"/>
  <c r="U283" i="54"/>
  <c r="U284" i="54"/>
  <c r="U285" i="54"/>
  <c r="U286" i="54"/>
  <c r="U287" i="54"/>
  <c r="U288" i="54"/>
  <c r="U289" i="54"/>
  <c r="U290" i="54"/>
  <c r="U291" i="54"/>
  <c r="U292" i="54"/>
  <c r="U293" i="54"/>
  <c r="U294" i="54"/>
  <c r="U295" i="54"/>
  <c r="U296" i="54"/>
  <c r="U297" i="54"/>
  <c r="U298" i="54"/>
  <c r="U299" i="54"/>
  <c r="U300" i="54"/>
  <c r="U301" i="54"/>
  <c r="U302" i="54"/>
  <c r="U303" i="54"/>
  <c r="U304" i="54"/>
  <c r="U305" i="54"/>
  <c r="U306" i="54"/>
  <c r="U307" i="54"/>
  <c r="U308" i="54"/>
  <c r="U309" i="54"/>
  <c r="U310" i="54"/>
  <c r="M102" i="54"/>
  <c r="M103" i="54"/>
  <c r="M104" i="54"/>
  <c r="M105" i="54"/>
  <c r="M106" i="54"/>
  <c r="M107" i="54"/>
  <c r="M108" i="54"/>
  <c r="M109" i="54"/>
  <c r="M110" i="54"/>
  <c r="M111" i="54"/>
  <c r="M112" i="54"/>
  <c r="M113" i="54"/>
  <c r="M114" i="54"/>
  <c r="M115" i="54"/>
  <c r="M116" i="54"/>
  <c r="M117" i="54"/>
  <c r="M118" i="54"/>
  <c r="M119" i="54"/>
  <c r="M120" i="54"/>
  <c r="M121" i="54"/>
  <c r="M122" i="54"/>
  <c r="M123" i="54"/>
  <c r="M124" i="54"/>
  <c r="M125" i="54"/>
  <c r="M126" i="54"/>
  <c r="M127" i="54"/>
  <c r="M128" i="54"/>
  <c r="M129" i="54"/>
  <c r="M130" i="54"/>
  <c r="M131" i="54"/>
  <c r="M132" i="54"/>
  <c r="M133" i="54"/>
  <c r="M134" i="54"/>
  <c r="M135" i="54"/>
  <c r="M136" i="54"/>
  <c r="M137" i="54"/>
  <c r="M138" i="54"/>
  <c r="M139" i="54"/>
  <c r="M140" i="54"/>
  <c r="M141" i="54"/>
  <c r="M142" i="54"/>
  <c r="M143" i="54"/>
  <c r="M144" i="54"/>
  <c r="M145" i="54"/>
  <c r="M146" i="54"/>
  <c r="M147" i="54"/>
  <c r="M148" i="54"/>
  <c r="M149" i="54"/>
  <c r="M150" i="54"/>
  <c r="M151" i="54"/>
  <c r="M152" i="54"/>
  <c r="M153" i="54"/>
  <c r="M154" i="54"/>
  <c r="M155" i="54"/>
  <c r="M156" i="54"/>
  <c r="M157" i="54"/>
  <c r="M158" i="54"/>
  <c r="M159" i="54"/>
  <c r="M160" i="54"/>
  <c r="M161" i="54"/>
  <c r="M162" i="54"/>
  <c r="M163" i="54"/>
  <c r="M164" i="54"/>
  <c r="M165" i="54"/>
  <c r="M166" i="54"/>
  <c r="M167" i="54"/>
  <c r="M168" i="54"/>
  <c r="M169" i="54"/>
  <c r="M170" i="54"/>
  <c r="M171" i="54"/>
  <c r="M172" i="54"/>
  <c r="M173" i="54"/>
  <c r="M174" i="54"/>
  <c r="M175" i="54"/>
  <c r="M176" i="54"/>
  <c r="M177" i="54"/>
  <c r="M178" i="54"/>
  <c r="M179" i="54"/>
  <c r="M180" i="54"/>
  <c r="M181" i="54"/>
  <c r="M182" i="54"/>
  <c r="M183" i="54"/>
  <c r="M184" i="54"/>
  <c r="M185" i="54"/>
  <c r="M186" i="54"/>
  <c r="M187" i="54"/>
  <c r="M188" i="54"/>
  <c r="M189" i="54"/>
  <c r="M190" i="54"/>
  <c r="M191" i="54"/>
  <c r="M192" i="54"/>
  <c r="M193" i="54"/>
  <c r="M194" i="54"/>
  <c r="M195" i="54"/>
  <c r="M196" i="54"/>
  <c r="M197" i="54"/>
  <c r="M198" i="54"/>
  <c r="M199" i="54"/>
  <c r="M200" i="54"/>
  <c r="M201" i="54"/>
  <c r="M202" i="54"/>
  <c r="M203" i="54"/>
  <c r="M204" i="54"/>
  <c r="M205" i="54"/>
  <c r="M206" i="54"/>
  <c r="M207" i="54"/>
  <c r="M208" i="54"/>
  <c r="M209" i="54"/>
  <c r="M210" i="54"/>
  <c r="M211" i="54"/>
  <c r="M212" i="54"/>
  <c r="M213" i="54"/>
  <c r="M214" i="54"/>
  <c r="M215" i="54"/>
  <c r="M216" i="54"/>
  <c r="M217" i="54"/>
  <c r="M218" i="54"/>
  <c r="M219" i="54"/>
  <c r="M220" i="54"/>
  <c r="M221" i="54"/>
  <c r="M222" i="54"/>
  <c r="M223" i="54"/>
  <c r="M224" i="54"/>
  <c r="M225" i="54"/>
  <c r="M226" i="54"/>
  <c r="M227" i="54"/>
  <c r="M228" i="54"/>
  <c r="M229" i="54"/>
  <c r="M230" i="54"/>
  <c r="M231" i="54"/>
  <c r="M232" i="54"/>
  <c r="M233" i="54"/>
  <c r="M234" i="54"/>
  <c r="M235" i="54"/>
  <c r="M236" i="54"/>
  <c r="M237" i="54"/>
  <c r="M238" i="54"/>
  <c r="M239" i="54"/>
  <c r="M240" i="54"/>
  <c r="M241" i="54"/>
  <c r="M242" i="54"/>
  <c r="M243" i="54"/>
  <c r="M244" i="54"/>
  <c r="M245" i="54"/>
  <c r="M246" i="54"/>
  <c r="M247" i="54"/>
  <c r="M248" i="54"/>
  <c r="M249" i="54"/>
  <c r="M250" i="54"/>
  <c r="M251" i="54"/>
  <c r="M252" i="54"/>
  <c r="M253" i="54"/>
  <c r="M254" i="54"/>
  <c r="M255" i="54"/>
  <c r="M256" i="54"/>
  <c r="M257" i="54"/>
  <c r="M258" i="54"/>
  <c r="M259" i="54"/>
  <c r="M260" i="54"/>
  <c r="M261" i="54"/>
  <c r="M262" i="54"/>
  <c r="M263" i="54"/>
  <c r="M264" i="54"/>
  <c r="M265" i="54"/>
  <c r="M266" i="54"/>
  <c r="M267" i="54"/>
  <c r="M268" i="54"/>
  <c r="M269" i="54"/>
  <c r="M270" i="54"/>
  <c r="M271" i="54"/>
  <c r="M272" i="54"/>
  <c r="M273" i="54"/>
  <c r="M274" i="54"/>
  <c r="M275" i="54"/>
  <c r="M276" i="54"/>
  <c r="M277" i="54"/>
  <c r="M278" i="54"/>
  <c r="M279" i="54"/>
  <c r="M280" i="54"/>
  <c r="M281" i="54"/>
  <c r="M282" i="54"/>
  <c r="M283" i="54"/>
  <c r="M284" i="54"/>
  <c r="M285" i="54"/>
  <c r="M286" i="54"/>
  <c r="M287" i="54"/>
  <c r="M288" i="54"/>
  <c r="M289" i="54"/>
  <c r="M290" i="54"/>
  <c r="M291" i="54"/>
  <c r="M292" i="54"/>
  <c r="M293" i="54"/>
  <c r="M294" i="54"/>
  <c r="M295" i="54"/>
  <c r="M296" i="54"/>
  <c r="M297" i="54"/>
  <c r="M298" i="54"/>
  <c r="M299" i="54"/>
  <c r="M300" i="54"/>
  <c r="M301" i="54"/>
  <c r="M302" i="54"/>
  <c r="M303" i="54"/>
  <c r="M304" i="54"/>
  <c r="M305" i="54"/>
  <c r="M306" i="54"/>
  <c r="M307" i="54"/>
  <c r="M308" i="54"/>
  <c r="M309" i="54"/>
  <c r="M310" i="54"/>
  <c r="I19" i="54"/>
  <c r="I20" i="54"/>
  <c r="I21" i="54"/>
  <c r="I22" i="54"/>
  <c r="I23" i="54"/>
  <c r="I24" i="54"/>
  <c r="I25" i="54"/>
  <c r="I26" i="54"/>
  <c r="I27" i="54"/>
  <c r="I28" i="54"/>
  <c r="I29" i="54"/>
  <c r="I30" i="54"/>
  <c r="I31" i="54"/>
  <c r="I32" i="54"/>
  <c r="I33" i="54"/>
  <c r="I34" i="54"/>
  <c r="I35" i="54"/>
  <c r="I36" i="54"/>
  <c r="I37" i="54"/>
  <c r="I38" i="54"/>
  <c r="I39" i="54"/>
  <c r="I40" i="54"/>
  <c r="I41" i="54"/>
  <c r="I42" i="54"/>
  <c r="I43" i="54"/>
  <c r="I44" i="54"/>
  <c r="I45" i="54"/>
  <c r="I46" i="54"/>
  <c r="I47" i="54"/>
  <c r="I48" i="54"/>
  <c r="I49" i="54"/>
  <c r="I50" i="54"/>
  <c r="I51" i="54"/>
  <c r="I52" i="54"/>
  <c r="I53" i="54"/>
  <c r="I54" i="54"/>
  <c r="I55" i="54"/>
  <c r="I56" i="54"/>
  <c r="I57" i="54"/>
  <c r="I58" i="54"/>
  <c r="I59" i="54"/>
  <c r="I60" i="54"/>
  <c r="I61" i="54"/>
  <c r="I62" i="54"/>
  <c r="I63" i="54"/>
  <c r="I64" i="54"/>
  <c r="I65" i="54"/>
  <c r="I66" i="54"/>
  <c r="I67" i="54"/>
  <c r="I68" i="54"/>
  <c r="I69" i="54"/>
  <c r="I70" i="54"/>
  <c r="I71" i="54"/>
  <c r="I72" i="54"/>
  <c r="I73" i="54"/>
  <c r="I74" i="54"/>
  <c r="I75" i="54"/>
  <c r="I76" i="54"/>
  <c r="I77" i="54"/>
  <c r="I78" i="54"/>
  <c r="I79" i="54"/>
  <c r="I80" i="54"/>
  <c r="I81" i="54"/>
  <c r="I82" i="54"/>
  <c r="I83" i="54"/>
  <c r="I84" i="54"/>
  <c r="I85" i="54"/>
  <c r="I86" i="54"/>
  <c r="I87" i="54"/>
  <c r="I88" i="54"/>
  <c r="I89" i="54"/>
  <c r="I90" i="54"/>
  <c r="I91" i="54"/>
  <c r="I92" i="54"/>
  <c r="I93" i="54"/>
  <c r="I94" i="54"/>
  <c r="I95" i="54"/>
  <c r="I96" i="54"/>
  <c r="I97" i="54"/>
  <c r="I98" i="54"/>
  <c r="I99" i="54"/>
  <c r="I100" i="54"/>
  <c r="I101" i="54"/>
  <c r="I102" i="54"/>
  <c r="I103" i="54"/>
  <c r="I104" i="54"/>
  <c r="I105" i="54"/>
  <c r="I106" i="54"/>
  <c r="I107" i="54"/>
  <c r="I108" i="54"/>
  <c r="I109" i="54"/>
  <c r="I110" i="54"/>
  <c r="I111" i="54"/>
  <c r="I112" i="54"/>
  <c r="I113" i="54"/>
  <c r="I114" i="54"/>
  <c r="I115" i="54"/>
  <c r="I116" i="54"/>
  <c r="I117" i="54"/>
  <c r="I118" i="54"/>
  <c r="I119" i="54"/>
  <c r="I120" i="54"/>
  <c r="I121" i="54"/>
  <c r="I122" i="54"/>
  <c r="I123" i="54"/>
  <c r="I124" i="54"/>
  <c r="I125" i="54"/>
  <c r="I126" i="54"/>
  <c r="I127" i="54"/>
  <c r="I128" i="54"/>
  <c r="I129" i="54"/>
  <c r="I130" i="54"/>
  <c r="I131" i="54"/>
  <c r="I132" i="54"/>
  <c r="I133" i="54"/>
  <c r="I134" i="54"/>
  <c r="I135" i="54"/>
  <c r="I136" i="54"/>
  <c r="I137" i="54"/>
  <c r="I138" i="54"/>
  <c r="I139" i="54"/>
  <c r="I140" i="54"/>
  <c r="I141" i="54"/>
  <c r="I142" i="54"/>
  <c r="I143" i="54"/>
  <c r="I144" i="54"/>
  <c r="I145" i="54"/>
  <c r="I146" i="54"/>
  <c r="I147" i="54"/>
  <c r="I148" i="54"/>
  <c r="I149" i="54"/>
  <c r="I150" i="54"/>
  <c r="I151" i="54"/>
  <c r="I152" i="54"/>
  <c r="I153" i="54"/>
  <c r="I154" i="54"/>
  <c r="I155" i="54"/>
  <c r="I156" i="54"/>
  <c r="I157" i="54"/>
  <c r="I158" i="54"/>
  <c r="I159" i="54"/>
  <c r="I160" i="54"/>
  <c r="I161" i="54"/>
  <c r="I162" i="54"/>
  <c r="I163" i="54"/>
  <c r="I164" i="54"/>
  <c r="I165" i="54"/>
  <c r="I166" i="54"/>
  <c r="I167" i="54"/>
  <c r="I168" i="54"/>
  <c r="I169" i="54"/>
  <c r="I170" i="54"/>
  <c r="I171" i="54"/>
  <c r="I172" i="54"/>
  <c r="I173" i="54"/>
  <c r="I174" i="54"/>
  <c r="I175" i="54"/>
  <c r="I176" i="54"/>
  <c r="I177" i="54"/>
  <c r="I178" i="54"/>
  <c r="I179" i="54"/>
  <c r="I180" i="54"/>
  <c r="I181" i="54"/>
  <c r="I182" i="54"/>
  <c r="I183" i="54"/>
  <c r="I184" i="54"/>
  <c r="I185" i="54"/>
  <c r="I186" i="54"/>
  <c r="I187" i="54"/>
  <c r="I188" i="54"/>
  <c r="I189" i="54"/>
  <c r="I190" i="54"/>
  <c r="I191" i="54"/>
  <c r="I192" i="54"/>
  <c r="I193" i="54"/>
  <c r="I194" i="54"/>
  <c r="I195" i="54"/>
  <c r="I196" i="54"/>
  <c r="I197" i="54"/>
  <c r="I198" i="54"/>
  <c r="I199" i="54"/>
  <c r="I200" i="54"/>
  <c r="I201" i="54"/>
  <c r="I202" i="54"/>
  <c r="I203" i="54"/>
  <c r="I204" i="54"/>
  <c r="I205" i="54"/>
  <c r="I206" i="54"/>
  <c r="I207" i="54"/>
  <c r="I208" i="54"/>
  <c r="I209" i="54"/>
  <c r="I210" i="54"/>
  <c r="I211" i="54"/>
  <c r="I212" i="54"/>
  <c r="I213" i="54"/>
  <c r="I214" i="54"/>
  <c r="I215" i="54"/>
  <c r="I216" i="54"/>
  <c r="I217" i="54"/>
  <c r="I218" i="54"/>
  <c r="I219" i="54"/>
  <c r="I220" i="54"/>
  <c r="I221" i="54"/>
  <c r="I222" i="54"/>
  <c r="I223" i="54"/>
  <c r="I224" i="54"/>
  <c r="I225" i="54"/>
  <c r="I226" i="54"/>
  <c r="I227" i="54"/>
  <c r="I228" i="54"/>
  <c r="I229" i="54"/>
  <c r="I230" i="54"/>
  <c r="I231" i="54"/>
  <c r="I232" i="54"/>
  <c r="I233" i="54"/>
  <c r="I234" i="54"/>
  <c r="I235" i="54"/>
  <c r="I236" i="54"/>
  <c r="I237" i="54"/>
  <c r="I238" i="54"/>
  <c r="I239" i="54"/>
  <c r="I240" i="54"/>
  <c r="I241" i="54"/>
  <c r="I242" i="54"/>
  <c r="I243" i="54"/>
  <c r="I244" i="54"/>
  <c r="I245" i="54"/>
  <c r="I246" i="54"/>
  <c r="I247" i="54"/>
  <c r="I248" i="54"/>
  <c r="I249" i="54"/>
  <c r="I250" i="54"/>
  <c r="I251" i="54"/>
  <c r="I252" i="54"/>
  <c r="I253" i="54"/>
  <c r="I254" i="54"/>
  <c r="I255" i="54"/>
  <c r="I256" i="54"/>
  <c r="I257" i="54"/>
  <c r="I258" i="54"/>
  <c r="I259" i="54"/>
  <c r="I260" i="54"/>
  <c r="I261" i="54"/>
  <c r="I262" i="54"/>
  <c r="I263" i="54"/>
  <c r="I264" i="54"/>
  <c r="I265" i="54"/>
  <c r="I266" i="54"/>
  <c r="I267" i="54"/>
  <c r="I268" i="54"/>
  <c r="I269" i="54"/>
  <c r="I270" i="54"/>
  <c r="I271" i="54"/>
  <c r="I272" i="54"/>
  <c r="I273" i="54"/>
  <c r="I274" i="54"/>
  <c r="I275" i="54"/>
  <c r="I276" i="54"/>
  <c r="I277" i="54"/>
  <c r="I278" i="54"/>
  <c r="I279" i="54"/>
  <c r="I280" i="54"/>
  <c r="I281" i="54"/>
  <c r="I282" i="54"/>
  <c r="I283" i="54"/>
  <c r="I284" i="54"/>
  <c r="I285" i="54"/>
  <c r="I286" i="54"/>
  <c r="I287" i="54"/>
  <c r="I288" i="54"/>
  <c r="I289" i="54"/>
  <c r="I290" i="54"/>
  <c r="I291" i="54"/>
  <c r="I292" i="54"/>
  <c r="I293" i="54"/>
  <c r="I294" i="54"/>
  <c r="I295" i="54"/>
  <c r="I296" i="54"/>
  <c r="I297" i="54"/>
  <c r="I298" i="54"/>
  <c r="I299" i="54"/>
  <c r="I300" i="54"/>
  <c r="I301" i="54"/>
  <c r="I302" i="54"/>
  <c r="I303" i="54"/>
  <c r="I304" i="54"/>
  <c r="I305" i="54"/>
  <c r="I306" i="54"/>
  <c r="I307" i="54"/>
  <c r="I308" i="54"/>
  <c r="I309" i="54"/>
  <c r="I310" i="54"/>
  <c r="E18" i="54"/>
  <c r="E17" i="54"/>
  <c r="C19" i="54"/>
  <c r="F19" i="54" s="1"/>
  <c r="G19" i="54" s="1"/>
  <c r="C20" i="54"/>
  <c r="F20" i="54" s="1"/>
  <c r="G20" i="54" s="1"/>
  <c r="C21" i="54"/>
  <c r="F21" i="54" s="1"/>
  <c r="G21" i="54" s="1"/>
  <c r="C22" i="54"/>
  <c r="F22" i="54" s="1"/>
  <c r="G22" i="54" s="1"/>
  <c r="C23" i="54"/>
  <c r="F23" i="54" s="1"/>
  <c r="G23" i="54" s="1"/>
  <c r="C24" i="54"/>
  <c r="F24" i="54" s="1"/>
  <c r="G24" i="54" s="1"/>
  <c r="C25" i="54"/>
  <c r="F25" i="54" s="1"/>
  <c r="G25" i="54" s="1"/>
  <c r="C26" i="54"/>
  <c r="F26" i="54" s="1"/>
  <c r="G26" i="54" s="1"/>
  <c r="C27" i="54"/>
  <c r="F27" i="54" s="1"/>
  <c r="G27" i="54" s="1"/>
  <c r="C28" i="54"/>
  <c r="F28" i="54" s="1"/>
  <c r="G28" i="54" s="1"/>
  <c r="C29" i="54"/>
  <c r="F29" i="54" s="1"/>
  <c r="G29" i="54" s="1"/>
  <c r="C30" i="54"/>
  <c r="F30" i="54" s="1"/>
  <c r="G30" i="54" s="1"/>
  <c r="C31" i="54"/>
  <c r="F31" i="54" s="1"/>
  <c r="G31" i="54" s="1"/>
  <c r="C32" i="54"/>
  <c r="F32" i="54" s="1"/>
  <c r="G32" i="54" s="1"/>
  <c r="C33" i="54"/>
  <c r="F33" i="54" s="1"/>
  <c r="G33" i="54" s="1"/>
  <c r="C34" i="54"/>
  <c r="F34" i="54" s="1"/>
  <c r="G34" i="54" s="1"/>
  <c r="C35" i="54"/>
  <c r="F35" i="54" s="1"/>
  <c r="G35" i="54" s="1"/>
  <c r="C36" i="54"/>
  <c r="F36" i="54" s="1"/>
  <c r="G36" i="54" s="1"/>
  <c r="C37" i="54"/>
  <c r="F37" i="54" s="1"/>
  <c r="G37" i="54" s="1"/>
  <c r="C38" i="54"/>
  <c r="F38" i="54" s="1"/>
  <c r="G38" i="54" s="1"/>
  <c r="C39" i="54"/>
  <c r="F39" i="54" s="1"/>
  <c r="G39" i="54" s="1"/>
  <c r="C40" i="54"/>
  <c r="F40" i="54" s="1"/>
  <c r="G40" i="54" s="1"/>
  <c r="C41" i="54"/>
  <c r="F41" i="54" s="1"/>
  <c r="G41" i="54" s="1"/>
  <c r="C42" i="54"/>
  <c r="F42" i="54" s="1"/>
  <c r="G42" i="54" s="1"/>
  <c r="C43" i="54"/>
  <c r="F43" i="54" s="1"/>
  <c r="G43" i="54" s="1"/>
  <c r="C44" i="54"/>
  <c r="F44" i="54" s="1"/>
  <c r="G44" i="54" s="1"/>
  <c r="C45" i="54"/>
  <c r="F45" i="54" s="1"/>
  <c r="G45" i="54" s="1"/>
  <c r="C46" i="54"/>
  <c r="F46" i="54" s="1"/>
  <c r="G46" i="54" s="1"/>
  <c r="C47" i="54"/>
  <c r="F47" i="54" s="1"/>
  <c r="G47" i="54" s="1"/>
  <c r="C48" i="54"/>
  <c r="F48" i="54" s="1"/>
  <c r="G48" i="54" s="1"/>
  <c r="C49" i="54"/>
  <c r="F49" i="54" s="1"/>
  <c r="G49" i="54" s="1"/>
  <c r="C50" i="54"/>
  <c r="F50" i="54" s="1"/>
  <c r="G50" i="54" s="1"/>
  <c r="C51" i="54"/>
  <c r="F51" i="54" s="1"/>
  <c r="G51" i="54" s="1"/>
  <c r="C52" i="54"/>
  <c r="F52" i="54" s="1"/>
  <c r="G52" i="54" s="1"/>
  <c r="C53" i="54"/>
  <c r="F53" i="54" s="1"/>
  <c r="G53" i="54" s="1"/>
  <c r="C54" i="54"/>
  <c r="F54" i="54" s="1"/>
  <c r="G54" i="54" s="1"/>
  <c r="C55" i="54"/>
  <c r="F55" i="54" s="1"/>
  <c r="G55" i="54" s="1"/>
  <c r="C56" i="54"/>
  <c r="F56" i="54" s="1"/>
  <c r="G56" i="54" s="1"/>
  <c r="C57" i="54"/>
  <c r="F57" i="54" s="1"/>
  <c r="G57" i="54" s="1"/>
  <c r="C58" i="54"/>
  <c r="F58" i="54" s="1"/>
  <c r="G58" i="54" s="1"/>
  <c r="C59" i="54"/>
  <c r="F59" i="54" s="1"/>
  <c r="G59" i="54" s="1"/>
  <c r="C60" i="54"/>
  <c r="F60" i="54" s="1"/>
  <c r="G60" i="54" s="1"/>
  <c r="C61" i="54"/>
  <c r="F61" i="54" s="1"/>
  <c r="G61" i="54" s="1"/>
  <c r="C62" i="54"/>
  <c r="F62" i="54" s="1"/>
  <c r="G62" i="54" s="1"/>
  <c r="C63" i="54"/>
  <c r="F63" i="54" s="1"/>
  <c r="G63" i="54" s="1"/>
  <c r="C64" i="54"/>
  <c r="F64" i="54" s="1"/>
  <c r="G64" i="54" s="1"/>
  <c r="C65" i="54"/>
  <c r="F65" i="54" s="1"/>
  <c r="G65" i="54" s="1"/>
  <c r="C66" i="54"/>
  <c r="F66" i="54" s="1"/>
  <c r="G66" i="54" s="1"/>
  <c r="C67" i="54"/>
  <c r="F67" i="54" s="1"/>
  <c r="G67" i="54" s="1"/>
  <c r="C68" i="54"/>
  <c r="F68" i="54" s="1"/>
  <c r="G68" i="54" s="1"/>
  <c r="C69" i="54"/>
  <c r="F69" i="54" s="1"/>
  <c r="G69" i="54" s="1"/>
  <c r="C70" i="54"/>
  <c r="F70" i="54" s="1"/>
  <c r="G70" i="54" s="1"/>
  <c r="C71" i="54"/>
  <c r="F71" i="54" s="1"/>
  <c r="G71" i="54" s="1"/>
  <c r="C72" i="54"/>
  <c r="F72" i="54" s="1"/>
  <c r="G72" i="54" s="1"/>
  <c r="C73" i="54"/>
  <c r="F73" i="54" s="1"/>
  <c r="G73" i="54" s="1"/>
  <c r="C74" i="54"/>
  <c r="F74" i="54" s="1"/>
  <c r="G74" i="54" s="1"/>
  <c r="C75" i="54"/>
  <c r="F75" i="54" s="1"/>
  <c r="G75" i="54" s="1"/>
  <c r="C76" i="54"/>
  <c r="F76" i="54" s="1"/>
  <c r="G76" i="54" s="1"/>
  <c r="C77" i="54"/>
  <c r="F77" i="54" s="1"/>
  <c r="G77" i="54" s="1"/>
  <c r="C78" i="54"/>
  <c r="F78" i="54" s="1"/>
  <c r="G78" i="54" s="1"/>
  <c r="C79" i="54"/>
  <c r="F79" i="54" s="1"/>
  <c r="G79" i="54" s="1"/>
  <c r="C80" i="54"/>
  <c r="F80" i="54" s="1"/>
  <c r="G80" i="54" s="1"/>
  <c r="C81" i="54"/>
  <c r="F81" i="54" s="1"/>
  <c r="G81" i="54" s="1"/>
  <c r="C82" i="54"/>
  <c r="F82" i="54" s="1"/>
  <c r="G82" i="54" s="1"/>
  <c r="C83" i="54"/>
  <c r="F83" i="54" s="1"/>
  <c r="G83" i="54" s="1"/>
  <c r="C84" i="54"/>
  <c r="F84" i="54" s="1"/>
  <c r="G84" i="54" s="1"/>
  <c r="C85" i="54"/>
  <c r="F85" i="54" s="1"/>
  <c r="G85" i="54" s="1"/>
  <c r="C86" i="54"/>
  <c r="F86" i="54" s="1"/>
  <c r="G86" i="54" s="1"/>
  <c r="C87" i="54"/>
  <c r="F87" i="54" s="1"/>
  <c r="G87" i="54" s="1"/>
  <c r="C88" i="54"/>
  <c r="F88" i="54" s="1"/>
  <c r="G88" i="54" s="1"/>
  <c r="C89" i="54"/>
  <c r="F89" i="54" s="1"/>
  <c r="G89" i="54" s="1"/>
  <c r="C90" i="54"/>
  <c r="F90" i="54" s="1"/>
  <c r="G90" i="54" s="1"/>
  <c r="C91" i="54"/>
  <c r="F91" i="54" s="1"/>
  <c r="G91" i="54" s="1"/>
  <c r="C92" i="54"/>
  <c r="F92" i="54" s="1"/>
  <c r="G92" i="54" s="1"/>
  <c r="C93" i="54"/>
  <c r="F93" i="54" s="1"/>
  <c r="G93" i="54" s="1"/>
  <c r="C94" i="54"/>
  <c r="F94" i="54" s="1"/>
  <c r="G94" i="54" s="1"/>
  <c r="C95" i="54"/>
  <c r="F95" i="54" s="1"/>
  <c r="G95" i="54" s="1"/>
  <c r="C96" i="54"/>
  <c r="F96" i="54" s="1"/>
  <c r="G96" i="54" s="1"/>
  <c r="C97" i="54"/>
  <c r="F97" i="54" s="1"/>
  <c r="G97" i="54" s="1"/>
  <c r="C98" i="54"/>
  <c r="F98" i="54" s="1"/>
  <c r="G98" i="54" s="1"/>
  <c r="C99" i="54"/>
  <c r="F99" i="54" s="1"/>
  <c r="G99" i="54" s="1"/>
  <c r="C100" i="54"/>
  <c r="F100" i="54" s="1"/>
  <c r="G100" i="54" s="1"/>
  <c r="C101" i="54"/>
  <c r="F101" i="54" s="1"/>
  <c r="G101" i="54" s="1"/>
  <c r="C102" i="54"/>
  <c r="F102" i="54" s="1"/>
  <c r="G102" i="54" s="1"/>
  <c r="C103" i="54"/>
  <c r="F103" i="54" s="1"/>
  <c r="G103" i="54" s="1"/>
  <c r="C104" i="54"/>
  <c r="F104" i="54" s="1"/>
  <c r="G104" i="54" s="1"/>
  <c r="C105" i="54"/>
  <c r="F105" i="54" s="1"/>
  <c r="G105" i="54" s="1"/>
  <c r="C106" i="54"/>
  <c r="F106" i="54" s="1"/>
  <c r="G106" i="54" s="1"/>
  <c r="C107" i="54"/>
  <c r="F107" i="54" s="1"/>
  <c r="G107" i="54" s="1"/>
  <c r="C108" i="54"/>
  <c r="F108" i="54" s="1"/>
  <c r="G108" i="54" s="1"/>
  <c r="C109" i="54"/>
  <c r="F109" i="54" s="1"/>
  <c r="G109" i="54" s="1"/>
  <c r="C110" i="54"/>
  <c r="F110" i="54" s="1"/>
  <c r="G110" i="54" s="1"/>
  <c r="C111" i="54"/>
  <c r="F111" i="54" s="1"/>
  <c r="G111" i="54" s="1"/>
  <c r="C112" i="54"/>
  <c r="F112" i="54" s="1"/>
  <c r="G112" i="54" s="1"/>
  <c r="C113" i="54"/>
  <c r="F113" i="54" s="1"/>
  <c r="G113" i="54" s="1"/>
  <c r="C114" i="54"/>
  <c r="F114" i="54" s="1"/>
  <c r="G114" i="54" s="1"/>
  <c r="C115" i="54"/>
  <c r="F115" i="54" s="1"/>
  <c r="G115" i="54" s="1"/>
  <c r="C116" i="54"/>
  <c r="F116" i="54" s="1"/>
  <c r="G116" i="54" s="1"/>
  <c r="C117" i="54"/>
  <c r="F117" i="54" s="1"/>
  <c r="G117" i="54" s="1"/>
  <c r="C118" i="54"/>
  <c r="F118" i="54" s="1"/>
  <c r="G118" i="54" s="1"/>
  <c r="C119" i="54"/>
  <c r="F119" i="54" s="1"/>
  <c r="G119" i="54" s="1"/>
  <c r="C120" i="54"/>
  <c r="F120" i="54" s="1"/>
  <c r="G120" i="54" s="1"/>
  <c r="C121" i="54"/>
  <c r="F121" i="54" s="1"/>
  <c r="G121" i="54" s="1"/>
  <c r="C122" i="54"/>
  <c r="F122" i="54" s="1"/>
  <c r="G122" i="54" s="1"/>
  <c r="C123" i="54"/>
  <c r="F123" i="54" s="1"/>
  <c r="G123" i="54" s="1"/>
  <c r="C124" i="54"/>
  <c r="F124" i="54" s="1"/>
  <c r="G124" i="54" s="1"/>
  <c r="C125" i="54"/>
  <c r="F125" i="54" s="1"/>
  <c r="G125" i="54" s="1"/>
  <c r="C126" i="54"/>
  <c r="F126" i="54" s="1"/>
  <c r="G126" i="54" s="1"/>
  <c r="C127" i="54"/>
  <c r="F127" i="54" s="1"/>
  <c r="G127" i="54" s="1"/>
  <c r="C128" i="54"/>
  <c r="F128" i="54" s="1"/>
  <c r="G128" i="54" s="1"/>
  <c r="C129" i="54"/>
  <c r="F129" i="54" s="1"/>
  <c r="G129" i="54" s="1"/>
  <c r="C130" i="54"/>
  <c r="F130" i="54" s="1"/>
  <c r="G130" i="54" s="1"/>
  <c r="C131" i="54"/>
  <c r="F131" i="54" s="1"/>
  <c r="G131" i="54" s="1"/>
  <c r="C132" i="54"/>
  <c r="F132" i="54" s="1"/>
  <c r="G132" i="54" s="1"/>
  <c r="C133" i="54"/>
  <c r="F133" i="54" s="1"/>
  <c r="G133" i="54" s="1"/>
  <c r="C134" i="54"/>
  <c r="F134" i="54" s="1"/>
  <c r="G134" i="54" s="1"/>
  <c r="C135" i="54"/>
  <c r="F135" i="54" s="1"/>
  <c r="G135" i="54" s="1"/>
  <c r="C136" i="54"/>
  <c r="F136" i="54" s="1"/>
  <c r="G136" i="54" s="1"/>
  <c r="C137" i="54"/>
  <c r="F137" i="54" s="1"/>
  <c r="G137" i="54" s="1"/>
  <c r="C138" i="54"/>
  <c r="F138" i="54" s="1"/>
  <c r="G138" i="54" s="1"/>
  <c r="C139" i="54"/>
  <c r="F139" i="54" s="1"/>
  <c r="G139" i="54" s="1"/>
  <c r="C140" i="54"/>
  <c r="F140" i="54" s="1"/>
  <c r="G140" i="54" s="1"/>
  <c r="C141" i="54"/>
  <c r="F141" i="54" s="1"/>
  <c r="G141" i="54" s="1"/>
  <c r="C142" i="54"/>
  <c r="F142" i="54" s="1"/>
  <c r="G142" i="54" s="1"/>
  <c r="C143" i="54"/>
  <c r="F143" i="54" s="1"/>
  <c r="G143" i="54" s="1"/>
  <c r="C144" i="54"/>
  <c r="F144" i="54" s="1"/>
  <c r="G144" i="54" s="1"/>
  <c r="C145" i="54"/>
  <c r="F145" i="54" s="1"/>
  <c r="G145" i="54" s="1"/>
  <c r="C146" i="54"/>
  <c r="F146" i="54" s="1"/>
  <c r="G146" i="54" s="1"/>
  <c r="C147" i="54"/>
  <c r="F147" i="54" s="1"/>
  <c r="G147" i="54" s="1"/>
  <c r="C148" i="54"/>
  <c r="F148" i="54" s="1"/>
  <c r="G148" i="54" s="1"/>
  <c r="C149" i="54"/>
  <c r="F149" i="54" s="1"/>
  <c r="G149" i="54" s="1"/>
  <c r="C150" i="54"/>
  <c r="F150" i="54" s="1"/>
  <c r="G150" i="54" s="1"/>
  <c r="C151" i="54"/>
  <c r="F151" i="54" s="1"/>
  <c r="G151" i="54" s="1"/>
  <c r="C152" i="54"/>
  <c r="F152" i="54" s="1"/>
  <c r="G152" i="54" s="1"/>
  <c r="C153" i="54"/>
  <c r="F153" i="54" s="1"/>
  <c r="G153" i="54" s="1"/>
  <c r="C154" i="54"/>
  <c r="F154" i="54" s="1"/>
  <c r="G154" i="54" s="1"/>
  <c r="C155" i="54"/>
  <c r="F155" i="54" s="1"/>
  <c r="G155" i="54" s="1"/>
  <c r="C156" i="54"/>
  <c r="F156" i="54" s="1"/>
  <c r="G156" i="54" s="1"/>
  <c r="C157" i="54"/>
  <c r="F157" i="54" s="1"/>
  <c r="G157" i="54" s="1"/>
  <c r="C158" i="54"/>
  <c r="F158" i="54" s="1"/>
  <c r="G158" i="54" s="1"/>
  <c r="C159" i="54"/>
  <c r="F159" i="54" s="1"/>
  <c r="G159" i="54" s="1"/>
  <c r="C160" i="54"/>
  <c r="F160" i="54" s="1"/>
  <c r="G160" i="54" s="1"/>
  <c r="C161" i="54"/>
  <c r="F161" i="54" s="1"/>
  <c r="G161" i="54" s="1"/>
  <c r="C162" i="54"/>
  <c r="F162" i="54" s="1"/>
  <c r="G162" i="54" s="1"/>
  <c r="C163" i="54"/>
  <c r="F163" i="54" s="1"/>
  <c r="G163" i="54" s="1"/>
  <c r="C164" i="54"/>
  <c r="F164" i="54" s="1"/>
  <c r="G164" i="54" s="1"/>
  <c r="C165" i="54"/>
  <c r="F165" i="54" s="1"/>
  <c r="G165" i="54" s="1"/>
  <c r="C166" i="54"/>
  <c r="F166" i="54" s="1"/>
  <c r="G166" i="54" s="1"/>
  <c r="C167" i="54"/>
  <c r="F167" i="54" s="1"/>
  <c r="G167" i="54" s="1"/>
  <c r="C168" i="54"/>
  <c r="F168" i="54" s="1"/>
  <c r="G168" i="54" s="1"/>
  <c r="C169" i="54"/>
  <c r="F169" i="54" s="1"/>
  <c r="G169" i="54" s="1"/>
  <c r="C170" i="54"/>
  <c r="F170" i="54" s="1"/>
  <c r="G170" i="54" s="1"/>
  <c r="C171" i="54"/>
  <c r="F171" i="54" s="1"/>
  <c r="G171" i="54" s="1"/>
  <c r="C172" i="54"/>
  <c r="F172" i="54" s="1"/>
  <c r="G172" i="54" s="1"/>
  <c r="C173" i="54"/>
  <c r="F173" i="54" s="1"/>
  <c r="G173" i="54" s="1"/>
  <c r="C174" i="54"/>
  <c r="F174" i="54" s="1"/>
  <c r="G174" i="54" s="1"/>
  <c r="C175" i="54"/>
  <c r="F175" i="54" s="1"/>
  <c r="G175" i="54" s="1"/>
  <c r="C176" i="54"/>
  <c r="F176" i="54" s="1"/>
  <c r="G176" i="54" s="1"/>
  <c r="C177" i="54"/>
  <c r="F177" i="54" s="1"/>
  <c r="G177" i="54" s="1"/>
  <c r="C178" i="54"/>
  <c r="F178" i="54" s="1"/>
  <c r="G178" i="54" s="1"/>
  <c r="C179" i="54"/>
  <c r="F179" i="54" s="1"/>
  <c r="G179" i="54" s="1"/>
  <c r="C180" i="54"/>
  <c r="F180" i="54" s="1"/>
  <c r="G180" i="54" s="1"/>
  <c r="C181" i="54"/>
  <c r="F181" i="54" s="1"/>
  <c r="G181" i="54" s="1"/>
  <c r="C182" i="54"/>
  <c r="F182" i="54" s="1"/>
  <c r="G182" i="54" s="1"/>
  <c r="C183" i="54"/>
  <c r="F183" i="54" s="1"/>
  <c r="G183" i="54" s="1"/>
  <c r="C184" i="54"/>
  <c r="F184" i="54" s="1"/>
  <c r="G184" i="54" s="1"/>
  <c r="C185" i="54"/>
  <c r="F185" i="54" s="1"/>
  <c r="G185" i="54" s="1"/>
  <c r="C186" i="54"/>
  <c r="F186" i="54" s="1"/>
  <c r="G186" i="54" s="1"/>
  <c r="C187" i="54"/>
  <c r="F187" i="54" s="1"/>
  <c r="G187" i="54" s="1"/>
  <c r="C188" i="54"/>
  <c r="F188" i="54" s="1"/>
  <c r="G188" i="54" s="1"/>
  <c r="C189" i="54"/>
  <c r="F189" i="54" s="1"/>
  <c r="G189" i="54" s="1"/>
  <c r="C190" i="54"/>
  <c r="F190" i="54" s="1"/>
  <c r="G190" i="54" s="1"/>
  <c r="C191" i="54"/>
  <c r="F191" i="54" s="1"/>
  <c r="G191" i="54" s="1"/>
  <c r="C192" i="54"/>
  <c r="F192" i="54" s="1"/>
  <c r="G192" i="54" s="1"/>
  <c r="C193" i="54"/>
  <c r="F193" i="54" s="1"/>
  <c r="G193" i="54" s="1"/>
  <c r="C194" i="54"/>
  <c r="F194" i="54" s="1"/>
  <c r="G194" i="54" s="1"/>
  <c r="C195" i="54"/>
  <c r="F195" i="54" s="1"/>
  <c r="G195" i="54" s="1"/>
  <c r="C196" i="54"/>
  <c r="F196" i="54" s="1"/>
  <c r="G196" i="54" s="1"/>
  <c r="C197" i="54"/>
  <c r="F197" i="54" s="1"/>
  <c r="G197" i="54" s="1"/>
  <c r="C198" i="54"/>
  <c r="F198" i="54" s="1"/>
  <c r="G198" i="54" s="1"/>
  <c r="C199" i="54"/>
  <c r="F199" i="54" s="1"/>
  <c r="G199" i="54" s="1"/>
  <c r="C200" i="54"/>
  <c r="F200" i="54" s="1"/>
  <c r="G200" i="54" s="1"/>
  <c r="C201" i="54"/>
  <c r="F201" i="54" s="1"/>
  <c r="G201" i="54" s="1"/>
  <c r="C202" i="54"/>
  <c r="F202" i="54" s="1"/>
  <c r="G202" i="54" s="1"/>
  <c r="C203" i="54"/>
  <c r="F203" i="54" s="1"/>
  <c r="G203" i="54" s="1"/>
  <c r="C204" i="54"/>
  <c r="F204" i="54" s="1"/>
  <c r="G204" i="54" s="1"/>
  <c r="C205" i="54"/>
  <c r="F205" i="54" s="1"/>
  <c r="G205" i="54" s="1"/>
  <c r="C206" i="54"/>
  <c r="F206" i="54" s="1"/>
  <c r="G206" i="54" s="1"/>
  <c r="C207" i="54"/>
  <c r="F207" i="54" s="1"/>
  <c r="G207" i="54" s="1"/>
  <c r="C208" i="54"/>
  <c r="F208" i="54" s="1"/>
  <c r="G208" i="54" s="1"/>
  <c r="C209" i="54"/>
  <c r="F209" i="54" s="1"/>
  <c r="G209" i="54" s="1"/>
  <c r="C210" i="54"/>
  <c r="F210" i="54" s="1"/>
  <c r="G210" i="54" s="1"/>
  <c r="C211" i="54"/>
  <c r="F211" i="54" s="1"/>
  <c r="G211" i="54" s="1"/>
  <c r="C212" i="54"/>
  <c r="F212" i="54" s="1"/>
  <c r="G212" i="54" s="1"/>
  <c r="C213" i="54"/>
  <c r="F213" i="54" s="1"/>
  <c r="G213" i="54" s="1"/>
  <c r="C214" i="54"/>
  <c r="F214" i="54" s="1"/>
  <c r="G214" i="54" s="1"/>
  <c r="C215" i="54"/>
  <c r="F215" i="54" s="1"/>
  <c r="G215" i="54" s="1"/>
  <c r="C216" i="54"/>
  <c r="F216" i="54" s="1"/>
  <c r="G216" i="54" s="1"/>
  <c r="C217" i="54"/>
  <c r="F217" i="54" s="1"/>
  <c r="G217" i="54" s="1"/>
  <c r="C218" i="54"/>
  <c r="F218" i="54" s="1"/>
  <c r="G218" i="54" s="1"/>
  <c r="C219" i="54"/>
  <c r="F219" i="54" s="1"/>
  <c r="G219" i="54" s="1"/>
  <c r="C220" i="54"/>
  <c r="F220" i="54" s="1"/>
  <c r="G220" i="54" s="1"/>
  <c r="C221" i="54"/>
  <c r="F221" i="54" s="1"/>
  <c r="G221" i="54" s="1"/>
  <c r="C222" i="54"/>
  <c r="F222" i="54" s="1"/>
  <c r="G222" i="54" s="1"/>
  <c r="C223" i="54"/>
  <c r="F223" i="54" s="1"/>
  <c r="G223" i="54" s="1"/>
  <c r="C224" i="54"/>
  <c r="F224" i="54" s="1"/>
  <c r="G224" i="54" s="1"/>
  <c r="C225" i="54"/>
  <c r="F225" i="54" s="1"/>
  <c r="G225" i="54" s="1"/>
  <c r="C226" i="54"/>
  <c r="F226" i="54" s="1"/>
  <c r="G226" i="54" s="1"/>
  <c r="C227" i="54"/>
  <c r="C228" i="54"/>
  <c r="C229" i="54"/>
  <c r="C230" i="54"/>
  <c r="C231" i="54"/>
  <c r="C232" i="54"/>
  <c r="C233" i="54"/>
  <c r="C234" i="54"/>
  <c r="C235" i="54"/>
  <c r="C236" i="54"/>
  <c r="C237" i="54"/>
  <c r="C238" i="54"/>
  <c r="C239" i="54"/>
  <c r="C240" i="54"/>
  <c r="C241" i="54"/>
  <c r="C242" i="54"/>
  <c r="C243" i="54"/>
  <c r="C244" i="54"/>
  <c r="C245" i="54"/>
  <c r="C246" i="54"/>
  <c r="C247" i="54"/>
  <c r="C248" i="54"/>
  <c r="C249" i="54"/>
  <c r="C250" i="54"/>
  <c r="C251" i="54"/>
  <c r="C252" i="54"/>
  <c r="C253" i="54"/>
  <c r="C254" i="54"/>
  <c r="C255" i="54"/>
  <c r="C256" i="54"/>
  <c r="C257" i="54"/>
  <c r="C258" i="54"/>
  <c r="C259" i="54"/>
  <c r="C260" i="54"/>
  <c r="C261" i="54"/>
  <c r="C262" i="54"/>
  <c r="C263" i="54"/>
  <c r="C264" i="54"/>
  <c r="C265" i="54"/>
  <c r="C266" i="54"/>
  <c r="C267" i="54"/>
  <c r="C268" i="54"/>
  <c r="C269" i="54"/>
  <c r="C270" i="54"/>
  <c r="C271" i="54"/>
  <c r="C272" i="54"/>
  <c r="C273" i="54"/>
  <c r="C274" i="54"/>
  <c r="C275" i="54"/>
  <c r="C276" i="54"/>
  <c r="C277" i="54"/>
  <c r="C278" i="54"/>
  <c r="C279" i="54"/>
  <c r="C280" i="54"/>
  <c r="C281" i="54"/>
  <c r="C282" i="54"/>
  <c r="C283" i="54"/>
  <c r="C284" i="54"/>
  <c r="C285" i="54"/>
  <c r="C286" i="54"/>
  <c r="C287" i="54"/>
  <c r="C288" i="54"/>
  <c r="C289" i="54"/>
  <c r="C290" i="54"/>
  <c r="C291" i="54"/>
  <c r="C292" i="54"/>
  <c r="C293" i="54"/>
  <c r="C294" i="54"/>
  <c r="C295" i="54"/>
  <c r="C296" i="54"/>
  <c r="C297" i="54"/>
  <c r="C298" i="54"/>
  <c r="C299" i="54"/>
  <c r="C300" i="54"/>
  <c r="C301" i="54"/>
  <c r="C302" i="54"/>
  <c r="C303" i="54"/>
  <c r="C304" i="54"/>
  <c r="C305" i="54"/>
  <c r="C306" i="54"/>
  <c r="C307" i="54"/>
  <c r="C308" i="54"/>
  <c r="C309" i="54"/>
  <c r="C310" i="54"/>
  <c r="C18" i="54"/>
  <c r="F18" i="54" s="1"/>
  <c r="G18" i="54" s="1"/>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3" i="54"/>
  <c r="B94" i="54"/>
  <c r="B95" i="54"/>
  <c r="B96" i="54"/>
  <c r="B97" i="54"/>
  <c r="B98" i="54"/>
  <c r="B99" i="54"/>
  <c r="B100" i="54"/>
  <c r="B101" i="54"/>
  <c r="B102" i="54"/>
  <c r="B103" i="54"/>
  <c r="B104" i="54"/>
  <c r="B105" i="54"/>
  <c r="B106" i="54"/>
  <c r="B107" i="54"/>
  <c r="B108" i="54"/>
  <c r="B109" i="54"/>
  <c r="B110" i="54"/>
  <c r="B111" i="54"/>
  <c r="B112" i="54"/>
  <c r="B113" i="54"/>
  <c r="B114" i="54"/>
  <c r="B115" i="54"/>
  <c r="B116" i="54"/>
  <c r="B117" i="54"/>
  <c r="B118" i="54"/>
  <c r="B119" i="54"/>
  <c r="B120" i="54"/>
  <c r="B121" i="54"/>
  <c r="B122" i="54"/>
  <c r="B123" i="54"/>
  <c r="B124" i="54"/>
  <c r="B125" i="54"/>
  <c r="B126" i="54"/>
  <c r="B127" i="54"/>
  <c r="B128" i="54"/>
  <c r="B129" i="54"/>
  <c r="B130" i="54"/>
  <c r="B131" i="54"/>
  <c r="B132" i="54"/>
  <c r="B133" i="54"/>
  <c r="B134" i="54"/>
  <c r="B135" i="54"/>
  <c r="B136" i="54"/>
  <c r="B137" i="54"/>
  <c r="B138" i="54"/>
  <c r="B139" i="54"/>
  <c r="B140" i="54"/>
  <c r="B141" i="54"/>
  <c r="B142" i="54"/>
  <c r="B143" i="54"/>
  <c r="B144" i="54"/>
  <c r="B145" i="54"/>
  <c r="B146" i="54"/>
  <c r="B147" i="54"/>
  <c r="B148" i="54"/>
  <c r="B149" i="54"/>
  <c r="B150" i="54"/>
  <c r="B151" i="54"/>
  <c r="B152" i="54"/>
  <c r="B153" i="54"/>
  <c r="B154" i="54"/>
  <c r="B155" i="54"/>
  <c r="B156" i="54"/>
  <c r="B157" i="54"/>
  <c r="B158" i="54"/>
  <c r="B159" i="54"/>
  <c r="B160" i="54"/>
  <c r="B161" i="54"/>
  <c r="B162" i="54"/>
  <c r="B163" i="54"/>
  <c r="B164" i="54"/>
  <c r="B165" i="54"/>
  <c r="B166" i="54"/>
  <c r="B167" i="54"/>
  <c r="B168" i="54"/>
  <c r="B169" i="54"/>
  <c r="B170" i="54"/>
  <c r="B171" i="54"/>
  <c r="B172" i="54"/>
  <c r="B173" i="54"/>
  <c r="B174" i="54"/>
  <c r="B175" i="54"/>
  <c r="B176" i="54"/>
  <c r="B177" i="54"/>
  <c r="B178" i="54"/>
  <c r="B179" i="54"/>
  <c r="B180" i="54"/>
  <c r="B181" i="54"/>
  <c r="B182" i="54"/>
  <c r="B183" i="54"/>
  <c r="B184" i="54"/>
  <c r="B185" i="54"/>
  <c r="B186" i="54"/>
  <c r="B187" i="54"/>
  <c r="B188" i="54"/>
  <c r="B189" i="54"/>
  <c r="B190" i="54"/>
  <c r="B191" i="54"/>
  <c r="B192" i="54"/>
  <c r="B193" i="54"/>
  <c r="B194" i="54"/>
  <c r="B195" i="54"/>
  <c r="B196" i="54"/>
  <c r="B197" i="54"/>
  <c r="B198" i="54"/>
  <c r="B199" i="54"/>
  <c r="B200" i="54"/>
  <c r="B201" i="54"/>
  <c r="B202" i="54"/>
  <c r="B203" i="54"/>
  <c r="B204" i="54"/>
  <c r="B205" i="54"/>
  <c r="B206" i="54"/>
  <c r="B207" i="54"/>
  <c r="B208" i="54"/>
  <c r="B209" i="54"/>
  <c r="B210" i="54"/>
  <c r="B211" i="54"/>
  <c r="B212" i="54"/>
  <c r="B213" i="54"/>
  <c r="B214" i="54"/>
  <c r="B215" i="54"/>
  <c r="B216" i="54"/>
  <c r="B217" i="54"/>
  <c r="B218" i="54"/>
  <c r="B219" i="54"/>
  <c r="B220" i="54"/>
  <c r="B221" i="54"/>
  <c r="B222" i="54"/>
  <c r="B223" i="54"/>
  <c r="B224" i="54"/>
  <c r="B225" i="54"/>
  <c r="B226" i="54"/>
  <c r="B227" i="54"/>
  <c r="B228" i="54"/>
  <c r="B229" i="54"/>
  <c r="B230" i="54"/>
  <c r="B231" i="54"/>
  <c r="B232" i="54"/>
  <c r="B233" i="54"/>
  <c r="B234" i="54"/>
  <c r="B235" i="54"/>
  <c r="B236" i="54"/>
  <c r="B237" i="54"/>
  <c r="B238" i="54"/>
  <c r="B239" i="54"/>
  <c r="B240" i="54"/>
  <c r="B241" i="54"/>
  <c r="B242" i="54"/>
  <c r="B243" i="54"/>
  <c r="B244" i="54"/>
  <c r="B245" i="54"/>
  <c r="B246" i="54"/>
  <c r="B247" i="54"/>
  <c r="B248" i="54"/>
  <c r="B249" i="54"/>
  <c r="B250" i="54"/>
  <c r="B251" i="54"/>
  <c r="B252" i="54"/>
  <c r="B253" i="54"/>
  <c r="B254" i="54"/>
  <c r="B255" i="54"/>
  <c r="B256" i="54"/>
  <c r="B257" i="54"/>
  <c r="B258" i="54"/>
  <c r="B259" i="54"/>
  <c r="B260" i="54"/>
  <c r="B261" i="54"/>
  <c r="B262" i="54"/>
  <c r="B263" i="54"/>
  <c r="B264" i="54"/>
  <c r="B265" i="54"/>
  <c r="B266" i="54"/>
  <c r="B267" i="54"/>
  <c r="B268" i="54"/>
  <c r="B269" i="54"/>
  <c r="B270" i="54"/>
  <c r="B271" i="54"/>
  <c r="B272" i="54"/>
  <c r="B273" i="54"/>
  <c r="B274" i="54"/>
  <c r="B275" i="54"/>
  <c r="B276" i="54"/>
  <c r="B277" i="54"/>
  <c r="B278" i="54"/>
  <c r="B279" i="54"/>
  <c r="B280" i="54"/>
  <c r="B281" i="54"/>
  <c r="B282" i="54"/>
  <c r="B283" i="54"/>
  <c r="B284" i="54"/>
  <c r="B285" i="54"/>
  <c r="B286" i="54"/>
  <c r="B287" i="54"/>
  <c r="B288" i="54"/>
  <c r="B289" i="54"/>
  <c r="B290" i="54"/>
  <c r="B291" i="54"/>
  <c r="B292" i="54"/>
  <c r="B293" i="54"/>
  <c r="B294" i="54"/>
  <c r="B295" i="54"/>
  <c r="B296" i="54"/>
  <c r="B297" i="54"/>
  <c r="B298" i="54"/>
  <c r="B299" i="54"/>
  <c r="B300" i="54"/>
  <c r="B301" i="54"/>
  <c r="B302" i="54"/>
  <c r="B303" i="54"/>
  <c r="B304" i="54"/>
  <c r="B305" i="54"/>
  <c r="B306" i="54"/>
  <c r="B307" i="54"/>
  <c r="B308" i="54"/>
  <c r="B309" i="54"/>
  <c r="B310" i="54"/>
  <c r="V310" i="54" l="1"/>
  <c r="W310" i="54" s="1"/>
  <c r="R310" i="54"/>
  <c r="S310" i="54" s="1"/>
  <c r="N310" i="54"/>
  <c r="O310" i="54" s="1"/>
  <c r="V302" i="54"/>
  <c r="W302" i="54" s="1"/>
  <c r="R302" i="54"/>
  <c r="S302" i="54" s="1"/>
  <c r="N302" i="54"/>
  <c r="O302" i="54" s="1"/>
  <c r="V290" i="54"/>
  <c r="W290" i="54" s="1"/>
  <c r="R290" i="54"/>
  <c r="S290" i="54" s="1"/>
  <c r="N290" i="54"/>
  <c r="O290" i="54" s="1"/>
  <c r="V282" i="54"/>
  <c r="W282" i="54" s="1"/>
  <c r="R282" i="54"/>
  <c r="S282" i="54" s="1"/>
  <c r="N282" i="54"/>
  <c r="O282" i="54" s="1"/>
  <c r="V274" i="54"/>
  <c r="W274" i="54" s="1"/>
  <c r="R274" i="54"/>
  <c r="S274" i="54" s="1"/>
  <c r="N274" i="54"/>
  <c r="O274" i="54" s="1"/>
  <c r="V266" i="54"/>
  <c r="W266" i="54" s="1"/>
  <c r="R266" i="54"/>
  <c r="S266" i="54" s="1"/>
  <c r="N266" i="54"/>
  <c r="O266" i="54" s="1"/>
  <c r="V258" i="54"/>
  <c r="W258" i="54" s="1"/>
  <c r="R258" i="54"/>
  <c r="S258" i="54" s="1"/>
  <c r="N258" i="54"/>
  <c r="O258" i="54" s="1"/>
  <c r="V250" i="54"/>
  <c r="W250" i="54" s="1"/>
  <c r="R250" i="54"/>
  <c r="S250" i="54" s="1"/>
  <c r="N250" i="54"/>
  <c r="O250" i="54" s="1"/>
  <c r="V242" i="54"/>
  <c r="W242" i="54" s="1"/>
  <c r="R242" i="54"/>
  <c r="S242" i="54" s="1"/>
  <c r="N242" i="54"/>
  <c r="O242" i="54" s="1"/>
  <c r="V234" i="54"/>
  <c r="W234" i="54" s="1"/>
  <c r="R234" i="54"/>
  <c r="S234" i="54" s="1"/>
  <c r="N234" i="54"/>
  <c r="O234" i="54" s="1"/>
  <c r="V226" i="54"/>
  <c r="W226" i="54" s="1"/>
  <c r="R226" i="54"/>
  <c r="S226" i="54" s="1"/>
  <c r="N226" i="54"/>
  <c r="O226" i="54" s="1"/>
  <c r="V218" i="54"/>
  <c r="W218" i="54" s="1"/>
  <c r="R218" i="54"/>
  <c r="S218" i="54" s="1"/>
  <c r="N218" i="54"/>
  <c r="O218" i="54" s="1"/>
  <c r="V210" i="54"/>
  <c r="W210" i="54" s="1"/>
  <c r="R210" i="54"/>
  <c r="S210" i="54" s="1"/>
  <c r="N210" i="54"/>
  <c r="O210" i="54" s="1"/>
  <c r="V202" i="54"/>
  <c r="W202" i="54" s="1"/>
  <c r="R202" i="54"/>
  <c r="S202" i="54" s="1"/>
  <c r="N202" i="54"/>
  <c r="O202" i="54" s="1"/>
  <c r="V194" i="54"/>
  <c r="W194" i="54" s="1"/>
  <c r="R194" i="54"/>
  <c r="S194" i="54" s="1"/>
  <c r="N194" i="54"/>
  <c r="O194" i="54" s="1"/>
  <c r="V186" i="54"/>
  <c r="W186" i="54" s="1"/>
  <c r="R186" i="54"/>
  <c r="S186" i="54" s="1"/>
  <c r="N186" i="54"/>
  <c r="O186" i="54" s="1"/>
  <c r="V178" i="54"/>
  <c r="W178" i="54" s="1"/>
  <c r="R178" i="54"/>
  <c r="S178" i="54" s="1"/>
  <c r="N178" i="54"/>
  <c r="O178" i="54" s="1"/>
  <c r="V170" i="54"/>
  <c r="W170" i="54" s="1"/>
  <c r="R170" i="54"/>
  <c r="S170" i="54" s="1"/>
  <c r="N170" i="54"/>
  <c r="O170" i="54" s="1"/>
  <c r="V166" i="54"/>
  <c r="W166" i="54" s="1"/>
  <c r="R166" i="54"/>
  <c r="S166" i="54" s="1"/>
  <c r="N166" i="54"/>
  <c r="O166" i="54" s="1"/>
  <c r="V158" i="54"/>
  <c r="W158" i="54" s="1"/>
  <c r="R158" i="54"/>
  <c r="S158" i="54" s="1"/>
  <c r="N158" i="54"/>
  <c r="O158" i="54" s="1"/>
  <c r="V150" i="54"/>
  <c r="W150" i="54" s="1"/>
  <c r="R150" i="54"/>
  <c r="S150" i="54" s="1"/>
  <c r="N150" i="54"/>
  <c r="O150" i="54" s="1"/>
  <c r="V142" i="54"/>
  <c r="W142" i="54" s="1"/>
  <c r="R142" i="54"/>
  <c r="S142" i="54" s="1"/>
  <c r="N142" i="54"/>
  <c r="O142" i="54" s="1"/>
  <c r="V134" i="54"/>
  <c r="W134" i="54" s="1"/>
  <c r="R134" i="54"/>
  <c r="S134" i="54" s="1"/>
  <c r="N134" i="54"/>
  <c r="O134" i="54" s="1"/>
  <c r="V126" i="54"/>
  <c r="W126" i="54" s="1"/>
  <c r="R126" i="54"/>
  <c r="S126" i="54" s="1"/>
  <c r="N126" i="54"/>
  <c r="O126" i="54" s="1"/>
  <c r="V118" i="54"/>
  <c r="W118" i="54" s="1"/>
  <c r="R118" i="54"/>
  <c r="S118" i="54" s="1"/>
  <c r="N118" i="54"/>
  <c r="O118" i="54" s="1"/>
  <c r="V114" i="54"/>
  <c r="W114" i="54" s="1"/>
  <c r="R114" i="54"/>
  <c r="S114" i="54" s="1"/>
  <c r="N114" i="54"/>
  <c r="O114" i="54" s="1"/>
  <c r="V106" i="54"/>
  <c r="W106" i="54" s="1"/>
  <c r="R106" i="54"/>
  <c r="S106" i="54" s="1"/>
  <c r="N106" i="54"/>
  <c r="O106" i="54" s="1"/>
  <c r="V98" i="54"/>
  <c r="W98" i="54" s="1"/>
  <c r="R98" i="54"/>
  <c r="S98" i="54" s="1"/>
  <c r="N98" i="54"/>
  <c r="O98" i="54" s="1"/>
  <c r="V90" i="54"/>
  <c r="W90" i="54" s="1"/>
  <c r="R90" i="54"/>
  <c r="S90" i="54" s="1"/>
  <c r="N90" i="54"/>
  <c r="O90" i="54" s="1"/>
  <c r="V86" i="54"/>
  <c r="W86" i="54" s="1"/>
  <c r="R86" i="54"/>
  <c r="S86" i="54" s="1"/>
  <c r="N86" i="54"/>
  <c r="O86" i="54" s="1"/>
  <c r="V78" i="54"/>
  <c r="W78" i="54" s="1"/>
  <c r="R78" i="54"/>
  <c r="S78" i="54" s="1"/>
  <c r="N78" i="54"/>
  <c r="O78" i="54" s="1"/>
  <c r="V70" i="54"/>
  <c r="W70" i="54" s="1"/>
  <c r="R70" i="54"/>
  <c r="S70" i="54" s="1"/>
  <c r="N70" i="54"/>
  <c r="O70" i="54" s="1"/>
  <c r="V62" i="54"/>
  <c r="W62" i="54" s="1"/>
  <c r="R62" i="54"/>
  <c r="S62" i="54" s="1"/>
  <c r="N62" i="54"/>
  <c r="O62" i="54" s="1"/>
  <c r="V54" i="54"/>
  <c r="W54" i="54" s="1"/>
  <c r="R54" i="54"/>
  <c r="S54" i="54" s="1"/>
  <c r="N54" i="54"/>
  <c r="O54" i="54" s="1"/>
  <c r="V46" i="54"/>
  <c r="W46" i="54" s="1"/>
  <c r="R46" i="54"/>
  <c r="S46" i="54" s="1"/>
  <c r="N46" i="54"/>
  <c r="O46" i="54" s="1"/>
  <c r="V34" i="54"/>
  <c r="W34" i="54" s="1"/>
  <c r="R34" i="54"/>
  <c r="S34" i="54" s="1"/>
  <c r="N34" i="54"/>
  <c r="O34" i="54" s="1"/>
  <c r="V30" i="54"/>
  <c r="W30" i="54" s="1"/>
  <c r="R30" i="54"/>
  <c r="S30" i="54" s="1"/>
  <c r="N30" i="54"/>
  <c r="O30" i="54" s="1"/>
  <c r="V22" i="54"/>
  <c r="W22" i="54" s="1"/>
  <c r="R22" i="54"/>
  <c r="S22" i="54" s="1"/>
  <c r="N22" i="54"/>
  <c r="O22" i="54" s="1"/>
  <c r="V502" i="54"/>
  <c r="W502" i="54" s="1"/>
  <c r="R502" i="54"/>
  <c r="S502" i="54" s="1"/>
  <c r="N502" i="54"/>
  <c r="O502" i="54" s="1"/>
  <c r="V494" i="54"/>
  <c r="W494" i="54" s="1"/>
  <c r="R494" i="54"/>
  <c r="S494" i="54" s="1"/>
  <c r="N494" i="54"/>
  <c r="O494" i="54" s="1"/>
  <c r="V482" i="54"/>
  <c r="W482" i="54" s="1"/>
  <c r="R482" i="54"/>
  <c r="S482" i="54" s="1"/>
  <c r="N482" i="54"/>
  <c r="O482" i="54" s="1"/>
  <c r="V474" i="54"/>
  <c r="W474" i="54" s="1"/>
  <c r="R474" i="54"/>
  <c r="S474" i="54" s="1"/>
  <c r="N474" i="54"/>
  <c r="O474" i="54" s="1"/>
  <c r="V466" i="54"/>
  <c r="W466" i="54" s="1"/>
  <c r="R466" i="54"/>
  <c r="S466" i="54" s="1"/>
  <c r="N466" i="54"/>
  <c r="O466" i="54" s="1"/>
  <c r="V458" i="54"/>
  <c r="W458" i="54" s="1"/>
  <c r="R458" i="54"/>
  <c r="S458" i="54" s="1"/>
  <c r="N458" i="54"/>
  <c r="O458" i="54" s="1"/>
  <c r="V450" i="54"/>
  <c r="W450" i="54" s="1"/>
  <c r="R450" i="54"/>
  <c r="S450" i="54" s="1"/>
  <c r="N450" i="54"/>
  <c r="O450" i="54" s="1"/>
  <c r="V442" i="54"/>
  <c r="W442" i="54" s="1"/>
  <c r="R442" i="54"/>
  <c r="S442" i="54" s="1"/>
  <c r="N442" i="54"/>
  <c r="O442" i="54" s="1"/>
  <c r="V434" i="54"/>
  <c r="W434" i="54" s="1"/>
  <c r="R434" i="54"/>
  <c r="S434" i="54" s="1"/>
  <c r="N434" i="54"/>
  <c r="O434" i="54" s="1"/>
  <c r="V426" i="54"/>
  <c r="W426" i="54" s="1"/>
  <c r="R426" i="54"/>
  <c r="S426" i="54" s="1"/>
  <c r="N426" i="54"/>
  <c r="O426" i="54" s="1"/>
  <c r="V418" i="54"/>
  <c r="W418" i="54" s="1"/>
  <c r="R418" i="54"/>
  <c r="S418" i="54" s="1"/>
  <c r="N418" i="54"/>
  <c r="O418" i="54" s="1"/>
  <c r="V410" i="54"/>
  <c r="W410" i="54" s="1"/>
  <c r="R410" i="54"/>
  <c r="S410" i="54" s="1"/>
  <c r="N410" i="54"/>
  <c r="O410" i="54" s="1"/>
  <c r="V402" i="54"/>
  <c r="W402" i="54" s="1"/>
  <c r="R402" i="54"/>
  <c r="S402" i="54" s="1"/>
  <c r="N402" i="54"/>
  <c r="O402" i="54" s="1"/>
  <c r="V394" i="54"/>
  <c r="W394" i="54" s="1"/>
  <c r="R394" i="54"/>
  <c r="S394" i="54" s="1"/>
  <c r="N394" i="54"/>
  <c r="O394" i="54" s="1"/>
  <c r="V386" i="54"/>
  <c r="W386" i="54" s="1"/>
  <c r="R386" i="54"/>
  <c r="S386" i="54" s="1"/>
  <c r="N386" i="54"/>
  <c r="O386" i="54" s="1"/>
  <c r="V378" i="54"/>
  <c r="W378" i="54" s="1"/>
  <c r="R378" i="54"/>
  <c r="S378" i="54" s="1"/>
  <c r="N378" i="54"/>
  <c r="O378" i="54" s="1"/>
  <c r="V366" i="54"/>
  <c r="W366" i="54" s="1"/>
  <c r="R366" i="54"/>
  <c r="S366" i="54" s="1"/>
  <c r="N366" i="54"/>
  <c r="O366" i="54" s="1"/>
  <c r="V358" i="54"/>
  <c r="W358" i="54" s="1"/>
  <c r="R358" i="54"/>
  <c r="S358" i="54" s="1"/>
  <c r="N358" i="54"/>
  <c r="O358" i="54" s="1"/>
  <c r="V350" i="54"/>
  <c r="W350" i="54" s="1"/>
  <c r="R350" i="54"/>
  <c r="S350" i="54" s="1"/>
  <c r="N350" i="54"/>
  <c r="O350" i="54" s="1"/>
  <c r="V342" i="54"/>
  <c r="W342" i="54" s="1"/>
  <c r="R342" i="54"/>
  <c r="S342" i="54" s="1"/>
  <c r="N342" i="54"/>
  <c r="O342" i="54" s="1"/>
  <c r="V334" i="54"/>
  <c r="W334" i="54" s="1"/>
  <c r="R334" i="54"/>
  <c r="S334" i="54" s="1"/>
  <c r="N334" i="54"/>
  <c r="O334" i="54" s="1"/>
  <c r="V326" i="54"/>
  <c r="W326" i="54" s="1"/>
  <c r="R326" i="54"/>
  <c r="S326" i="54" s="1"/>
  <c r="N326" i="54"/>
  <c r="O326" i="54" s="1"/>
  <c r="V314" i="54"/>
  <c r="W314" i="54" s="1"/>
  <c r="R314" i="54"/>
  <c r="S314" i="54" s="1"/>
  <c r="N314" i="54"/>
  <c r="O314" i="54" s="1"/>
  <c r="V309" i="54"/>
  <c r="W309" i="54" s="1"/>
  <c r="R309" i="54"/>
  <c r="S309" i="54" s="1"/>
  <c r="N309" i="54"/>
  <c r="O309" i="54" s="1"/>
  <c r="R305" i="54"/>
  <c r="S305" i="54" s="1"/>
  <c r="N305" i="54"/>
  <c r="O305" i="54" s="1"/>
  <c r="V305" i="54"/>
  <c r="W305" i="54" s="1"/>
  <c r="R301" i="54"/>
  <c r="S301" i="54" s="1"/>
  <c r="V301" i="54"/>
  <c r="W301" i="54" s="1"/>
  <c r="N301" i="54"/>
  <c r="O301" i="54" s="1"/>
  <c r="V297" i="54"/>
  <c r="W297" i="54" s="1"/>
  <c r="R297" i="54"/>
  <c r="S297" i="54" s="1"/>
  <c r="N297" i="54"/>
  <c r="O297" i="54" s="1"/>
  <c r="V293" i="54"/>
  <c r="W293" i="54" s="1"/>
  <c r="R293" i="54"/>
  <c r="S293" i="54" s="1"/>
  <c r="N293" i="54"/>
  <c r="O293" i="54" s="1"/>
  <c r="R289" i="54"/>
  <c r="S289" i="54" s="1"/>
  <c r="V289" i="54"/>
  <c r="W289" i="54" s="1"/>
  <c r="N289" i="54"/>
  <c r="O289" i="54" s="1"/>
  <c r="V285" i="54"/>
  <c r="W285" i="54" s="1"/>
  <c r="R285" i="54"/>
  <c r="S285" i="54" s="1"/>
  <c r="N285" i="54"/>
  <c r="O285" i="54" s="1"/>
  <c r="V281" i="54"/>
  <c r="W281" i="54" s="1"/>
  <c r="R281" i="54"/>
  <c r="S281" i="54" s="1"/>
  <c r="N281" i="54"/>
  <c r="O281" i="54" s="1"/>
  <c r="V277" i="54"/>
  <c r="W277" i="54" s="1"/>
  <c r="R277" i="54"/>
  <c r="S277" i="54" s="1"/>
  <c r="N277" i="54"/>
  <c r="O277" i="54" s="1"/>
  <c r="R273" i="54"/>
  <c r="S273" i="54" s="1"/>
  <c r="N273" i="54"/>
  <c r="O273" i="54" s="1"/>
  <c r="V273" i="54"/>
  <c r="W273" i="54" s="1"/>
  <c r="R269" i="54"/>
  <c r="S269" i="54" s="1"/>
  <c r="N269" i="54"/>
  <c r="O269" i="54" s="1"/>
  <c r="V269" i="54"/>
  <c r="W269" i="54" s="1"/>
  <c r="V265" i="54"/>
  <c r="W265" i="54" s="1"/>
  <c r="R265" i="54"/>
  <c r="S265" i="54" s="1"/>
  <c r="N265" i="54"/>
  <c r="O265" i="54" s="1"/>
  <c r="V261" i="54"/>
  <c r="W261" i="54" s="1"/>
  <c r="R261" i="54"/>
  <c r="S261" i="54" s="1"/>
  <c r="N261" i="54"/>
  <c r="O261" i="54" s="1"/>
  <c r="R257" i="54"/>
  <c r="S257" i="54" s="1"/>
  <c r="V257" i="54"/>
  <c r="W257" i="54" s="1"/>
  <c r="N257" i="54"/>
  <c r="O257" i="54" s="1"/>
  <c r="V253" i="54"/>
  <c r="W253" i="54" s="1"/>
  <c r="R253" i="54"/>
  <c r="S253" i="54" s="1"/>
  <c r="N253" i="54"/>
  <c r="O253" i="54" s="1"/>
  <c r="V249" i="54"/>
  <c r="W249" i="54" s="1"/>
  <c r="R249" i="54"/>
  <c r="S249" i="54" s="1"/>
  <c r="N249" i="54"/>
  <c r="O249" i="54" s="1"/>
  <c r="V245" i="54"/>
  <c r="W245" i="54" s="1"/>
  <c r="R245" i="54"/>
  <c r="S245" i="54" s="1"/>
  <c r="N245" i="54"/>
  <c r="O245" i="54" s="1"/>
  <c r="R241" i="54"/>
  <c r="S241" i="54" s="1"/>
  <c r="N241" i="54"/>
  <c r="O241" i="54" s="1"/>
  <c r="V241" i="54"/>
  <c r="W241" i="54" s="1"/>
  <c r="R237" i="54"/>
  <c r="S237" i="54" s="1"/>
  <c r="V237" i="54"/>
  <c r="W237" i="54" s="1"/>
  <c r="N237" i="54"/>
  <c r="O237" i="54" s="1"/>
  <c r="V233" i="54"/>
  <c r="W233" i="54" s="1"/>
  <c r="R233" i="54"/>
  <c r="S233" i="54" s="1"/>
  <c r="N233" i="54"/>
  <c r="O233" i="54" s="1"/>
  <c r="V229" i="54"/>
  <c r="W229" i="54" s="1"/>
  <c r="R229" i="54"/>
  <c r="S229" i="54" s="1"/>
  <c r="N229" i="54"/>
  <c r="O229" i="54" s="1"/>
  <c r="R225" i="54"/>
  <c r="S225" i="54" s="1"/>
  <c r="V225" i="54"/>
  <c r="W225" i="54" s="1"/>
  <c r="N225" i="54"/>
  <c r="O225" i="54" s="1"/>
  <c r="V221" i="54"/>
  <c r="W221" i="54" s="1"/>
  <c r="R221" i="54"/>
  <c r="S221" i="54" s="1"/>
  <c r="N221" i="54"/>
  <c r="O221" i="54" s="1"/>
  <c r="V217" i="54"/>
  <c r="W217" i="54" s="1"/>
  <c r="R217" i="54"/>
  <c r="S217" i="54" s="1"/>
  <c r="N217" i="54"/>
  <c r="O217" i="54" s="1"/>
  <c r="V213" i="54"/>
  <c r="W213" i="54" s="1"/>
  <c r="R213" i="54"/>
  <c r="S213" i="54" s="1"/>
  <c r="N213" i="54"/>
  <c r="O213" i="54" s="1"/>
  <c r="R209" i="54"/>
  <c r="S209" i="54" s="1"/>
  <c r="N209" i="54"/>
  <c r="O209" i="54" s="1"/>
  <c r="V209" i="54"/>
  <c r="W209" i="54" s="1"/>
  <c r="R205" i="54"/>
  <c r="S205" i="54" s="1"/>
  <c r="N205" i="54"/>
  <c r="O205" i="54" s="1"/>
  <c r="V205" i="54"/>
  <c r="W205" i="54" s="1"/>
  <c r="V201" i="54"/>
  <c r="W201" i="54" s="1"/>
  <c r="R201" i="54"/>
  <c r="S201" i="54" s="1"/>
  <c r="N201" i="54"/>
  <c r="O201" i="54" s="1"/>
  <c r="V197" i="54"/>
  <c r="W197" i="54" s="1"/>
  <c r="R197" i="54"/>
  <c r="S197" i="54" s="1"/>
  <c r="N197" i="54"/>
  <c r="O197" i="54" s="1"/>
  <c r="R193" i="54"/>
  <c r="S193" i="54" s="1"/>
  <c r="V193" i="54"/>
  <c r="W193" i="54" s="1"/>
  <c r="N193" i="54"/>
  <c r="O193" i="54" s="1"/>
  <c r="V189" i="54"/>
  <c r="W189" i="54" s="1"/>
  <c r="R189" i="54"/>
  <c r="S189" i="54" s="1"/>
  <c r="N189" i="54"/>
  <c r="O189" i="54" s="1"/>
  <c r="V185" i="54"/>
  <c r="W185" i="54" s="1"/>
  <c r="R185" i="54"/>
  <c r="S185" i="54" s="1"/>
  <c r="N185" i="54"/>
  <c r="O185" i="54" s="1"/>
  <c r="V181" i="54"/>
  <c r="W181" i="54" s="1"/>
  <c r="R181" i="54"/>
  <c r="S181" i="54" s="1"/>
  <c r="N181" i="54"/>
  <c r="O181" i="54" s="1"/>
  <c r="R177" i="54"/>
  <c r="S177" i="54" s="1"/>
  <c r="N177" i="54"/>
  <c r="O177" i="54" s="1"/>
  <c r="V177" i="54"/>
  <c r="W177" i="54" s="1"/>
  <c r="R173" i="54"/>
  <c r="S173" i="54" s="1"/>
  <c r="V173" i="54"/>
  <c r="W173" i="54" s="1"/>
  <c r="N173" i="54"/>
  <c r="O173" i="54" s="1"/>
  <c r="V169" i="54"/>
  <c r="W169" i="54" s="1"/>
  <c r="R169" i="54"/>
  <c r="S169" i="54" s="1"/>
  <c r="N169" i="54"/>
  <c r="O169" i="54" s="1"/>
  <c r="V165" i="54"/>
  <c r="W165" i="54" s="1"/>
  <c r="R165" i="54"/>
  <c r="S165" i="54" s="1"/>
  <c r="N165" i="54"/>
  <c r="O165" i="54" s="1"/>
  <c r="R161" i="54"/>
  <c r="S161" i="54" s="1"/>
  <c r="V161" i="54"/>
  <c r="W161" i="54" s="1"/>
  <c r="N161" i="54"/>
  <c r="O161" i="54" s="1"/>
  <c r="V157" i="54"/>
  <c r="W157" i="54" s="1"/>
  <c r="R157" i="54"/>
  <c r="S157" i="54" s="1"/>
  <c r="N157" i="54"/>
  <c r="O157" i="54" s="1"/>
  <c r="V153" i="54"/>
  <c r="W153" i="54" s="1"/>
  <c r="R153" i="54"/>
  <c r="S153" i="54" s="1"/>
  <c r="N153" i="54"/>
  <c r="O153" i="54" s="1"/>
  <c r="V149" i="54"/>
  <c r="W149" i="54" s="1"/>
  <c r="R149" i="54"/>
  <c r="S149" i="54" s="1"/>
  <c r="N149" i="54"/>
  <c r="O149" i="54" s="1"/>
  <c r="R145" i="54"/>
  <c r="S145" i="54" s="1"/>
  <c r="N145" i="54"/>
  <c r="O145" i="54" s="1"/>
  <c r="V145" i="54"/>
  <c r="W145" i="54" s="1"/>
  <c r="R141" i="54"/>
  <c r="S141" i="54" s="1"/>
  <c r="N141" i="54"/>
  <c r="O141" i="54" s="1"/>
  <c r="V141" i="54"/>
  <c r="W141" i="54" s="1"/>
  <c r="V137" i="54"/>
  <c r="W137" i="54" s="1"/>
  <c r="R137" i="54"/>
  <c r="S137" i="54" s="1"/>
  <c r="N137" i="54"/>
  <c r="O137" i="54" s="1"/>
  <c r="V133" i="54"/>
  <c r="W133" i="54" s="1"/>
  <c r="R133" i="54"/>
  <c r="S133" i="54" s="1"/>
  <c r="N133" i="54"/>
  <c r="O133" i="54" s="1"/>
  <c r="R129" i="54"/>
  <c r="S129" i="54" s="1"/>
  <c r="N129" i="54"/>
  <c r="O129" i="54" s="1"/>
  <c r="V129" i="54"/>
  <c r="W129" i="54" s="1"/>
  <c r="V125" i="54"/>
  <c r="W125" i="54" s="1"/>
  <c r="R125" i="54"/>
  <c r="S125" i="54" s="1"/>
  <c r="N125" i="54"/>
  <c r="O125" i="54" s="1"/>
  <c r="V121" i="54"/>
  <c r="W121" i="54" s="1"/>
  <c r="R121" i="54"/>
  <c r="S121" i="54" s="1"/>
  <c r="N121" i="54"/>
  <c r="O121" i="54" s="1"/>
  <c r="V117" i="54"/>
  <c r="W117" i="54" s="1"/>
  <c r="R117" i="54"/>
  <c r="S117" i="54" s="1"/>
  <c r="N117" i="54"/>
  <c r="O117" i="54" s="1"/>
  <c r="N113" i="54"/>
  <c r="O113" i="54" s="1"/>
  <c r="R113" i="54"/>
  <c r="S113" i="54" s="1"/>
  <c r="V113" i="54"/>
  <c r="W113" i="54" s="1"/>
  <c r="N109" i="54"/>
  <c r="O109" i="54" s="1"/>
  <c r="V109" i="54"/>
  <c r="W109" i="54" s="1"/>
  <c r="R109" i="54"/>
  <c r="S109" i="54" s="1"/>
  <c r="V105" i="54"/>
  <c r="W105" i="54" s="1"/>
  <c r="N105" i="54"/>
  <c r="O105" i="54" s="1"/>
  <c r="R105" i="54"/>
  <c r="S105" i="54" s="1"/>
  <c r="V101" i="54"/>
  <c r="W101" i="54" s="1"/>
  <c r="N101" i="54"/>
  <c r="O101" i="54" s="1"/>
  <c r="R101" i="54"/>
  <c r="S101" i="54" s="1"/>
  <c r="N97" i="54"/>
  <c r="O97" i="54" s="1"/>
  <c r="V97" i="54"/>
  <c r="W97" i="54" s="1"/>
  <c r="R97" i="54"/>
  <c r="S97" i="54" s="1"/>
  <c r="V93" i="54"/>
  <c r="W93" i="54" s="1"/>
  <c r="N93" i="54"/>
  <c r="O93" i="54" s="1"/>
  <c r="R93" i="54"/>
  <c r="S93" i="54" s="1"/>
  <c r="V89" i="54"/>
  <c r="W89" i="54" s="1"/>
  <c r="N89" i="54"/>
  <c r="O89" i="54" s="1"/>
  <c r="R89" i="54"/>
  <c r="S89" i="54" s="1"/>
  <c r="V85" i="54"/>
  <c r="W85" i="54" s="1"/>
  <c r="N85" i="54"/>
  <c r="O85" i="54" s="1"/>
  <c r="R85" i="54"/>
  <c r="S85" i="54" s="1"/>
  <c r="N81" i="54"/>
  <c r="O81" i="54" s="1"/>
  <c r="R81" i="54"/>
  <c r="S81" i="54" s="1"/>
  <c r="V81" i="54"/>
  <c r="W81" i="54" s="1"/>
  <c r="N77" i="54"/>
  <c r="O77" i="54" s="1"/>
  <c r="V77" i="54"/>
  <c r="W77" i="54" s="1"/>
  <c r="R77" i="54"/>
  <c r="S77" i="54" s="1"/>
  <c r="V73" i="54"/>
  <c r="W73" i="54" s="1"/>
  <c r="N73" i="54"/>
  <c r="O73" i="54" s="1"/>
  <c r="R73" i="54"/>
  <c r="S73" i="54" s="1"/>
  <c r="V69" i="54"/>
  <c r="W69" i="54" s="1"/>
  <c r="N69" i="54"/>
  <c r="O69" i="54" s="1"/>
  <c r="R69" i="54"/>
  <c r="S69" i="54" s="1"/>
  <c r="N65" i="54"/>
  <c r="O65" i="54" s="1"/>
  <c r="V65" i="54"/>
  <c r="W65" i="54" s="1"/>
  <c r="R65" i="54"/>
  <c r="S65" i="54" s="1"/>
  <c r="V61" i="54"/>
  <c r="W61" i="54" s="1"/>
  <c r="N61" i="54"/>
  <c r="O61" i="54" s="1"/>
  <c r="R61" i="54"/>
  <c r="S61" i="54" s="1"/>
  <c r="V57" i="54"/>
  <c r="W57" i="54" s="1"/>
  <c r="N57" i="54"/>
  <c r="O57" i="54" s="1"/>
  <c r="R57" i="54"/>
  <c r="S57" i="54" s="1"/>
  <c r="V53" i="54"/>
  <c r="W53" i="54" s="1"/>
  <c r="N53" i="54"/>
  <c r="O53" i="54" s="1"/>
  <c r="R53" i="54"/>
  <c r="S53" i="54" s="1"/>
  <c r="N49" i="54"/>
  <c r="O49" i="54" s="1"/>
  <c r="R49" i="54"/>
  <c r="S49" i="54" s="1"/>
  <c r="V49" i="54"/>
  <c r="W49" i="54" s="1"/>
  <c r="N45" i="54"/>
  <c r="O45" i="54" s="1"/>
  <c r="V45" i="54"/>
  <c r="W45" i="54" s="1"/>
  <c r="R45" i="54"/>
  <c r="S45" i="54" s="1"/>
  <c r="V41" i="54"/>
  <c r="W41" i="54" s="1"/>
  <c r="N41" i="54"/>
  <c r="O41" i="54" s="1"/>
  <c r="R41" i="54"/>
  <c r="S41" i="54" s="1"/>
  <c r="V37" i="54"/>
  <c r="W37" i="54" s="1"/>
  <c r="N37" i="54"/>
  <c r="O37" i="54" s="1"/>
  <c r="R37" i="54"/>
  <c r="S37" i="54" s="1"/>
  <c r="N33" i="54"/>
  <c r="O33" i="54" s="1"/>
  <c r="V33" i="54"/>
  <c r="W33" i="54" s="1"/>
  <c r="R33" i="54"/>
  <c r="S33" i="54" s="1"/>
  <c r="V29" i="54"/>
  <c r="W29" i="54" s="1"/>
  <c r="N29" i="54"/>
  <c r="O29" i="54" s="1"/>
  <c r="R29" i="54"/>
  <c r="S29" i="54" s="1"/>
  <c r="V25" i="54"/>
  <c r="W25" i="54" s="1"/>
  <c r="N25" i="54"/>
  <c r="O25" i="54" s="1"/>
  <c r="R25" i="54"/>
  <c r="S25" i="54" s="1"/>
  <c r="V21" i="54"/>
  <c r="W21" i="54" s="1"/>
  <c r="N21" i="54"/>
  <c r="O21" i="54" s="1"/>
  <c r="R21" i="54"/>
  <c r="S21" i="54" s="1"/>
  <c r="R509" i="54"/>
  <c r="S509" i="54" s="1"/>
  <c r="V509" i="54"/>
  <c r="W509" i="54" s="1"/>
  <c r="N509" i="54"/>
  <c r="O509" i="54" s="1"/>
  <c r="R505" i="54"/>
  <c r="S505" i="54" s="1"/>
  <c r="V505" i="54"/>
  <c r="W505" i="54" s="1"/>
  <c r="N505" i="54"/>
  <c r="O505" i="54" s="1"/>
  <c r="R501" i="54"/>
  <c r="S501" i="54" s="1"/>
  <c r="V501" i="54"/>
  <c r="W501" i="54" s="1"/>
  <c r="N501" i="54"/>
  <c r="O501" i="54" s="1"/>
  <c r="R497" i="54"/>
  <c r="S497" i="54" s="1"/>
  <c r="V497" i="54"/>
  <c r="W497" i="54" s="1"/>
  <c r="N497" i="54"/>
  <c r="O497" i="54" s="1"/>
  <c r="R493" i="54"/>
  <c r="S493" i="54" s="1"/>
  <c r="V493" i="54"/>
  <c r="W493" i="54" s="1"/>
  <c r="N493" i="54"/>
  <c r="O493" i="54" s="1"/>
  <c r="R489" i="54"/>
  <c r="S489" i="54" s="1"/>
  <c r="N489" i="54"/>
  <c r="O489" i="54" s="1"/>
  <c r="V489" i="54"/>
  <c r="W489" i="54" s="1"/>
  <c r="R485" i="54"/>
  <c r="S485" i="54" s="1"/>
  <c r="V485" i="54"/>
  <c r="W485" i="54" s="1"/>
  <c r="N485" i="54"/>
  <c r="O485" i="54" s="1"/>
  <c r="R481" i="54"/>
  <c r="S481" i="54" s="1"/>
  <c r="N481" i="54"/>
  <c r="O481" i="54" s="1"/>
  <c r="V481" i="54"/>
  <c r="W481" i="54" s="1"/>
  <c r="R477" i="54"/>
  <c r="S477" i="54" s="1"/>
  <c r="V477" i="54"/>
  <c r="W477" i="54" s="1"/>
  <c r="N477" i="54"/>
  <c r="O477" i="54" s="1"/>
  <c r="R473" i="54"/>
  <c r="S473" i="54" s="1"/>
  <c r="N473" i="54"/>
  <c r="O473" i="54" s="1"/>
  <c r="V473" i="54"/>
  <c r="W473" i="54" s="1"/>
  <c r="R469" i="54"/>
  <c r="S469" i="54" s="1"/>
  <c r="V469" i="54"/>
  <c r="W469" i="54" s="1"/>
  <c r="N469" i="54"/>
  <c r="O469" i="54" s="1"/>
  <c r="R465" i="54"/>
  <c r="S465" i="54" s="1"/>
  <c r="N465" i="54"/>
  <c r="O465" i="54" s="1"/>
  <c r="V465" i="54"/>
  <c r="W465" i="54" s="1"/>
  <c r="R461" i="54"/>
  <c r="S461" i="54" s="1"/>
  <c r="V461" i="54"/>
  <c r="W461" i="54" s="1"/>
  <c r="N461" i="54"/>
  <c r="O461" i="54" s="1"/>
  <c r="R457" i="54"/>
  <c r="S457" i="54" s="1"/>
  <c r="N457" i="54"/>
  <c r="O457" i="54" s="1"/>
  <c r="V457" i="54"/>
  <c r="W457" i="54" s="1"/>
  <c r="R453" i="54"/>
  <c r="S453" i="54" s="1"/>
  <c r="V453" i="54"/>
  <c r="W453" i="54" s="1"/>
  <c r="N453" i="54"/>
  <c r="O453" i="54" s="1"/>
  <c r="R449" i="54"/>
  <c r="S449" i="54" s="1"/>
  <c r="N449" i="54"/>
  <c r="O449" i="54" s="1"/>
  <c r="V449" i="54"/>
  <c r="W449" i="54" s="1"/>
  <c r="R445" i="54"/>
  <c r="S445" i="54" s="1"/>
  <c r="V445" i="54"/>
  <c r="W445" i="54" s="1"/>
  <c r="N445" i="54"/>
  <c r="O445" i="54" s="1"/>
  <c r="R441" i="54"/>
  <c r="S441" i="54" s="1"/>
  <c r="N441" i="54"/>
  <c r="O441" i="54" s="1"/>
  <c r="V441" i="54"/>
  <c r="W441" i="54" s="1"/>
  <c r="R437" i="54"/>
  <c r="S437" i="54" s="1"/>
  <c r="V437" i="54"/>
  <c r="W437" i="54" s="1"/>
  <c r="N437" i="54"/>
  <c r="O437" i="54" s="1"/>
  <c r="R433" i="54"/>
  <c r="S433" i="54" s="1"/>
  <c r="N433" i="54"/>
  <c r="O433" i="54" s="1"/>
  <c r="V433" i="54"/>
  <c r="W433" i="54" s="1"/>
  <c r="R429" i="54"/>
  <c r="S429" i="54" s="1"/>
  <c r="V429" i="54"/>
  <c r="W429" i="54" s="1"/>
  <c r="N429" i="54"/>
  <c r="O429" i="54" s="1"/>
  <c r="R425" i="54"/>
  <c r="S425" i="54" s="1"/>
  <c r="N425" i="54"/>
  <c r="O425" i="54" s="1"/>
  <c r="V425" i="54"/>
  <c r="W425" i="54" s="1"/>
  <c r="R421" i="54"/>
  <c r="S421" i="54" s="1"/>
  <c r="V421" i="54"/>
  <c r="W421" i="54" s="1"/>
  <c r="N421" i="54"/>
  <c r="O421" i="54" s="1"/>
  <c r="R417" i="54"/>
  <c r="S417" i="54" s="1"/>
  <c r="N417" i="54"/>
  <c r="O417" i="54" s="1"/>
  <c r="V417" i="54"/>
  <c r="W417" i="54" s="1"/>
  <c r="R413" i="54"/>
  <c r="S413" i="54" s="1"/>
  <c r="V413" i="54"/>
  <c r="W413" i="54" s="1"/>
  <c r="N413" i="54"/>
  <c r="O413" i="54" s="1"/>
  <c r="R409" i="54"/>
  <c r="S409" i="54" s="1"/>
  <c r="N409" i="54"/>
  <c r="O409" i="54" s="1"/>
  <c r="V409" i="54"/>
  <c r="W409" i="54" s="1"/>
  <c r="R405" i="54"/>
  <c r="S405" i="54" s="1"/>
  <c r="V405" i="54"/>
  <c r="W405" i="54" s="1"/>
  <c r="N405" i="54"/>
  <c r="O405" i="54" s="1"/>
  <c r="R401" i="54"/>
  <c r="S401" i="54" s="1"/>
  <c r="N401" i="54"/>
  <c r="O401" i="54" s="1"/>
  <c r="V401" i="54"/>
  <c r="W401" i="54" s="1"/>
  <c r="R397" i="54"/>
  <c r="S397" i="54" s="1"/>
  <c r="V397" i="54"/>
  <c r="W397" i="54" s="1"/>
  <c r="N397" i="54"/>
  <c r="O397" i="54" s="1"/>
  <c r="R393" i="54"/>
  <c r="S393" i="54" s="1"/>
  <c r="N393" i="54"/>
  <c r="O393" i="54" s="1"/>
  <c r="V393" i="54"/>
  <c r="W393" i="54" s="1"/>
  <c r="R389" i="54"/>
  <c r="S389" i="54" s="1"/>
  <c r="V389" i="54"/>
  <c r="W389" i="54" s="1"/>
  <c r="N389" i="54"/>
  <c r="O389" i="54" s="1"/>
  <c r="R385" i="54"/>
  <c r="S385" i="54" s="1"/>
  <c r="N385" i="54"/>
  <c r="O385" i="54" s="1"/>
  <c r="V385" i="54"/>
  <c r="W385" i="54" s="1"/>
  <c r="R381" i="54"/>
  <c r="S381" i="54" s="1"/>
  <c r="V381" i="54"/>
  <c r="W381" i="54" s="1"/>
  <c r="N381" i="54"/>
  <c r="O381" i="54" s="1"/>
  <c r="R377" i="54"/>
  <c r="S377" i="54" s="1"/>
  <c r="N377" i="54"/>
  <c r="O377" i="54" s="1"/>
  <c r="V377" i="54"/>
  <c r="W377" i="54" s="1"/>
  <c r="R373" i="54"/>
  <c r="S373" i="54" s="1"/>
  <c r="V373" i="54"/>
  <c r="W373" i="54" s="1"/>
  <c r="N373" i="54"/>
  <c r="O373" i="54" s="1"/>
  <c r="R369" i="54"/>
  <c r="S369" i="54" s="1"/>
  <c r="N369" i="54"/>
  <c r="O369" i="54" s="1"/>
  <c r="V369" i="54"/>
  <c r="W369" i="54" s="1"/>
  <c r="R365" i="54"/>
  <c r="S365" i="54" s="1"/>
  <c r="V365" i="54"/>
  <c r="W365" i="54" s="1"/>
  <c r="N365" i="54"/>
  <c r="O365" i="54" s="1"/>
  <c r="R361" i="54"/>
  <c r="S361" i="54" s="1"/>
  <c r="N361" i="54"/>
  <c r="O361" i="54" s="1"/>
  <c r="V361" i="54"/>
  <c r="W361" i="54" s="1"/>
  <c r="R357" i="54"/>
  <c r="S357" i="54" s="1"/>
  <c r="V357" i="54"/>
  <c r="W357" i="54" s="1"/>
  <c r="N357" i="54"/>
  <c r="O357" i="54" s="1"/>
  <c r="V353" i="54"/>
  <c r="W353" i="54" s="1"/>
  <c r="R353" i="54"/>
  <c r="S353" i="54" s="1"/>
  <c r="N353" i="54"/>
  <c r="O353" i="54" s="1"/>
  <c r="R349" i="54"/>
  <c r="S349" i="54" s="1"/>
  <c r="N349" i="54"/>
  <c r="O349" i="54" s="1"/>
  <c r="V349" i="54"/>
  <c r="W349" i="54" s="1"/>
  <c r="V345" i="54"/>
  <c r="W345" i="54" s="1"/>
  <c r="R345" i="54"/>
  <c r="S345" i="54" s="1"/>
  <c r="N345" i="54"/>
  <c r="O345" i="54" s="1"/>
  <c r="R341" i="54"/>
  <c r="S341" i="54" s="1"/>
  <c r="V341" i="54"/>
  <c r="W341" i="54" s="1"/>
  <c r="N341" i="54"/>
  <c r="O341" i="54" s="1"/>
  <c r="V337" i="54"/>
  <c r="W337" i="54" s="1"/>
  <c r="R337" i="54"/>
  <c r="S337" i="54" s="1"/>
  <c r="N337" i="54"/>
  <c r="O337" i="54" s="1"/>
  <c r="R333" i="54"/>
  <c r="S333" i="54" s="1"/>
  <c r="N333" i="54"/>
  <c r="O333" i="54" s="1"/>
  <c r="V333" i="54"/>
  <c r="W333" i="54" s="1"/>
  <c r="V329" i="54"/>
  <c r="W329" i="54" s="1"/>
  <c r="R329" i="54"/>
  <c r="S329" i="54" s="1"/>
  <c r="N329" i="54"/>
  <c r="O329" i="54" s="1"/>
  <c r="V325" i="54"/>
  <c r="W325" i="54" s="1"/>
  <c r="R325" i="54"/>
  <c r="S325" i="54" s="1"/>
  <c r="N325" i="54"/>
  <c r="O325" i="54" s="1"/>
  <c r="R321" i="54"/>
  <c r="S321" i="54" s="1"/>
  <c r="V321" i="54"/>
  <c r="W321" i="54" s="1"/>
  <c r="N321" i="54"/>
  <c r="O321" i="54" s="1"/>
  <c r="V317" i="54"/>
  <c r="W317" i="54" s="1"/>
  <c r="R317" i="54"/>
  <c r="S317" i="54" s="1"/>
  <c r="N317" i="54"/>
  <c r="O317" i="54" s="1"/>
  <c r="V313" i="54"/>
  <c r="W313" i="54" s="1"/>
  <c r="R313" i="54"/>
  <c r="S313" i="54" s="1"/>
  <c r="N313" i="54"/>
  <c r="O313" i="54" s="1"/>
  <c r="V306" i="54"/>
  <c r="W306" i="54" s="1"/>
  <c r="R306" i="54"/>
  <c r="S306" i="54" s="1"/>
  <c r="N306" i="54"/>
  <c r="O306" i="54" s="1"/>
  <c r="V294" i="54"/>
  <c r="W294" i="54" s="1"/>
  <c r="R294" i="54"/>
  <c r="S294" i="54" s="1"/>
  <c r="N294" i="54"/>
  <c r="O294" i="54" s="1"/>
  <c r="V286" i="54"/>
  <c r="W286" i="54" s="1"/>
  <c r="R286" i="54"/>
  <c r="S286" i="54" s="1"/>
  <c r="N286" i="54"/>
  <c r="O286" i="54" s="1"/>
  <c r="V278" i="54"/>
  <c r="W278" i="54" s="1"/>
  <c r="R278" i="54"/>
  <c r="S278" i="54" s="1"/>
  <c r="N278" i="54"/>
  <c r="O278" i="54" s="1"/>
  <c r="V270" i="54"/>
  <c r="W270" i="54" s="1"/>
  <c r="R270" i="54"/>
  <c r="S270" i="54" s="1"/>
  <c r="N270" i="54"/>
  <c r="O270" i="54" s="1"/>
  <c r="V262" i="54"/>
  <c r="W262" i="54" s="1"/>
  <c r="R262" i="54"/>
  <c r="S262" i="54" s="1"/>
  <c r="N262" i="54"/>
  <c r="O262" i="54" s="1"/>
  <c r="V254" i="54"/>
  <c r="W254" i="54" s="1"/>
  <c r="R254" i="54"/>
  <c r="S254" i="54" s="1"/>
  <c r="N254" i="54"/>
  <c r="O254" i="54" s="1"/>
  <c r="V246" i="54"/>
  <c r="W246" i="54" s="1"/>
  <c r="R246" i="54"/>
  <c r="S246" i="54" s="1"/>
  <c r="N246" i="54"/>
  <c r="O246" i="54" s="1"/>
  <c r="V238" i="54"/>
  <c r="W238" i="54" s="1"/>
  <c r="R238" i="54"/>
  <c r="S238" i="54" s="1"/>
  <c r="N238" i="54"/>
  <c r="O238" i="54" s="1"/>
  <c r="V230" i="54"/>
  <c r="W230" i="54" s="1"/>
  <c r="R230" i="54"/>
  <c r="S230" i="54" s="1"/>
  <c r="N230" i="54"/>
  <c r="O230" i="54" s="1"/>
  <c r="V222" i="54"/>
  <c r="W222" i="54" s="1"/>
  <c r="R222" i="54"/>
  <c r="S222" i="54" s="1"/>
  <c r="N222" i="54"/>
  <c r="O222" i="54" s="1"/>
  <c r="V214" i="54"/>
  <c r="W214" i="54" s="1"/>
  <c r="R214" i="54"/>
  <c r="S214" i="54" s="1"/>
  <c r="N214" i="54"/>
  <c r="O214" i="54" s="1"/>
  <c r="V206" i="54"/>
  <c r="W206" i="54" s="1"/>
  <c r="R206" i="54"/>
  <c r="S206" i="54" s="1"/>
  <c r="N206" i="54"/>
  <c r="O206" i="54" s="1"/>
  <c r="V198" i="54"/>
  <c r="W198" i="54" s="1"/>
  <c r="R198" i="54"/>
  <c r="S198" i="54" s="1"/>
  <c r="N198" i="54"/>
  <c r="O198" i="54" s="1"/>
  <c r="V190" i="54"/>
  <c r="W190" i="54" s="1"/>
  <c r="R190" i="54"/>
  <c r="S190" i="54" s="1"/>
  <c r="N190" i="54"/>
  <c r="O190" i="54" s="1"/>
  <c r="V182" i="54"/>
  <c r="W182" i="54" s="1"/>
  <c r="R182" i="54"/>
  <c r="S182" i="54" s="1"/>
  <c r="N182" i="54"/>
  <c r="O182" i="54" s="1"/>
  <c r="V174" i="54"/>
  <c r="W174" i="54" s="1"/>
  <c r="R174" i="54"/>
  <c r="S174" i="54" s="1"/>
  <c r="N174" i="54"/>
  <c r="O174" i="54" s="1"/>
  <c r="V162" i="54"/>
  <c r="W162" i="54" s="1"/>
  <c r="R162" i="54"/>
  <c r="S162" i="54" s="1"/>
  <c r="N162" i="54"/>
  <c r="O162" i="54" s="1"/>
  <c r="V154" i="54"/>
  <c r="W154" i="54" s="1"/>
  <c r="R154" i="54"/>
  <c r="S154" i="54" s="1"/>
  <c r="N154" i="54"/>
  <c r="O154" i="54" s="1"/>
  <c r="V146" i="54"/>
  <c r="W146" i="54" s="1"/>
  <c r="R146" i="54"/>
  <c r="S146" i="54" s="1"/>
  <c r="N146" i="54"/>
  <c r="O146" i="54" s="1"/>
  <c r="V138" i="54"/>
  <c r="W138" i="54" s="1"/>
  <c r="R138" i="54"/>
  <c r="S138" i="54" s="1"/>
  <c r="N138" i="54"/>
  <c r="O138" i="54" s="1"/>
  <c r="V130" i="54"/>
  <c r="W130" i="54" s="1"/>
  <c r="R130" i="54"/>
  <c r="S130" i="54" s="1"/>
  <c r="N130" i="54"/>
  <c r="O130" i="54" s="1"/>
  <c r="V122" i="54"/>
  <c r="W122" i="54" s="1"/>
  <c r="R122" i="54"/>
  <c r="S122" i="54" s="1"/>
  <c r="N122" i="54"/>
  <c r="O122" i="54" s="1"/>
  <c r="V110" i="54"/>
  <c r="W110" i="54" s="1"/>
  <c r="R110" i="54"/>
  <c r="S110" i="54" s="1"/>
  <c r="N110" i="54"/>
  <c r="O110" i="54" s="1"/>
  <c r="V102" i="54"/>
  <c r="W102" i="54" s="1"/>
  <c r="R102" i="54"/>
  <c r="S102" i="54" s="1"/>
  <c r="N102" i="54"/>
  <c r="O102" i="54" s="1"/>
  <c r="V94" i="54"/>
  <c r="W94" i="54" s="1"/>
  <c r="R94" i="54"/>
  <c r="S94" i="54" s="1"/>
  <c r="N94" i="54"/>
  <c r="O94" i="54" s="1"/>
  <c r="V82" i="54"/>
  <c r="W82" i="54" s="1"/>
  <c r="R82" i="54"/>
  <c r="S82" i="54" s="1"/>
  <c r="N82" i="54"/>
  <c r="O82" i="54" s="1"/>
  <c r="V74" i="54"/>
  <c r="W74" i="54" s="1"/>
  <c r="R74" i="54"/>
  <c r="S74" i="54" s="1"/>
  <c r="N74" i="54"/>
  <c r="O74" i="54" s="1"/>
  <c r="V66" i="54"/>
  <c r="W66" i="54" s="1"/>
  <c r="R66" i="54"/>
  <c r="S66" i="54" s="1"/>
  <c r="N66" i="54"/>
  <c r="O66" i="54" s="1"/>
  <c r="V58" i="54"/>
  <c r="W58" i="54" s="1"/>
  <c r="R58" i="54"/>
  <c r="S58" i="54" s="1"/>
  <c r="N58" i="54"/>
  <c r="O58" i="54" s="1"/>
  <c r="V50" i="54"/>
  <c r="W50" i="54" s="1"/>
  <c r="R50" i="54"/>
  <c r="S50" i="54" s="1"/>
  <c r="N50" i="54"/>
  <c r="O50" i="54" s="1"/>
  <c r="V42" i="54"/>
  <c r="W42" i="54" s="1"/>
  <c r="R42" i="54"/>
  <c r="S42" i="54" s="1"/>
  <c r="N42" i="54"/>
  <c r="O42" i="54" s="1"/>
  <c r="V38" i="54"/>
  <c r="W38" i="54" s="1"/>
  <c r="R38" i="54"/>
  <c r="S38" i="54" s="1"/>
  <c r="N38" i="54"/>
  <c r="O38" i="54" s="1"/>
  <c r="V26" i="54"/>
  <c r="W26" i="54" s="1"/>
  <c r="R26" i="54"/>
  <c r="S26" i="54" s="1"/>
  <c r="N26" i="54"/>
  <c r="O26" i="54" s="1"/>
  <c r="V506" i="54"/>
  <c r="W506" i="54" s="1"/>
  <c r="R506" i="54"/>
  <c r="S506" i="54" s="1"/>
  <c r="N506" i="54"/>
  <c r="O506" i="54" s="1"/>
  <c r="V498" i="54"/>
  <c r="W498" i="54" s="1"/>
  <c r="R498" i="54"/>
  <c r="S498" i="54" s="1"/>
  <c r="N498" i="54"/>
  <c r="O498" i="54" s="1"/>
  <c r="V490" i="54"/>
  <c r="W490" i="54" s="1"/>
  <c r="R490" i="54"/>
  <c r="S490" i="54" s="1"/>
  <c r="N490" i="54"/>
  <c r="O490" i="54" s="1"/>
  <c r="V486" i="54"/>
  <c r="W486" i="54" s="1"/>
  <c r="R486" i="54"/>
  <c r="S486" i="54" s="1"/>
  <c r="N486" i="54"/>
  <c r="O486" i="54" s="1"/>
  <c r="V478" i="54"/>
  <c r="W478" i="54" s="1"/>
  <c r="R478" i="54"/>
  <c r="S478" i="54" s="1"/>
  <c r="N478" i="54"/>
  <c r="O478" i="54" s="1"/>
  <c r="V470" i="54"/>
  <c r="W470" i="54" s="1"/>
  <c r="R470" i="54"/>
  <c r="S470" i="54" s="1"/>
  <c r="N470" i="54"/>
  <c r="O470" i="54" s="1"/>
  <c r="V462" i="54"/>
  <c r="W462" i="54" s="1"/>
  <c r="R462" i="54"/>
  <c r="S462" i="54" s="1"/>
  <c r="N462" i="54"/>
  <c r="O462" i="54" s="1"/>
  <c r="V454" i="54"/>
  <c r="W454" i="54" s="1"/>
  <c r="R454" i="54"/>
  <c r="S454" i="54" s="1"/>
  <c r="N454" i="54"/>
  <c r="O454" i="54" s="1"/>
  <c r="V446" i="54"/>
  <c r="W446" i="54" s="1"/>
  <c r="R446" i="54"/>
  <c r="S446" i="54" s="1"/>
  <c r="N446" i="54"/>
  <c r="O446" i="54" s="1"/>
  <c r="V438" i="54"/>
  <c r="W438" i="54" s="1"/>
  <c r="R438" i="54"/>
  <c r="S438" i="54" s="1"/>
  <c r="N438" i="54"/>
  <c r="O438" i="54" s="1"/>
  <c r="V430" i="54"/>
  <c r="W430" i="54" s="1"/>
  <c r="R430" i="54"/>
  <c r="S430" i="54" s="1"/>
  <c r="N430" i="54"/>
  <c r="O430" i="54" s="1"/>
  <c r="V422" i="54"/>
  <c r="W422" i="54" s="1"/>
  <c r="R422" i="54"/>
  <c r="S422" i="54" s="1"/>
  <c r="N422" i="54"/>
  <c r="O422" i="54" s="1"/>
  <c r="V414" i="54"/>
  <c r="W414" i="54" s="1"/>
  <c r="R414" i="54"/>
  <c r="S414" i="54" s="1"/>
  <c r="N414" i="54"/>
  <c r="O414" i="54" s="1"/>
  <c r="V406" i="54"/>
  <c r="W406" i="54" s="1"/>
  <c r="R406" i="54"/>
  <c r="S406" i="54" s="1"/>
  <c r="N406" i="54"/>
  <c r="O406" i="54" s="1"/>
  <c r="V398" i="54"/>
  <c r="W398" i="54" s="1"/>
  <c r="R398" i="54"/>
  <c r="S398" i="54" s="1"/>
  <c r="N398" i="54"/>
  <c r="O398" i="54" s="1"/>
  <c r="V390" i="54"/>
  <c r="W390" i="54" s="1"/>
  <c r="R390" i="54"/>
  <c r="S390" i="54" s="1"/>
  <c r="N390" i="54"/>
  <c r="O390" i="54" s="1"/>
  <c r="V382" i="54"/>
  <c r="W382" i="54" s="1"/>
  <c r="R382" i="54"/>
  <c r="S382" i="54" s="1"/>
  <c r="N382" i="54"/>
  <c r="O382" i="54" s="1"/>
  <c r="V374" i="54"/>
  <c r="W374" i="54" s="1"/>
  <c r="R374" i="54"/>
  <c r="S374" i="54" s="1"/>
  <c r="N374" i="54"/>
  <c r="O374" i="54" s="1"/>
  <c r="V370" i="54"/>
  <c r="W370" i="54" s="1"/>
  <c r="R370" i="54"/>
  <c r="S370" i="54" s="1"/>
  <c r="N370" i="54"/>
  <c r="O370" i="54" s="1"/>
  <c r="V362" i="54"/>
  <c r="W362" i="54" s="1"/>
  <c r="R362" i="54"/>
  <c r="S362" i="54" s="1"/>
  <c r="N362" i="54"/>
  <c r="O362" i="54" s="1"/>
  <c r="V354" i="54"/>
  <c r="W354" i="54" s="1"/>
  <c r="R354" i="54"/>
  <c r="S354" i="54" s="1"/>
  <c r="N354" i="54"/>
  <c r="O354" i="54" s="1"/>
  <c r="V346" i="54"/>
  <c r="W346" i="54" s="1"/>
  <c r="R346" i="54"/>
  <c r="S346" i="54" s="1"/>
  <c r="N346" i="54"/>
  <c r="O346" i="54" s="1"/>
  <c r="V338" i="54"/>
  <c r="W338" i="54" s="1"/>
  <c r="R338" i="54"/>
  <c r="S338" i="54" s="1"/>
  <c r="N338" i="54"/>
  <c r="O338" i="54" s="1"/>
  <c r="V330" i="54"/>
  <c r="W330" i="54" s="1"/>
  <c r="R330" i="54"/>
  <c r="S330" i="54" s="1"/>
  <c r="N330" i="54"/>
  <c r="O330" i="54" s="1"/>
  <c r="V322" i="54"/>
  <c r="W322" i="54" s="1"/>
  <c r="R322" i="54"/>
  <c r="S322" i="54" s="1"/>
  <c r="N322" i="54"/>
  <c r="O322" i="54" s="1"/>
  <c r="V318" i="54"/>
  <c r="W318" i="54" s="1"/>
  <c r="R318" i="54"/>
  <c r="S318" i="54" s="1"/>
  <c r="N318" i="54"/>
  <c r="O318" i="54" s="1"/>
  <c r="V308" i="54"/>
  <c r="W308" i="54" s="1"/>
  <c r="R308" i="54"/>
  <c r="S308" i="54" s="1"/>
  <c r="N308" i="54"/>
  <c r="O308" i="54" s="1"/>
  <c r="V304" i="54"/>
  <c r="W304" i="54" s="1"/>
  <c r="N304" i="54"/>
  <c r="O304" i="54" s="1"/>
  <c r="R304" i="54"/>
  <c r="S304" i="54" s="1"/>
  <c r="V300" i="54"/>
  <c r="W300" i="54" s="1"/>
  <c r="R300" i="54"/>
  <c r="S300" i="54" s="1"/>
  <c r="N300" i="54"/>
  <c r="O300" i="54" s="1"/>
  <c r="V296" i="54"/>
  <c r="W296" i="54" s="1"/>
  <c r="R296" i="54"/>
  <c r="S296" i="54" s="1"/>
  <c r="N296" i="54"/>
  <c r="O296" i="54" s="1"/>
  <c r="V292" i="54"/>
  <c r="W292" i="54" s="1"/>
  <c r="R292" i="54"/>
  <c r="S292" i="54" s="1"/>
  <c r="N292" i="54"/>
  <c r="O292" i="54" s="1"/>
  <c r="V288" i="54"/>
  <c r="W288" i="54" s="1"/>
  <c r="R288" i="54"/>
  <c r="S288" i="54" s="1"/>
  <c r="N288" i="54"/>
  <c r="O288" i="54" s="1"/>
  <c r="V284" i="54"/>
  <c r="W284" i="54" s="1"/>
  <c r="R284" i="54"/>
  <c r="S284" i="54" s="1"/>
  <c r="N284" i="54"/>
  <c r="O284" i="54" s="1"/>
  <c r="V280" i="54"/>
  <c r="W280" i="54" s="1"/>
  <c r="R280" i="54"/>
  <c r="S280" i="54" s="1"/>
  <c r="N280" i="54"/>
  <c r="O280" i="54" s="1"/>
  <c r="V276" i="54"/>
  <c r="W276" i="54" s="1"/>
  <c r="R276" i="54"/>
  <c r="S276" i="54" s="1"/>
  <c r="N276" i="54"/>
  <c r="O276" i="54" s="1"/>
  <c r="V272" i="54"/>
  <c r="W272" i="54" s="1"/>
  <c r="R272" i="54"/>
  <c r="S272" i="54" s="1"/>
  <c r="N272" i="54"/>
  <c r="O272" i="54" s="1"/>
  <c r="V268" i="54"/>
  <c r="W268" i="54" s="1"/>
  <c r="R268" i="54"/>
  <c r="S268" i="54" s="1"/>
  <c r="N268" i="54"/>
  <c r="O268" i="54" s="1"/>
  <c r="V264" i="54"/>
  <c r="W264" i="54" s="1"/>
  <c r="N264" i="54"/>
  <c r="O264" i="54" s="1"/>
  <c r="R264" i="54"/>
  <c r="S264" i="54" s="1"/>
  <c r="V260" i="54"/>
  <c r="W260" i="54" s="1"/>
  <c r="R260" i="54"/>
  <c r="S260" i="54" s="1"/>
  <c r="N260" i="54"/>
  <c r="O260" i="54" s="1"/>
  <c r="V256" i="54"/>
  <c r="W256" i="54" s="1"/>
  <c r="R256" i="54"/>
  <c r="S256" i="54" s="1"/>
  <c r="N256" i="54"/>
  <c r="O256" i="54" s="1"/>
  <c r="V252" i="54"/>
  <c r="W252" i="54" s="1"/>
  <c r="R252" i="54"/>
  <c r="S252" i="54" s="1"/>
  <c r="N252" i="54"/>
  <c r="O252" i="54" s="1"/>
  <c r="V248" i="54"/>
  <c r="W248" i="54" s="1"/>
  <c r="R248" i="54"/>
  <c r="S248" i="54" s="1"/>
  <c r="N248" i="54"/>
  <c r="O248" i="54" s="1"/>
  <c r="V244" i="54"/>
  <c r="W244" i="54" s="1"/>
  <c r="R244" i="54"/>
  <c r="S244" i="54" s="1"/>
  <c r="N244" i="54"/>
  <c r="O244" i="54" s="1"/>
  <c r="V240" i="54"/>
  <c r="W240" i="54" s="1"/>
  <c r="N240" i="54"/>
  <c r="O240" i="54" s="1"/>
  <c r="R240" i="54"/>
  <c r="S240" i="54" s="1"/>
  <c r="V236" i="54"/>
  <c r="W236" i="54" s="1"/>
  <c r="R236" i="54"/>
  <c r="S236" i="54" s="1"/>
  <c r="N236" i="54"/>
  <c r="O236" i="54" s="1"/>
  <c r="V232" i="54"/>
  <c r="W232" i="54" s="1"/>
  <c r="R232" i="54"/>
  <c r="S232" i="54" s="1"/>
  <c r="N232" i="54"/>
  <c r="O232" i="54" s="1"/>
  <c r="V228" i="54"/>
  <c r="W228" i="54" s="1"/>
  <c r="R228" i="54"/>
  <c r="S228" i="54" s="1"/>
  <c r="N228" i="54"/>
  <c r="O228" i="54" s="1"/>
  <c r="V224" i="54"/>
  <c r="W224" i="54" s="1"/>
  <c r="R224" i="54"/>
  <c r="S224" i="54" s="1"/>
  <c r="N224" i="54"/>
  <c r="O224" i="54" s="1"/>
  <c r="V220" i="54"/>
  <c r="W220" i="54" s="1"/>
  <c r="R220" i="54"/>
  <c r="S220" i="54" s="1"/>
  <c r="N220" i="54"/>
  <c r="O220" i="54" s="1"/>
  <c r="V216" i="54"/>
  <c r="W216" i="54" s="1"/>
  <c r="R216" i="54"/>
  <c r="S216" i="54" s="1"/>
  <c r="N216" i="54"/>
  <c r="O216" i="54" s="1"/>
  <c r="V212" i="54"/>
  <c r="W212" i="54" s="1"/>
  <c r="R212" i="54"/>
  <c r="S212" i="54" s="1"/>
  <c r="N212" i="54"/>
  <c r="O212" i="54" s="1"/>
  <c r="V208" i="54"/>
  <c r="W208" i="54" s="1"/>
  <c r="R208" i="54"/>
  <c r="S208" i="54" s="1"/>
  <c r="N208" i="54"/>
  <c r="O208" i="54" s="1"/>
  <c r="V204" i="54"/>
  <c r="W204" i="54" s="1"/>
  <c r="R204" i="54"/>
  <c r="S204" i="54" s="1"/>
  <c r="N204" i="54"/>
  <c r="O204" i="54" s="1"/>
  <c r="V200" i="54"/>
  <c r="W200" i="54" s="1"/>
  <c r="R200" i="54"/>
  <c r="S200" i="54" s="1"/>
  <c r="N200" i="54"/>
  <c r="O200" i="54" s="1"/>
  <c r="V196" i="54"/>
  <c r="W196" i="54" s="1"/>
  <c r="R196" i="54"/>
  <c r="S196" i="54" s="1"/>
  <c r="N196" i="54"/>
  <c r="O196" i="54" s="1"/>
  <c r="V192" i="54"/>
  <c r="W192" i="54" s="1"/>
  <c r="R192" i="54"/>
  <c r="S192" i="54" s="1"/>
  <c r="N192" i="54"/>
  <c r="O192" i="54" s="1"/>
  <c r="V188" i="54"/>
  <c r="W188" i="54" s="1"/>
  <c r="R188" i="54"/>
  <c r="S188" i="54" s="1"/>
  <c r="N188" i="54"/>
  <c r="O188" i="54" s="1"/>
  <c r="V184" i="54"/>
  <c r="W184" i="54" s="1"/>
  <c r="R184" i="54"/>
  <c r="S184" i="54" s="1"/>
  <c r="N184" i="54"/>
  <c r="O184" i="54" s="1"/>
  <c r="V180" i="54"/>
  <c r="W180" i="54" s="1"/>
  <c r="R180" i="54"/>
  <c r="S180" i="54" s="1"/>
  <c r="N180" i="54"/>
  <c r="O180" i="54" s="1"/>
  <c r="V176" i="54"/>
  <c r="W176" i="54" s="1"/>
  <c r="N176" i="54"/>
  <c r="O176" i="54" s="1"/>
  <c r="R176" i="54"/>
  <c r="S176" i="54" s="1"/>
  <c r="V172" i="54"/>
  <c r="W172" i="54" s="1"/>
  <c r="R172" i="54"/>
  <c r="S172" i="54" s="1"/>
  <c r="N172" i="54"/>
  <c r="O172" i="54" s="1"/>
  <c r="V168" i="54"/>
  <c r="W168" i="54" s="1"/>
  <c r="R168" i="54"/>
  <c r="S168" i="54" s="1"/>
  <c r="N168" i="54"/>
  <c r="O168" i="54" s="1"/>
  <c r="V164" i="54"/>
  <c r="W164" i="54" s="1"/>
  <c r="R164" i="54"/>
  <c r="S164" i="54" s="1"/>
  <c r="N164" i="54"/>
  <c r="O164" i="54" s="1"/>
  <c r="V160" i="54"/>
  <c r="W160" i="54" s="1"/>
  <c r="R160" i="54"/>
  <c r="S160" i="54" s="1"/>
  <c r="N160" i="54"/>
  <c r="O160" i="54" s="1"/>
  <c r="V156" i="54"/>
  <c r="W156" i="54" s="1"/>
  <c r="R156" i="54"/>
  <c r="S156" i="54" s="1"/>
  <c r="N156" i="54"/>
  <c r="O156" i="54" s="1"/>
  <c r="V152" i="54"/>
  <c r="W152" i="54" s="1"/>
  <c r="R152" i="54"/>
  <c r="S152" i="54" s="1"/>
  <c r="N152" i="54"/>
  <c r="O152" i="54" s="1"/>
  <c r="V148" i="54"/>
  <c r="W148" i="54" s="1"/>
  <c r="R148" i="54"/>
  <c r="S148" i="54" s="1"/>
  <c r="N148" i="54"/>
  <c r="O148" i="54" s="1"/>
  <c r="V144" i="54"/>
  <c r="W144" i="54" s="1"/>
  <c r="R144" i="54"/>
  <c r="S144" i="54" s="1"/>
  <c r="N144" i="54"/>
  <c r="O144" i="54" s="1"/>
  <c r="V140" i="54"/>
  <c r="W140" i="54" s="1"/>
  <c r="R140" i="54"/>
  <c r="S140" i="54" s="1"/>
  <c r="N140" i="54"/>
  <c r="O140" i="54" s="1"/>
  <c r="V136" i="54"/>
  <c r="W136" i="54" s="1"/>
  <c r="N136" i="54"/>
  <c r="O136" i="54" s="1"/>
  <c r="R136" i="54"/>
  <c r="S136" i="54" s="1"/>
  <c r="V132" i="54"/>
  <c r="W132" i="54" s="1"/>
  <c r="R132" i="54"/>
  <c r="S132" i="54" s="1"/>
  <c r="N132" i="54"/>
  <c r="O132" i="54" s="1"/>
  <c r="V128" i="54"/>
  <c r="W128" i="54" s="1"/>
  <c r="N128" i="54"/>
  <c r="O128" i="54" s="1"/>
  <c r="R128" i="54"/>
  <c r="S128" i="54" s="1"/>
  <c r="V124" i="54"/>
  <c r="W124" i="54" s="1"/>
  <c r="R124" i="54"/>
  <c r="S124" i="54" s="1"/>
  <c r="N124" i="54"/>
  <c r="O124" i="54" s="1"/>
  <c r="V120" i="54"/>
  <c r="W120" i="54" s="1"/>
  <c r="N120" i="54"/>
  <c r="O120" i="54" s="1"/>
  <c r="R120" i="54"/>
  <c r="S120" i="54" s="1"/>
  <c r="V116" i="54"/>
  <c r="W116" i="54" s="1"/>
  <c r="R116" i="54"/>
  <c r="S116" i="54" s="1"/>
  <c r="N116" i="54"/>
  <c r="O116" i="54" s="1"/>
  <c r="V112" i="54"/>
  <c r="W112" i="54" s="1"/>
  <c r="R112" i="54"/>
  <c r="S112" i="54" s="1"/>
  <c r="N112" i="54"/>
  <c r="O112" i="54" s="1"/>
  <c r="V108" i="54"/>
  <c r="W108" i="54" s="1"/>
  <c r="R108" i="54"/>
  <c r="S108" i="54" s="1"/>
  <c r="N108" i="54"/>
  <c r="O108" i="54" s="1"/>
  <c r="V104" i="54"/>
  <c r="W104" i="54" s="1"/>
  <c r="R104" i="54"/>
  <c r="S104" i="54" s="1"/>
  <c r="N104" i="54"/>
  <c r="O104" i="54" s="1"/>
  <c r="V100" i="54"/>
  <c r="W100" i="54" s="1"/>
  <c r="R100" i="54"/>
  <c r="S100" i="54" s="1"/>
  <c r="N100" i="54"/>
  <c r="O100" i="54" s="1"/>
  <c r="V96" i="54"/>
  <c r="W96" i="54" s="1"/>
  <c r="R96" i="54"/>
  <c r="S96" i="54" s="1"/>
  <c r="N96" i="54"/>
  <c r="O96" i="54" s="1"/>
  <c r="V92" i="54"/>
  <c r="W92" i="54" s="1"/>
  <c r="R92" i="54"/>
  <c r="S92" i="54" s="1"/>
  <c r="N92" i="54"/>
  <c r="O92" i="54" s="1"/>
  <c r="V88" i="54"/>
  <c r="W88" i="54" s="1"/>
  <c r="R88" i="54"/>
  <c r="S88" i="54" s="1"/>
  <c r="N88" i="54"/>
  <c r="O88" i="54" s="1"/>
  <c r="V84" i="54"/>
  <c r="W84" i="54" s="1"/>
  <c r="R84" i="54"/>
  <c r="S84" i="54" s="1"/>
  <c r="N84" i="54"/>
  <c r="O84" i="54" s="1"/>
  <c r="V80" i="54"/>
  <c r="W80" i="54" s="1"/>
  <c r="R80" i="54"/>
  <c r="S80" i="54" s="1"/>
  <c r="N80" i="54"/>
  <c r="O80" i="54" s="1"/>
  <c r="V76" i="54"/>
  <c r="W76" i="54" s="1"/>
  <c r="R76" i="54"/>
  <c r="S76" i="54" s="1"/>
  <c r="N76" i="54"/>
  <c r="O76" i="54" s="1"/>
  <c r="V72" i="54"/>
  <c r="W72" i="54" s="1"/>
  <c r="R72" i="54"/>
  <c r="S72" i="54" s="1"/>
  <c r="N72" i="54"/>
  <c r="O72" i="54" s="1"/>
  <c r="V68" i="54"/>
  <c r="W68" i="54" s="1"/>
  <c r="R68" i="54"/>
  <c r="S68" i="54" s="1"/>
  <c r="N68" i="54"/>
  <c r="O68" i="54" s="1"/>
  <c r="V64" i="54"/>
  <c r="W64" i="54" s="1"/>
  <c r="R64" i="54"/>
  <c r="S64" i="54" s="1"/>
  <c r="N64" i="54"/>
  <c r="O64" i="54" s="1"/>
  <c r="V60" i="54"/>
  <c r="W60" i="54" s="1"/>
  <c r="N60" i="54"/>
  <c r="O60" i="54" s="1"/>
  <c r="R60" i="54"/>
  <c r="S60" i="54" s="1"/>
  <c r="V56" i="54"/>
  <c r="W56" i="54" s="1"/>
  <c r="R56" i="54"/>
  <c r="S56" i="54" s="1"/>
  <c r="N56" i="54"/>
  <c r="O56" i="54" s="1"/>
  <c r="V52" i="54"/>
  <c r="W52" i="54" s="1"/>
  <c r="R52" i="54"/>
  <c r="S52" i="54" s="1"/>
  <c r="N52" i="54"/>
  <c r="O52" i="54" s="1"/>
  <c r="V48" i="54"/>
  <c r="W48" i="54" s="1"/>
  <c r="R48" i="54"/>
  <c r="S48" i="54" s="1"/>
  <c r="N48" i="54"/>
  <c r="O48" i="54" s="1"/>
  <c r="V44" i="54"/>
  <c r="W44" i="54" s="1"/>
  <c r="R44" i="54"/>
  <c r="S44" i="54" s="1"/>
  <c r="N44" i="54"/>
  <c r="O44" i="54" s="1"/>
  <c r="V40" i="54"/>
  <c r="W40" i="54" s="1"/>
  <c r="R40" i="54"/>
  <c r="S40" i="54" s="1"/>
  <c r="N40" i="54"/>
  <c r="O40" i="54" s="1"/>
  <c r="V36" i="54"/>
  <c r="W36" i="54" s="1"/>
  <c r="R36" i="54"/>
  <c r="S36" i="54" s="1"/>
  <c r="N36" i="54"/>
  <c r="O36" i="54" s="1"/>
  <c r="V32" i="54"/>
  <c r="W32" i="54" s="1"/>
  <c r="R32" i="54"/>
  <c r="S32" i="54" s="1"/>
  <c r="N32" i="54"/>
  <c r="O32" i="54" s="1"/>
  <c r="V28" i="54"/>
  <c r="W28" i="54" s="1"/>
  <c r="R28" i="54"/>
  <c r="S28" i="54" s="1"/>
  <c r="N28" i="54"/>
  <c r="O28" i="54" s="1"/>
  <c r="V24" i="54"/>
  <c r="W24" i="54" s="1"/>
  <c r="R24" i="54"/>
  <c r="S24" i="54" s="1"/>
  <c r="N24" i="54"/>
  <c r="O24" i="54" s="1"/>
  <c r="V20" i="54"/>
  <c r="W20" i="54" s="1"/>
  <c r="R20" i="54"/>
  <c r="S20" i="54" s="1"/>
  <c r="N20" i="54"/>
  <c r="O20" i="54" s="1"/>
  <c r="V508" i="54"/>
  <c r="W508" i="54" s="1"/>
  <c r="R508" i="54"/>
  <c r="S508" i="54" s="1"/>
  <c r="N508" i="54"/>
  <c r="O508" i="54" s="1"/>
  <c r="V504" i="54"/>
  <c r="W504" i="54" s="1"/>
  <c r="R504" i="54"/>
  <c r="S504" i="54" s="1"/>
  <c r="N504" i="54"/>
  <c r="O504" i="54" s="1"/>
  <c r="V500" i="54"/>
  <c r="W500" i="54" s="1"/>
  <c r="R500" i="54"/>
  <c r="S500" i="54" s="1"/>
  <c r="N500" i="54"/>
  <c r="O500" i="54" s="1"/>
  <c r="V496" i="54"/>
  <c r="W496" i="54" s="1"/>
  <c r="R496" i="54"/>
  <c r="S496" i="54" s="1"/>
  <c r="N496" i="54"/>
  <c r="O496" i="54" s="1"/>
  <c r="V492" i="54"/>
  <c r="W492" i="54" s="1"/>
  <c r="R492" i="54"/>
  <c r="S492" i="54" s="1"/>
  <c r="N492" i="54"/>
  <c r="O492" i="54" s="1"/>
  <c r="R488" i="54"/>
  <c r="S488" i="54" s="1"/>
  <c r="N488" i="54"/>
  <c r="O488" i="54" s="1"/>
  <c r="V488" i="54"/>
  <c r="W488" i="54" s="1"/>
  <c r="V484" i="54"/>
  <c r="W484" i="54" s="1"/>
  <c r="R484" i="54"/>
  <c r="S484" i="54" s="1"/>
  <c r="N484" i="54"/>
  <c r="O484" i="54" s="1"/>
  <c r="V480" i="54"/>
  <c r="W480" i="54" s="1"/>
  <c r="R480" i="54"/>
  <c r="S480" i="54" s="1"/>
  <c r="N480" i="54"/>
  <c r="O480" i="54" s="1"/>
  <c r="V476" i="54"/>
  <c r="W476" i="54" s="1"/>
  <c r="R476" i="54"/>
  <c r="S476" i="54" s="1"/>
  <c r="N476" i="54"/>
  <c r="O476" i="54" s="1"/>
  <c r="V472" i="54"/>
  <c r="W472" i="54" s="1"/>
  <c r="N472" i="54"/>
  <c r="O472" i="54" s="1"/>
  <c r="R472" i="54"/>
  <c r="S472" i="54" s="1"/>
  <c r="V468" i="54"/>
  <c r="W468" i="54" s="1"/>
  <c r="R468" i="54"/>
  <c r="S468" i="54" s="1"/>
  <c r="N468" i="54"/>
  <c r="O468" i="54" s="1"/>
  <c r="V464" i="54"/>
  <c r="W464" i="54" s="1"/>
  <c r="R464" i="54"/>
  <c r="S464" i="54" s="1"/>
  <c r="N464" i="54"/>
  <c r="O464" i="54" s="1"/>
  <c r="V460" i="54"/>
  <c r="W460" i="54" s="1"/>
  <c r="R460" i="54"/>
  <c r="S460" i="54" s="1"/>
  <c r="N460" i="54"/>
  <c r="O460" i="54" s="1"/>
  <c r="R456" i="54"/>
  <c r="S456" i="54" s="1"/>
  <c r="N456" i="54"/>
  <c r="O456" i="54" s="1"/>
  <c r="V456" i="54"/>
  <c r="W456" i="54" s="1"/>
  <c r="V452" i="54"/>
  <c r="W452" i="54" s="1"/>
  <c r="R452" i="54"/>
  <c r="S452" i="54" s="1"/>
  <c r="N452" i="54"/>
  <c r="O452" i="54" s="1"/>
  <c r="V448" i="54"/>
  <c r="W448" i="54" s="1"/>
  <c r="R448" i="54"/>
  <c r="S448" i="54" s="1"/>
  <c r="N448" i="54"/>
  <c r="O448" i="54" s="1"/>
  <c r="V444" i="54"/>
  <c r="W444" i="54" s="1"/>
  <c r="R444" i="54"/>
  <c r="S444" i="54" s="1"/>
  <c r="N444" i="54"/>
  <c r="O444" i="54" s="1"/>
  <c r="V440" i="54"/>
  <c r="W440" i="54" s="1"/>
  <c r="R440" i="54"/>
  <c r="S440" i="54" s="1"/>
  <c r="N440" i="54"/>
  <c r="O440" i="54" s="1"/>
  <c r="V436" i="54"/>
  <c r="W436" i="54" s="1"/>
  <c r="R436" i="54"/>
  <c r="S436" i="54" s="1"/>
  <c r="N436" i="54"/>
  <c r="O436" i="54" s="1"/>
  <c r="V432" i="54"/>
  <c r="W432" i="54" s="1"/>
  <c r="N432" i="54"/>
  <c r="O432" i="54" s="1"/>
  <c r="R432" i="54"/>
  <c r="S432" i="54" s="1"/>
  <c r="V428" i="54"/>
  <c r="W428" i="54" s="1"/>
  <c r="R428" i="54"/>
  <c r="S428" i="54" s="1"/>
  <c r="N428" i="54"/>
  <c r="O428" i="54" s="1"/>
  <c r="R424" i="54"/>
  <c r="S424" i="54" s="1"/>
  <c r="N424" i="54"/>
  <c r="O424" i="54" s="1"/>
  <c r="V424" i="54"/>
  <c r="W424" i="54" s="1"/>
  <c r="V420" i="54"/>
  <c r="W420" i="54" s="1"/>
  <c r="R420" i="54"/>
  <c r="S420" i="54" s="1"/>
  <c r="N420" i="54"/>
  <c r="O420" i="54" s="1"/>
  <c r="V416" i="54"/>
  <c r="W416" i="54" s="1"/>
  <c r="R416" i="54"/>
  <c r="S416" i="54" s="1"/>
  <c r="N416" i="54"/>
  <c r="O416" i="54" s="1"/>
  <c r="V412" i="54"/>
  <c r="W412" i="54" s="1"/>
  <c r="R412" i="54"/>
  <c r="S412" i="54" s="1"/>
  <c r="N412" i="54"/>
  <c r="O412" i="54" s="1"/>
  <c r="V408" i="54"/>
  <c r="W408" i="54" s="1"/>
  <c r="R408" i="54"/>
  <c r="S408" i="54" s="1"/>
  <c r="N408" i="54"/>
  <c r="O408" i="54" s="1"/>
  <c r="V404" i="54"/>
  <c r="W404" i="54" s="1"/>
  <c r="R404" i="54"/>
  <c r="S404" i="54" s="1"/>
  <c r="N404" i="54"/>
  <c r="O404" i="54" s="1"/>
  <c r="V400" i="54"/>
  <c r="W400" i="54" s="1"/>
  <c r="R400" i="54"/>
  <c r="S400" i="54" s="1"/>
  <c r="N400" i="54"/>
  <c r="O400" i="54" s="1"/>
  <c r="V396" i="54"/>
  <c r="W396" i="54" s="1"/>
  <c r="R396" i="54"/>
  <c r="S396" i="54" s="1"/>
  <c r="N396" i="54"/>
  <c r="O396" i="54" s="1"/>
  <c r="N392" i="54"/>
  <c r="O392" i="54" s="1"/>
  <c r="R392" i="54"/>
  <c r="S392" i="54" s="1"/>
  <c r="V392" i="54"/>
  <c r="W392" i="54" s="1"/>
  <c r="V388" i="54"/>
  <c r="W388" i="54" s="1"/>
  <c r="R388" i="54"/>
  <c r="S388" i="54" s="1"/>
  <c r="N388" i="54"/>
  <c r="O388" i="54" s="1"/>
  <c r="V384" i="54"/>
  <c r="W384" i="54" s="1"/>
  <c r="R384" i="54"/>
  <c r="S384" i="54" s="1"/>
  <c r="N384" i="54"/>
  <c r="O384" i="54" s="1"/>
  <c r="V380" i="54"/>
  <c r="W380" i="54" s="1"/>
  <c r="R380" i="54"/>
  <c r="S380" i="54" s="1"/>
  <c r="N380" i="54"/>
  <c r="O380" i="54" s="1"/>
  <c r="V376" i="54"/>
  <c r="W376" i="54" s="1"/>
  <c r="R376" i="54"/>
  <c r="S376" i="54" s="1"/>
  <c r="N376" i="54"/>
  <c r="O376" i="54" s="1"/>
  <c r="V372" i="54"/>
  <c r="W372" i="54" s="1"/>
  <c r="R372" i="54"/>
  <c r="S372" i="54" s="1"/>
  <c r="N372" i="54"/>
  <c r="O372" i="54" s="1"/>
  <c r="V368" i="54"/>
  <c r="W368" i="54" s="1"/>
  <c r="N368" i="54"/>
  <c r="O368" i="54" s="1"/>
  <c r="R368" i="54"/>
  <c r="S368" i="54" s="1"/>
  <c r="V364" i="54"/>
  <c r="W364" i="54" s="1"/>
  <c r="R364" i="54"/>
  <c r="S364" i="54" s="1"/>
  <c r="N364" i="54"/>
  <c r="O364" i="54" s="1"/>
  <c r="R360" i="54"/>
  <c r="S360" i="54" s="1"/>
  <c r="V360" i="54"/>
  <c r="W360" i="54" s="1"/>
  <c r="N360" i="54"/>
  <c r="O360" i="54" s="1"/>
  <c r="V356" i="54"/>
  <c r="W356" i="54" s="1"/>
  <c r="R356" i="54"/>
  <c r="S356" i="54" s="1"/>
  <c r="N356" i="54"/>
  <c r="O356" i="54" s="1"/>
  <c r="V352" i="54"/>
  <c r="W352" i="54" s="1"/>
  <c r="R352" i="54"/>
  <c r="S352" i="54" s="1"/>
  <c r="N352" i="54"/>
  <c r="O352" i="54" s="1"/>
  <c r="V348" i="54"/>
  <c r="W348" i="54" s="1"/>
  <c r="R348" i="54"/>
  <c r="S348" i="54" s="1"/>
  <c r="N348" i="54"/>
  <c r="O348" i="54" s="1"/>
  <c r="V344" i="54"/>
  <c r="W344" i="54" s="1"/>
  <c r="N344" i="54"/>
  <c r="O344" i="54" s="1"/>
  <c r="R344" i="54"/>
  <c r="S344" i="54" s="1"/>
  <c r="V340" i="54"/>
  <c r="W340" i="54" s="1"/>
  <c r="R340" i="54"/>
  <c r="S340" i="54" s="1"/>
  <c r="N340" i="54"/>
  <c r="O340" i="54" s="1"/>
  <c r="V336" i="54"/>
  <c r="W336" i="54" s="1"/>
  <c r="R336" i="54"/>
  <c r="S336" i="54" s="1"/>
  <c r="N336" i="54"/>
  <c r="O336" i="54" s="1"/>
  <c r="V332" i="54"/>
  <c r="W332" i="54" s="1"/>
  <c r="R332" i="54"/>
  <c r="S332" i="54" s="1"/>
  <c r="N332" i="54"/>
  <c r="O332" i="54" s="1"/>
  <c r="V328" i="54"/>
  <c r="W328" i="54" s="1"/>
  <c r="R328" i="54"/>
  <c r="S328" i="54" s="1"/>
  <c r="N328" i="54"/>
  <c r="O328" i="54" s="1"/>
  <c r="V324" i="54"/>
  <c r="W324" i="54" s="1"/>
  <c r="R324" i="54"/>
  <c r="S324" i="54" s="1"/>
  <c r="N324" i="54"/>
  <c r="O324" i="54" s="1"/>
  <c r="V320" i="54"/>
  <c r="W320" i="54" s="1"/>
  <c r="R320" i="54"/>
  <c r="S320" i="54" s="1"/>
  <c r="N320" i="54"/>
  <c r="O320" i="54" s="1"/>
  <c r="V316" i="54"/>
  <c r="W316" i="54" s="1"/>
  <c r="R316" i="54"/>
  <c r="S316" i="54" s="1"/>
  <c r="N316" i="54"/>
  <c r="O316" i="54" s="1"/>
  <c r="V312" i="54"/>
  <c r="W312" i="54" s="1"/>
  <c r="R312" i="54"/>
  <c r="S312" i="54" s="1"/>
  <c r="N312" i="54"/>
  <c r="O312" i="54" s="1"/>
  <c r="V298" i="54"/>
  <c r="W298" i="54" s="1"/>
  <c r="R298" i="54"/>
  <c r="S298" i="54" s="1"/>
  <c r="N298" i="54"/>
  <c r="O298" i="54" s="1"/>
  <c r="V18" i="54"/>
  <c r="W18" i="54" s="1"/>
  <c r="R18" i="54"/>
  <c r="S18" i="54" s="1"/>
  <c r="N18" i="54"/>
  <c r="O18" i="54" s="1"/>
  <c r="V307" i="54"/>
  <c r="W307" i="54" s="1"/>
  <c r="R307" i="54"/>
  <c r="S307" i="54" s="1"/>
  <c r="N307" i="54"/>
  <c r="O307" i="54" s="1"/>
  <c r="V303" i="54"/>
  <c r="W303" i="54" s="1"/>
  <c r="R303" i="54"/>
  <c r="S303" i="54" s="1"/>
  <c r="N303" i="54"/>
  <c r="O303" i="54" s="1"/>
  <c r="V299" i="54"/>
  <c r="W299" i="54" s="1"/>
  <c r="R299" i="54"/>
  <c r="S299" i="54" s="1"/>
  <c r="N299" i="54"/>
  <c r="O299" i="54" s="1"/>
  <c r="V295" i="54"/>
  <c r="W295" i="54" s="1"/>
  <c r="R295" i="54"/>
  <c r="S295" i="54" s="1"/>
  <c r="N295" i="54"/>
  <c r="O295" i="54" s="1"/>
  <c r="V291" i="54"/>
  <c r="W291" i="54" s="1"/>
  <c r="R291" i="54"/>
  <c r="S291" i="54" s="1"/>
  <c r="N291" i="54"/>
  <c r="O291" i="54" s="1"/>
  <c r="V287" i="54"/>
  <c r="W287" i="54" s="1"/>
  <c r="R287" i="54"/>
  <c r="S287" i="54" s="1"/>
  <c r="N287" i="54"/>
  <c r="O287" i="54" s="1"/>
  <c r="V283" i="54"/>
  <c r="W283" i="54" s="1"/>
  <c r="R283" i="54"/>
  <c r="S283" i="54" s="1"/>
  <c r="N283" i="54"/>
  <c r="O283" i="54" s="1"/>
  <c r="V279" i="54"/>
  <c r="W279" i="54" s="1"/>
  <c r="R279" i="54"/>
  <c r="S279" i="54" s="1"/>
  <c r="N279" i="54"/>
  <c r="O279" i="54" s="1"/>
  <c r="V275" i="54"/>
  <c r="W275" i="54" s="1"/>
  <c r="R275" i="54"/>
  <c r="S275" i="54" s="1"/>
  <c r="N275" i="54"/>
  <c r="O275" i="54" s="1"/>
  <c r="V271" i="54"/>
  <c r="W271" i="54" s="1"/>
  <c r="R271" i="54"/>
  <c r="S271" i="54" s="1"/>
  <c r="N271" i="54"/>
  <c r="O271" i="54" s="1"/>
  <c r="V267" i="54"/>
  <c r="W267" i="54" s="1"/>
  <c r="R267" i="54"/>
  <c r="S267" i="54" s="1"/>
  <c r="N267" i="54"/>
  <c r="O267" i="54" s="1"/>
  <c r="V263" i="54"/>
  <c r="W263" i="54" s="1"/>
  <c r="N263" i="54"/>
  <c r="O263" i="54" s="1"/>
  <c r="R263" i="54"/>
  <c r="S263" i="54" s="1"/>
  <c r="V259" i="54"/>
  <c r="W259" i="54" s="1"/>
  <c r="R259" i="54"/>
  <c r="S259" i="54" s="1"/>
  <c r="N259" i="54"/>
  <c r="O259" i="54" s="1"/>
  <c r="V255" i="54"/>
  <c r="W255" i="54" s="1"/>
  <c r="R255" i="54"/>
  <c r="S255" i="54" s="1"/>
  <c r="N255" i="54"/>
  <c r="O255" i="54" s="1"/>
  <c r="V251" i="54"/>
  <c r="W251" i="54" s="1"/>
  <c r="R251" i="54"/>
  <c r="S251" i="54" s="1"/>
  <c r="N251" i="54"/>
  <c r="O251" i="54" s="1"/>
  <c r="V247" i="54"/>
  <c r="W247" i="54" s="1"/>
  <c r="N247" i="54"/>
  <c r="O247" i="54" s="1"/>
  <c r="R247" i="54"/>
  <c r="S247" i="54" s="1"/>
  <c r="V243" i="54"/>
  <c r="W243" i="54" s="1"/>
  <c r="R243" i="54"/>
  <c r="S243" i="54" s="1"/>
  <c r="N243" i="54"/>
  <c r="O243" i="54" s="1"/>
  <c r="V239" i="54"/>
  <c r="W239" i="54" s="1"/>
  <c r="R239" i="54"/>
  <c r="S239" i="54" s="1"/>
  <c r="N239" i="54"/>
  <c r="O239" i="54" s="1"/>
  <c r="V235" i="54"/>
  <c r="W235" i="54" s="1"/>
  <c r="R235" i="54"/>
  <c r="S235" i="54" s="1"/>
  <c r="N235" i="54"/>
  <c r="O235" i="54" s="1"/>
  <c r="V231" i="54"/>
  <c r="W231" i="54" s="1"/>
  <c r="R231" i="54"/>
  <c r="S231" i="54" s="1"/>
  <c r="N231" i="54"/>
  <c r="O231" i="54" s="1"/>
  <c r="V227" i="54"/>
  <c r="W227" i="54" s="1"/>
  <c r="R227" i="54"/>
  <c r="S227" i="54" s="1"/>
  <c r="N227" i="54"/>
  <c r="O227" i="54" s="1"/>
  <c r="V223" i="54"/>
  <c r="W223" i="54" s="1"/>
  <c r="R223" i="54"/>
  <c r="S223" i="54" s="1"/>
  <c r="N223" i="54"/>
  <c r="O223" i="54" s="1"/>
  <c r="V219" i="54"/>
  <c r="W219" i="54" s="1"/>
  <c r="R219" i="54"/>
  <c r="S219" i="54" s="1"/>
  <c r="N219" i="54"/>
  <c r="O219" i="54" s="1"/>
  <c r="V215" i="54"/>
  <c r="W215" i="54" s="1"/>
  <c r="R215" i="54"/>
  <c r="S215" i="54" s="1"/>
  <c r="N215" i="54"/>
  <c r="O215" i="54" s="1"/>
  <c r="V211" i="54"/>
  <c r="W211" i="54" s="1"/>
  <c r="R211" i="54"/>
  <c r="S211" i="54" s="1"/>
  <c r="N211" i="54"/>
  <c r="O211" i="54" s="1"/>
  <c r="V207" i="54"/>
  <c r="W207" i="54" s="1"/>
  <c r="R207" i="54"/>
  <c r="S207" i="54" s="1"/>
  <c r="N207" i="54"/>
  <c r="O207" i="54" s="1"/>
  <c r="V203" i="54"/>
  <c r="W203" i="54" s="1"/>
  <c r="R203" i="54"/>
  <c r="S203" i="54" s="1"/>
  <c r="N203" i="54"/>
  <c r="O203" i="54" s="1"/>
  <c r="V199" i="54"/>
  <c r="W199" i="54" s="1"/>
  <c r="N199" i="54"/>
  <c r="O199" i="54" s="1"/>
  <c r="R199" i="54"/>
  <c r="S199" i="54" s="1"/>
  <c r="V195" i="54"/>
  <c r="W195" i="54" s="1"/>
  <c r="R195" i="54"/>
  <c r="S195" i="54" s="1"/>
  <c r="N195" i="54"/>
  <c r="O195" i="54" s="1"/>
  <c r="V191" i="54"/>
  <c r="W191" i="54" s="1"/>
  <c r="R191" i="54"/>
  <c r="S191" i="54" s="1"/>
  <c r="N191" i="54"/>
  <c r="O191" i="54" s="1"/>
  <c r="V187" i="54"/>
  <c r="W187" i="54" s="1"/>
  <c r="R187" i="54"/>
  <c r="S187" i="54" s="1"/>
  <c r="N187" i="54"/>
  <c r="O187" i="54" s="1"/>
  <c r="V183" i="54"/>
  <c r="W183" i="54" s="1"/>
  <c r="R183" i="54"/>
  <c r="S183" i="54" s="1"/>
  <c r="N183" i="54"/>
  <c r="O183" i="54" s="1"/>
  <c r="V179" i="54"/>
  <c r="W179" i="54" s="1"/>
  <c r="R179" i="54"/>
  <c r="S179" i="54" s="1"/>
  <c r="N179" i="54"/>
  <c r="O179" i="54" s="1"/>
  <c r="V175" i="54"/>
  <c r="W175" i="54" s="1"/>
  <c r="R175" i="54"/>
  <c r="S175" i="54" s="1"/>
  <c r="N175" i="54"/>
  <c r="O175" i="54" s="1"/>
  <c r="V171" i="54"/>
  <c r="W171" i="54" s="1"/>
  <c r="R171" i="54"/>
  <c r="S171" i="54" s="1"/>
  <c r="N171" i="54"/>
  <c r="O171" i="54" s="1"/>
  <c r="V167" i="54"/>
  <c r="W167" i="54" s="1"/>
  <c r="N167" i="54"/>
  <c r="O167" i="54" s="1"/>
  <c r="R167" i="54"/>
  <c r="S167" i="54" s="1"/>
  <c r="V163" i="54"/>
  <c r="W163" i="54" s="1"/>
  <c r="R163" i="54"/>
  <c r="S163" i="54" s="1"/>
  <c r="N163" i="54"/>
  <c r="O163" i="54" s="1"/>
  <c r="V159" i="54"/>
  <c r="W159" i="54" s="1"/>
  <c r="R159" i="54"/>
  <c r="S159" i="54" s="1"/>
  <c r="N159" i="54"/>
  <c r="O159" i="54" s="1"/>
  <c r="V155" i="54"/>
  <c r="W155" i="54" s="1"/>
  <c r="R155" i="54"/>
  <c r="S155" i="54" s="1"/>
  <c r="N155" i="54"/>
  <c r="O155" i="54" s="1"/>
  <c r="V151" i="54"/>
  <c r="W151" i="54" s="1"/>
  <c r="N151" i="54"/>
  <c r="O151" i="54" s="1"/>
  <c r="R151" i="54"/>
  <c r="S151" i="54" s="1"/>
  <c r="V147" i="54"/>
  <c r="W147" i="54" s="1"/>
  <c r="R147" i="54"/>
  <c r="S147" i="54" s="1"/>
  <c r="N147" i="54"/>
  <c r="O147" i="54" s="1"/>
  <c r="V143" i="54"/>
  <c r="W143" i="54" s="1"/>
  <c r="R143" i="54"/>
  <c r="S143" i="54" s="1"/>
  <c r="N143" i="54"/>
  <c r="O143" i="54" s="1"/>
  <c r="V139" i="54"/>
  <c r="W139" i="54" s="1"/>
  <c r="R139" i="54"/>
  <c r="S139" i="54" s="1"/>
  <c r="N139" i="54"/>
  <c r="O139" i="54" s="1"/>
  <c r="V135" i="54"/>
  <c r="W135" i="54" s="1"/>
  <c r="R135" i="54"/>
  <c r="S135" i="54" s="1"/>
  <c r="N135" i="54"/>
  <c r="O135" i="54" s="1"/>
  <c r="V131" i="54"/>
  <c r="W131" i="54" s="1"/>
  <c r="R131" i="54"/>
  <c r="S131" i="54" s="1"/>
  <c r="N131" i="54"/>
  <c r="O131" i="54" s="1"/>
  <c r="V127" i="54"/>
  <c r="W127" i="54" s="1"/>
  <c r="N127" i="54"/>
  <c r="O127" i="54" s="1"/>
  <c r="R127" i="54"/>
  <c r="S127" i="54" s="1"/>
  <c r="V123" i="54"/>
  <c r="W123" i="54" s="1"/>
  <c r="R123" i="54"/>
  <c r="S123" i="54" s="1"/>
  <c r="N123" i="54"/>
  <c r="O123" i="54" s="1"/>
  <c r="V119" i="54"/>
  <c r="W119" i="54" s="1"/>
  <c r="N119" i="54"/>
  <c r="O119" i="54" s="1"/>
  <c r="R119" i="54"/>
  <c r="S119" i="54" s="1"/>
  <c r="V115" i="54"/>
  <c r="W115" i="54" s="1"/>
  <c r="R115" i="54"/>
  <c r="S115" i="54" s="1"/>
  <c r="N115" i="54"/>
  <c r="O115" i="54" s="1"/>
  <c r="V111" i="54"/>
  <c r="W111" i="54" s="1"/>
  <c r="R111" i="54"/>
  <c r="S111" i="54" s="1"/>
  <c r="N111" i="54"/>
  <c r="O111" i="54" s="1"/>
  <c r="V107" i="54"/>
  <c r="W107" i="54" s="1"/>
  <c r="R107" i="54"/>
  <c r="S107" i="54" s="1"/>
  <c r="N107" i="54"/>
  <c r="O107" i="54" s="1"/>
  <c r="V103" i="54"/>
  <c r="W103" i="54" s="1"/>
  <c r="R103" i="54"/>
  <c r="S103" i="54" s="1"/>
  <c r="N103" i="54"/>
  <c r="O103" i="54" s="1"/>
  <c r="V99" i="54"/>
  <c r="W99" i="54" s="1"/>
  <c r="R99" i="54"/>
  <c r="S99" i="54" s="1"/>
  <c r="N99" i="54"/>
  <c r="O99" i="54" s="1"/>
  <c r="V95" i="54"/>
  <c r="W95" i="54" s="1"/>
  <c r="R95" i="54"/>
  <c r="S95" i="54" s="1"/>
  <c r="N95" i="54"/>
  <c r="O95" i="54" s="1"/>
  <c r="V91" i="54"/>
  <c r="W91" i="54" s="1"/>
  <c r="R91" i="54"/>
  <c r="S91" i="54" s="1"/>
  <c r="N91" i="54"/>
  <c r="O91" i="54" s="1"/>
  <c r="V87" i="54"/>
  <c r="W87" i="54" s="1"/>
  <c r="R87" i="54"/>
  <c r="S87" i="54" s="1"/>
  <c r="N87" i="54"/>
  <c r="O87" i="54" s="1"/>
  <c r="V83" i="54"/>
  <c r="W83" i="54" s="1"/>
  <c r="R83" i="54"/>
  <c r="S83" i="54" s="1"/>
  <c r="N83" i="54"/>
  <c r="O83" i="54" s="1"/>
  <c r="V79" i="54"/>
  <c r="W79" i="54" s="1"/>
  <c r="R79" i="54"/>
  <c r="S79" i="54" s="1"/>
  <c r="N79" i="54"/>
  <c r="O79" i="54" s="1"/>
  <c r="V75" i="54"/>
  <c r="W75" i="54" s="1"/>
  <c r="R75" i="54"/>
  <c r="S75" i="54" s="1"/>
  <c r="N75" i="54"/>
  <c r="O75" i="54" s="1"/>
  <c r="V71" i="54"/>
  <c r="W71" i="54" s="1"/>
  <c r="R71" i="54"/>
  <c r="S71" i="54" s="1"/>
  <c r="N71" i="54"/>
  <c r="O71" i="54" s="1"/>
  <c r="V67" i="54"/>
  <c r="W67" i="54" s="1"/>
  <c r="R67" i="54"/>
  <c r="S67" i="54" s="1"/>
  <c r="N67" i="54"/>
  <c r="O67" i="54" s="1"/>
  <c r="V63" i="54"/>
  <c r="W63" i="54" s="1"/>
  <c r="R63" i="54"/>
  <c r="S63" i="54" s="1"/>
  <c r="N63" i="54"/>
  <c r="O63" i="54" s="1"/>
  <c r="V59" i="54"/>
  <c r="W59" i="54" s="1"/>
  <c r="R59" i="54"/>
  <c r="S59" i="54" s="1"/>
  <c r="N59" i="54"/>
  <c r="O59" i="54" s="1"/>
  <c r="V55" i="54"/>
  <c r="W55" i="54" s="1"/>
  <c r="R55" i="54"/>
  <c r="S55" i="54" s="1"/>
  <c r="N55" i="54"/>
  <c r="O55" i="54" s="1"/>
  <c r="V51" i="54"/>
  <c r="W51" i="54" s="1"/>
  <c r="R51" i="54"/>
  <c r="S51" i="54" s="1"/>
  <c r="N51" i="54"/>
  <c r="O51" i="54" s="1"/>
  <c r="V47" i="54"/>
  <c r="W47" i="54" s="1"/>
  <c r="R47" i="54"/>
  <c r="S47" i="54" s="1"/>
  <c r="N47" i="54"/>
  <c r="O47" i="54" s="1"/>
  <c r="V43" i="54"/>
  <c r="W43" i="54" s="1"/>
  <c r="R43" i="54"/>
  <c r="S43" i="54" s="1"/>
  <c r="N43" i="54"/>
  <c r="O43" i="54" s="1"/>
  <c r="V39" i="54"/>
  <c r="W39" i="54" s="1"/>
  <c r="R39" i="54"/>
  <c r="S39" i="54" s="1"/>
  <c r="N39" i="54"/>
  <c r="O39" i="54" s="1"/>
  <c r="V35" i="54"/>
  <c r="W35" i="54" s="1"/>
  <c r="R35" i="54"/>
  <c r="S35" i="54" s="1"/>
  <c r="N35" i="54"/>
  <c r="O35" i="54" s="1"/>
  <c r="V31" i="54"/>
  <c r="W31" i="54" s="1"/>
  <c r="R31" i="54"/>
  <c r="S31" i="54" s="1"/>
  <c r="N31" i="54"/>
  <c r="O31" i="54" s="1"/>
  <c r="V27" i="54"/>
  <c r="W27" i="54" s="1"/>
  <c r="R27" i="54"/>
  <c r="S27" i="54" s="1"/>
  <c r="N27" i="54"/>
  <c r="O27" i="54" s="1"/>
  <c r="V23" i="54"/>
  <c r="W23" i="54" s="1"/>
  <c r="R23" i="54"/>
  <c r="S23" i="54" s="1"/>
  <c r="N23" i="54"/>
  <c r="O23" i="54" s="1"/>
  <c r="V19" i="54"/>
  <c r="W19" i="54" s="1"/>
  <c r="R19" i="54"/>
  <c r="S19" i="54" s="1"/>
  <c r="N19" i="54"/>
  <c r="O19" i="54" s="1"/>
  <c r="V507" i="54"/>
  <c r="W507" i="54" s="1"/>
  <c r="R507" i="54"/>
  <c r="S507" i="54" s="1"/>
  <c r="N507" i="54"/>
  <c r="O507" i="54" s="1"/>
  <c r="V503" i="54"/>
  <c r="W503" i="54" s="1"/>
  <c r="N503" i="54"/>
  <c r="O503" i="54" s="1"/>
  <c r="R503" i="54"/>
  <c r="S503" i="54" s="1"/>
  <c r="V499" i="54"/>
  <c r="W499" i="54" s="1"/>
  <c r="R499" i="54"/>
  <c r="S499" i="54" s="1"/>
  <c r="N499" i="54"/>
  <c r="O499" i="54" s="1"/>
  <c r="V495" i="54"/>
  <c r="W495" i="54" s="1"/>
  <c r="R495" i="54"/>
  <c r="S495" i="54" s="1"/>
  <c r="N495" i="54"/>
  <c r="O495" i="54" s="1"/>
  <c r="V491" i="54"/>
  <c r="W491" i="54" s="1"/>
  <c r="R491" i="54"/>
  <c r="S491" i="54" s="1"/>
  <c r="N491" i="54"/>
  <c r="O491" i="54" s="1"/>
  <c r="V487" i="54"/>
  <c r="W487" i="54" s="1"/>
  <c r="N487" i="54"/>
  <c r="O487" i="54" s="1"/>
  <c r="R487" i="54"/>
  <c r="S487" i="54" s="1"/>
  <c r="V483" i="54"/>
  <c r="W483" i="54" s="1"/>
  <c r="R483" i="54"/>
  <c r="S483" i="54" s="1"/>
  <c r="N483" i="54"/>
  <c r="O483" i="54" s="1"/>
  <c r="V479" i="54"/>
  <c r="W479" i="54" s="1"/>
  <c r="R479" i="54"/>
  <c r="S479" i="54" s="1"/>
  <c r="N479" i="54"/>
  <c r="O479" i="54" s="1"/>
  <c r="V475" i="54"/>
  <c r="W475" i="54" s="1"/>
  <c r="R475" i="54"/>
  <c r="S475" i="54" s="1"/>
  <c r="N475" i="54"/>
  <c r="O475" i="54" s="1"/>
  <c r="V471" i="54"/>
  <c r="W471" i="54" s="1"/>
  <c r="N471" i="54"/>
  <c r="O471" i="54" s="1"/>
  <c r="R471" i="54"/>
  <c r="S471" i="54" s="1"/>
  <c r="V467" i="54"/>
  <c r="W467" i="54" s="1"/>
  <c r="R467" i="54"/>
  <c r="S467" i="54" s="1"/>
  <c r="N467" i="54"/>
  <c r="O467" i="54" s="1"/>
  <c r="V463" i="54"/>
  <c r="W463" i="54" s="1"/>
  <c r="R463" i="54"/>
  <c r="S463" i="54" s="1"/>
  <c r="N463" i="54"/>
  <c r="O463" i="54" s="1"/>
  <c r="V459" i="54"/>
  <c r="W459" i="54" s="1"/>
  <c r="R459" i="54"/>
  <c r="S459" i="54" s="1"/>
  <c r="N459" i="54"/>
  <c r="O459" i="54" s="1"/>
  <c r="V455" i="54"/>
  <c r="W455" i="54" s="1"/>
  <c r="N455" i="54"/>
  <c r="O455" i="54" s="1"/>
  <c r="R455" i="54"/>
  <c r="S455" i="54" s="1"/>
  <c r="V451" i="54"/>
  <c r="W451" i="54" s="1"/>
  <c r="R451" i="54"/>
  <c r="S451" i="54" s="1"/>
  <c r="N451" i="54"/>
  <c r="O451" i="54" s="1"/>
  <c r="V447" i="54"/>
  <c r="W447" i="54" s="1"/>
  <c r="R447" i="54"/>
  <c r="S447" i="54" s="1"/>
  <c r="N447" i="54"/>
  <c r="O447" i="54" s="1"/>
  <c r="V443" i="54"/>
  <c r="W443" i="54" s="1"/>
  <c r="R443" i="54"/>
  <c r="S443" i="54" s="1"/>
  <c r="N443" i="54"/>
  <c r="O443" i="54" s="1"/>
  <c r="V439" i="54"/>
  <c r="W439" i="54" s="1"/>
  <c r="N439" i="54"/>
  <c r="O439" i="54" s="1"/>
  <c r="R439" i="54"/>
  <c r="S439" i="54" s="1"/>
  <c r="V435" i="54"/>
  <c r="W435" i="54" s="1"/>
  <c r="R435" i="54"/>
  <c r="S435" i="54" s="1"/>
  <c r="N435" i="54"/>
  <c r="O435" i="54" s="1"/>
  <c r="V431" i="54"/>
  <c r="W431" i="54" s="1"/>
  <c r="R431" i="54"/>
  <c r="S431" i="54" s="1"/>
  <c r="N431" i="54"/>
  <c r="O431" i="54" s="1"/>
  <c r="V427" i="54"/>
  <c r="W427" i="54" s="1"/>
  <c r="R427" i="54"/>
  <c r="S427" i="54" s="1"/>
  <c r="N427" i="54"/>
  <c r="O427" i="54" s="1"/>
  <c r="V423" i="54"/>
  <c r="W423" i="54" s="1"/>
  <c r="R423" i="54"/>
  <c r="S423" i="54" s="1"/>
  <c r="N423" i="54"/>
  <c r="O423" i="54" s="1"/>
  <c r="V419" i="54"/>
  <c r="W419" i="54" s="1"/>
  <c r="R419" i="54"/>
  <c r="S419" i="54" s="1"/>
  <c r="N419" i="54"/>
  <c r="O419" i="54" s="1"/>
  <c r="V415" i="54"/>
  <c r="W415" i="54" s="1"/>
  <c r="R415" i="54"/>
  <c r="S415" i="54" s="1"/>
  <c r="N415" i="54"/>
  <c r="O415" i="54" s="1"/>
  <c r="V411" i="54"/>
  <c r="W411" i="54" s="1"/>
  <c r="R411" i="54"/>
  <c r="S411" i="54" s="1"/>
  <c r="N411" i="54"/>
  <c r="O411" i="54" s="1"/>
  <c r="V407" i="54"/>
  <c r="W407" i="54" s="1"/>
  <c r="N407" i="54"/>
  <c r="O407" i="54" s="1"/>
  <c r="R407" i="54"/>
  <c r="S407" i="54" s="1"/>
  <c r="V403" i="54"/>
  <c r="W403" i="54" s="1"/>
  <c r="R403" i="54"/>
  <c r="S403" i="54" s="1"/>
  <c r="N403" i="54"/>
  <c r="O403" i="54" s="1"/>
  <c r="V399" i="54"/>
  <c r="W399" i="54" s="1"/>
  <c r="R399" i="54"/>
  <c r="S399" i="54" s="1"/>
  <c r="N399" i="54"/>
  <c r="O399" i="54" s="1"/>
  <c r="V395" i="54"/>
  <c r="W395" i="54" s="1"/>
  <c r="R395" i="54"/>
  <c r="S395" i="54" s="1"/>
  <c r="N395" i="54"/>
  <c r="O395" i="54" s="1"/>
  <c r="V391" i="54"/>
  <c r="W391" i="54" s="1"/>
  <c r="N391" i="54"/>
  <c r="O391" i="54" s="1"/>
  <c r="R391" i="54"/>
  <c r="S391" i="54" s="1"/>
  <c r="V387" i="54"/>
  <c r="W387" i="54" s="1"/>
  <c r="R387" i="54"/>
  <c r="S387" i="54" s="1"/>
  <c r="N387" i="54"/>
  <c r="O387" i="54" s="1"/>
  <c r="V383" i="54"/>
  <c r="W383" i="54" s="1"/>
  <c r="R383" i="54"/>
  <c r="S383" i="54" s="1"/>
  <c r="N383" i="54"/>
  <c r="O383" i="54" s="1"/>
  <c r="V379" i="54"/>
  <c r="W379" i="54" s="1"/>
  <c r="R379" i="54"/>
  <c r="S379" i="54" s="1"/>
  <c r="N379" i="54"/>
  <c r="O379" i="54" s="1"/>
  <c r="V375" i="54"/>
  <c r="W375" i="54" s="1"/>
  <c r="N375" i="54"/>
  <c r="O375" i="54" s="1"/>
  <c r="R375" i="54"/>
  <c r="S375" i="54" s="1"/>
  <c r="V371" i="54"/>
  <c r="W371" i="54" s="1"/>
  <c r="R371" i="54"/>
  <c r="S371" i="54" s="1"/>
  <c r="N371" i="54"/>
  <c r="O371" i="54" s="1"/>
  <c r="V367" i="54"/>
  <c r="W367" i="54" s="1"/>
  <c r="R367" i="54"/>
  <c r="S367" i="54" s="1"/>
  <c r="N367" i="54"/>
  <c r="O367" i="54" s="1"/>
  <c r="V363" i="54"/>
  <c r="W363" i="54" s="1"/>
  <c r="R363" i="54"/>
  <c r="S363" i="54" s="1"/>
  <c r="N363" i="54"/>
  <c r="O363" i="54" s="1"/>
  <c r="V359" i="54"/>
  <c r="W359" i="54" s="1"/>
  <c r="R359" i="54"/>
  <c r="S359" i="54" s="1"/>
  <c r="N359" i="54"/>
  <c r="O359" i="54" s="1"/>
  <c r="V355" i="54"/>
  <c r="W355" i="54" s="1"/>
  <c r="R355" i="54"/>
  <c r="S355" i="54" s="1"/>
  <c r="N355" i="54"/>
  <c r="O355" i="54" s="1"/>
  <c r="V351" i="54"/>
  <c r="W351" i="54" s="1"/>
  <c r="R351" i="54"/>
  <c r="S351" i="54" s="1"/>
  <c r="N351" i="54"/>
  <c r="O351" i="54" s="1"/>
  <c r="V347" i="54"/>
  <c r="W347" i="54" s="1"/>
  <c r="R347" i="54"/>
  <c r="S347" i="54" s="1"/>
  <c r="N347" i="54"/>
  <c r="O347" i="54" s="1"/>
  <c r="V343" i="54"/>
  <c r="W343" i="54" s="1"/>
  <c r="N343" i="54"/>
  <c r="O343" i="54" s="1"/>
  <c r="R343" i="54"/>
  <c r="S343" i="54" s="1"/>
  <c r="V339" i="54"/>
  <c r="W339" i="54" s="1"/>
  <c r="R339" i="54"/>
  <c r="S339" i="54" s="1"/>
  <c r="N339" i="54"/>
  <c r="O339" i="54" s="1"/>
  <c r="V335" i="54"/>
  <c r="W335" i="54" s="1"/>
  <c r="R335" i="54"/>
  <c r="S335" i="54" s="1"/>
  <c r="N335" i="54"/>
  <c r="O335" i="54" s="1"/>
  <c r="R331" i="54"/>
  <c r="S331" i="54" s="1"/>
  <c r="V331" i="54"/>
  <c r="W331" i="54" s="1"/>
  <c r="N331" i="54"/>
  <c r="O331" i="54" s="1"/>
  <c r="V327" i="54"/>
  <c r="W327" i="54" s="1"/>
  <c r="N327" i="54"/>
  <c r="O327" i="54" s="1"/>
  <c r="R327" i="54"/>
  <c r="S327" i="54" s="1"/>
  <c r="V323" i="54"/>
  <c r="W323" i="54" s="1"/>
  <c r="R323" i="54"/>
  <c r="S323" i="54" s="1"/>
  <c r="N323" i="54"/>
  <c r="O323" i="54" s="1"/>
  <c r="V319" i="54"/>
  <c r="W319" i="54" s="1"/>
  <c r="R319" i="54"/>
  <c r="S319" i="54" s="1"/>
  <c r="N319" i="54"/>
  <c r="O319" i="54" s="1"/>
  <c r="V315" i="54"/>
  <c r="W315" i="54" s="1"/>
  <c r="R315" i="54"/>
  <c r="S315" i="54" s="1"/>
  <c r="N315" i="54"/>
  <c r="O315" i="54" s="1"/>
  <c r="V311" i="54"/>
  <c r="W311" i="54" s="1"/>
  <c r="N311" i="54"/>
  <c r="O311" i="54" s="1"/>
  <c r="R311" i="54"/>
  <c r="S311" i="54" s="1"/>
  <c r="J210" i="54"/>
  <c r="K210" i="54" s="1"/>
  <c r="J206" i="54"/>
  <c r="K206" i="54" s="1"/>
  <c r="J202" i="54"/>
  <c r="K202" i="54" s="1"/>
  <c r="J198" i="54"/>
  <c r="K198" i="54" s="1"/>
  <c r="J194" i="54"/>
  <c r="K194" i="54" s="1"/>
  <c r="J190" i="54"/>
  <c r="K190" i="54" s="1"/>
  <c r="J182" i="54"/>
  <c r="K182" i="54" s="1"/>
  <c r="J178" i="54"/>
  <c r="K178" i="54" s="1"/>
  <c r="J174" i="54"/>
  <c r="K174" i="54" s="1"/>
  <c r="J170" i="54"/>
  <c r="K170" i="54" s="1"/>
  <c r="J166" i="54"/>
  <c r="K166" i="54" s="1"/>
  <c r="J162" i="54"/>
  <c r="K162" i="54" s="1"/>
  <c r="J158" i="54"/>
  <c r="K158" i="54" s="1"/>
  <c r="J150" i="54"/>
  <c r="K150" i="54" s="1"/>
  <c r="J142" i="54"/>
  <c r="K142" i="54" s="1"/>
  <c r="J134" i="54"/>
  <c r="K134" i="54" s="1"/>
  <c r="J126" i="54"/>
  <c r="K126" i="54" s="1"/>
  <c r="J110" i="54"/>
  <c r="K110" i="54" s="1"/>
  <c r="J102" i="54"/>
  <c r="K102" i="54" s="1"/>
  <c r="J450" i="54"/>
  <c r="K450" i="54" s="1"/>
  <c r="J430" i="54"/>
  <c r="K430" i="54" s="1"/>
  <c r="J418" i="54"/>
  <c r="K418" i="54" s="1"/>
  <c r="J398" i="54"/>
  <c r="K398" i="54" s="1"/>
  <c r="J386" i="54"/>
  <c r="K386" i="54" s="1"/>
  <c r="J445" i="54"/>
  <c r="K445" i="54" s="1"/>
  <c r="J441" i="54"/>
  <c r="K441" i="54" s="1"/>
  <c r="J429" i="54"/>
  <c r="K429" i="54" s="1"/>
  <c r="J425" i="54"/>
  <c r="K425" i="54" s="1"/>
  <c r="J413" i="54"/>
  <c r="K413" i="54" s="1"/>
  <c r="J409" i="54"/>
  <c r="K409" i="54" s="1"/>
  <c r="J397" i="54"/>
  <c r="K397" i="54" s="1"/>
  <c r="J393" i="54"/>
  <c r="K393" i="54" s="1"/>
  <c r="J381" i="54"/>
  <c r="K381" i="54" s="1"/>
  <c r="J377" i="54"/>
  <c r="K377" i="54" s="1"/>
  <c r="J508" i="54"/>
  <c r="K508" i="54" s="1"/>
  <c r="J504" i="54"/>
  <c r="K504" i="54" s="1"/>
  <c r="J496" i="54"/>
  <c r="K496" i="54" s="1"/>
  <c r="J492" i="54"/>
  <c r="K492" i="54" s="1"/>
  <c r="J488" i="54"/>
  <c r="K488" i="54" s="1"/>
  <c r="J480" i="54"/>
  <c r="K480" i="54" s="1"/>
  <c r="J472" i="54"/>
  <c r="K472" i="54" s="1"/>
  <c r="J464" i="54"/>
  <c r="K464" i="54" s="1"/>
  <c r="J456" i="54"/>
  <c r="K456" i="54" s="1"/>
  <c r="J368" i="54"/>
  <c r="K368" i="54" s="1"/>
  <c r="J364" i="54"/>
  <c r="K364" i="54" s="1"/>
  <c r="J352" i="54"/>
  <c r="K352" i="54" s="1"/>
  <c r="J348" i="54"/>
  <c r="K348" i="54" s="1"/>
  <c r="J336" i="54"/>
  <c r="K336" i="54" s="1"/>
  <c r="J320" i="54"/>
  <c r="K320" i="54" s="1"/>
  <c r="J316" i="54"/>
  <c r="K316" i="54" s="1"/>
  <c r="J503" i="54"/>
  <c r="K503" i="54" s="1"/>
  <c r="J495" i="54"/>
  <c r="K495" i="54" s="1"/>
  <c r="J479" i="54"/>
  <c r="K479" i="54" s="1"/>
  <c r="J471" i="54"/>
  <c r="K471" i="54" s="1"/>
  <c r="J463" i="54"/>
  <c r="K463" i="54" s="1"/>
  <c r="J451" i="54"/>
  <c r="K451" i="54" s="1"/>
  <c r="J419" i="54"/>
  <c r="K419" i="54" s="1"/>
  <c r="J387" i="54"/>
  <c r="K387" i="54" s="1"/>
  <c r="J90" i="54"/>
  <c r="K90" i="54" s="1"/>
  <c r="J74" i="54"/>
  <c r="K74" i="54" s="1"/>
  <c r="J54" i="54"/>
  <c r="K54" i="54" s="1"/>
  <c r="J42" i="54"/>
  <c r="K42" i="54" s="1"/>
  <c r="J30" i="54"/>
  <c r="K30" i="54" s="1"/>
  <c r="J77" i="54"/>
  <c r="K77" i="54" s="1"/>
  <c r="J57" i="54"/>
  <c r="K57" i="54" s="1"/>
  <c r="J33" i="54"/>
  <c r="K33" i="54" s="1"/>
  <c r="J21" i="54"/>
  <c r="K21" i="54" s="1"/>
  <c r="J94" i="54"/>
  <c r="K94" i="54" s="1"/>
  <c r="J82" i="54"/>
  <c r="K82" i="54" s="1"/>
  <c r="J70" i="54"/>
  <c r="K70" i="54" s="1"/>
  <c r="J62" i="54"/>
  <c r="K62" i="54" s="1"/>
  <c r="J50" i="54"/>
  <c r="K50" i="54" s="1"/>
  <c r="J38" i="54"/>
  <c r="K38" i="54" s="1"/>
  <c r="J26" i="54"/>
  <c r="K26" i="54" s="1"/>
  <c r="J101" i="54"/>
  <c r="K101" i="54" s="1"/>
  <c r="J89" i="54"/>
  <c r="K89" i="54" s="1"/>
  <c r="J81" i="54"/>
  <c r="K81" i="54" s="1"/>
  <c r="J69" i="54"/>
  <c r="K69" i="54" s="1"/>
  <c r="J49" i="54"/>
  <c r="K49" i="54" s="1"/>
  <c r="J41" i="54"/>
  <c r="K41" i="54" s="1"/>
  <c r="J29" i="54"/>
  <c r="K29" i="54" s="1"/>
  <c r="J100" i="54"/>
  <c r="K100" i="54" s="1"/>
  <c r="J96" i="54"/>
  <c r="K96" i="54" s="1"/>
  <c r="J92" i="54"/>
  <c r="K92" i="54" s="1"/>
  <c r="J88" i="54"/>
  <c r="K88" i="54" s="1"/>
  <c r="J84" i="54"/>
  <c r="K84" i="54" s="1"/>
  <c r="J80" i="54"/>
  <c r="K80" i="54" s="1"/>
  <c r="J76" i="54"/>
  <c r="K76" i="54" s="1"/>
  <c r="J72" i="54"/>
  <c r="K72" i="54" s="1"/>
  <c r="J68" i="54"/>
  <c r="K68" i="54" s="1"/>
  <c r="J64" i="54"/>
  <c r="K64" i="54" s="1"/>
  <c r="J60" i="54"/>
  <c r="K60" i="54" s="1"/>
  <c r="J56" i="54"/>
  <c r="K56" i="54" s="1"/>
  <c r="J52" i="54"/>
  <c r="K52" i="54" s="1"/>
  <c r="J48" i="54"/>
  <c r="K48" i="54" s="1"/>
  <c r="J44" i="54"/>
  <c r="K44" i="54" s="1"/>
  <c r="J40" i="54"/>
  <c r="K40" i="54" s="1"/>
  <c r="J36" i="54"/>
  <c r="K36" i="54" s="1"/>
  <c r="J32" i="54"/>
  <c r="K32" i="54" s="1"/>
  <c r="J28" i="54"/>
  <c r="K28" i="54" s="1"/>
  <c r="J24" i="54"/>
  <c r="K24" i="54" s="1"/>
  <c r="J20" i="54"/>
  <c r="K20" i="54" s="1"/>
  <c r="J98" i="54"/>
  <c r="K98" i="54" s="1"/>
  <c r="J86" i="54"/>
  <c r="K86" i="54" s="1"/>
  <c r="J78" i="54"/>
  <c r="K78" i="54" s="1"/>
  <c r="J66" i="54"/>
  <c r="K66" i="54" s="1"/>
  <c r="J58" i="54"/>
  <c r="K58" i="54" s="1"/>
  <c r="J46" i="54"/>
  <c r="K46" i="54" s="1"/>
  <c r="J34" i="54"/>
  <c r="K34" i="54" s="1"/>
  <c r="J22" i="54"/>
  <c r="K22" i="54" s="1"/>
  <c r="J97" i="54"/>
  <c r="K97" i="54" s="1"/>
  <c r="J93" i="54"/>
  <c r="K93" i="54" s="1"/>
  <c r="J85" i="54"/>
  <c r="K85" i="54" s="1"/>
  <c r="J73" i="54"/>
  <c r="K73" i="54" s="1"/>
  <c r="J65" i="54"/>
  <c r="K65" i="54" s="1"/>
  <c r="J61" i="54"/>
  <c r="K61" i="54" s="1"/>
  <c r="J53" i="54"/>
  <c r="K53" i="54" s="1"/>
  <c r="J45" i="54"/>
  <c r="K45" i="54" s="1"/>
  <c r="J37" i="54"/>
  <c r="K37" i="54" s="1"/>
  <c r="J25" i="54"/>
  <c r="K25" i="54" s="1"/>
  <c r="J18" i="54"/>
  <c r="K18" i="54" s="1"/>
  <c r="J99" i="54"/>
  <c r="K99" i="54" s="1"/>
  <c r="J95" i="54"/>
  <c r="K95" i="54" s="1"/>
  <c r="J91" i="54"/>
  <c r="K91" i="54" s="1"/>
  <c r="J87" i="54"/>
  <c r="K87" i="54" s="1"/>
  <c r="J83" i="54"/>
  <c r="K83" i="54" s="1"/>
  <c r="J79" i="54"/>
  <c r="K79" i="54" s="1"/>
  <c r="J75" i="54"/>
  <c r="K75" i="54" s="1"/>
  <c r="J71" i="54"/>
  <c r="K71" i="54" s="1"/>
  <c r="J67" i="54"/>
  <c r="K67" i="54" s="1"/>
  <c r="J63" i="54"/>
  <c r="K63" i="54" s="1"/>
  <c r="J59" i="54"/>
  <c r="K59" i="54" s="1"/>
  <c r="J55" i="54"/>
  <c r="K55" i="54" s="1"/>
  <c r="J51" i="54"/>
  <c r="K51" i="54" s="1"/>
  <c r="J47" i="54"/>
  <c r="K47" i="54" s="1"/>
  <c r="J43" i="54"/>
  <c r="K43" i="54" s="1"/>
  <c r="J39" i="54"/>
  <c r="K39" i="54" s="1"/>
  <c r="J35" i="54"/>
  <c r="K35" i="54" s="1"/>
  <c r="J31" i="54"/>
  <c r="K31" i="54" s="1"/>
  <c r="J27" i="54"/>
  <c r="K27" i="54" s="1"/>
  <c r="J23" i="54"/>
  <c r="K23" i="54" s="1"/>
  <c r="J19" i="54"/>
  <c r="K19" i="54" s="1"/>
  <c r="J476" i="54"/>
  <c r="K476" i="54" s="1"/>
  <c r="J455" i="54"/>
  <c r="K455" i="54" s="1"/>
  <c r="J391" i="54"/>
  <c r="K391" i="54" s="1"/>
  <c r="J484" i="54"/>
  <c r="K484" i="54" s="1"/>
  <c r="J402" i="54"/>
  <c r="K402" i="54" s="1"/>
  <c r="J487" i="54"/>
  <c r="K487" i="54" s="1"/>
  <c r="J460" i="54"/>
  <c r="K460" i="54" s="1"/>
  <c r="J423" i="54"/>
  <c r="K423" i="54" s="1"/>
  <c r="J500" i="54"/>
  <c r="K500" i="54" s="1"/>
  <c r="J468" i="54"/>
  <c r="K468" i="54" s="1"/>
  <c r="J434" i="54"/>
  <c r="K434" i="54" s="1"/>
  <c r="J447" i="54"/>
  <c r="K447" i="54" s="1"/>
  <c r="J443" i="54"/>
  <c r="K443" i="54" s="1"/>
  <c r="J431" i="54"/>
  <c r="K431" i="54" s="1"/>
  <c r="J427" i="54"/>
  <c r="K427" i="54" s="1"/>
  <c r="J415" i="54"/>
  <c r="K415" i="54" s="1"/>
  <c r="J411" i="54"/>
  <c r="K411" i="54" s="1"/>
  <c r="J399" i="54"/>
  <c r="K399" i="54" s="1"/>
  <c r="J395" i="54"/>
  <c r="K395" i="54" s="1"/>
  <c r="J383" i="54"/>
  <c r="K383" i="54" s="1"/>
  <c r="J379" i="54"/>
  <c r="K379" i="54" s="1"/>
  <c r="J507" i="54"/>
  <c r="K507" i="54" s="1"/>
  <c r="J499" i="54"/>
  <c r="K499" i="54" s="1"/>
  <c r="J491" i="54"/>
  <c r="K491" i="54" s="1"/>
  <c r="J483" i="54"/>
  <c r="K483" i="54" s="1"/>
  <c r="J475" i="54"/>
  <c r="K475" i="54" s="1"/>
  <c r="J467" i="54"/>
  <c r="K467" i="54" s="1"/>
  <c r="J459" i="54"/>
  <c r="K459" i="54" s="1"/>
  <c r="J439" i="54"/>
  <c r="K439" i="54" s="1"/>
  <c r="J407" i="54"/>
  <c r="K407" i="54" s="1"/>
  <c r="J506" i="54"/>
  <c r="K506" i="54" s="1"/>
  <c r="J502" i="54"/>
  <c r="K502" i="54" s="1"/>
  <c r="J498" i="54"/>
  <c r="K498" i="54" s="1"/>
  <c r="J494" i="54"/>
  <c r="K494" i="54" s="1"/>
  <c r="Z494" i="54" s="1"/>
  <c r="J490" i="54"/>
  <c r="K490" i="54" s="1"/>
  <c r="J486" i="54"/>
  <c r="K486" i="54" s="1"/>
  <c r="J482" i="54"/>
  <c r="K482" i="54" s="1"/>
  <c r="J478" i="54"/>
  <c r="K478" i="54" s="1"/>
  <c r="J474" i="54"/>
  <c r="K474" i="54" s="1"/>
  <c r="J470" i="54"/>
  <c r="K470" i="54" s="1"/>
  <c r="J466" i="54"/>
  <c r="K466" i="54" s="1"/>
  <c r="J462" i="54"/>
  <c r="K462" i="54" s="1"/>
  <c r="J458" i="54"/>
  <c r="K458" i="54" s="1"/>
  <c r="J454" i="54"/>
  <c r="K454" i="54" s="1"/>
  <c r="J442" i="54"/>
  <c r="K442" i="54" s="1"/>
  <c r="J438" i="54"/>
  <c r="K438" i="54" s="1"/>
  <c r="J426" i="54"/>
  <c r="K426" i="54" s="1"/>
  <c r="J422" i="54"/>
  <c r="K422" i="54" s="1"/>
  <c r="J410" i="54"/>
  <c r="K410" i="54" s="1"/>
  <c r="J406" i="54"/>
  <c r="K406" i="54" s="1"/>
  <c r="J394" i="54"/>
  <c r="K394" i="54" s="1"/>
  <c r="J390" i="54"/>
  <c r="K390" i="54" s="1"/>
  <c r="J378" i="54"/>
  <c r="K378" i="54" s="1"/>
  <c r="J446" i="54"/>
  <c r="K446" i="54" s="1"/>
  <c r="J435" i="54"/>
  <c r="K435" i="54" s="1"/>
  <c r="J414" i="54"/>
  <c r="K414" i="54" s="1"/>
  <c r="J403" i="54"/>
  <c r="K403" i="54" s="1"/>
  <c r="J382" i="54"/>
  <c r="K382" i="54" s="1"/>
  <c r="J449" i="54"/>
  <c r="K449" i="54" s="1"/>
  <c r="J433" i="54"/>
  <c r="K433" i="54" s="1"/>
  <c r="J417" i="54"/>
  <c r="K417" i="54" s="1"/>
  <c r="J401" i="54"/>
  <c r="K401" i="54" s="1"/>
  <c r="J385" i="54"/>
  <c r="K385" i="54" s="1"/>
  <c r="J452" i="54"/>
  <c r="K452" i="54" s="1"/>
  <c r="J448" i="54"/>
  <c r="K448" i="54" s="1"/>
  <c r="J444" i="54"/>
  <c r="K444" i="54" s="1"/>
  <c r="J440" i="54"/>
  <c r="K440" i="54" s="1"/>
  <c r="J436" i="54"/>
  <c r="K436" i="54" s="1"/>
  <c r="J432" i="54"/>
  <c r="K432" i="54" s="1"/>
  <c r="J428" i="54"/>
  <c r="K428" i="54" s="1"/>
  <c r="J424" i="54"/>
  <c r="K424" i="54" s="1"/>
  <c r="J420" i="54"/>
  <c r="K420" i="54" s="1"/>
  <c r="J416" i="54"/>
  <c r="K416" i="54" s="1"/>
  <c r="J412" i="54"/>
  <c r="K412" i="54" s="1"/>
  <c r="J408" i="54"/>
  <c r="K408" i="54" s="1"/>
  <c r="J404" i="54"/>
  <c r="K404" i="54" s="1"/>
  <c r="J400" i="54"/>
  <c r="K400" i="54" s="1"/>
  <c r="J396" i="54"/>
  <c r="K396" i="54" s="1"/>
  <c r="J392" i="54"/>
  <c r="K392" i="54" s="1"/>
  <c r="J388" i="54"/>
  <c r="K388" i="54" s="1"/>
  <c r="J384" i="54"/>
  <c r="K384" i="54" s="1"/>
  <c r="J380" i="54"/>
  <c r="K380" i="54" s="1"/>
  <c r="J376" i="54"/>
  <c r="K376" i="54" s="1"/>
  <c r="J509" i="54"/>
  <c r="K509" i="54" s="1"/>
  <c r="J505" i="54"/>
  <c r="K505" i="54" s="1"/>
  <c r="J501" i="54"/>
  <c r="K501" i="54" s="1"/>
  <c r="J497" i="54"/>
  <c r="K497" i="54" s="1"/>
  <c r="J493" i="54"/>
  <c r="K493" i="54" s="1"/>
  <c r="J489" i="54"/>
  <c r="K489" i="54" s="1"/>
  <c r="J485" i="54"/>
  <c r="K485" i="54" s="1"/>
  <c r="J481" i="54"/>
  <c r="K481" i="54" s="1"/>
  <c r="J477" i="54"/>
  <c r="K477" i="54" s="1"/>
  <c r="J473" i="54"/>
  <c r="K473" i="54" s="1"/>
  <c r="J469" i="54"/>
  <c r="K469" i="54" s="1"/>
  <c r="J465" i="54"/>
  <c r="K465" i="54" s="1"/>
  <c r="J461" i="54"/>
  <c r="K461" i="54" s="1"/>
  <c r="J457" i="54"/>
  <c r="K457" i="54" s="1"/>
  <c r="J453" i="54"/>
  <c r="K453" i="54" s="1"/>
  <c r="J437" i="54"/>
  <c r="K437" i="54" s="1"/>
  <c r="J421" i="54"/>
  <c r="K421" i="54" s="1"/>
  <c r="J405" i="54"/>
  <c r="K405" i="54" s="1"/>
  <c r="J389" i="54"/>
  <c r="K389" i="54" s="1"/>
  <c r="H25" i="55"/>
  <c r="J332" i="54"/>
  <c r="K332" i="54" s="1"/>
  <c r="J360" i="54"/>
  <c r="K360" i="54" s="1"/>
  <c r="J344" i="54"/>
  <c r="K344" i="54" s="1"/>
  <c r="J328" i="54"/>
  <c r="K328" i="54" s="1"/>
  <c r="J312" i="54"/>
  <c r="K312" i="54" s="1"/>
  <c r="J372" i="54"/>
  <c r="K372" i="54" s="1"/>
  <c r="J356" i="54"/>
  <c r="K356" i="54" s="1"/>
  <c r="J340" i="54"/>
  <c r="K340" i="54" s="1"/>
  <c r="J324" i="54"/>
  <c r="K324" i="54" s="1"/>
  <c r="J375" i="54"/>
  <c r="K375" i="54" s="1"/>
  <c r="J371" i="54"/>
  <c r="K371" i="54" s="1"/>
  <c r="J367" i="54"/>
  <c r="K367" i="54" s="1"/>
  <c r="J363" i="54"/>
  <c r="K363" i="54" s="1"/>
  <c r="J359" i="54"/>
  <c r="K359" i="54" s="1"/>
  <c r="J355" i="54"/>
  <c r="K355" i="54" s="1"/>
  <c r="J351" i="54"/>
  <c r="K351" i="54" s="1"/>
  <c r="J347" i="54"/>
  <c r="K347" i="54" s="1"/>
  <c r="J343" i="54"/>
  <c r="K343" i="54" s="1"/>
  <c r="J339" i="54"/>
  <c r="K339" i="54" s="1"/>
  <c r="J335" i="54"/>
  <c r="K335" i="54" s="1"/>
  <c r="J331" i="54"/>
  <c r="K331" i="54" s="1"/>
  <c r="J327" i="54"/>
  <c r="K327" i="54" s="1"/>
  <c r="J323" i="54"/>
  <c r="K323" i="54" s="1"/>
  <c r="J319" i="54"/>
  <c r="K319" i="54" s="1"/>
  <c r="J315" i="54"/>
  <c r="K315" i="54" s="1"/>
  <c r="J311" i="54"/>
  <c r="K311" i="54" s="1"/>
  <c r="J374" i="54"/>
  <c r="K374" i="54" s="1"/>
  <c r="J370" i="54"/>
  <c r="K370" i="54" s="1"/>
  <c r="J366" i="54"/>
  <c r="K366" i="54" s="1"/>
  <c r="J362" i="54"/>
  <c r="K362" i="54" s="1"/>
  <c r="J358" i="54"/>
  <c r="K358" i="54" s="1"/>
  <c r="J354" i="54"/>
  <c r="K354" i="54" s="1"/>
  <c r="J350" i="54"/>
  <c r="K350" i="54" s="1"/>
  <c r="J346" i="54"/>
  <c r="K346" i="54" s="1"/>
  <c r="J342" i="54"/>
  <c r="K342" i="54" s="1"/>
  <c r="J338" i="54"/>
  <c r="K338" i="54" s="1"/>
  <c r="J334" i="54"/>
  <c r="K334" i="54" s="1"/>
  <c r="J330" i="54"/>
  <c r="K330" i="54" s="1"/>
  <c r="J326" i="54"/>
  <c r="K326" i="54" s="1"/>
  <c r="J322" i="54"/>
  <c r="K322" i="54" s="1"/>
  <c r="J318" i="54"/>
  <c r="K318" i="54" s="1"/>
  <c r="J314" i="54"/>
  <c r="K314" i="54" s="1"/>
  <c r="J373" i="54"/>
  <c r="K373" i="54" s="1"/>
  <c r="J369" i="54"/>
  <c r="K369" i="54" s="1"/>
  <c r="J365" i="54"/>
  <c r="K365" i="54" s="1"/>
  <c r="J361" i="54"/>
  <c r="K361" i="54" s="1"/>
  <c r="J357" i="54"/>
  <c r="K357" i="54" s="1"/>
  <c r="J353" i="54"/>
  <c r="K353" i="54" s="1"/>
  <c r="J349" i="54"/>
  <c r="K349" i="54" s="1"/>
  <c r="J345" i="54"/>
  <c r="K345" i="54" s="1"/>
  <c r="J341" i="54"/>
  <c r="K341" i="54" s="1"/>
  <c r="J337" i="54"/>
  <c r="K337" i="54" s="1"/>
  <c r="J333" i="54"/>
  <c r="K333" i="54" s="1"/>
  <c r="J329" i="54"/>
  <c r="K329" i="54" s="1"/>
  <c r="J325" i="54"/>
  <c r="K325" i="54" s="1"/>
  <c r="J321" i="54"/>
  <c r="K321" i="54" s="1"/>
  <c r="J317" i="54"/>
  <c r="K317" i="54" s="1"/>
  <c r="J313" i="54"/>
  <c r="K313" i="54" s="1"/>
  <c r="J295" i="54"/>
  <c r="K295" i="54" s="1"/>
  <c r="J279" i="54"/>
  <c r="K279" i="54" s="1"/>
  <c r="J259" i="54"/>
  <c r="K259" i="54" s="1"/>
  <c r="J243" i="54"/>
  <c r="K243" i="54" s="1"/>
  <c r="J227" i="54"/>
  <c r="K227" i="54" s="1"/>
  <c r="J215" i="54"/>
  <c r="K215" i="54" s="1"/>
  <c r="J203" i="54"/>
  <c r="K203" i="54" s="1"/>
  <c r="J191" i="54"/>
  <c r="K191" i="54" s="1"/>
  <c r="J179" i="54"/>
  <c r="K179" i="54" s="1"/>
  <c r="J167" i="54"/>
  <c r="K167" i="54" s="1"/>
  <c r="J159" i="54"/>
  <c r="K159" i="54" s="1"/>
  <c r="J151" i="54"/>
  <c r="K151" i="54" s="1"/>
  <c r="J147" i="54"/>
  <c r="K147" i="54" s="1"/>
  <c r="J139" i="54"/>
  <c r="K139" i="54" s="1"/>
  <c r="J135" i="54"/>
  <c r="K135" i="54" s="1"/>
  <c r="J131" i="54"/>
  <c r="K131" i="54" s="1"/>
  <c r="J127" i="54"/>
  <c r="K127" i="54" s="1"/>
  <c r="J123" i="54"/>
  <c r="K123" i="54" s="1"/>
  <c r="J119" i="54"/>
  <c r="K119" i="54" s="1"/>
  <c r="J115" i="54"/>
  <c r="K115" i="54" s="1"/>
  <c r="J107" i="54"/>
  <c r="K107" i="54" s="1"/>
  <c r="J103" i="54"/>
  <c r="K103" i="54" s="1"/>
  <c r="J303" i="54"/>
  <c r="K303" i="54" s="1"/>
  <c r="J287" i="54"/>
  <c r="K287" i="54" s="1"/>
  <c r="J271" i="54"/>
  <c r="K271" i="54" s="1"/>
  <c r="J255" i="54"/>
  <c r="K255" i="54" s="1"/>
  <c r="J247" i="54"/>
  <c r="K247" i="54" s="1"/>
  <c r="J231" i="54"/>
  <c r="K231" i="54" s="1"/>
  <c r="J219" i="54"/>
  <c r="K219" i="54" s="1"/>
  <c r="J211" i="54"/>
  <c r="K211" i="54" s="1"/>
  <c r="J199" i="54"/>
  <c r="K199" i="54" s="1"/>
  <c r="J195" i="54"/>
  <c r="K195" i="54" s="1"/>
  <c r="J187" i="54"/>
  <c r="K187" i="54" s="1"/>
  <c r="J175" i="54"/>
  <c r="K175" i="54" s="1"/>
  <c r="J163" i="54"/>
  <c r="K163" i="54" s="1"/>
  <c r="J155" i="54"/>
  <c r="K155" i="54" s="1"/>
  <c r="J143" i="54"/>
  <c r="K143" i="54" s="1"/>
  <c r="J111" i="54"/>
  <c r="K111" i="54" s="1"/>
  <c r="J310" i="54"/>
  <c r="K310" i="54" s="1"/>
  <c r="J306" i="54"/>
  <c r="K306" i="54" s="1"/>
  <c r="J302" i="54"/>
  <c r="K302" i="54" s="1"/>
  <c r="J298" i="54"/>
  <c r="K298" i="54" s="1"/>
  <c r="J294" i="54"/>
  <c r="K294" i="54" s="1"/>
  <c r="J290" i="54"/>
  <c r="K290" i="54" s="1"/>
  <c r="J286" i="54"/>
  <c r="K286" i="54" s="1"/>
  <c r="J282" i="54"/>
  <c r="K282" i="54" s="1"/>
  <c r="J278" i="54"/>
  <c r="K278" i="54" s="1"/>
  <c r="J274" i="54"/>
  <c r="K274" i="54" s="1"/>
  <c r="J270" i="54"/>
  <c r="K270" i="54" s="1"/>
  <c r="J266" i="54"/>
  <c r="K266" i="54" s="1"/>
  <c r="J262" i="54"/>
  <c r="K262" i="54" s="1"/>
  <c r="J258" i="54"/>
  <c r="K258" i="54" s="1"/>
  <c r="J254" i="54"/>
  <c r="K254" i="54" s="1"/>
  <c r="J250" i="54"/>
  <c r="K250" i="54" s="1"/>
  <c r="J246" i="54"/>
  <c r="K246" i="54" s="1"/>
  <c r="J242" i="54"/>
  <c r="K242" i="54" s="1"/>
  <c r="J238" i="54"/>
  <c r="K238" i="54" s="1"/>
  <c r="J234" i="54"/>
  <c r="K234" i="54" s="1"/>
  <c r="J230" i="54"/>
  <c r="K230" i="54" s="1"/>
  <c r="J226" i="54"/>
  <c r="K226" i="54" s="1"/>
  <c r="J222" i="54"/>
  <c r="K222" i="54" s="1"/>
  <c r="J218" i="54"/>
  <c r="K218" i="54" s="1"/>
  <c r="J214" i="54"/>
  <c r="K214" i="54" s="1"/>
  <c r="J307" i="54"/>
  <c r="K307" i="54" s="1"/>
  <c r="J291" i="54"/>
  <c r="K291" i="54" s="1"/>
  <c r="J275" i="54"/>
  <c r="K275" i="54" s="1"/>
  <c r="J263" i="54"/>
  <c r="K263" i="54" s="1"/>
  <c r="J239" i="54"/>
  <c r="K239" i="54" s="1"/>
  <c r="J183" i="54"/>
  <c r="K183" i="54" s="1"/>
  <c r="J309" i="54"/>
  <c r="K309" i="54" s="1"/>
  <c r="J305" i="54"/>
  <c r="K305" i="54" s="1"/>
  <c r="J301" i="54"/>
  <c r="K301" i="54" s="1"/>
  <c r="J297" i="54"/>
  <c r="K297" i="54" s="1"/>
  <c r="J293" i="54"/>
  <c r="K293" i="54" s="1"/>
  <c r="J289" i="54"/>
  <c r="K289" i="54" s="1"/>
  <c r="J285" i="54"/>
  <c r="K285" i="54" s="1"/>
  <c r="J281" i="54"/>
  <c r="K281" i="54" s="1"/>
  <c r="J277" i="54"/>
  <c r="K277" i="54" s="1"/>
  <c r="J273" i="54"/>
  <c r="K273" i="54" s="1"/>
  <c r="J269" i="54"/>
  <c r="K269" i="54" s="1"/>
  <c r="J265" i="54"/>
  <c r="K265" i="54" s="1"/>
  <c r="J261" i="54"/>
  <c r="K261" i="54" s="1"/>
  <c r="J257" i="54"/>
  <c r="K257" i="54" s="1"/>
  <c r="J253" i="54"/>
  <c r="K253" i="54" s="1"/>
  <c r="J249" i="54"/>
  <c r="K249" i="54" s="1"/>
  <c r="J245" i="54"/>
  <c r="K245" i="54" s="1"/>
  <c r="J241" i="54"/>
  <c r="K241" i="54" s="1"/>
  <c r="J237" i="54"/>
  <c r="K237" i="54" s="1"/>
  <c r="J233" i="54"/>
  <c r="K233" i="54" s="1"/>
  <c r="J229" i="54"/>
  <c r="K229" i="54" s="1"/>
  <c r="J225" i="54"/>
  <c r="K225" i="54" s="1"/>
  <c r="J221" i="54"/>
  <c r="K221" i="54" s="1"/>
  <c r="J217" i="54"/>
  <c r="K217" i="54" s="1"/>
  <c r="J213" i="54"/>
  <c r="K213" i="54" s="1"/>
  <c r="J209" i="54"/>
  <c r="K209" i="54" s="1"/>
  <c r="J205" i="54"/>
  <c r="K205" i="54" s="1"/>
  <c r="J201" i="54"/>
  <c r="K201" i="54" s="1"/>
  <c r="J197" i="54"/>
  <c r="K197" i="54" s="1"/>
  <c r="J193" i="54"/>
  <c r="K193" i="54" s="1"/>
  <c r="J189" i="54"/>
  <c r="K189" i="54" s="1"/>
  <c r="J185" i="54"/>
  <c r="K185" i="54" s="1"/>
  <c r="J181" i="54"/>
  <c r="K181" i="54" s="1"/>
  <c r="J177" i="54"/>
  <c r="K177" i="54" s="1"/>
  <c r="J173" i="54"/>
  <c r="K173" i="54" s="1"/>
  <c r="J169" i="54"/>
  <c r="K169" i="54" s="1"/>
  <c r="J165" i="54"/>
  <c r="K165" i="54" s="1"/>
  <c r="J161" i="54"/>
  <c r="K161" i="54" s="1"/>
  <c r="J157" i="54"/>
  <c r="K157" i="54" s="1"/>
  <c r="J153" i="54"/>
  <c r="K153" i="54" s="1"/>
  <c r="J149" i="54"/>
  <c r="K149" i="54" s="1"/>
  <c r="J145" i="54"/>
  <c r="K145" i="54" s="1"/>
  <c r="J141" i="54"/>
  <c r="K141" i="54" s="1"/>
  <c r="J299" i="54"/>
  <c r="K299" i="54" s="1"/>
  <c r="J283" i="54"/>
  <c r="K283" i="54" s="1"/>
  <c r="J267" i="54"/>
  <c r="K267" i="54" s="1"/>
  <c r="J251" i="54"/>
  <c r="K251" i="54" s="1"/>
  <c r="J235" i="54"/>
  <c r="K235" i="54" s="1"/>
  <c r="J223" i="54"/>
  <c r="K223" i="54" s="1"/>
  <c r="J207" i="54"/>
  <c r="K207" i="54" s="1"/>
  <c r="J171" i="54"/>
  <c r="K171" i="54" s="1"/>
  <c r="J308" i="54"/>
  <c r="K308" i="54" s="1"/>
  <c r="J304" i="54"/>
  <c r="K304" i="54" s="1"/>
  <c r="J300" i="54"/>
  <c r="K300" i="54" s="1"/>
  <c r="J296" i="54"/>
  <c r="K296" i="54" s="1"/>
  <c r="J292" i="54"/>
  <c r="K292" i="54" s="1"/>
  <c r="J288" i="54"/>
  <c r="K288" i="54" s="1"/>
  <c r="J284" i="54"/>
  <c r="K284" i="54" s="1"/>
  <c r="J280" i="54"/>
  <c r="K280" i="54" s="1"/>
  <c r="J276" i="54"/>
  <c r="K276" i="54" s="1"/>
  <c r="J272" i="54"/>
  <c r="K272" i="54" s="1"/>
  <c r="J268" i="54"/>
  <c r="K268" i="54" s="1"/>
  <c r="J264" i="54"/>
  <c r="K264" i="54" s="1"/>
  <c r="J260" i="54"/>
  <c r="K260" i="54" s="1"/>
  <c r="J256" i="54"/>
  <c r="K256" i="54" s="1"/>
  <c r="J252" i="54"/>
  <c r="K252" i="54" s="1"/>
  <c r="J248" i="54"/>
  <c r="K248" i="54" s="1"/>
  <c r="J244" i="54"/>
  <c r="K244" i="54" s="1"/>
  <c r="J240" i="54"/>
  <c r="K240" i="54" s="1"/>
  <c r="J236" i="54"/>
  <c r="K236" i="54" s="1"/>
  <c r="J232" i="54"/>
  <c r="K232" i="54" s="1"/>
  <c r="J228" i="54"/>
  <c r="K228" i="54" s="1"/>
  <c r="J224" i="54"/>
  <c r="K224" i="54" s="1"/>
  <c r="J220" i="54"/>
  <c r="K220" i="54" s="1"/>
  <c r="J216" i="54"/>
  <c r="K216" i="54" s="1"/>
  <c r="J212" i="54"/>
  <c r="K212" i="54" s="1"/>
  <c r="J208" i="54"/>
  <c r="K208" i="54" s="1"/>
  <c r="J204" i="54"/>
  <c r="K204" i="54" s="1"/>
  <c r="J200" i="54"/>
  <c r="K200" i="54" s="1"/>
  <c r="J196" i="54"/>
  <c r="K196" i="54" s="1"/>
  <c r="J192" i="54"/>
  <c r="K192" i="54" s="1"/>
  <c r="J188" i="54"/>
  <c r="K188" i="54" s="1"/>
  <c r="J184" i="54"/>
  <c r="K184" i="54" s="1"/>
  <c r="J180" i="54"/>
  <c r="K180" i="54" s="1"/>
  <c r="J176" i="54"/>
  <c r="K176" i="54" s="1"/>
  <c r="J172" i="54"/>
  <c r="K172" i="54" s="1"/>
  <c r="J168" i="54"/>
  <c r="K168" i="54" s="1"/>
  <c r="J164" i="54"/>
  <c r="K164" i="54" s="1"/>
  <c r="J160" i="54"/>
  <c r="K160" i="54" s="1"/>
  <c r="J156" i="54"/>
  <c r="K156" i="54" s="1"/>
  <c r="J152" i="54"/>
  <c r="K152" i="54" s="1"/>
  <c r="J148" i="54"/>
  <c r="K148" i="54" s="1"/>
  <c r="J144" i="54"/>
  <c r="K144" i="54" s="1"/>
  <c r="J140" i="54"/>
  <c r="K140" i="54" s="1"/>
  <c r="J136" i="54"/>
  <c r="K136" i="54" s="1"/>
  <c r="J132" i="54"/>
  <c r="K132" i="54" s="1"/>
  <c r="J128" i="54"/>
  <c r="K128" i="54" s="1"/>
  <c r="J124" i="54"/>
  <c r="K124" i="54" s="1"/>
  <c r="J120" i="54"/>
  <c r="K120" i="54" s="1"/>
  <c r="J116" i="54"/>
  <c r="K116" i="54" s="1"/>
  <c r="J112" i="54"/>
  <c r="K112" i="54" s="1"/>
  <c r="J108" i="54"/>
  <c r="K108" i="54" s="1"/>
  <c r="J104" i="54"/>
  <c r="K104" i="54" s="1"/>
  <c r="J186" i="54"/>
  <c r="K186" i="54" s="1"/>
  <c r="J118" i="54"/>
  <c r="K118" i="54" s="1"/>
  <c r="J137" i="54"/>
  <c r="K137" i="54" s="1"/>
  <c r="J133" i="54"/>
  <c r="K133" i="54" s="1"/>
  <c r="J129" i="54"/>
  <c r="K129" i="54" s="1"/>
  <c r="J125" i="54"/>
  <c r="K125" i="54" s="1"/>
  <c r="J121" i="54"/>
  <c r="K121" i="54" s="1"/>
  <c r="J117" i="54"/>
  <c r="K117" i="54" s="1"/>
  <c r="J113" i="54"/>
  <c r="K113" i="54" s="1"/>
  <c r="J109" i="54"/>
  <c r="K109" i="54" s="1"/>
  <c r="J105" i="54"/>
  <c r="K105" i="54" s="1"/>
  <c r="J154" i="54"/>
  <c r="K154" i="54" s="1"/>
  <c r="J146" i="54"/>
  <c r="K146" i="54" s="1"/>
  <c r="J138" i="54"/>
  <c r="K138" i="54" s="1"/>
  <c r="J130" i="54"/>
  <c r="K130" i="54" s="1"/>
  <c r="J122" i="54"/>
  <c r="K122" i="54" s="1"/>
  <c r="J114" i="54"/>
  <c r="K114" i="54" s="1"/>
  <c r="J106" i="54"/>
  <c r="K106" i="54" s="1"/>
  <c r="Z132" i="54" l="1"/>
  <c r="Z180" i="54"/>
  <c r="Z244" i="54"/>
  <c r="AA244" i="54" s="1"/>
  <c r="Z292" i="54"/>
  <c r="AA292" i="54" s="1"/>
  <c r="Z169" i="54"/>
  <c r="Z217" i="54"/>
  <c r="Z281" i="54"/>
  <c r="AA281" i="54" s="1"/>
  <c r="Z270" i="54"/>
  <c r="AA270" i="54" s="1"/>
  <c r="Z341" i="54"/>
  <c r="Z389" i="54"/>
  <c r="Z485" i="54"/>
  <c r="AA485" i="54" s="1"/>
  <c r="Z412" i="54"/>
  <c r="AA412" i="54" s="1"/>
  <c r="Z46" i="54"/>
  <c r="Z86" i="54"/>
  <c r="AA86" i="54" s="1"/>
  <c r="Z94" i="54"/>
  <c r="AA94" i="54" s="1"/>
  <c r="Z162" i="54"/>
  <c r="AA162" i="54" s="1"/>
  <c r="Z198" i="54"/>
  <c r="Z116" i="54"/>
  <c r="Z164" i="54"/>
  <c r="AA164" i="54" s="1"/>
  <c r="Z212" i="54"/>
  <c r="AA212" i="54" s="1"/>
  <c r="Z260" i="54"/>
  <c r="Z308" i="54"/>
  <c r="Z201" i="54"/>
  <c r="AA201" i="54" s="1"/>
  <c r="Z233" i="54"/>
  <c r="AA233" i="54" s="1"/>
  <c r="Z265" i="54"/>
  <c r="Z325" i="54"/>
  <c r="Z373" i="54"/>
  <c r="AA373" i="54" s="1"/>
  <c r="Z469" i="54"/>
  <c r="AA469" i="54" s="1"/>
  <c r="Z380" i="54"/>
  <c r="Z428" i="54"/>
  <c r="Z405" i="54"/>
  <c r="Z482" i="54"/>
  <c r="AA482" i="54" s="1"/>
  <c r="Z62" i="54"/>
  <c r="Z90" i="54"/>
  <c r="AA90" i="54" s="1"/>
  <c r="Z148" i="54"/>
  <c r="AA148" i="54" s="1"/>
  <c r="Z196" i="54"/>
  <c r="AA196" i="54" s="1"/>
  <c r="Z228" i="54"/>
  <c r="Z276" i="54"/>
  <c r="Z153" i="54"/>
  <c r="AA153" i="54" s="1"/>
  <c r="Z185" i="54"/>
  <c r="AA185" i="54" s="1"/>
  <c r="Z249" i="54"/>
  <c r="Z297" i="54"/>
  <c r="Z238" i="54"/>
  <c r="AA238" i="54" s="1"/>
  <c r="Z357" i="54"/>
  <c r="AA357" i="54" s="1"/>
  <c r="Z453" i="54"/>
  <c r="Z501" i="54"/>
  <c r="Z396" i="54"/>
  <c r="AA396" i="54" s="1"/>
  <c r="Z401" i="54"/>
  <c r="AA401" i="54" s="1"/>
  <c r="Z30" i="54"/>
  <c r="Z138" i="54"/>
  <c r="AA138" i="54" s="1"/>
  <c r="Z144" i="54"/>
  <c r="AA144" i="54" s="1"/>
  <c r="Z160" i="54"/>
  <c r="AA160" i="54" s="1"/>
  <c r="Z176" i="54"/>
  <c r="AA176" i="54" s="1"/>
  <c r="Z192" i="54"/>
  <c r="Z208" i="54"/>
  <c r="AA208" i="54" s="1"/>
  <c r="Z224" i="54"/>
  <c r="AA224" i="54" s="1"/>
  <c r="Z240" i="54"/>
  <c r="AA240" i="54" s="1"/>
  <c r="Z256" i="54"/>
  <c r="AA256" i="54" s="1"/>
  <c r="Z272" i="54"/>
  <c r="Z288" i="54"/>
  <c r="AA288" i="54" s="1"/>
  <c r="Z304" i="54"/>
  <c r="AA304" i="54" s="1"/>
  <c r="Z223" i="54"/>
  <c r="AA223" i="54" s="1"/>
  <c r="Z283" i="54"/>
  <c r="Z149" i="54"/>
  <c r="AA149" i="54" s="1"/>
  <c r="Z165" i="54"/>
  <c r="AA165" i="54" s="1"/>
  <c r="Z181" i="54"/>
  <c r="AA181" i="54" s="1"/>
  <c r="Z197" i="54"/>
  <c r="Z213" i="54"/>
  <c r="AA213" i="54" s="1"/>
  <c r="Z229" i="54"/>
  <c r="AA229" i="54" s="1"/>
  <c r="Z245" i="54"/>
  <c r="AA245" i="54" s="1"/>
  <c r="Z261" i="54"/>
  <c r="AA261" i="54" s="1"/>
  <c r="Z277" i="54"/>
  <c r="AA277" i="54" s="1"/>
  <c r="Z293" i="54"/>
  <c r="AA293" i="54" s="1"/>
  <c r="Z309" i="54"/>
  <c r="AA309" i="54" s="1"/>
  <c r="Z275" i="54"/>
  <c r="Z218" i="54"/>
  <c r="AA218" i="54" s="1"/>
  <c r="Z234" i="54"/>
  <c r="AA234" i="54" s="1"/>
  <c r="Z250" i="54"/>
  <c r="AA250" i="54" s="1"/>
  <c r="Z266" i="54"/>
  <c r="Z282" i="54"/>
  <c r="AA282" i="54" s="1"/>
  <c r="Z211" i="54"/>
  <c r="AA211" i="54" s="1"/>
  <c r="Z321" i="54"/>
  <c r="Z337" i="54"/>
  <c r="Z353" i="54"/>
  <c r="AA353" i="54" s="1"/>
  <c r="Z369" i="54"/>
  <c r="AA369" i="54" s="1"/>
  <c r="Z106" i="54"/>
  <c r="AA106" i="54" s="1"/>
  <c r="Z109" i="54"/>
  <c r="Z125" i="54"/>
  <c r="AA125" i="54" s="1"/>
  <c r="Z118" i="54"/>
  <c r="AA118" i="54" s="1"/>
  <c r="Z112" i="54"/>
  <c r="Z128" i="54"/>
  <c r="AA128" i="54" s="1"/>
  <c r="Z61" i="54"/>
  <c r="AA61" i="54" s="1"/>
  <c r="Z93" i="54"/>
  <c r="AA93" i="54" s="1"/>
  <c r="Z41" i="54"/>
  <c r="AA41" i="54" s="1"/>
  <c r="Z89" i="54"/>
  <c r="Z77" i="54"/>
  <c r="AA77" i="54" s="1"/>
  <c r="Z386" i="54"/>
  <c r="AA386" i="54" s="1"/>
  <c r="Z450" i="54"/>
  <c r="AA450" i="54" s="1"/>
  <c r="Z134" i="54"/>
  <c r="AA134" i="54" s="1"/>
  <c r="Z178" i="54"/>
  <c r="AA178" i="54" s="1"/>
  <c r="Z444" i="54"/>
  <c r="AA444" i="54" s="1"/>
  <c r="Z319" i="54"/>
  <c r="AA319" i="54" s="1"/>
  <c r="Z335" i="54"/>
  <c r="Z351" i="54"/>
  <c r="AA351" i="54" s="1"/>
  <c r="Z367" i="54"/>
  <c r="Z183" i="54"/>
  <c r="AA183" i="54" s="1"/>
  <c r="Z295" i="54"/>
  <c r="AA295" i="54" s="1"/>
  <c r="Z384" i="54"/>
  <c r="AA384" i="54" s="1"/>
  <c r="Z400" i="54"/>
  <c r="AA400" i="54" s="1"/>
  <c r="Z416" i="54"/>
  <c r="AA416" i="54" s="1"/>
  <c r="Z432" i="54"/>
  <c r="AA432" i="54" s="1"/>
  <c r="Z448" i="54"/>
  <c r="AA448" i="54" s="1"/>
  <c r="Z398" i="54"/>
  <c r="AA398" i="54" s="1"/>
  <c r="Z102" i="54"/>
  <c r="AA102" i="54" s="1"/>
  <c r="Z298" i="54"/>
  <c r="AA298" i="54" s="1"/>
  <c r="Z111" i="54"/>
  <c r="AA111" i="54" s="1"/>
  <c r="Z175" i="54"/>
  <c r="AA175" i="54" s="1"/>
  <c r="Z255" i="54"/>
  <c r="AA255" i="54" s="1"/>
  <c r="Z103" i="54"/>
  <c r="AA103" i="54" s="1"/>
  <c r="Z123" i="54"/>
  <c r="AA123" i="54" s="1"/>
  <c r="Z139" i="54"/>
  <c r="AA139" i="54" s="1"/>
  <c r="Z167" i="54"/>
  <c r="AA167" i="54" s="1"/>
  <c r="Z215" i="54"/>
  <c r="AA215" i="54" s="1"/>
  <c r="Z279" i="54"/>
  <c r="AA279" i="54" s="1"/>
  <c r="Z322" i="54"/>
  <c r="AA322" i="54" s="1"/>
  <c r="Z338" i="54"/>
  <c r="AA338" i="54" s="1"/>
  <c r="Z354" i="54"/>
  <c r="AA354" i="54" s="1"/>
  <c r="Z370" i="54"/>
  <c r="AA370" i="54" s="1"/>
  <c r="Z340" i="54"/>
  <c r="AA340" i="54" s="1"/>
  <c r="Z328" i="54"/>
  <c r="AA328" i="54" s="1"/>
  <c r="Z382" i="54"/>
  <c r="AA382" i="54" s="1"/>
  <c r="Z446" i="54"/>
  <c r="AA446" i="54" s="1"/>
  <c r="Z406" i="54"/>
  <c r="AA406" i="54" s="1"/>
  <c r="Z438" i="54"/>
  <c r="AA438" i="54" s="1"/>
  <c r="Z462" i="54"/>
  <c r="AA462" i="54" s="1"/>
  <c r="Z478" i="54"/>
  <c r="AA478" i="54" s="1"/>
  <c r="Z407" i="54"/>
  <c r="AA407" i="54" s="1"/>
  <c r="Z468" i="54"/>
  <c r="AA468" i="54" s="1"/>
  <c r="Z487" i="54"/>
  <c r="AA487" i="54" s="1"/>
  <c r="Z455" i="54"/>
  <c r="AA455" i="54" s="1"/>
  <c r="Z27" i="54"/>
  <c r="AA27" i="54" s="1"/>
  <c r="Z43" i="54"/>
  <c r="AA43" i="54" s="1"/>
  <c r="Z59" i="54"/>
  <c r="AA59" i="54" s="1"/>
  <c r="Z75" i="54"/>
  <c r="AA75" i="54" s="1"/>
  <c r="Z91" i="54"/>
  <c r="AA91" i="54" s="1"/>
  <c r="Z25" i="54"/>
  <c r="AA25" i="54" s="1"/>
  <c r="Z28" i="54"/>
  <c r="AA28" i="54" s="1"/>
  <c r="Z44" i="54"/>
  <c r="AA44" i="54" s="1"/>
  <c r="Z60" i="54"/>
  <c r="AA60" i="54" s="1"/>
  <c r="Z76" i="54"/>
  <c r="AA76" i="54" s="1"/>
  <c r="Z92" i="54"/>
  <c r="AA92" i="54" s="1"/>
  <c r="Z50" i="54"/>
  <c r="AA50" i="54" s="1"/>
  <c r="Z74" i="54"/>
  <c r="AA74" i="54" s="1"/>
  <c r="Z336" i="54"/>
  <c r="AA336" i="54" s="1"/>
  <c r="Z368" i="54"/>
  <c r="AA368" i="54" s="1"/>
  <c r="Z480" i="54"/>
  <c r="AA480" i="54" s="1"/>
  <c r="Z504" i="54"/>
  <c r="AA504" i="54" s="1"/>
  <c r="Z393" i="54"/>
  <c r="AA393" i="54" s="1"/>
  <c r="Z425" i="54"/>
  <c r="AA425" i="54" s="1"/>
  <c r="Z475" i="54"/>
  <c r="AA475" i="54" s="1"/>
  <c r="Z507" i="54"/>
  <c r="AA507" i="54" s="1"/>
  <c r="Z399" i="54"/>
  <c r="AA399" i="54" s="1"/>
  <c r="Z431" i="54"/>
  <c r="AA431" i="54" s="1"/>
  <c r="Z451" i="54"/>
  <c r="AA451" i="54" s="1"/>
  <c r="Z495" i="54"/>
  <c r="AA495" i="54" s="1"/>
  <c r="Z242" i="54"/>
  <c r="AA242" i="54" s="1"/>
  <c r="Z231" i="54"/>
  <c r="AA231" i="54" s="1"/>
  <c r="Z151" i="54"/>
  <c r="AA151" i="54" s="1"/>
  <c r="Z421" i="54"/>
  <c r="AA421" i="54" s="1"/>
  <c r="Z66" i="54"/>
  <c r="AA66" i="54" s="1"/>
  <c r="Z36" i="54"/>
  <c r="AA36" i="54" s="1"/>
  <c r="Z52" i="54"/>
  <c r="AA52" i="54" s="1"/>
  <c r="Z68" i="54"/>
  <c r="AA68" i="54" s="1"/>
  <c r="Z84" i="54"/>
  <c r="AA84" i="54" s="1"/>
  <c r="Z464" i="54"/>
  <c r="AA464" i="54" s="1"/>
  <c r="Z418" i="54"/>
  <c r="AA418" i="54" s="1"/>
  <c r="Z150" i="54"/>
  <c r="AA150" i="54" s="1"/>
  <c r="Z206" i="54"/>
  <c r="AA206" i="54" s="1"/>
  <c r="Z274" i="54"/>
  <c r="AA274" i="54" s="1"/>
  <c r="Z306" i="54"/>
  <c r="AA306" i="54" s="1"/>
  <c r="Z314" i="54"/>
  <c r="AA314" i="54" s="1"/>
  <c r="Z73" i="54"/>
  <c r="AA73" i="54" s="1"/>
  <c r="Z20" i="54"/>
  <c r="AA20" i="54" s="1"/>
  <c r="Z100" i="54"/>
  <c r="AA100" i="54" s="1"/>
  <c r="Z105" i="54"/>
  <c r="AA105" i="54" s="1"/>
  <c r="Z121" i="54"/>
  <c r="AA121" i="54" s="1"/>
  <c r="Z137" i="54"/>
  <c r="AA137" i="54" s="1"/>
  <c r="Z263" i="54"/>
  <c r="AA263" i="54" s="1"/>
  <c r="Z310" i="54"/>
  <c r="AA310" i="54" s="1"/>
  <c r="Z199" i="54"/>
  <c r="AA199" i="54" s="1"/>
  <c r="Z247" i="54"/>
  <c r="AA247" i="54" s="1"/>
  <c r="Z119" i="54"/>
  <c r="AA119" i="54" s="1"/>
  <c r="Z135" i="54"/>
  <c r="AA135" i="54" s="1"/>
  <c r="Z350" i="54"/>
  <c r="AA350" i="54" s="1"/>
  <c r="Z437" i="54"/>
  <c r="AA437" i="54" s="1"/>
  <c r="Z490" i="54"/>
  <c r="AA490" i="54" s="1"/>
  <c r="Z18" i="54"/>
  <c r="AA18" i="54" s="1"/>
  <c r="Z38" i="54"/>
  <c r="AA38" i="54" s="1"/>
  <c r="Z57" i="54"/>
  <c r="AA57" i="54" s="1"/>
  <c r="Z496" i="54"/>
  <c r="AA496" i="54" s="1"/>
  <c r="Z430" i="54"/>
  <c r="AA430" i="54" s="1"/>
  <c r="Z174" i="54"/>
  <c r="AA174" i="54" s="1"/>
  <c r="Z210" i="54"/>
  <c r="AA210" i="54" s="1"/>
  <c r="Z323" i="54"/>
  <c r="AA323" i="54" s="1"/>
  <c r="Z339" i="54"/>
  <c r="AA339" i="54" s="1"/>
  <c r="Z355" i="54"/>
  <c r="AA355" i="54" s="1"/>
  <c r="Z371" i="54"/>
  <c r="AA371" i="54" s="1"/>
  <c r="Z403" i="54"/>
  <c r="AA403" i="54" s="1"/>
  <c r="Z483" i="54"/>
  <c r="AA483" i="54" s="1"/>
  <c r="Z186" i="54"/>
  <c r="AA186" i="54" s="1"/>
  <c r="Z187" i="54"/>
  <c r="AA187" i="54" s="1"/>
  <c r="Z107" i="54"/>
  <c r="AA107" i="54" s="1"/>
  <c r="Z356" i="54"/>
  <c r="AA356" i="54" s="1"/>
  <c r="Z489" i="54"/>
  <c r="AA489" i="54" s="1"/>
  <c r="Z411" i="54"/>
  <c r="AA411" i="54" s="1"/>
  <c r="Z500" i="54"/>
  <c r="AA500" i="54" s="1"/>
  <c r="Z476" i="54"/>
  <c r="AA476" i="54" s="1"/>
  <c r="Z31" i="54"/>
  <c r="AA31" i="54" s="1"/>
  <c r="Z47" i="54"/>
  <c r="AA47" i="54" s="1"/>
  <c r="Z63" i="54"/>
  <c r="AA63" i="54" s="1"/>
  <c r="Z79" i="54"/>
  <c r="AA79" i="54" s="1"/>
  <c r="Z95" i="54"/>
  <c r="AA95" i="54" s="1"/>
  <c r="Z37" i="54"/>
  <c r="AA37" i="54" s="1"/>
  <c r="Z65" i="54"/>
  <c r="AA65" i="54" s="1"/>
  <c r="Z97" i="54"/>
  <c r="AA97" i="54" s="1"/>
  <c r="Z58" i="54"/>
  <c r="AA58" i="54" s="1"/>
  <c r="Z98" i="54"/>
  <c r="AA98" i="54" s="1"/>
  <c r="Z32" i="54"/>
  <c r="AA32" i="54" s="1"/>
  <c r="Z48" i="54"/>
  <c r="AA48" i="54" s="1"/>
  <c r="Z64" i="54"/>
  <c r="AA64" i="54" s="1"/>
  <c r="Z80" i="54"/>
  <c r="AA80" i="54" s="1"/>
  <c r="Z96" i="54"/>
  <c r="AA96" i="54" s="1"/>
  <c r="Z49" i="54"/>
  <c r="AA49" i="54" s="1"/>
  <c r="Z101" i="54"/>
  <c r="AA101" i="54" s="1"/>
  <c r="Z21" i="54"/>
  <c r="AA21" i="54" s="1"/>
  <c r="Z463" i="54"/>
  <c r="AA463" i="54" s="1"/>
  <c r="Z503" i="54"/>
  <c r="AA503" i="54" s="1"/>
  <c r="Z348" i="54"/>
  <c r="AA348" i="54" s="1"/>
  <c r="Z456" i="54"/>
  <c r="AA456" i="54" s="1"/>
  <c r="Z488" i="54"/>
  <c r="AA488" i="54" s="1"/>
  <c r="Z508" i="54"/>
  <c r="AA508" i="54" s="1"/>
  <c r="Z397" i="54"/>
  <c r="AA397" i="54" s="1"/>
  <c r="Z429" i="54"/>
  <c r="AA429" i="54" s="1"/>
  <c r="Z142" i="54"/>
  <c r="AA142" i="54" s="1"/>
  <c r="Z166" i="54"/>
  <c r="AA166" i="54" s="1"/>
  <c r="Z182" i="54"/>
  <c r="AA182" i="54" s="1"/>
  <c r="Z202" i="54"/>
  <c r="AA202" i="54" s="1"/>
  <c r="Z146" i="54"/>
  <c r="AA146" i="54" s="1"/>
  <c r="Z129" i="54"/>
  <c r="AA129" i="54" s="1"/>
  <c r="Z299" i="54"/>
  <c r="AA299" i="54" s="1"/>
  <c r="Z291" i="54"/>
  <c r="AA291" i="54" s="1"/>
  <c r="Z286" i="54"/>
  <c r="AA286" i="54" s="1"/>
  <c r="Z143" i="54"/>
  <c r="AA143" i="54" s="1"/>
  <c r="Z271" i="54"/>
  <c r="AA271" i="54" s="1"/>
  <c r="Z147" i="54"/>
  <c r="AA147" i="54" s="1"/>
  <c r="Z227" i="54"/>
  <c r="AA227" i="54" s="1"/>
  <c r="Z326" i="54"/>
  <c r="AA326" i="54" s="1"/>
  <c r="Z358" i="54"/>
  <c r="AA358" i="54" s="1"/>
  <c r="Z473" i="54"/>
  <c r="AA473" i="54" s="1"/>
  <c r="Z505" i="54"/>
  <c r="AA505" i="54" s="1"/>
  <c r="Z378" i="54"/>
  <c r="AA378" i="54" s="1"/>
  <c r="Z442" i="54"/>
  <c r="AA442" i="54" s="1"/>
  <c r="Z498" i="54"/>
  <c r="AA498" i="54" s="1"/>
  <c r="Z402" i="54"/>
  <c r="AA402" i="54" s="1"/>
  <c r="Z122" i="54"/>
  <c r="AA122" i="54" s="1"/>
  <c r="Z154" i="54"/>
  <c r="AA154" i="54" s="1"/>
  <c r="Z117" i="54"/>
  <c r="AA117" i="54" s="1"/>
  <c r="Z133" i="54"/>
  <c r="AA133" i="54" s="1"/>
  <c r="Z104" i="54"/>
  <c r="AA104" i="54" s="1"/>
  <c r="Z120" i="54"/>
  <c r="AA120" i="54" s="1"/>
  <c r="Z136" i="54"/>
  <c r="AA136" i="54" s="1"/>
  <c r="Z152" i="54"/>
  <c r="AA152" i="54" s="1"/>
  <c r="Z168" i="54"/>
  <c r="AA168" i="54" s="1"/>
  <c r="Z184" i="54"/>
  <c r="AA184" i="54" s="1"/>
  <c r="Z200" i="54"/>
  <c r="AA200" i="54" s="1"/>
  <c r="Z216" i="54"/>
  <c r="AA216" i="54" s="1"/>
  <c r="Z232" i="54"/>
  <c r="AA232" i="54" s="1"/>
  <c r="Z248" i="54"/>
  <c r="AA248" i="54" s="1"/>
  <c r="Z264" i="54"/>
  <c r="AA264" i="54" s="1"/>
  <c r="Z280" i="54"/>
  <c r="AA280" i="54" s="1"/>
  <c r="Z296" i="54"/>
  <c r="AA296" i="54" s="1"/>
  <c r="Z171" i="54"/>
  <c r="AA171" i="54" s="1"/>
  <c r="Z251" i="54"/>
  <c r="AA251" i="54" s="1"/>
  <c r="Z141" i="54"/>
  <c r="AA141" i="54" s="1"/>
  <c r="Z157" i="54"/>
  <c r="AA157" i="54" s="1"/>
  <c r="Z173" i="54"/>
  <c r="AA173" i="54" s="1"/>
  <c r="Z189" i="54"/>
  <c r="AA189" i="54" s="1"/>
  <c r="Z205" i="54"/>
  <c r="AA205" i="54" s="1"/>
  <c r="Z221" i="54"/>
  <c r="AA221" i="54" s="1"/>
  <c r="Z237" i="54"/>
  <c r="AA237" i="54" s="1"/>
  <c r="Z253" i="54"/>
  <c r="AA253" i="54" s="1"/>
  <c r="Z269" i="54"/>
  <c r="AA269" i="54" s="1"/>
  <c r="Z285" i="54"/>
  <c r="AA285" i="54" s="1"/>
  <c r="Z301" i="54"/>
  <c r="AA301" i="54" s="1"/>
  <c r="Z239" i="54"/>
  <c r="AA239" i="54" s="1"/>
  <c r="Z307" i="54"/>
  <c r="AA307" i="54" s="1"/>
  <c r="Z226" i="54"/>
  <c r="AA226" i="54" s="1"/>
  <c r="Z258" i="54"/>
  <c r="AA258" i="54" s="1"/>
  <c r="Z290" i="54"/>
  <c r="AA290" i="54" s="1"/>
  <c r="Z155" i="54"/>
  <c r="AA155" i="54" s="1"/>
  <c r="Z195" i="54"/>
  <c r="AA195" i="54" s="1"/>
  <c r="Z287" i="54"/>
  <c r="AA287" i="54" s="1"/>
  <c r="Z115" i="54"/>
  <c r="AA115" i="54" s="1"/>
  <c r="Z131" i="54"/>
  <c r="AA131" i="54" s="1"/>
  <c r="Z191" i="54"/>
  <c r="AA191" i="54" s="1"/>
  <c r="Z243" i="54"/>
  <c r="AA243" i="54" s="1"/>
  <c r="Z313" i="54"/>
  <c r="AA313" i="54" s="1"/>
  <c r="Z329" i="54"/>
  <c r="AA329" i="54" s="1"/>
  <c r="Z345" i="54"/>
  <c r="AA345" i="54" s="1"/>
  <c r="Z361" i="54"/>
  <c r="AA361" i="54" s="1"/>
  <c r="Z330" i="54"/>
  <c r="AA330" i="54" s="1"/>
  <c r="Z346" i="54"/>
  <c r="AA346" i="54" s="1"/>
  <c r="Z362" i="54"/>
  <c r="AA362" i="54" s="1"/>
  <c r="Z311" i="54"/>
  <c r="AA311" i="54" s="1"/>
  <c r="Z327" i="54"/>
  <c r="AA327" i="54" s="1"/>
  <c r="Z343" i="54"/>
  <c r="AA343" i="54" s="1"/>
  <c r="Z359" i="54"/>
  <c r="AA359" i="54" s="1"/>
  <c r="Z375" i="54"/>
  <c r="AA375" i="54" s="1"/>
  <c r="Z372" i="54"/>
  <c r="AA372" i="54" s="1"/>
  <c r="Z360" i="54"/>
  <c r="AA360" i="54" s="1"/>
  <c r="Z461" i="54"/>
  <c r="AA461" i="54" s="1"/>
  <c r="Z477" i="54"/>
  <c r="AA477" i="54" s="1"/>
  <c r="Z493" i="54"/>
  <c r="AA493" i="54" s="1"/>
  <c r="Z509" i="54"/>
  <c r="AA509" i="54" s="1"/>
  <c r="Z388" i="54"/>
  <c r="AA388" i="54" s="1"/>
  <c r="Z404" i="54"/>
  <c r="AA404" i="54" s="1"/>
  <c r="Z420" i="54"/>
  <c r="AA420" i="54" s="1"/>
  <c r="Z436" i="54"/>
  <c r="AA436" i="54" s="1"/>
  <c r="Z452" i="54"/>
  <c r="AA452" i="54" s="1"/>
  <c r="Z433" i="54"/>
  <c r="AA433" i="54" s="1"/>
  <c r="Z414" i="54"/>
  <c r="AA414" i="54" s="1"/>
  <c r="Z390" i="54"/>
  <c r="AA390" i="54" s="1"/>
  <c r="Z422" i="54"/>
  <c r="AA422" i="54" s="1"/>
  <c r="Z454" i="54"/>
  <c r="AA454" i="54" s="1"/>
  <c r="Z470" i="54"/>
  <c r="AA470" i="54" s="1"/>
  <c r="Z486" i="54"/>
  <c r="AA486" i="54" s="1"/>
  <c r="Z502" i="54"/>
  <c r="AA502" i="54" s="1"/>
  <c r="Z459" i="54"/>
  <c r="AA459" i="54" s="1"/>
  <c r="Z491" i="54"/>
  <c r="AA491" i="54" s="1"/>
  <c r="Z383" i="54"/>
  <c r="AA383" i="54" s="1"/>
  <c r="Z415" i="54"/>
  <c r="AA415" i="54" s="1"/>
  <c r="Z447" i="54"/>
  <c r="AA447" i="54" s="1"/>
  <c r="Z423" i="54"/>
  <c r="AA423" i="54" s="1"/>
  <c r="Z484" i="54"/>
  <c r="AA484" i="54" s="1"/>
  <c r="Z19" i="54"/>
  <c r="AA19" i="54" s="1"/>
  <c r="Z35" i="54"/>
  <c r="AA35" i="54" s="1"/>
  <c r="Z51" i="54"/>
  <c r="AA51" i="54" s="1"/>
  <c r="Z67" i="54"/>
  <c r="AA67" i="54" s="1"/>
  <c r="Z83" i="54"/>
  <c r="AA83" i="54" s="1"/>
  <c r="Z99" i="54"/>
  <c r="AA99" i="54" s="1"/>
  <c r="Z45" i="54"/>
  <c r="AA45" i="54" s="1"/>
  <c r="Z22" i="54"/>
  <c r="AA22" i="54" s="1"/>
  <c r="Z69" i="54"/>
  <c r="AA69" i="54" s="1"/>
  <c r="Z26" i="54"/>
  <c r="AA26" i="54" s="1"/>
  <c r="Z70" i="54"/>
  <c r="AA70" i="54" s="1"/>
  <c r="Z33" i="54"/>
  <c r="AA33" i="54" s="1"/>
  <c r="Z42" i="54"/>
  <c r="AA42" i="54" s="1"/>
  <c r="Z387" i="54"/>
  <c r="AA387" i="54" s="1"/>
  <c r="Z471" i="54"/>
  <c r="AA471" i="54" s="1"/>
  <c r="Z316" i="54"/>
  <c r="AA316" i="54" s="1"/>
  <c r="Z352" i="54"/>
  <c r="AA352" i="54" s="1"/>
  <c r="Z492" i="54"/>
  <c r="AA492" i="54" s="1"/>
  <c r="Z377" i="54"/>
  <c r="AA377" i="54" s="1"/>
  <c r="Z409" i="54"/>
  <c r="AA409" i="54" s="1"/>
  <c r="Z441" i="54"/>
  <c r="AA441" i="54" s="1"/>
  <c r="Z110" i="54"/>
  <c r="AA110" i="54" s="1"/>
  <c r="Z170" i="54"/>
  <c r="AA170" i="54" s="1"/>
  <c r="Z190" i="54"/>
  <c r="AA190" i="54" s="1"/>
  <c r="Z114" i="54"/>
  <c r="AA114" i="54" s="1"/>
  <c r="Z113" i="54"/>
  <c r="AA113" i="54" s="1"/>
  <c r="Z235" i="54"/>
  <c r="AA235" i="54" s="1"/>
  <c r="Z222" i="54"/>
  <c r="AA222" i="54" s="1"/>
  <c r="Z254" i="54"/>
  <c r="AA254" i="54" s="1"/>
  <c r="Z302" i="54"/>
  <c r="AA302" i="54" s="1"/>
  <c r="Z219" i="54"/>
  <c r="AA219" i="54" s="1"/>
  <c r="Z127" i="54"/>
  <c r="AA127" i="54" s="1"/>
  <c r="Z179" i="54"/>
  <c r="AA179" i="54" s="1"/>
  <c r="Z342" i="54"/>
  <c r="AA342" i="54" s="1"/>
  <c r="Z374" i="54"/>
  <c r="AA374" i="54" s="1"/>
  <c r="Z344" i="54"/>
  <c r="AA344" i="54" s="1"/>
  <c r="Z457" i="54"/>
  <c r="AA457" i="54" s="1"/>
  <c r="Z417" i="54"/>
  <c r="AA417" i="54" s="1"/>
  <c r="Z410" i="54"/>
  <c r="AA410" i="54" s="1"/>
  <c r="Z466" i="54"/>
  <c r="AA466" i="54" s="1"/>
  <c r="Z439" i="54"/>
  <c r="AA439" i="54" s="1"/>
  <c r="Z379" i="54"/>
  <c r="AA379" i="54" s="1"/>
  <c r="Z443" i="54"/>
  <c r="AA443" i="54" s="1"/>
  <c r="Z130" i="54"/>
  <c r="AA130" i="54" s="1"/>
  <c r="Z108" i="54"/>
  <c r="AA108" i="54" s="1"/>
  <c r="Z124" i="54"/>
  <c r="AA124" i="54" s="1"/>
  <c r="Z140" i="54"/>
  <c r="AA140" i="54" s="1"/>
  <c r="Z156" i="54"/>
  <c r="AA156" i="54" s="1"/>
  <c r="Z172" i="54"/>
  <c r="AA172" i="54" s="1"/>
  <c r="Z188" i="54"/>
  <c r="AA188" i="54" s="1"/>
  <c r="Z204" i="54"/>
  <c r="AA204" i="54" s="1"/>
  <c r="Z220" i="54"/>
  <c r="AA220" i="54" s="1"/>
  <c r="Z236" i="54"/>
  <c r="AA236" i="54" s="1"/>
  <c r="Z252" i="54"/>
  <c r="AA252" i="54" s="1"/>
  <c r="Z268" i="54"/>
  <c r="AA268" i="54" s="1"/>
  <c r="Z284" i="54"/>
  <c r="AA284" i="54" s="1"/>
  <c r="Z300" i="54"/>
  <c r="AA300" i="54" s="1"/>
  <c r="Z207" i="54"/>
  <c r="AA207" i="54" s="1"/>
  <c r="Z267" i="54"/>
  <c r="AA267" i="54" s="1"/>
  <c r="Z145" i="54"/>
  <c r="AA145" i="54" s="1"/>
  <c r="Z161" i="54"/>
  <c r="AA161" i="54" s="1"/>
  <c r="Z177" i="54"/>
  <c r="AA177" i="54" s="1"/>
  <c r="Z193" i="54"/>
  <c r="AA193" i="54" s="1"/>
  <c r="Z209" i="54"/>
  <c r="AA209" i="54" s="1"/>
  <c r="Z225" i="54"/>
  <c r="AA225" i="54" s="1"/>
  <c r="Z241" i="54"/>
  <c r="AA241" i="54" s="1"/>
  <c r="Z257" i="54"/>
  <c r="AA257" i="54" s="1"/>
  <c r="Z273" i="54"/>
  <c r="AA273" i="54" s="1"/>
  <c r="Z289" i="54"/>
  <c r="AA289" i="54" s="1"/>
  <c r="Z305" i="54"/>
  <c r="AA305" i="54" s="1"/>
  <c r="Z214" i="54"/>
  <c r="AA214" i="54" s="1"/>
  <c r="Z230" i="54"/>
  <c r="AA230" i="54" s="1"/>
  <c r="Z246" i="54"/>
  <c r="AA246" i="54" s="1"/>
  <c r="Z262" i="54"/>
  <c r="AA262" i="54" s="1"/>
  <c r="Z278" i="54"/>
  <c r="AA278" i="54" s="1"/>
  <c r="Z294" i="54"/>
  <c r="AA294" i="54" s="1"/>
  <c r="Z163" i="54"/>
  <c r="AA163" i="54" s="1"/>
  <c r="Z303" i="54"/>
  <c r="AA303" i="54" s="1"/>
  <c r="Z159" i="54"/>
  <c r="AA159" i="54" s="1"/>
  <c r="Z203" i="54"/>
  <c r="AA203" i="54" s="1"/>
  <c r="Z259" i="54"/>
  <c r="AA259" i="54" s="1"/>
  <c r="Z317" i="54"/>
  <c r="AA317" i="54" s="1"/>
  <c r="Z333" i="54"/>
  <c r="AA333" i="54" s="1"/>
  <c r="Z349" i="54"/>
  <c r="AA349" i="54" s="1"/>
  <c r="Z365" i="54"/>
  <c r="AA365" i="54" s="1"/>
  <c r="Z318" i="54"/>
  <c r="AA318" i="54" s="1"/>
  <c r="Z334" i="54"/>
  <c r="AA334" i="54" s="1"/>
  <c r="Z366" i="54"/>
  <c r="AA366" i="54" s="1"/>
  <c r="Z315" i="54"/>
  <c r="AA315" i="54" s="1"/>
  <c r="Z331" i="54"/>
  <c r="AA331" i="54" s="1"/>
  <c r="Z347" i="54"/>
  <c r="AA347" i="54" s="1"/>
  <c r="Z363" i="54"/>
  <c r="AA363" i="54" s="1"/>
  <c r="Z324" i="54"/>
  <c r="AA324" i="54" s="1"/>
  <c r="Z312" i="54"/>
  <c r="AA312" i="54" s="1"/>
  <c r="Z332" i="54"/>
  <c r="AA332" i="54" s="1"/>
  <c r="Z465" i="54"/>
  <c r="AA465" i="54" s="1"/>
  <c r="Z481" i="54"/>
  <c r="AA481" i="54" s="1"/>
  <c r="Z497" i="54"/>
  <c r="AA497" i="54" s="1"/>
  <c r="Z376" i="54"/>
  <c r="AA376" i="54" s="1"/>
  <c r="Z392" i="54"/>
  <c r="AA392" i="54" s="1"/>
  <c r="Z408" i="54"/>
  <c r="AA408" i="54" s="1"/>
  <c r="Z424" i="54"/>
  <c r="AA424" i="54" s="1"/>
  <c r="Z440" i="54"/>
  <c r="AA440" i="54" s="1"/>
  <c r="Z385" i="54"/>
  <c r="AA385" i="54" s="1"/>
  <c r="Z449" i="54"/>
  <c r="AA449" i="54" s="1"/>
  <c r="Z435" i="54"/>
  <c r="AA435" i="54" s="1"/>
  <c r="Z394" i="54"/>
  <c r="AA394" i="54" s="1"/>
  <c r="Z426" i="54"/>
  <c r="AA426" i="54" s="1"/>
  <c r="Z458" i="54"/>
  <c r="AA458" i="54" s="1"/>
  <c r="Z474" i="54"/>
  <c r="AA474" i="54" s="1"/>
  <c r="Z506" i="54"/>
  <c r="AA506" i="54" s="1"/>
  <c r="Z467" i="54"/>
  <c r="AA467" i="54" s="1"/>
  <c r="Z499" i="54"/>
  <c r="AA499" i="54" s="1"/>
  <c r="Z395" i="54"/>
  <c r="AA395" i="54" s="1"/>
  <c r="Z427" i="54"/>
  <c r="AA427" i="54" s="1"/>
  <c r="Z434" i="54"/>
  <c r="AA434" i="54" s="1"/>
  <c r="Z460" i="54"/>
  <c r="AA460" i="54" s="1"/>
  <c r="Z391" i="54"/>
  <c r="AA391" i="54" s="1"/>
  <c r="Z23" i="54"/>
  <c r="AA23" i="54" s="1"/>
  <c r="Z39" i="54"/>
  <c r="AA39" i="54" s="1"/>
  <c r="Z55" i="54"/>
  <c r="AA55" i="54" s="1"/>
  <c r="Z71" i="54"/>
  <c r="AA71" i="54" s="1"/>
  <c r="Z87" i="54"/>
  <c r="AA87" i="54" s="1"/>
  <c r="Z53" i="54"/>
  <c r="AA53" i="54" s="1"/>
  <c r="Z85" i="54"/>
  <c r="AA85" i="54" s="1"/>
  <c r="Z34" i="54"/>
  <c r="AA34" i="54" s="1"/>
  <c r="Z78" i="54"/>
  <c r="AA78" i="54" s="1"/>
  <c r="Z24" i="54"/>
  <c r="AA24" i="54" s="1"/>
  <c r="Z40" i="54"/>
  <c r="AA40" i="54" s="1"/>
  <c r="Z56" i="54"/>
  <c r="AA56" i="54" s="1"/>
  <c r="Z72" i="54"/>
  <c r="AA72" i="54" s="1"/>
  <c r="Z88" i="54"/>
  <c r="AA88" i="54" s="1"/>
  <c r="Z29" i="54"/>
  <c r="AA29" i="54" s="1"/>
  <c r="Z81" i="54"/>
  <c r="AA81" i="54" s="1"/>
  <c r="Z82" i="54"/>
  <c r="AA82" i="54" s="1"/>
  <c r="Z54" i="54"/>
  <c r="AA54" i="54" s="1"/>
  <c r="Z419" i="54"/>
  <c r="AA419" i="54" s="1"/>
  <c r="Z479" i="54"/>
  <c r="AA479" i="54" s="1"/>
  <c r="Z320" i="54"/>
  <c r="AA320" i="54" s="1"/>
  <c r="Z364" i="54"/>
  <c r="AA364" i="54" s="1"/>
  <c r="Z472" i="54"/>
  <c r="AA472" i="54" s="1"/>
  <c r="Z381" i="54"/>
  <c r="AA381" i="54" s="1"/>
  <c r="Z413" i="54"/>
  <c r="AA413" i="54" s="1"/>
  <c r="Z445" i="54"/>
  <c r="AA445" i="54" s="1"/>
  <c r="Z126" i="54"/>
  <c r="AA126" i="54" s="1"/>
  <c r="Z158" i="54"/>
  <c r="AA158" i="54" s="1"/>
  <c r="Z194" i="54"/>
  <c r="AA194" i="54" s="1"/>
  <c r="AA89" i="54"/>
  <c r="AA30" i="54"/>
  <c r="AA62" i="54"/>
  <c r="AA46" i="54"/>
  <c r="AA198" i="54"/>
  <c r="AA112" i="54"/>
  <c r="AA116" i="54"/>
  <c r="AA132" i="54"/>
  <c r="AA192" i="54"/>
  <c r="AA180" i="54"/>
  <c r="AA109" i="54"/>
  <c r="AA197" i="54"/>
  <c r="AA217" i="54"/>
  <c r="AA297" i="54"/>
  <c r="AA275" i="54"/>
  <c r="AA325" i="54"/>
  <c r="AA341" i="54"/>
  <c r="AA272" i="54"/>
  <c r="AA283" i="54"/>
  <c r="AA389" i="54"/>
  <c r="AA405" i="54"/>
  <c r="AA453" i="54"/>
  <c r="AA501" i="54"/>
  <c r="AA494" i="54"/>
  <c r="AA228" i="54"/>
  <c r="AA260" i="54"/>
  <c r="AA276" i="54"/>
  <c r="AA308" i="54"/>
  <c r="AA169" i="54"/>
  <c r="AA335" i="54"/>
  <c r="AA367" i="54"/>
  <c r="AA249" i="54"/>
  <c r="AA265" i="54"/>
  <c r="AA321" i="54"/>
  <c r="AA337" i="54"/>
  <c r="AA380" i="54"/>
  <c r="AA428" i="54"/>
  <c r="AA266" i="54"/>
  <c r="H26" i="55"/>
  <c r="AE18" i="54"/>
  <c r="AE19" i="54" l="1"/>
  <c r="H27" i="55"/>
  <c r="F21" i="40" l="1"/>
  <c r="AG18" i="54"/>
  <c r="H28" i="55"/>
  <c r="AG19" i="54" l="1"/>
  <c r="AG21" i="54" s="1"/>
  <c r="F22" i="40"/>
  <c r="F25" i="40" s="1"/>
  <c r="AE21" i="54"/>
  <c r="H29" i="55"/>
  <c r="H30" i="55" s="1"/>
  <c r="H31" i="55" s="1"/>
  <c r="E79" i="20"/>
  <c r="E80" i="20"/>
  <c r="E81" i="20"/>
  <c r="E82" i="20"/>
  <c r="E83" i="20"/>
  <c r="E84" i="20"/>
  <c r="E85" i="20"/>
  <c r="E86" i="20"/>
  <c r="E87" i="20"/>
  <c r="E88" i="20"/>
  <c r="E89" i="20"/>
  <c r="E90" i="20"/>
  <c r="E91" i="20"/>
  <c r="E92" i="20"/>
  <c r="E93" i="20"/>
  <c r="C79" i="20"/>
  <c r="C80" i="20"/>
  <c r="C81" i="20"/>
  <c r="C82" i="20"/>
  <c r="C83" i="20"/>
  <c r="C84" i="20"/>
  <c r="C85" i="20"/>
  <c r="C86" i="20"/>
  <c r="C87" i="20"/>
  <c r="C88" i="20"/>
  <c r="C89" i="20"/>
  <c r="C90" i="20"/>
  <c r="C91" i="20"/>
  <c r="C92" i="20"/>
  <c r="C93" i="20"/>
  <c r="D599" i="34"/>
  <c r="D600" i="34"/>
  <c r="D601" i="34"/>
  <c r="D602" i="34"/>
  <c r="D603" i="34"/>
  <c r="D604" i="34"/>
  <c r="D605" i="34"/>
  <c r="D606" i="34"/>
  <c r="D607" i="34"/>
  <c r="D608" i="34"/>
  <c r="D609" i="34"/>
  <c r="D610" i="34"/>
  <c r="D611" i="34"/>
  <c r="D612" i="34"/>
  <c r="D613" i="34"/>
  <c r="D614" i="34"/>
  <c r="D615" i="34"/>
  <c r="D616" i="34"/>
  <c r="D617" i="34"/>
  <c r="D618" i="34"/>
  <c r="D619" i="34"/>
  <c r="D620" i="34"/>
  <c r="D621" i="34"/>
  <c r="D622" i="34"/>
  <c r="D623" i="34"/>
  <c r="D624" i="34"/>
  <c r="D625" i="34"/>
  <c r="D626" i="34"/>
  <c r="D627" i="34"/>
  <c r="D628" i="34"/>
  <c r="D629" i="34"/>
  <c r="D630" i="34"/>
  <c r="D631" i="34"/>
  <c r="D632" i="34"/>
  <c r="D633" i="34"/>
  <c r="D634" i="34"/>
  <c r="D635" i="34"/>
  <c r="D636" i="34"/>
  <c r="D637" i="34"/>
  <c r="D638" i="34"/>
  <c r="D639" i="34"/>
  <c r="D640" i="34"/>
  <c r="D641" i="34"/>
  <c r="D642" i="34"/>
  <c r="D643" i="34"/>
  <c r="D644" i="34"/>
  <c r="D645" i="34"/>
  <c r="D646" i="34"/>
  <c r="D647" i="34"/>
  <c r="D648" i="34"/>
  <c r="D649" i="34"/>
  <c r="D650" i="34"/>
  <c r="D651" i="34"/>
  <c r="D652" i="34"/>
  <c r="D653" i="34"/>
  <c r="D654" i="34"/>
  <c r="D655" i="34"/>
  <c r="D656" i="34"/>
  <c r="D657" i="34"/>
  <c r="D658" i="34"/>
  <c r="D659" i="34"/>
  <c r="D660" i="34"/>
  <c r="D661" i="34"/>
  <c r="D662" i="34"/>
  <c r="D663" i="34"/>
  <c r="D664" i="34"/>
  <c r="D665" i="34"/>
  <c r="D666" i="34"/>
  <c r="D667" i="34"/>
  <c r="D668" i="34"/>
  <c r="D669" i="34"/>
  <c r="D670" i="34"/>
  <c r="D671" i="34"/>
  <c r="D672" i="34"/>
  <c r="D673" i="34"/>
  <c r="D674" i="34"/>
  <c r="D675" i="34"/>
  <c r="D676" i="34"/>
  <c r="D677" i="34"/>
  <c r="D678" i="34"/>
  <c r="D679" i="34"/>
  <c r="D680" i="34"/>
  <c r="D681" i="34"/>
  <c r="D682" i="34"/>
  <c r="D683" i="34"/>
  <c r="D684" i="34"/>
  <c r="D685" i="34"/>
  <c r="D686" i="34"/>
  <c r="D687" i="34"/>
  <c r="D688" i="34"/>
  <c r="D689" i="34"/>
  <c r="D690" i="34"/>
  <c r="D691" i="34"/>
  <c r="D692" i="34"/>
  <c r="D693" i="34"/>
  <c r="D694" i="34"/>
  <c r="D695" i="34"/>
  <c r="D696" i="34"/>
  <c r="D697" i="34"/>
  <c r="D698" i="34"/>
  <c r="D699" i="34"/>
  <c r="F5" i="22"/>
  <c r="F6" i="22"/>
  <c r="F7" i="22"/>
  <c r="F8" i="22"/>
  <c r="F9" i="22"/>
  <c r="F10" i="22"/>
  <c r="F11" i="22"/>
  <c r="F12" i="22"/>
  <c r="F13" i="22"/>
  <c r="F14" i="22"/>
  <c r="F15" i="22"/>
  <c r="F16" i="22"/>
  <c r="F17" i="22"/>
  <c r="F18" i="22"/>
  <c r="F19" i="22"/>
  <c r="F20" i="22"/>
  <c r="F21" i="22"/>
  <c r="F22" i="22"/>
  <c r="F23" i="22"/>
  <c r="F24" i="22"/>
  <c r="F25" i="22"/>
  <c r="F26" i="22"/>
  <c r="F27" i="22"/>
  <c r="F28" i="22"/>
  <c r="F29" i="22"/>
  <c r="F30" i="22"/>
  <c r="F31" i="22"/>
  <c r="F32" i="22"/>
  <c r="F33" i="22"/>
  <c r="F34" i="22"/>
  <c r="F35" i="22"/>
  <c r="F36" i="22"/>
  <c r="F37" i="22"/>
  <c r="F38" i="22"/>
  <c r="F39" i="22"/>
  <c r="F40" i="22"/>
  <c r="F41" i="22"/>
  <c r="F42" i="22"/>
  <c r="F43" i="22"/>
  <c r="F44" i="22"/>
  <c r="F45" i="22"/>
  <c r="F46" i="22"/>
  <c r="F47" i="22"/>
  <c r="F48" i="22"/>
  <c r="F49" i="22"/>
  <c r="F50" i="22"/>
  <c r="F51" i="22"/>
  <c r="F52" i="22"/>
  <c r="F53" i="22"/>
  <c r="F54" i="22"/>
  <c r="F55" i="22"/>
  <c r="F56" i="22"/>
  <c r="F57" i="22"/>
  <c r="F58" i="22"/>
  <c r="F59" i="22"/>
  <c r="F60" i="22"/>
  <c r="F61" i="22"/>
  <c r="F62" i="22"/>
  <c r="F63" i="22"/>
  <c r="F64" i="22"/>
  <c r="F65" i="22"/>
  <c r="F66" i="22"/>
  <c r="F67" i="22"/>
  <c r="F68" i="22"/>
  <c r="F69" i="22"/>
  <c r="F70" i="22"/>
  <c r="F71" i="22"/>
  <c r="F72" i="22"/>
  <c r="F73" i="22"/>
  <c r="F74" i="22"/>
  <c r="F75" i="22"/>
  <c r="F76" i="22"/>
  <c r="F77" i="22"/>
  <c r="F78" i="22"/>
  <c r="F79" i="22"/>
  <c r="F80" i="22"/>
  <c r="F81" i="22"/>
  <c r="F82" i="22"/>
  <c r="F83" i="22"/>
  <c r="F84" i="22"/>
  <c r="F85" i="22"/>
  <c r="F86" i="22"/>
  <c r="F87" i="22"/>
  <c r="F88" i="22"/>
  <c r="F89" i="22"/>
  <c r="F90" i="22"/>
  <c r="F91" i="22"/>
  <c r="F92" i="22"/>
  <c r="F93" i="22"/>
  <c r="F94" i="22"/>
  <c r="F95" i="22"/>
  <c r="F96" i="22"/>
  <c r="F97" i="22"/>
  <c r="F98" i="22"/>
  <c r="F99" i="22"/>
  <c r="F100" i="22"/>
  <c r="F101" i="22"/>
  <c r="F102" i="22"/>
  <c r="F103" i="22"/>
  <c r="F104" i="22"/>
  <c r="F105" i="22"/>
  <c r="F106" i="22"/>
  <c r="F107" i="22"/>
  <c r="F108" i="22"/>
  <c r="F109" i="22"/>
  <c r="F110" i="22"/>
  <c r="F111" i="22"/>
  <c r="F112" i="22"/>
  <c r="F113" i="22"/>
  <c r="F114" i="22"/>
  <c r="F115" i="22"/>
  <c r="F116" i="22"/>
  <c r="F117" i="22"/>
  <c r="F118" i="22"/>
  <c r="F119" i="22"/>
  <c r="F120" i="22"/>
  <c r="F121" i="22"/>
  <c r="F122" i="22"/>
  <c r="F123" i="22"/>
  <c r="F124" i="22"/>
  <c r="F125" i="22"/>
  <c r="F126" i="22"/>
  <c r="F127" i="22"/>
  <c r="F128" i="22"/>
  <c r="F129" i="22"/>
  <c r="F130" i="22"/>
  <c r="F131" i="22"/>
  <c r="F132" i="22"/>
  <c r="F133" i="22"/>
  <c r="F134" i="22"/>
  <c r="F135" i="22"/>
  <c r="F136" i="22"/>
  <c r="F137" i="22"/>
  <c r="F138" i="22"/>
  <c r="F139" i="22"/>
  <c r="F140" i="22"/>
  <c r="F141" i="22"/>
  <c r="F142" i="22"/>
  <c r="F143" i="22"/>
  <c r="F144" i="22"/>
  <c r="F145" i="22"/>
  <c r="F146" i="22"/>
  <c r="F147" i="22"/>
  <c r="F148" i="22"/>
  <c r="F149" i="22"/>
  <c r="F150" i="22"/>
  <c r="F151" i="22"/>
  <c r="F152" i="22"/>
  <c r="F153" i="22"/>
  <c r="F154" i="22"/>
  <c r="F155" i="22"/>
  <c r="F156" i="22"/>
  <c r="F157" i="22"/>
  <c r="F158" i="22"/>
  <c r="F159" i="22"/>
  <c r="F160" i="22"/>
  <c r="F161" i="22"/>
  <c r="F162" i="22"/>
  <c r="F163" i="22"/>
  <c r="F164" i="22"/>
  <c r="F165" i="22"/>
  <c r="F166" i="22"/>
  <c r="F167" i="22"/>
  <c r="F168" i="22"/>
  <c r="F169" i="22"/>
  <c r="F170" i="22"/>
  <c r="F171" i="22"/>
  <c r="F172" i="22"/>
  <c r="F173" i="22"/>
  <c r="F174" i="22"/>
  <c r="F175" i="22"/>
  <c r="F176" i="22"/>
  <c r="F177" i="22"/>
  <c r="F178" i="22"/>
  <c r="F179" i="22"/>
  <c r="F180" i="22"/>
  <c r="F181" i="22"/>
  <c r="F182" i="22"/>
  <c r="F183" i="22"/>
  <c r="F184" i="22"/>
  <c r="F185" i="22"/>
  <c r="F186" i="22"/>
  <c r="F187" i="22"/>
  <c r="F188" i="22"/>
  <c r="F189" i="22"/>
  <c r="F190" i="22"/>
  <c r="F191" i="22"/>
  <c r="F192" i="22"/>
  <c r="F193" i="22"/>
  <c r="F194" i="22"/>
  <c r="F195" i="22"/>
  <c r="F196" i="22"/>
  <c r="F197" i="22"/>
  <c r="F198" i="22"/>
  <c r="F199" i="22"/>
  <c r="F200" i="22"/>
  <c r="F201" i="22"/>
  <c r="F202" i="22"/>
  <c r="F203" i="22"/>
  <c r="F204" i="22"/>
  <c r="F205" i="22"/>
  <c r="F206" i="22"/>
  <c r="F207" i="22"/>
  <c r="F208" i="22"/>
  <c r="F209" i="22"/>
  <c r="F210" i="22"/>
  <c r="F211" i="22"/>
  <c r="F212" i="22"/>
  <c r="F213" i="22"/>
  <c r="F214" i="22"/>
  <c r="F215" i="22"/>
  <c r="F216" i="22"/>
  <c r="F217" i="22"/>
  <c r="F218" i="22"/>
  <c r="F219" i="22"/>
  <c r="F220" i="22"/>
  <c r="F221" i="22"/>
  <c r="F222" i="22"/>
  <c r="F223" i="22"/>
  <c r="F224" i="22"/>
  <c r="F225" i="22"/>
  <c r="F226" i="22"/>
  <c r="F227" i="22"/>
  <c r="F228" i="22"/>
  <c r="F229" i="22"/>
  <c r="F230" i="22"/>
  <c r="F231" i="22"/>
  <c r="F232" i="22"/>
  <c r="F233" i="22"/>
  <c r="F234" i="22"/>
  <c r="F235" i="22"/>
  <c r="F236" i="22"/>
  <c r="F237" i="22"/>
  <c r="F238" i="22"/>
  <c r="F239" i="22"/>
  <c r="F240" i="22"/>
  <c r="F241" i="22"/>
  <c r="F242" i="22"/>
  <c r="F243" i="22"/>
  <c r="F244" i="22"/>
  <c r="F245" i="22"/>
  <c r="F246" i="22"/>
  <c r="F247" i="22"/>
  <c r="F248" i="22"/>
  <c r="F249" i="22"/>
  <c r="F250" i="22"/>
  <c r="F251" i="22"/>
  <c r="F252" i="22"/>
  <c r="F253" i="22"/>
  <c r="F254" i="22"/>
  <c r="F255" i="22"/>
  <c r="F256" i="22"/>
  <c r="F257" i="22"/>
  <c r="F258" i="22"/>
  <c r="F259" i="22"/>
  <c r="F260" i="22"/>
  <c r="F261" i="22"/>
  <c r="F262" i="22"/>
  <c r="F263" i="22"/>
  <c r="F264" i="22"/>
  <c r="F265" i="22"/>
  <c r="F266" i="22"/>
  <c r="F267" i="22"/>
  <c r="F268" i="22"/>
  <c r="F269" i="22"/>
  <c r="F270" i="22"/>
  <c r="F271" i="22"/>
  <c r="F272" i="22"/>
  <c r="F273" i="22"/>
  <c r="F274" i="22"/>
  <c r="F275" i="22"/>
  <c r="F276" i="22"/>
  <c r="F277" i="22"/>
  <c r="F278" i="22"/>
  <c r="F279" i="22"/>
  <c r="F280" i="22"/>
  <c r="F281" i="22"/>
  <c r="F282" i="22"/>
  <c r="F283" i="22"/>
  <c r="F284" i="22"/>
  <c r="F285" i="22"/>
  <c r="F286" i="22"/>
  <c r="F287" i="22"/>
  <c r="F288" i="22"/>
  <c r="F289" i="22"/>
  <c r="F290" i="22"/>
  <c r="F291" i="22"/>
  <c r="F292" i="22"/>
  <c r="F293" i="22"/>
  <c r="F294" i="22"/>
  <c r="F295" i="22"/>
  <c r="F296" i="22"/>
  <c r="F297" i="22"/>
  <c r="F298" i="22"/>
  <c r="F299" i="22"/>
  <c r="F300" i="22"/>
  <c r="F301" i="22"/>
  <c r="F302" i="22"/>
  <c r="F303" i="22"/>
  <c r="F304" i="22"/>
  <c r="F305" i="22"/>
  <c r="F306" i="22"/>
  <c r="F307" i="22"/>
  <c r="F308" i="22"/>
  <c r="F309" i="22"/>
  <c r="F310" i="22"/>
  <c r="F311" i="22"/>
  <c r="F312" i="22"/>
  <c r="F313" i="22"/>
  <c r="F314" i="22"/>
  <c r="F315" i="22"/>
  <c r="F316" i="22"/>
  <c r="F317" i="22"/>
  <c r="F318" i="22"/>
  <c r="F319" i="22"/>
  <c r="F320" i="22"/>
  <c r="F321" i="22"/>
  <c r="F322" i="22"/>
  <c r="F323" i="22"/>
  <c r="F324" i="22"/>
  <c r="F325" i="22"/>
  <c r="F326" i="22"/>
  <c r="F327" i="22"/>
  <c r="F328" i="22"/>
  <c r="F329" i="22"/>
  <c r="F330" i="22"/>
  <c r="F331" i="22"/>
  <c r="F332" i="22"/>
  <c r="F333" i="22"/>
  <c r="F334" i="22"/>
  <c r="F335" i="22"/>
  <c r="F336" i="22"/>
  <c r="F337" i="22"/>
  <c r="F338" i="22"/>
  <c r="F339" i="22"/>
  <c r="F340" i="22"/>
  <c r="F341" i="22"/>
  <c r="F342" i="22"/>
  <c r="F343" i="22"/>
  <c r="F344" i="22"/>
  <c r="F345" i="22"/>
  <c r="F346" i="22"/>
  <c r="F347" i="22"/>
  <c r="F348" i="22"/>
  <c r="F349" i="22"/>
  <c r="F350" i="22"/>
  <c r="F351" i="22"/>
  <c r="F352" i="22"/>
  <c r="F353" i="22"/>
  <c r="F354" i="22"/>
  <c r="F355" i="22"/>
  <c r="F356" i="22"/>
  <c r="F357" i="22"/>
  <c r="F358" i="22"/>
  <c r="F359" i="22"/>
  <c r="F360" i="22"/>
  <c r="F361" i="22"/>
  <c r="F362" i="22"/>
  <c r="F363" i="22"/>
  <c r="F364" i="22"/>
  <c r="F365" i="22"/>
  <c r="F366" i="22"/>
  <c r="F367" i="22"/>
  <c r="F368" i="22"/>
  <c r="F369" i="22"/>
  <c r="F370" i="22"/>
  <c r="F371" i="22"/>
  <c r="F372" i="22"/>
  <c r="F373" i="22"/>
  <c r="F374" i="22"/>
  <c r="F375" i="22"/>
  <c r="F376" i="22"/>
  <c r="F377" i="22"/>
  <c r="F378" i="22"/>
  <c r="F379" i="22"/>
  <c r="F380" i="22"/>
  <c r="F381" i="22"/>
  <c r="F382" i="22"/>
  <c r="F383" i="22"/>
  <c r="F384" i="22"/>
  <c r="F385" i="22"/>
  <c r="F386" i="22"/>
  <c r="F387" i="22"/>
  <c r="F388" i="22"/>
  <c r="F389" i="22"/>
  <c r="F390" i="22"/>
  <c r="F391" i="22"/>
  <c r="F392" i="22"/>
  <c r="F393" i="22"/>
  <c r="F394" i="22"/>
  <c r="F395" i="22"/>
  <c r="F396" i="22"/>
  <c r="F397" i="22"/>
  <c r="F398" i="22"/>
  <c r="F399" i="22"/>
  <c r="F400" i="22"/>
  <c r="F401" i="22"/>
  <c r="F402" i="22"/>
  <c r="F403" i="22"/>
  <c r="F404" i="22"/>
  <c r="F405" i="22"/>
  <c r="F406" i="22"/>
  <c r="F407" i="22"/>
  <c r="F408" i="22"/>
  <c r="F409" i="22"/>
  <c r="F410" i="22"/>
  <c r="F411" i="22"/>
  <c r="F412" i="22"/>
  <c r="F413" i="22"/>
  <c r="F414" i="22"/>
  <c r="F415" i="22"/>
  <c r="F416" i="22"/>
  <c r="F417" i="22"/>
  <c r="F418" i="22"/>
  <c r="F419" i="22"/>
  <c r="F420" i="22"/>
  <c r="F421" i="22"/>
  <c r="F422" i="22"/>
  <c r="F423" i="22"/>
  <c r="F424" i="22"/>
  <c r="F425" i="22"/>
  <c r="F426" i="22"/>
  <c r="F427" i="22"/>
  <c r="F428" i="22"/>
  <c r="F429" i="22"/>
  <c r="F430" i="22"/>
  <c r="F431" i="22"/>
  <c r="F432" i="22"/>
  <c r="F433" i="22"/>
  <c r="F434" i="22"/>
  <c r="F435" i="22"/>
  <c r="F436" i="22"/>
  <c r="F437" i="22"/>
  <c r="F438" i="22"/>
  <c r="F439" i="22"/>
  <c r="F440" i="22"/>
  <c r="F441" i="22"/>
  <c r="F442" i="22"/>
  <c r="F443" i="22"/>
  <c r="F444" i="22"/>
  <c r="F445" i="22"/>
  <c r="F446" i="22"/>
  <c r="F447" i="22"/>
  <c r="F448" i="22"/>
  <c r="F449" i="22"/>
  <c r="F450" i="22"/>
  <c r="F451" i="22"/>
  <c r="F452" i="22"/>
  <c r="F453" i="22"/>
  <c r="F454" i="22"/>
  <c r="F455" i="22"/>
  <c r="F456" i="22"/>
  <c r="F457" i="22"/>
  <c r="F458" i="22"/>
  <c r="F459" i="22"/>
  <c r="F460" i="22"/>
  <c r="F461" i="22"/>
  <c r="F462" i="22"/>
  <c r="F463" i="22"/>
  <c r="F464" i="22"/>
  <c r="F465" i="22"/>
  <c r="F466" i="22"/>
  <c r="F467" i="22"/>
  <c r="F468" i="22"/>
  <c r="F469" i="22"/>
  <c r="F470" i="22"/>
  <c r="F471" i="22"/>
  <c r="F472" i="22"/>
  <c r="F473" i="22"/>
  <c r="F474" i="22"/>
  <c r="F475" i="22"/>
  <c r="F476" i="22"/>
  <c r="F477" i="22"/>
  <c r="F478" i="22"/>
  <c r="F479" i="22"/>
  <c r="F480" i="22"/>
  <c r="F481" i="22"/>
  <c r="F482" i="22"/>
  <c r="F483" i="22"/>
  <c r="F484" i="22"/>
  <c r="F485" i="22"/>
  <c r="F486" i="22"/>
  <c r="F487" i="22"/>
  <c r="F488" i="22"/>
  <c r="F489" i="22"/>
  <c r="F490" i="22"/>
  <c r="F491" i="22"/>
  <c r="F492" i="22"/>
  <c r="F493" i="22"/>
  <c r="F494" i="22"/>
  <c r="F495" i="22"/>
  <c r="F496" i="22"/>
  <c r="F497" i="22"/>
  <c r="F498" i="22"/>
  <c r="F499" i="22"/>
  <c r="F500" i="22"/>
  <c r="F501" i="22"/>
  <c r="F502" i="22"/>
  <c r="F503" i="22"/>
  <c r="F504" i="22"/>
  <c r="F505" i="22"/>
  <c r="F506" i="22"/>
  <c r="F507" i="22"/>
  <c r="F508" i="22"/>
  <c r="F509" i="22"/>
  <c r="F510" i="22"/>
  <c r="F511" i="22"/>
  <c r="F512" i="22"/>
  <c r="F513" i="22"/>
  <c r="F514" i="22"/>
  <c r="F515" i="22"/>
  <c r="F516" i="22"/>
  <c r="F517" i="22"/>
  <c r="F518" i="22"/>
  <c r="F519" i="22"/>
  <c r="F520" i="22"/>
  <c r="F521" i="22"/>
  <c r="F522" i="22"/>
  <c r="F523" i="22"/>
  <c r="F524" i="22"/>
  <c r="F525" i="22"/>
  <c r="F526" i="22"/>
  <c r="F527" i="22"/>
  <c r="F528" i="22"/>
  <c r="F529" i="22"/>
  <c r="F530" i="22"/>
  <c r="F531" i="22"/>
  <c r="F532" i="22"/>
  <c r="F533" i="22"/>
  <c r="F534" i="22"/>
  <c r="F535" i="22"/>
  <c r="F536" i="22"/>
  <c r="F537" i="22"/>
  <c r="F538" i="22"/>
  <c r="F539" i="22"/>
  <c r="F540" i="22"/>
  <c r="F541" i="22"/>
  <c r="F542" i="22"/>
  <c r="F543" i="22"/>
  <c r="F544" i="22"/>
  <c r="F545" i="22"/>
  <c r="F546" i="22"/>
  <c r="F547" i="22"/>
  <c r="F548" i="22"/>
  <c r="F549" i="22"/>
  <c r="F550" i="22"/>
  <c r="F551" i="22"/>
  <c r="F552" i="22"/>
  <c r="F553" i="22"/>
  <c r="F554" i="22"/>
  <c r="F555" i="22"/>
  <c r="F556" i="22"/>
  <c r="F557" i="22"/>
  <c r="F558" i="22"/>
  <c r="F559" i="22"/>
  <c r="F560" i="22"/>
  <c r="F561" i="22"/>
  <c r="F562" i="22"/>
  <c r="F563" i="22"/>
  <c r="F564" i="22"/>
  <c r="F565" i="22"/>
  <c r="F566" i="22"/>
  <c r="F567" i="22"/>
  <c r="F568" i="22"/>
  <c r="F569" i="22"/>
  <c r="F570" i="22"/>
  <c r="F571" i="22"/>
  <c r="F572" i="22"/>
  <c r="F573" i="22"/>
  <c r="F574" i="22"/>
  <c r="F575" i="22"/>
  <c r="F576" i="22"/>
  <c r="F577" i="22"/>
  <c r="F578" i="22"/>
  <c r="F579" i="22"/>
  <c r="F580" i="22"/>
  <c r="F581" i="22"/>
  <c r="F582" i="22"/>
  <c r="F583" i="22"/>
  <c r="F584" i="22"/>
  <c r="F585" i="22"/>
  <c r="F586" i="22"/>
  <c r="F587" i="22"/>
  <c r="F588" i="22"/>
  <c r="F589" i="22"/>
  <c r="F590" i="22"/>
  <c r="F591" i="22"/>
  <c r="F592" i="22"/>
  <c r="F593" i="22"/>
  <c r="F594" i="22"/>
  <c r="F595" i="22"/>
  <c r="F596" i="22"/>
  <c r="F597" i="22"/>
  <c r="F598" i="22"/>
  <c r="F599" i="22"/>
  <c r="F600" i="22"/>
  <c r="F601" i="22"/>
  <c r="F602" i="22"/>
  <c r="F603" i="22"/>
  <c r="F604" i="22"/>
  <c r="F605" i="22"/>
  <c r="F606" i="22"/>
  <c r="F607" i="22"/>
  <c r="F608" i="22"/>
  <c r="F609" i="22"/>
  <c r="F610" i="22"/>
  <c r="F611" i="22"/>
  <c r="F612" i="22"/>
  <c r="F613" i="22"/>
  <c r="F614" i="22"/>
  <c r="F615" i="22"/>
  <c r="F616" i="22"/>
  <c r="F617" i="22"/>
  <c r="F618" i="22"/>
  <c r="F619" i="22"/>
  <c r="F620" i="22"/>
  <c r="F621" i="22"/>
  <c r="F622" i="22"/>
  <c r="F623" i="22"/>
  <c r="F624" i="22"/>
  <c r="F625" i="22"/>
  <c r="F626" i="22"/>
  <c r="F627" i="22"/>
  <c r="F628" i="22"/>
  <c r="F629" i="22"/>
  <c r="F630" i="22"/>
  <c r="F631" i="22"/>
  <c r="F632" i="22"/>
  <c r="F633" i="22"/>
  <c r="F634" i="22"/>
  <c r="F635" i="22"/>
  <c r="F636" i="22"/>
  <c r="F637" i="22"/>
  <c r="F638" i="22"/>
  <c r="F639" i="22"/>
  <c r="F640" i="22"/>
  <c r="F641" i="22"/>
  <c r="F642" i="22"/>
  <c r="F643" i="22"/>
  <c r="F644" i="22"/>
  <c r="F645" i="22"/>
  <c r="F646" i="22"/>
  <c r="F647" i="22"/>
  <c r="F648" i="22"/>
  <c r="F649" i="22"/>
  <c r="F650" i="22"/>
  <c r="F651" i="22"/>
  <c r="F652" i="22"/>
  <c r="F653" i="22"/>
  <c r="F654" i="22"/>
  <c r="F655" i="22"/>
  <c r="F656" i="22"/>
  <c r="F657" i="22"/>
  <c r="F658" i="22"/>
  <c r="F659" i="22"/>
  <c r="F660" i="22"/>
  <c r="F661" i="22"/>
  <c r="F662" i="22"/>
  <c r="F663" i="22"/>
  <c r="F664" i="22"/>
  <c r="F665" i="22"/>
  <c r="F666" i="22"/>
  <c r="F667" i="22"/>
  <c r="F668" i="22"/>
  <c r="F669" i="22"/>
  <c r="F670" i="22"/>
  <c r="F671" i="22"/>
  <c r="F672" i="22"/>
  <c r="F673" i="22"/>
  <c r="F674" i="22"/>
  <c r="F675" i="22"/>
  <c r="F676" i="22"/>
  <c r="F677" i="22"/>
  <c r="F678" i="22"/>
  <c r="F679" i="22"/>
  <c r="F680" i="22"/>
  <c r="F681" i="22"/>
  <c r="F682" i="22"/>
  <c r="F683" i="22"/>
  <c r="F4" i="22"/>
  <c r="H32" i="55" l="1"/>
  <c r="B34" i="40"/>
  <c r="H33" i="55" l="1"/>
  <c r="E22" i="36"/>
  <c r="F22" i="36" s="1"/>
  <c r="G22" i="36" s="1"/>
  <c r="D6" i="55" l="1"/>
  <c r="D7" i="55" s="1"/>
  <c r="H34" i="55"/>
  <c r="D27" i="57"/>
  <c r="C87" i="18"/>
  <c r="E20" i="36"/>
  <c r="G13" i="36"/>
  <c r="F13" i="36"/>
  <c r="E13" i="36"/>
  <c r="D13" i="36"/>
  <c r="E75" i="20"/>
  <c r="E74" i="20"/>
  <c r="E73" i="20"/>
  <c r="E72" i="20"/>
  <c r="E71" i="20"/>
  <c r="E70" i="20"/>
  <c r="E69" i="20"/>
  <c r="E68" i="20"/>
  <c r="E67" i="20"/>
  <c r="E66" i="20"/>
  <c r="E65" i="20"/>
  <c r="E64" i="20"/>
  <c r="E63" i="20"/>
  <c r="E62" i="20"/>
  <c r="E61" i="20"/>
  <c r="E60" i="20"/>
  <c r="E59" i="20"/>
  <c r="E58" i="20"/>
  <c r="E57" i="20"/>
  <c r="E56" i="20"/>
  <c r="E55" i="20"/>
  <c r="E54" i="20"/>
  <c r="E53" i="20"/>
  <c r="E52" i="20"/>
  <c r="E51" i="20"/>
  <c r="E50" i="20"/>
  <c r="E49" i="20"/>
  <c r="E48" i="20"/>
  <c r="E47" i="20"/>
  <c r="E46" i="20"/>
  <c r="E45" i="20"/>
  <c r="E44" i="20"/>
  <c r="E43" i="20"/>
  <c r="E42" i="20"/>
  <c r="E41" i="20"/>
  <c r="E40" i="20"/>
  <c r="E39" i="20"/>
  <c r="E38" i="20"/>
  <c r="E37" i="20"/>
  <c r="E36" i="20"/>
  <c r="E35" i="20"/>
  <c r="H35" i="55" l="1"/>
  <c r="K6" i="55"/>
  <c r="D5" i="36"/>
  <c r="D4" i="36"/>
  <c r="I18" i="55" l="1"/>
  <c r="J18" i="55" s="1"/>
  <c r="I19" i="55"/>
  <c r="J19" i="55" s="1"/>
  <c r="I20" i="55"/>
  <c r="J20" i="55" s="1"/>
  <c r="I21" i="55"/>
  <c r="J21" i="55" s="1"/>
  <c r="I22" i="55"/>
  <c r="J22" i="55" s="1"/>
  <c r="I23" i="55"/>
  <c r="J23" i="55" s="1"/>
  <c r="I24" i="55"/>
  <c r="J24" i="55" s="1"/>
  <c r="I25" i="55"/>
  <c r="J25" i="55" s="1"/>
  <c r="I26" i="55"/>
  <c r="J26" i="55" s="1"/>
  <c r="I27" i="55"/>
  <c r="J27" i="55" s="1"/>
  <c r="I28" i="55"/>
  <c r="J28" i="55" s="1"/>
  <c r="I31" i="55"/>
  <c r="J31" i="55" s="1"/>
  <c r="I29" i="55"/>
  <c r="J29" i="55" s="1"/>
  <c r="I32" i="55"/>
  <c r="J32" i="55" s="1"/>
  <c r="I30" i="55"/>
  <c r="J30" i="55" s="1"/>
  <c r="I33" i="55"/>
  <c r="J33" i="55" s="1"/>
  <c r="I34" i="55"/>
  <c r="J34" i="55" s="1"/>
  <c r="I9" i="55"/>
  <c r="J9" i="55" s="1"/>
  <c r="I13" i="55"/>
  <c r="J13" i="55" s="1"/>
  <c r="I17" i="55"/>
  <c r="J17" i="55" s="1"/>
  <c r="I14" i="55"/>
  <c r="J14" i="55" s="1"/>
  <c r="I6" i="55"/>
  <c r="J6" i="55" s="1"/>
  <c r="I10" i="55"/>
  <c r="J10" i="55" s="1"/>
  <c r="I7" i="55"/>
  <c r="J7" i="55" s="1"/>
  <c r="I11" i="55"/>
  <c r="J11" i="55" s="1"/>
  <c r="I15" i="55"/>
  <c r="J15" i="55" s="1"/>
  <c r="I8" i="55"/>
  <c r="J8" i="55" s="1"/>
  <c r="I12" i="55"/>
  <c r="J12" i="55" s="1"/>
  <c r="I16" i="55"/>
  <c r="J16" i="55" s="1"/>
  <c r="H36" i="55"/>
  <c r="I35" i="55"/>
  <c r="J35" i="55" s="1"/>
  <c r="H37" i="55" l="1"/>
  <c r="I36" i="55"/>
  <c r="J36" i="55" s="1"/>
  <c r="F27" i="57"/>
  <c r="G27" i="57" s="1"/>
  <c r="F28" i="57"/>
  <c r="B1" i="52"/>
  <c r="B1" i="14"/>
  <c r="G103" i="18"/>
  <c r="I102" i="18"/>
  <c r="H38" i="55" l="1"/>
  <c r="I37" i="55"/>
  <c r="J37" i="55" s="1"/>
  <c r="B7" i="14"/>
  <c r="C35" i="18"/>
  <c r="C34" i="18"/>
  <c r="I113" i="18"/>
  <c r="H39" i="55" l="1"/>
  <c r="I38" i="55"/>
  <c r="J38" i="55" s="1"/>
  <c r="F81" i="18"/>
  <c r="C83" i="18"/>
  <c r="C81" i="18"/>
  <c r="C10" i="18"/>
  <c r="F10" i="18"/>
  <c r="H40" i="55" l="1"/>
  <c r="I39" i="55"/>
  <c r="J39" i="55" s="1"/>
  <c r="X680" i="22"/>
  <c r="X681" i="22"/>
  <c r="X682" i="22"/>
  <c r="H41" i="55" l="1"/>
  <c r="I40" i="55"/>
  <c r="J40" i="55" s="1"/>
  <c r="F29" i="18"/>
  <c r="C29" i="18"/>
  <c r="F83" i="18"/>
  <c r="F82" i="18"/>
  <c r="F80" i="18"/>
  <c r="F79" i="18"/>
  <c r="F26" i="18"/>
  <c r="F24" i="18"/>
  <c r="F22" i="18"/>
  <c r="F20" i="18"/>
  <c r="F15" i="18"/>
  <c r="H42" i="55" l="1"/>
  <c r="I41" i="55"/>
  <c r="J41" i="55" s="1"/>
  <c r="C33" i="18"/>
  <c r="C32" i="18"/>
  <c r="C26" i="18"/>
  <c r="C24" i="18"/>
  <c r="C22" i="18"/>
  <c r="C20" i="18"/>
  <c r="C18" i="18"/>
  <c r="C15" i="18"/>
  <c r="C14" i="18"/>
  <c r="H43" i="55" l="1"/>
  <c r="I42" i="55"/>
  <c r="J42" i="55" s="1"/>
  <c r="C80" i="18"/>
  <c r="C82" i="18" s="1"/>
  <c r="H44" i="55" l="1"/>
  <c r="I43" i="55"/>
  <c r="J43" i="55" s="1"/>
  <c r="C79" i="18"/>
  <c r="B315" i="34"/>
  <c r="F315" i="34"/>
  <c r="H683" i="22"/>
  <c r="G683" i="22"/>
  <c r="D315" i="34" l="1"/>
  <c r="H45" i="55"/>
  <c r="I44" i="55"/>
  <c r="J44" i="55" s="1"/>
  <c r="O15" i="36"/>
  <c r="I45" i="55" l="1"/>
  <c r="J45" i="55" s="1"/>
  <c r="H46" i="55"/>
  <c r="F20" i="36"/>
  <c r="G20" i="36" s="1"/>
  <c r="J90" i="41"/>
  <c r="B76" i="41"/>
  <c r="B75" i="41"/>
  <c r="B74" i="41"/>
  <c r="B73" i="41"/>
  <c r="B72" i="41"/>
  <c r="B71" i="41"/>
  <c r="B70" i="41"/>
  <c r="B69" i="41"/>
  <c r="B50" i="41"/>
  <c r="B49" i="41"/>
  <c r="B48" i="41"/>
  <c r="B314" i="34"/>
  <c r="F314" i="34"/>
  <c r="H682" i="22"/>
  <c r="G682" i="22"/>
  <c r="E16" i="36"/>
  <c r="B313" i="34"/>
  <c r="F313" i="34"/>
  <c r="H681" i="22"/>
  <c r="G681" i="22"/>
  <c r="F312" i="34"/>
  <c r="B312" i="34"/>
  <c r="H680" i="22"/>
  <c r="G680" i="22"/>
  <c r="K2" i="49"/>
  <c r="K3" i="49"/>
  <c r="K1260" i="49"/>
  <c r="K5" i="49"/>
  <c r="K6" i="49"/>
  <c r="K180" i="49"/>
  <c r="K8" i="49"/>
  <c r="K9" i="49"/>
  <c r="K404" i="49"/>
  <c r="K311" i="49"/>
  <c r="K12" i="49"/>
  <c r="K13" i="49"/>
  <c r="K14" i="49"/>
  <c r="K15" i="49"/>
  <c r="K16" i="49"/>
  <c r="K385" i="49"/>
  <c r="K1006" i="49"/>
  <c r="K19" i="49"/>
  <c r="K536" i="49"/>
  <c r="K21" i="49"/>
  <c r="K539" i="49"/>
  <c r="K23" i="49"/>
  <c r="K24" i="49"/>
  <c r="K25" i="49"/>
  <c r="K26" i="49"/>
  <c r="K452" i="49"/>
  <c r="K453" i="49"/>
  <c r="K454" i="49"/>
  <c r="K455" i="49"/>
  <c r="K456" i="49"/>
  <c r="K457" i="49"/>
  <c r="K458" i="49"/>
  <c r="K34" i="49"/>
  <c r="K35" i="49"/>
  <c r="K238" i="49"/>
  <c r="K37" i="49"/>
  <c r="K398" i="49"/>
  <c r="K183" i="49"/>
  <c r="K71" i="49"/>
  <c r="K41" i="49"/>
  <c r="K42" i="49"/>
  <c r="K129" i="49"/>
  <c r="K131" i="49"/>
  <c r="K134" i="49"/>
  <c r="K46" i="49"/>
  <c r="K1335" i="49"/>
  <c r="K146" i="49"/>
  <c r="K1241" i="49"/>
  <c r="K50" i="49"/>
  <c r="K135" i="49"/>
  <c r="K91" i="49"/>
  <c r="K53" i="49"/>
  <c r="K193" i="49"/>
  <c r="K1249" i="49"/>
  <c r="K56" i="49"/>
  <c r="K207" i="49"/>
  <c r="K354" i="49"/>
  <c r="K355" i="49"/>
  <c r="K493" i="49"/>
  <c r="K1048" i="49"/>
  <c r="K68" i="49"/>
  <c r="K54" i="49"/>
  <c r="K214" i="49"/>
  <c r="K74" i="49"/>
  <c r="K293" i="49"/>
  <c r="K67" i="49"/>
  <c r="K116" i="49"/>
  <c r="K1236" i="49"/>
  <c r="K1295" i="49"/>
  <c r="K1114" i="49"/>
  <c r="K72" i="49"/>
  <c r="K117" i="49"/>
  <c r="K118" i="49"/>
  <c r="K1242" i="49"/>
  <c r="K76" i="49"/>
  <c r="K77" i="49"/>
  <c r="K1248" i="49"/>
  <c r="K242" i="49"/>
  <c r="K115" i="49"/>
  <c r="K1334" i="49"/>
  <c r="K1102" i="49"/>
  <c r="K1049" i="49"/>
  <c r="K84" i="49"/>
  <c r="K85" i="49"/>
  <c r="K47" i="49"/>
  <c r="K310" i="49"/>
  <c r="K88" i="49"/>
  <c r="K184" i="49"/>
  <c r="K122" i="49"/>
  <c r="K187" i="49"/>
  <c r="K147" i="49"/>
  <c r="K93" i="49"/>
  <c r="K167" i="49"/>
  <c r="K1228" i="49"/>
  <c r="K30" i="49"/>
  <c r="K32" i="49"/>
  <c r="K33" i="49"/>
  <c r="K533" i="49"/>
  <c r="K100" i="49"/>
  <c r="K137" i="49"/>
  <c r="K139" i="49"/>
  <c r="K142" i="49"/>
  <c r="K1306" i="49"/>
  <c r="K49" i="49"/>
  <c r="K1268" i="49"/>
  <c r="K149" i="49"/>
  <c r="K108" i="49"/>
  <c r="K168" i="49"/>
  <c r="K173" i="49"/>
  <c r="K82" i="49"/>
  <c r="K112" i="49"/>
  <c r="K113" i="49"/>
  <c r="K1045" i="49"/>
  <c r="K223" i="49"/>
  <c r="K1050" i="49"/>
  <c r="K1314" i="49"/>
  <c r="K1282" i="49"/>
  <c r="K119" i="49"/>
  <c r="K1052" i="49"/>
  <c r="K1253" i="49"/>
  <c r="K227" i="49"/>
  <c r="K123" i="49"/>
  <c r="K1072" i="49"/>
  <c r="K125" i="49"/>
  <c r="K542" i="49"/>
  <c r="K127" i="49"/>
  <c r="K360" i="49"/>
  <c r="K45" i="49"/>
  <c r="K83" i="49"/>
  <c r="K92" i="49"/>
  <c r="K94" i="49"/>
  <c r="K126" i="49"/>
  <c r="K128" i="49"/>
  <c r="K130" i="49"/>
  <c r="K133" i="49"/>
  <c r="K152" i="49"/>
  <c r="K153" i="49"/>
  <c r="K154" i="49"/>
  <c r="K156" i="49"/>
  <c r="K157" i="49"/>
  <c r="K166" i="49"/>
  <c r="K177" i="49"/>
  <c r="K195" i="49"/>
  <c r="K218" i="49"/>
  <c r="K1220" i="49"/>
  <c r="K176" i="49"/>
  <c r="K199" i="49"/>
  <c r="K107" i="49"/>
  <c r="K1342" i="49"/>
  <c r="K75" i="49"/>
  <c r="K105" i="49"/>
  <c r="K1343" i="49"/>
  <c r="K114" i="49"/>
  <c r="K155" i="49"/>
  <c r="K44" i="49"/>
  <c r="K247" i="49"/>
  <c r="K158" i="49"/>
  <c r="K518" i="49"/>
  <c r="K1278" i="49"/>
  <c r="K161" i="49"/>
  <c r="K162" i="49"/>
  <c r="K163" i="49"/>
  <c r="K1247" i="49"/>
  <c r="K1309" i="49"/>
  <c r="K120" i="49"/>
  <c r="K143" i="49"/>
  <c r="K145" i="49"/>
  <c r="K169" i="49"/>
  <c r="K170" i="49"/>
  <c r="K171" i="49"/>
  <c r="K1357" i="49"/>
  <c r="K1389" i="49"/>
  <c r="K174" i="49"/>
  <c r="K215" i="49"/>
  <c r="K64" i="49"/>
  <c r="K29" i="49"/>
  <c r="K178" i="49"/>
  <c r="K1409" i="49"/>
  <c r="K1410" i="49"/>
  <c r="K1411" i="49"/>
  <c r="K1412" i="49"/>
  <c r="K1413" i="49"/>
  <c r="K1414" i="49"/>
  <c r="K1415" i="49"/>
  <c r="K186" i="49"/>
  <c r="K554" i="49"/>
  <c r="K188" i="49"/>
  <c r="K43" i="49"/>
  <c r="K190" i="49"/>
  <c r="K191" i="49"/>
  <c r="K1310" i="49"/>
  <c r="K1312" i="49"/>
  <c r="K1313" i="49"/>
  <c r="K1317" i="49"/>
  <c r="K1318" i="49"/>
  <c r="K1319" i="49"/>
  <c r="K1320" i="49"/>
  <c r="K1321" i="49"/>
  <c r="K27" i="49"/>
  <c r="K1345" i="49"/>
  <c r="K553" i="49"/>
  <c r="K185" i="49"/>
  <c r="K136" i="49"/>
  <c r="K165" i="49"/>
  <c r="K209" i="49"/>
  <c r="K210" i="49"/>
  <c r="K534" i="49"/>
  <c r="K141" i="49"/>
  <c r="K213" i="49"/>
  <c r="K211" i="49"/>
  <c r="K543" i="49"/>
  <c r="K262" i="49"/>
  <c r="K1416" i="49"/>
  <c r="K148" i="49"/>
  <c r="K1058" i="49"/>
  <c r="K28" i="49"/>
  <c r="K1113" i="49"/>
  <c r="K219" i="49"/>
  <c r="K220" i="49"/>
  <c r="K221" i="49"/>
  <c r="K1417" i="49"/>
  <c r="K1346" i="49"/>
  <c r="K1290" i="49"/>
  <c r="K20" i="49"/>
  <c r="K226" i="49"/>
  <c r="K904" i="49"/>
  <c r="K228" i="49"/>
  <c r="K229" i="49"/>
  <c r="K230" i="49"/>
  <c r="K256" i="49"/>
  <c r="K232" i="49"/>
  <c r="K1418" i="49"/>
  <c r="K1339" i="49"/>
  <c r="K235" i="49"/>
  <c r="K998" i="49"/>
  <c r="K1299" i="49"/>
  <c r="K535" i="49"/>
  <c r="K1433" i="49"/>
  <c r="K1283" i="49"/>
  <c r="K1051" i="49"/>
  <c r="K1271" i="49"/>
  <c r="K160" i="49"/>
  <c r="K244" i="49"/>
  <c r="K1348" i="49"/>
  <c r="K138" i="49"/>
  <c r="K140" i="49"/>
  <c r="K144" i="49"/>
  <c r="K1097" i="49"/>
  <c r="K1419" i="49"/>
  <c r="K251" i="49"/>
  <c r="K1291" i="49"/>
  <c r="K17" i="49"/>
  <c r="K254" i="49"/>
  <c r="K255" i="49"/>
  <c r="K1344" i="49"/>
  <c r="K1293" i="49"/>
  <c r="K258" i="49"/>
  <c r="K259" i="49"/>
  <c r="K1115" i="49"/>
  <c r="K18" i="49"/>
  <c r="K1292" i="49"/>
  <c r="K263" i="49"/>
  <c r="K406" i="49"/>
  <c r="K265" i="49"/>
  <c r="K36" i="49"/>
  <c r="K515" i="49"/>
  <c r="K300" i="49"/>
  <c r="K304" i="49"/>
  <c r="K270" i="49"/>
  <c r="K307" i="49"/>
  <c r="K272" i="49"/>
  <c r="K309" i="49"/>
  <c r="K274" i="49"/>
  <c r="K275" i="49"/>
  <c r="K276" i="49"/>
  <c r="K277" i="49"/>
  <c r="K278" i="49"/>
  <c r="K1333" i="49"/>
  <c r="K407" i="49"/>
  <c r="K281" i="49"/>
  <c r="K1436" i="49"/>
  <c r="K1340" i="49"/>
  <c r="K1434" i="49"/>
  <c r="K273" i="49"/>
  <c r="K1322" i="49"/>
  <c r="K1112" i="49"/>
  <c r="K264" i="49"/>
  <c r="K289" i="49"/>
  <c r="K290" i="49"/>
  <c r="K208" i="49"/>
  <c r="K292" i="49"/>
  <c r="K286" i="49"/>
  <c r="K288" i="49"/>
  <c r="K291" i="49"/>
  <c r="K80" i="49"/>
  <c r="K297" i="49"/>
  <c r="K294" i="49"/>
  <c r="K299" i="49"/>
  <c r="K239" i="49"/>
  <c r="K474" i="49"/>
  <c r="K124" i="49"/>
  <c r="K266" i="49"/>
  <c r="K267" i="49"/>
  <c r="K279" i="49"/>
  <c r="K282" i="49"/>
  <c r="K283" i="49"/>
  <c r="K491" i="49"/>
  <c r="K1331" i="49"/>
  <c r="K295" i="49"/>
  <c r="K1280" i="49"/>
  <c r="K312" i="49"/>
  <c r="K313" i="49"/>
  <c r="K314" i="49"/>
  <c r="K315" i="49"/>
  <c r="K316" i="49"/>
  <c r="K317" i="49"/>
  <c r="K318" i="49"/>
  <c r="K319" i="49"/>
  <c r="K320" i="49"/>
  <c r="K321" i="49"/>
  <c r="K322" i="49"/>
  <c r="K323" i="49"/>
  <c r="K324" i="49"/>
  <c r="K325" i="49"/>
  <c r="K326" i="49"/>
  <c r="K327" i="49"/>
  <c r="K328" i="49"/>
  <c r="K329" i="49"/>
  <c r="K330" i="49"/>
  <c r="K373" i="49"/>
  <c r="K370" i="49"/>
  <c r="K371" i="49"/>
  <c r="K342" i="49"/>
  <c r="K335" i="49"/>
  <c r="K377" i="49"/>
  <c r="K379" i="49"/>
  <c r="K338" i="49"/>
  <c r="K1441" i="49"/>
  <c r="K1444" i="49"/>
  <c r="K367" i="49"/>
  <c r="K1336" i="49"/>
  <c r="K343" i="49"/>
  <c r="K344" i="49"/>
  <c r="K345" i="49"/>
  <c r="K346" i="49"/>
  <c r="K347" i="49"/>
  <c r="K348" i="49"/>
  <c r="K362" i="49"/>
  <c r="K363" i="49"/>
  <c r="K364" i="49"/>
  <c r="K513" i="49"/>
  <c r="K353" i="49"/>
  <c r="K1454" i="49"/>
  <c r="K1455" i="49"/>
  <c r="K356" i="49"/>
  <c r="K352" i="49"/>
  <c r="K358" i="49"/>
  <c r="K359" i="49"/>
  <c r="K349" i="49"/>
  <c r="K555" i="49"/>
  <c r="K205" i="49"/>
  <c r="K58" i="49"/>
  <c r="K375" i="49"/>
  <c r="K1456" i="49"/>
  <c r="K1347" i="49"/>
  <c r="K421" i="49"/>
  <c r="K423" i="49"/>
  <c r="K369" i="49"/>
  <c r="K425" i="49"/>
  <c r="K1325" i="49"/>
  <c r="K372" i="49"/>
  <c r="K426" i="49"/>
  <c r="K428" i="49"/>
  <c r="K427" i="49"/>
  <c r="K390" i="49"/>
  <c r="K175" i="49"/>
  <c r="K389" i="49"/>
  <c r="K401" i="49"/>
  <c r="K399" i="49"/>
  <c r="K408" i="49"/>
  <c r="K382" i="49"/>
  <c r="K383" i="49"/>
  <c r="K384" i="49"/>
  <c r="K1328" i="49"/>
  <c r="K386" i="49"/>
  <c r="K387" i="49"/>
  <c r="K1457" i="49"/>
  <c r="K396" i="49"/>
  <c r="K392" i="49"/>
  <c r="K413" i="49"/>
  <c r="K1326" i="49"/>
  <c r="K1327" i="49"/>
  <c r="K394" i="49"/>
  <c r="K395" i="49"/>
  <c r="K397" i="49"/>
  <c r="K1323" i="49"/>
  <c r="K1324" i="49"/>
  <c r="K1337" i="49"/>
  <c r="K400" i="49"/>
  <c r="K391" i="49"/>
  <c r="K402" i="49"/>
  <c r="K417" i="49"/>
  <c r="K415" i="49"/>
  <c r="K418" i="49"/>
  <c r="K419" i="49"/>
  <c r="K217" i="49"/>
  <c r="K22" i="49"/>
  <c r="K431" i="49"/>
  <c r="K410" i="49"/>
  <c r="K432" i="49"/>
  <c r="K412" i="49"/>
  <c r="K446" i="49"/>
  <c r="K414" i="49"/>
  <c r="K447" i="49"/>
  <c r="K1330" i="49"/>
  <c r="K1332" i="49"/>
  <c r="K462" i="49"/>
  <c r="K461" i="49"/>
  <c r="K463" i="49"/>
  <c r="K464" i="49"/>
  <c r="K437" i="49"/>
  <c r="K1329" i="49"/>
  <c r="K424" i="49"/>
  <c r="K434" i="49"/>
  <c r="K1460" i="49"/>
  <c r="K435" i="49"/>
  <c r="K433" i="49"/>
  <c r="K429" i="49"/>
  <c r="K438" i="49"/>
  <c r="K441" i="49"/>
  <c r="K442" i="49"/>
  <c r="K448" i="49"/>
  <c r="K450" i="49"/>
  <c r="K1458" i="49"/>
  <c r="K449" i="49"/>
  <c r="K1004" i="49"/>
  <c r="K1005" i="49"/>
  <c r="K473" i="49"/>
  <c r="K164" i="49"/>
  <c r="K430" i="49"/>
  <c r="K439" i="49"/>
  <c r="K490" i="49"/>
  <c r="K11" i="49"/>
  <c r="K10" i="49"/>
  <c r="K4" i="49"/>
  <c r="K436" i="49"/>
  <c r="K440" i="49"/>
  <c r="K7" i="49"/>
  <c r="K444" i="49"/>
  <c r="K451" i="49"/>
  <c r="K445" i="49"/>
  <c r="K1032" i="49"/>
  <c r="K459" i="49"/>
  <c r="K159" i="49"/>
  <c r="K465" i="49"/>
  <c r="K472" i="49"/>
  <c r="K466" i="49"/>
  <c r="K469" i="49"/>
  <c r="K471" i="49"/>
  <c r="K1272" i="49"/>
  <c r="K443" i="49"/>
  <c r="K460" i="49"/>
  <c r="K1054" i="49"/>
  <c r="K1227" i="49"/>
  <c r="K339" i="49"/>
  <c r="K280" i="49"/>
  <c r="K468" i="49"/>
  <c r="K271" i="49"/>
  <c r="K470" i="49"/>
  <c r="K545" i="49"/>
  <c r="K549" i="49"/>
  <c r="K1057" i="49"/>
  <c r="K1275" i="49"/>
  <c r="K1273" i="49"/>
  <c r="K90" i="49"/>
  <c r="K1288" i="49"/>
  <c r="K103" i="49"/>
  <c r="K1098" i="49"/>
  <c r="K1276" i="49"/>
  <c r="K63" i="49"/>
  <c r="K1287" i="49"/>
  <c r="K1223" i="49"/>
  <c r="K261" i="49"/>
  <c r="K269" i="49"/>
  <c r="K530" i="49"/>
  <c r="K487" i="49"/>
  <c r="K1289" i="49"/>
  <c r="K489" i="49"/>
  <c r="K51" i="49"/>
  <c r="K62" i="49"/>
  <c r="K1300" i="49"/>
  <c r="K341" i="49"/>
  <c r="K1301" i="49"/>
  <c r="K57" i="49"/>
  <c r="K1302" i="49"/>
  <c r="K1303" i="49"/>
  <c r="K1304" i="49"/>
  <c r="K1305" i="49"/>
  <c r="K500" i="49"/>
  <c r="K1277" i="49"/>
  <c r="K1091" i="49"/>
  <c r="K532" i="49"/>
  <c r="K504" i="49"/>
  <c r="K225" i="49"/>
  <c r="K506" i="49"/>
  <c r="K1183" i="49"/>
  <c r="K246" i="49"/>
  <c r="K192" i="49"/>
  <c r="K1088" i="49"/>
  <c r="K511" i="49"/>
  <c r="K512" i="49"/>
  <c r="K1279" i="49"/>
  <c r="K1086" i="49"/>
  <c r="K1259" i="49"/>
  <c r="K95" i="49"/>
  <c r="K517" i="49"/>
  <c r="K79" i="49"/>
  <c r="K1237" i="49"/>
  <c r="K150" i="49"/>
  <c r="K121" i="49"/>
  <c r="K181" i="49"/>
  <c r="K523" i="49"/>
  <c r="K524" i="49"/>
  <c r="K196" i="49"/>
  <c r="K526" i="49"/>
  <c r="K243" i="49"/>
  <c r="K1307" i="49"/>
  <c r="K1315" i="49"/>
  <c r="K1008" i="49"/>
  <c r="K1011" i="49"/>
  <c r="K1019" i="49"/>
  <c r="K1026" i="49"/>
  <c r="K1316" i="49"/>
  <c r="K1046" i="49"/>
  <c r="K1047" i="49"/>
  <c r="K1239" i="49"/>
  <c r="K1240" i="49"/>
  <c r="K1308" i="49"/>
  <c r="K70" i="49"/>
  <c r="K1341" i="49"/>
  <c r="K106" i="49"/>
  <c r="K194" i="49"/>
  <c r="K200" i="49"/>
  <c r="K202" i="49"/>
  <c r="K73" i="49"/>
  <c r="K151" i="49"/>
  <c r="K189" i="49"/>
  <c r="K109" i="49"/>
  <c r="K224" i="49"/>
  <c r="K87" i="49"/>
  <c r="K552" i="49"/>
  <c r="K1257" i="49"/>
  <c r="K110" i="49"/>
  <c r="K132" i="49"/>
  <c r="K1338" i="49"/>
  <c r="K1258" i="49"/>
  <c r="K558" i="49"/>
  <c r="K1221" i="49"/>
  <c r="K48" i="49"/>
  <c r="K55" i="49"/>
  <c r="K96" i="49"/>
  <c r="K245" i="49"/>
  <c r="K1246" i="49"/>
  <c r="K1043" i="49"/>
  <c r="K1044" i="49"/>
  <c r="K98" i="49"/>
  <c r="K531" i="49"/>
  <c r="K502" i="49"/>
  <c r="K284" i="49"/>
  <c r="K250" i="49"/>
  <c r="K252" i="49"/>
  <c r="K573" i="49"/>
  <c r="K723" i="49"/>
  <c r="K663" i="49"/>
  <c r="K574" i="49"/>
  <c r="K556" i="49"/>
  <c r="K578" i="49"/>
  <c r="K617" i="49"/>
  <c r="K655" i="49"/>
  <c r="K704" i="49"/>
  <c r="K647" i="49"/>
  <c r="K1003" i="49"/>
  <c r="K562" i="49"/>
  <c r="K587" i="49"/>
  <c r="K585" i="49"/>
  <c r="K586" i="49"/>
  <c r="K588" i="49"/>
  <c r="K589" i="49"/>
  <c r="K590" i="49"/>
  <c r="K595" i="49"/>
  <c r="K724" i="49"/>
  <c r="K726" i="49"/>
  <c r="K626" i="49"/>
  <c r="K668" i="49"/>
  <c r="K686" i="49"/>
  <c r="K639" i="49"/>
  <c r="K640" i="49"/>
  <c r="K366" i="49"/>
  <c r="K420" i="49"/>
  <c r="K388" i="49"/>
  <c r="K563" i="49"/>
  <c r="K571" i="49"/>
  <c r="K557" i="49"/>
  <c r="K575" i="49"/>
  <c r="K572" i="49"/>
  <c r="K579" i="49"/>
  <c r="K581" i="49"/>
  <c r="K621" i="49"/>
  <c r="K632" i="49"/>
  <c r="K618" i="49"/>
  <c r="K576" i="49"/>
  <c r="K662" i="49"/>
  <c r="K665" i="49"/>
  <c r="K634" i="49"/>
  <c r="K635" i="49"/>
  <c r="K670" i="49"/>
  <c r="K637" i="49"/>
  <c r="K880" i="49"/>
  <c r="K909" i="49"/>
  <c r="K997" i="49"/>
  <c r="K982" i="49"/>
  <c r="K944" i="49"/>
  <c r="K305" i="49"/>
  <c r="K591" i="49"/>
  <c r="K582" i="49"/>
  <c r="K656" i="49"/>
  <c r="K657" i="49"/>
  <c r="K658" i="49"/>
  <c r="K564" i="49"/>
  <c r="K620" i="49"/>
  <c r="K737" i="49"/>
  <c r="K835" i="49"/>
  <c r="K952" i="49"/>
  <c r="K992" i="49"/>
  <c r="K380" i="49"/>
  <c r="K561" i="49"/>
  <c r="K241" i="49"/>
  <c r="K594" i="49"/>
  <c r="K598" i="49"/>
  <c r="K613" i="49"/>
  <c r="K622" i="49"/>
  <c r="K852" i="49"/>
  <c r="K889" i="49"/>
  <c r="K928" i="49"/>
  <c r="K980" i="49"/>
  <c r="K393" i="49"/>
  <c r="K570" i="49"/>
  <c r="K584" i="49"/>
  <c r="K580" i="49"/>
  <c r="K592" i="49"/>
  <c r="K612" i="49"/>
  <c r="K646" i="49"/>
  <c r="K625" i="49"/>
  <c r="K720" i="49"/>
  <c r="K641" i="49"/>
  <c r="K645" i="49"/>
  <c r="K673" i="49"/>
  <c r="K628" i="49"/>
  <c r="K760" i="49"/>
  <c r="K884" i="49"/>
  <c r="K903" i="49"/>
  <c r="K1001" i="49"/>
  <c r="K941" i="49"/>
  <c r="K374" i="49"/>
  <c r="K306" i="49"/>
  <c r="K611" i="49"/>
  <c r="K651" i="49"/>
  <c r="K599" i="49"/>
  <c r="K600" i="49"/>
  <c r="K601" i="49"/>
  <c r="K602" i="49"/>
  <c r="K603" i="49"/>
  <c r="K604" i="49"/>
  <c r="K605" i="49"/>
  <c r="K606" i="49"/>
  <c r="K607" i="49"/>
  <c r="K608" i="49"/>
  <c r="K609" i="49"/>
  <c r="K610" i="49"/>
  <c r="K652" i="49"/>
  <c r="K650" i="49"/>
  <c r="K679" i="49"/>
  <c r="K677" i="49"/>
  <c r="K680" i="49"/>
  <c r="K683" i="49"/>
  <c r="K687" i="49"/>
  <c r="K688" i="49"/>
  <c r="K689" i="49"/>
  <c r="K690" i="49"/>
  <c r="K691" i="49"/>
  <c r="K692" i="49"/>
  <c r="K693" i="49"/>
  <c r="K694" i="49"/>
  <c r="K695" i="49"/>
  <c r="K696" i="49"/>
  <c r="K697" i="49"/>
  <c r="K698" i="49"/>
  <c r="K699" i="49"/>
  <c r="K700" i="49"/>
  <c r="K701" i="49"/>
  <c r="K702" i="49"/>
  <c r="K703" i="49"/>
  <c r="K268" i="49"/>
  <c r="K705" i="49"/>
  <c r="K1296" i="49"/>
  <c r="K707" i="49"/>
  <c r="K516" i="49"/>
  <c r="K709" i="49"/>
  <c r="K710" i="49"/>
  <c r="K711" i="49"/>
  <c r="K712" i="49"/>
  <c r="K713" i="49"/>
  <c r="K714" i="49"/>
  <c r="K715" i="49"/>
  <c r="K716" i="49"/>
  <c r="K717" i="49"/>
  <c r="K718" i="49"/>
  <c r="K719" i="49"/>
  <c r="K99" i="49"/>
  <c r="K540" i="49"/>
  <c r="K722" i="49"/>
  <c r="K102" i="49"/>
  <c r="K101" i="49"/>
  <c r="K89" i="49"/>
  <c r="K550" i="49"/>
  <c r="K1229" i="49"/>
  <c r="K728" i="49"/>
  <c r="K729" i="49"/>
  <c r="K551" i="49"/>
  <c r="K548" i="49"/>
  <c r="K732" i="49"/>
  <c r="K733" i="49"/>
  <c r="K1297" i="49"/>
  <c r="K735" i="49"/>
  <c r="K736" i="49"/>
  <c r="K541" i="49"/>
  <c r="K738" i="49"/>
  <c r="K739" i="49"/>
  <c r="K740" i="49"/>
  <c r="K741" i="49"/>
  <c r="K742" i="49"/>
  <c r="K743" i="49"/>
  <c r="K744" i="49"/>
  <c r="K745" i="49"/>
  <c r="K746" i="49"/>
  <c r="K747" i="49"/>
  <c r="K748" i="49"/>
  <c r="K1188" i="49"/>
  <c r="K750" i="49"/>
  <c r="K467" i="49"/>
  <c r="K752" i="49"/>
  <c r="K753" i="49"/>
  <c r="K754" i="49"/>
  <c r="K755" i="49"/>
  <c r="K756" i="49"/>
  <c r="K757" i="49"/>
  <c r="K758" i="49"/>
  <c r="K759" i="49"/>
  <c r="K520" i="49"/>
  <c r="K761" i="49"/>
  <c r="K762" i="49"/>
  <c r="K763" i="49"/>
  <c r="K764" i="49"/>
  <c r="K765" i="49"/>
  <c r="K766" i="49"/>
  <c r="K767" i="49"/>
  <c r="K768" i="49"/>
  <c r="K769" i="49"/>
  <c r="K770" i="49"/>
  <c r="K771" i="49"/>
  <c r="K772" i="49"/>
  <c r="K773" i="49"/>
  <c r="K774" i="49"/>
  <c r="K775" i="49"/>
  <c r="K776" i="49"/>
  <c r="K777" i="49"/>
  <c r="K287" i="49"/>
  <c r="K779" i="49"/>
  <c r="K780" i="49"/>
  <c r="K781" i="49"/>
  <c r="K782" i="49"/>
  <c r="K783" i="49"/>
  <c r="K784" i="49"/>
  <c r="K785" i="49"/>
  <c r="K786" i="49"/>
  <c r="K787" i="49"/>
  <c r="K1215" i="49"/>
  <c r="K789" i="49"/>
  <c r="K790" i="49"/>
  <c r="K791" i="49"/>
  <c r="K792" i="49"/>
  <c r="K793" i="49"/>
  <c r="K416" i="49"/>
  <c r="K795" i="49"/>
  <c r="K796" i="49"/>
  <c r="K797" i="49"/>
  <c r="K198" i="49"/>
  <c r="K799" i="49"/>
  <c r="K800" i="49"/>
  <c r="K801" i="49"/>
  <c r="K802" i="49"/>
  <c r="K204" i="49"/>
  <c r="K804" i="49"/>
  <c r="K65" i="49"/>
  <c r="K806" i="49"/>
  <c r="K807" i="49"/>
  <c r="K808" i="49"/>
  <c r="K237" i="49"/>
  <c r="K810" i="49"/>
  <c r="K811" i="49"/>
  <c r="K812" i="49"/>
  <c r="K1298" i="49"/>
  <c r="K814" i="49"/>
  <c r="K815" i="49"/>
  <c r="K816" i="49"/>
  <c r="K817" i="49"/>
  <c r="K818" i="49"/>
  <c r="K819" i="49"/>
  <c r="K820" i="49"/>
  <c r="K821" i="49"/>
  <c r="K822" i="49"/>
  <c r="K823" i="49"/>
  <c r="K234" i="49"/>
  <c r="K825" i="49"/>
  <c r="K826" i="49"/>
  <c r="K827" i="49"/>
  <c r="K828" i="49"/>
  <c r="K829" i="49"/>
  <c r="K830" i="49"/>
  <c r="K831" i="49"/>
  <c r="K832" i="49"/>
  <c r="K833" i="49"/>
  <c r="K834" i="49"/>
  <c r="K308" i="49"/>
  <c r="K836" i="49"/>
  <c r="K837" i="49"/>
  <c r="K838" i="49"/>
  <c r="K839" i="49"/>
  <c r="K840" i="49"/>
  <c r="K841" i="49"/>
  <c r="K842" i="49"/>
  <c r="K843" i="49"/>
  <c r="K844" i="49"/>
  <c r="K845" i="49"/>
  <c r="K846" i="49"/>
  <c r="K847" i="49"/>
  <c r="K848" i="49"/>
  <c r="K849" i="49"/>
  <c r="K850" i="49"/>
  <c r="K206" i="49"/>
  <c r="K86" i="49"/>
  <c r="K522" i="49"/>
  <c r="K854" i="49"/>
  <c r="K855" i="49"/>
  <c r="K856" i="49"/>
  <c r="K857" i="49"/>
  <c r="K858" i="49"/>
  <c r="K859" i="49"/>
  <c r="K860" i="49"/>
  <c r="K861" i="49"/>
  <c r="K862" i="49"/>
  <c r="K863" i="49"/>
  <c r="K864" i="49"/>
  <c r="K865" i="49"/>
  <c r="K866" i="49"/>
  <c r="K867" i="49"/>
  <c r="K868" i="49"/>
  <c r="K869" i="49"/>
  <c r="K870" i="49"/>
  <c r="K871" i="49"/>
  <c r="K872" i="49"/>
  <c r="K873" i="49"/>
  <c r="K874" i="49"/>
  <c r="K875" i="49"/>
  <c r="K876" i="49"/>
  <c r="K877" i="49"/>
  <c r="K878" i="49"/>
  <c r="K879" i="49"/>
  <c r="K1053" i="49"/>
  <c r="K881" i="49"/>
  <c r="K882" i="49"/>
  <c r="K883" i="49"/>
  <c r="K1230" i="49"/>
  <c r="K1214" i="49"/>
  <c r="K886" i="49"/>
  <c r="K887" i="49"/>
  <c r="K888" i="49"/>
  <c r="K78" i="49"/>
  <c r="K890" i="49"/>
  <c r="K891" i="49"/>
  <c r="K892" i="49"/>
  <c r="K893" i="49"/>
  <c r="K894" i="49"/>
  <c r="K895" i="49"/>
  <c r="K896" i="49"/>
  <c r="K897" i="49"/>
  <c r="K898" i="49"/>
  <c r="K899" i="49"/>
  <c r="K900" i="49"/>
  <c r="K901" i="49"/>
  <c r="K902" i="49"/>
  <c r="K405" i="49"/>
  <c r="K298" i="49"/>
  <c r="K905" i="49"/>
  <c r="K906" i="49"/>
  <c r="K907" i="49"/>
  <c r="K908" i="49"/>
  <c r="K212" i="49"/>
  <c r="K910" i="49"/>
  <c r="K911" i="49"/>
  <c r="K912" i="49"/>
  <c r="K913" i="49"/>
  <c r="K914" i="49"/>
  <c r="K915" i="49"/>
  <c r="K916" i="49"/>
  <c r="K917" i="49"/>
  <c r="K918" i="49"/>
  <c r="K919" i="49"/>
  <c r="K920" i="49"/>
  <c r="K1284" i="49"/>
  <c r="K922" i="49"/>
  <c r="K923" i="49"/>
  <c r="K924" i="49"/>
  <c r="K925" i="49"/>
  <c r="K926" i="49"/>
  <c r="K927" i="49"/>
  <c r="K528" i="49"/>
  <c r="K929" i="49"/>
  <c r="K930" i="49"/>
  <c r="K931" i="49"/>
  <c r="K932" i="49"/>
  <c r="K933" i="49"/>
  <c r="K934" i="49"/>
  <c r="K935" i="49"/>
  <c r="K936" i="49"/>
  <c r="K937" i="49"/>
  <c r="K938" i="49"/>
  <c r="K939" i="49"/>
  <c r="K940" i="49"/>
  <c r="K1281" i="49"/>
  <c r="K942" i="49"/>
  <c r="K182" i="49"/>
  <c r="K544" i="49"/>
  <c r="K945" i="49"/>
  <c r="K946" i="49"/>
  <c r="K947" i="49"/>
  <c r="K948" i="49"/>
  <c r="K949" i="49"/>
  <c r="K950" i="49"/>
  <c r="K951" i="49"/>
  <c r="K52" i="49"/>
  <c r="K953" i="49"/>
  <c r="K954" i="49"/>
  <c r="K955" i="49"/>
  <c r="K956" i="49"/>
  <c r="K957" i="49"/>
  <c r="K958" i="49"/>
  <c r="K959" i="49"/>
  <c r="K960" i="49"/>
  <c r="K961" i="49"/>
  <c r="K962" i="49"/>
  <c r="K963" i="49"/>
  <c r="K964" i="49"/>
  <c r="K216" i="49"/>
  <c r="K966" i="49"/>
  <c r="K967" i="49"/>
  <c r="K968" i="49"/>
  <c r="K969" i="49"/>
  <c r="K970" i="49"/>
  <c r="K971" i="49"/>
  <c r="K972" i="49"/>
  <c r="K973" i="49"/>
  <c r="K974" i="49"/>
  <c r="K975" i="49"/>
  <c r="K976" i="49"/>
  <c r="K977" i="49"/>
  <c r="K978" i="49"/>
  <c r="K979" i="49"/>
  <c r="K1349" i="49"/>
  <c r="K179" i="49"/>
  <c r="K1222" i="49"/>
  <c r="K983" i="49"/>
  <c r="K984" i="49"/>
  <c r="K985" i="49"/>
  <c r="K986" i="49"/>
  <c r="K987" i="49"/>
  <c r="K988" i="49"/>
  <c r="K989" i="49"/>
  <c r="K990" i="49"/>
  <c r="K991" i="49"/>
  <c r="K301" i="49"/>
  <c r="K993" i="49"/>
  <c r="K994" i="49"/>
  <c r="K995" i="49"/>
  <c r="K1285" i="49"/>
  <c r="K222" i="49"/>
  <c r="K104" i="49"/>
  <c r="K999" i="49"/>
  <c r="K69" i="49"/>
  <c r="K302" i="49"/>
  <c r="K1002" i="49"/>
  <c r="K59" i="49"/>
  <c r="K1294" i="49"/>
  <c r="K60" i="49"/>
  <c r="K201" i="49"/>
  <c r="K1007" i="49"/>
  <c r="K734" i="49"/>
  <c r="K1009" i="49"/>
  <c r="K1010" i="49"/>
  <c r="K824" i="49"/>
  <c r="K1012" i="49"/>
  <c r="K1013" i="49"/>
  <c r="K1014" i="49"/>
  <c r="K1015" i="49"/>
  <c r="K1016" i="49"/>
  <c r="K1017" i="49"/>
  <c r="K1018" i="49"/>
  <c r="K661" i="49"/>
  <c r="K1020" i="49"/>
  <c r="K1021" i="49"/>
  <c r="K1022" i="49"/>
  <c r="K1023" i="49"/>
  <c r="K1024" i="49"/>
  <c r="K1025" i="49"/>
  <c r="K615" i="49"/>
  <c r="K1027" i="49"/>
  <c r="K1028" i="49"/>
  <c r="K1029" i="49"/>
  <c r="K1030" i="49"/>
  <c r="K1031" i="49"/>
  <c r="K111" i="49"/>
  <c r="K1033" i="49"/>
  <c r="K1034" i="49"/>
  <c r="K1035" i="49"/>
  <c r="K1036" i="49"/>
  <c r="K1037" i="49"/>
  <c r="K1038" i="49"/>
  <c r="K1039" i="49"/>
  <c r="K1040" i="49"/>
  <c r="K1041" i="49"/>
  <c r="K1042" i="49"/>
  <c r="K475" i="49"/>
  <c r="K476" i="49"/>
  <c r="K477" i="49"/>
  <c r="K478" i="49"/>
  <c r="K479" i="49"/>
  <c r="K480" i="49"/>
  <c r="K481" i="49"/>
  <c r="K482" i="49"/>
  <c r="K483" i="49"/>
  <c r="K484" i="49"/>
  <c r="K485" i="49"/>
  <c r="K486" i="49"/>
  <c r="K1055" i="49"/>
  <c r="K1056" i="49"/>
  <c r="K350" i="49"/>
  <c r="K488" i="49"/>
  <c r="K1059" i="49"/>
  <c r="K1060" i="49"/>
  <c r="K1061" i="49"/>
  <c r="K1062" i="49"/>
  <c r="K1063" i="49"/>
  <c r="K1064" i="49"/>
  <c r="K1065" i="49"/>
  <c r="K1066" i="49"/>
  <c r="K1067" i="49"/>
  <c r="K1068" i="49"/>
  <c r="K1069" i="49"/>
  <c r="K1070" i="49"/>
  <c r="K1071" i="49"/>
  <c r="K492" i="49"/>
  <c r="K1073" i="49"/>
  <c r="K1074" i="49"/>
  <c r="K1075" i="49"/>
  <c r="K1076" i="49"/>
  <c r="K1077" i="49"/>
  <c r="K1078" i="49"/>
  <c r="K1079" i="49"/>
  <c r="K1080" i="49"/>
  <c r="K1081" i="49"/>
  <c r="K1082" i="49"/>
  <c r="K1083" i="49"/>
  <c r="K1084" i="49"/>
  <c r="K1085" i="49"/>
  <c r="K236" i="49"/>
  <c r="K1087" i="49"/>
  <c r="K197" i="49"/>
  <c r="K1089" i="49"/>
  <c r="K1090" i="49"/>
  <c r="K203" i="49"/>
  <c r="K1092" i="49"/>
  <c r="K1093" i="49"/>
  <c r="K1094" i="49"/>
  <c r="K1095" i="49"/>
  <c r="K1096" i="49"/>
  <c r="K334" i="49"/>
  <c r="K257" i="49"/>
  <c r="K1099" i="49"/>
  <c r="K1100" i="49"/>
  <c r="K1101" i="49"/>
  <c r="K172" i="49"/>
  <c r="K1103" i="49"/>
  <c r="K1104" i="49"/>
  <c r="K1105" i="49"/>
  <c r="K1106" i="49"/>
  <c r="K1107" i="49"/>
  <c r="K1108" i="49"/>
  <c r="K1109" i="49"/>
  <c r="K1110" i="49"/>
  <c r="K1111" i="49"/>
  <c r="K510" i="49"/>
  <c r="K507" i="49"/>
  <c r="K508" i="49"/>
  <c r="K509" i="49"/>
  <c r="K514" i="49"/>
  <c r="K1117" i="49"/>
  <c r="K1118" i="49"/>
  <c r="K1119" i="49"/>
  <c r="K1120" i="49"/>
  <c r="K1121" i="49"/>
  <c r="K1122" i="49"/>
  <c r="K1123" i="49"/>
  <c r="K403" i="49"/>
  <c r="K1125" i="49"/>
  <c r="K1126" i="49"/>
  <c r="K1127" i="49"/>
  <c r="K1128" i="49"/>
  <c r="K1129" i="49"/>
  <c r="K1130" i="49"/>
  <c r="K1131" i="49"/>
  <c r="K1132" i="49"/>
  <c r="K1133" i="49"/>
  <c r="K1134" i="49"/>
  <c r="K1135" i="49"/>
  <c r="K1136" i="49"/>
  <c r="K1137" i="49"/>
  <c r="K1138" i="49"/>
  <c r="K1139" i="49"/>
  <c r="K1140" i="49"/>
  <c r="K1141" i="49"/>
  <c r="K1142" i="49"/>
  <c r="K1143" i="49"/>
  <c r="K1144" i="49"/>
  <c r="K1145" i="49"/>
  <c r="K1146" i="49"/>
  <c r="K1147" i="49"/>
  <c r="K1148" i="49"/>
  <c r="K1149" i="49"/>
  <c r="K1150" i="49"/>
  <c r="K1151" i="49"/>
  <c r="K1152" i="49"/>
  <c r="K1153" i="49"/>
  <c r="K1154" i="49"/>
  <c r="K1155" i="49"/>
  <c r="K505" i="49"/>
  <c r="K1157" i="49"/>
  <c r="K1158" i="49"/>
  <c r="K1159" i="49"/>
  <c r="K1160" i="49"/>
  <c r="K499" i="49"/>
  <c r="K1162" i="49"/>
  <c r="K1163" i="49"/>
  <c r="K503" i="49"/>
  <c r="K1165" i="49"/>
  <c r="K1166" i="49"/>
  <c r="K1167" i="49"/>
  <c r="K1168" i="49"/>
  <c r="K1169" i="49"/>
  <c r="K1170" i="49"/>
  <c r="K1171" i="49"/>
  <c r="K1172" i="49"/>
  <c r="K1173" i="49"/>
  <c r="K1174" i="49"/>
  <c r="K1175" i="49"/>
  <c r="K1286" i="49"/>
  <c r="K1177" i="49"/>
  <c r="K1178" i="49"/>
  <c r="K1179" i="49"/>
  <c r="K1180" i="49"/>
  <c r="K1181" i="49"/>
  <c r="K1182" i="49"/>
  <c r="K231" i="49"/>
  <c r="K1184" i="49"/>
  <c r="K1185" i="49"/>
  <c r="K1186" i="49"/>
  <c r="K1187" i="49"/>
  <c r="K672" i="49"/>
  <c r="K1189" i="49"/>
  <c r="K1190" i="49"/>
  <c r="K1191" i="49"/>
  <c r="K1192" i="49"/>
  <c r="K1193" i="49"/>
  <c r="K1194" i="49"/>
  <c r="K1195" i="49"/>
  <c r="K1196" i="49"/>
  <c r="K1197" i="49"/>
  <c r="K1198" i="49"/>
  <c r="K1199" i="49"/>
  <c r="K1200" i="49"/>
  <c r="K1201" i="49"/>
  <c r="K1202" i="49"/>
  <c r="K1203" i="49"/>
  <c r="K1204" i="49"/>
  <c r="K1205" i="49"/>
  <c r="K1206" i="49"/>
  <c r="K1207" i="49"/>
  <c r="K1208" i="49"/>
  <c r="K1209" i="49"/>
  <c r="K1210" i="49"/>
  <c r="K1211" i="49"/>
  <c r="K1212" i="49"/>
  <c r="K1213" i="49"/>
  <c r="K529" i="49"/>
  <c r="K546" i="49"/>
  <c r="K547" i="49"/>
  <c r="K1217" i="49"/>
  <c r="K361" i="49"/>
  <c r="K248" i="49"/>
  <c r="K249" i="49"/>
  <c r="K496" i="49"/>
  <c r="K331" i="49"/>
  <c r="K332" i="49"/>
  <c r="K1224" i="49"/>
  <c r="K1225" i="49"/>
  <c r="K1226" i="49"/>
  <c r="K351" i="49"/>
  <c r="K357" i="49"/>
  <c r="K333" i="49"/>
  <c r="K336" i="49"/>
  <c r="K1231" i="49"/>
  <c r="K1232" i="49"/>
  <c r="K1233" i="49"/>
  <c r="K1234" i="49"/>
  <c r="K1235" i="49"/>
  <c r="K233" i="49"/>
  <c r="K1176" i="49"/>
  <c r="K1238" i="49"/>
  <c r="K97" i="49"/>
  <c r="K378" i="49"/>
  <c r="K376" i="49"/>
  <c r="K527" i="49"/>
  <c r="K1243" i="49"/>
  <c r="K1244" i="49"/>
  <c r="K1245" i="49"/>
  <c r="K497" i="49"/>
  <c r="K498" i="49"/>
  <c r="K494" i="49"/>
  <c r="K495" i="49"/>
  <c r="K1250" i="49"/>
  <c r="K1251" i="49"/>
  <c r="K1252" i="49"/>
  <c r="K81" i="49"/>
  <c r="K1254" i="49"/>
  <c r="K1255" i="49"/>
  <c r="K1256" i="49"/>
  <c r="K521" i="49"/>
  <c r="K303" i="49"/>
  <c r="K253" i="49"/>
  <c r="K260" i="49"/>
  <c r="K1261" i="49"/>
  <c r="K1262" i="49"/>
  <c r="K1263" i="49"/>
  <c r="K1264" i="49"/>
  <c r="K1265" i="49"/>
  <c r="K1266" i="49"/>
  <c r="K1267" i="49"/>
  <c r="K61" i="49"/>
  <c r="K1269" i="49"/>
  <c r="K1270" i="49"/>
  <c r="K725" i="49"/>
  <c r="K614" i="49"/>
  <c r="K708" i="49"/>
  <c r="K669" i="49"/>
  <c r="K788" i="49"/>
  <c r="K803" i="49"/>
  <c r="K368" i="49"/>
  <c r="K568" i="49"/>
  <c r="K559" i="49"/>
  <c r="K567" i="49"/>
  <c r="K577" i="49"/>
  <c r="K583" i="49"/>
  <c r="K596" i="49"/>
  <c r="K671" i="49"/>
  <c r="K684" i="49"/>
  <c r="K566" i="49"/>
  <c r="K685" i="49"/>
  <c r="K731" i="49"/>
  <c r="K624" i="49"/>
  <c r="K642" i="49"/>
  <c r="K794" i="49"/>
  <c r="K778" i="49"/>
  <c r="K751" i="49"/>
  <c r="K798" i="49"/>
  <c r="K853" i="49"/>
  <c r="K885" i="49"/>
  <c r="K965" i="49"/>
  <c r="K560" i="49"/>
  <c r="K240" i="49"/>
  <c r="K569" i="49"/>
  <c r="K593" i="49"/>
  <c r="K678" i="49"/>
  <c r="K681" i="49"/>
  <c r="K623" i="49"/>
  <c r="K675" i="49"/>
  <c r="K721" i="49"/>
  <c r="K664" i="49"/>
  <c r="K805" i="49"/>
  <c r="K1000" i="49"/>
  <c r="K633" i="49"/>
  <c r="K1311" i="49"/>
  <c r="K365" i="49"/>
  <c r="K616" i="49"/>
  <c r="K619" i="49"/>
  <c r="K727" i="49"/>
  <c r="K636" i="49"/>
  <c r="K674" i="49"/>
  <c r="K809" i="49"/>
  <c r="K630" i="49"/>
  <c r="K981" i="49"/>
  <c r="K631" i="49"/>
  <c r="K627" i="49"/>
  <c r="K706" i="49"/>
  <c r="K730" i="49"/>
  <c r="K667" i="49"/>
  <c r="K682" i="49"/>
  <c r="K644" i="49"/>
  <c r="K648" i="49"/>
  <c r="K813" i="49"/>
  <c r="K996" i="49"/>
  <c r="K296" i="49"/>
  <c r="K659" i="49"/>
  <c r="K660" i="49"/>
  <c r="K851" i="49"/>
  <c r="K749" i="49"/>
  <c r="K943" i="49"/>
  <c r="K381" i="49"/>
  <c r="K409" i="49"/>
  <c r="K411" i="49"/>
  <c r="K422" i="49"/>
  <c r="K666" i="49"/>
  <c r="K629" i="49"/>
  <c r="K638" i="49"/>
  <c r="K643" i="49"/>
  <c r="K653" i="49"/>
  <c r="K921" i="49"/>
  <c r="K649" i="49"/>
  <c r="K565" i="49"/>
  <c r="K597" i="49"/>
  <c r="K654" i="49"/>
  <c r="K1351" i="49"/>
  <c r="K1352" i="49"/>
  <c r="K1353" i="49"/>
  <c r="K537" i="49"/>
  <c r="K538" i="49"/>
  <c r="K1356" i="49"/>
  <c r="K501" i="49"/>
  <c r="K1358" i="49"/>
  <c r="K340" i="49"/>
  <c r="K1360" i="49"/>
  <c r="K1361" i="49"/>
  <c r="K1362" i="49"/>
  <c r="K1363" i="49"/>
  <c r="K525" i="49"/>
  <c r="K1365" i="49"/>
  <c r="K519" i="49"/>
  <c r="K1367" i="49"/>
  <c r="K1368" i="49"/>
  <c r="K285" i="49"/>
  <c r="K1370" i="49"/>
  <c r="K1371" i="49"/>
  <c r="K1372" i="49"/>
  <c r="K1216" i="49"/>
  <c r="K1218" i="49"/>
  <c r="K1375" i="49"/>
  <c r="K1219" i="49"/>
  <c r="K1377" i="49"/>
  <c r="K1274" i="49"/>
  <c r="K1379" i="49"/>
  <c r="K66" i="49"/>
  <c r="K1381" i="49"/>
  <c r="K1382" i="49"/>
  <c r="K1383" i="49"/>
  <c r="K1384" i="49"/>
  <c r="K1350" i="49"/>
  <c r="K1354" i="49"/>
  <c r="K1355" i="49"/>
  <c r="K1359" i="49"/>
  <c r="K1364" i="49"/>
  <c r="K1366" i="49"/>
  <c r="K1369" i="49"/>
  <c r="K1373" i="49"/>
  <c r="K1374" i="49"/>
  <c r="K1376" i="49"/>
  <c r="K1378" i="49"/>
  <c r="K1380" i="49"/>
  <c r="K1385" i="49"/>
  <c r="K1386" i="49"/>
  <c r="K1387" i="49"/>
  <c r="K1388" i="49"/>
  <c r="K1390" i="49"/>
  <c r="K1391" i="49"/>
  <c r="K1392" i="49"/>
  <c r="K1393" i="49"/>
  <c r="K1394" i="49"/>
  <c r="K1395" i="49"/>
  <c r="K1396" i="49"/>
  <c r="K1397" i="49"/>
  <c r="K1398" i="49"/>
  <c r="K1399" i="49"/>
  <c r="K1400" i="49"/>
  <c r="K1401" i="49"/>
  <c r="K1402" i="49"/>
  <c r="K1403" i="49"/>
  <c r="K1404" i="49"/>
  <c r="K1405" i="49"/>
  <c r="K1406" i="49"/>
  <c r="K1407" i="49"/>
  <c r="K1408" i="49"/>
  <c r="K1420" i="49"/>
  <c r="K1421" i="49"/>
  <c r="K1422" i="49"/>
  <c r="K1423" i="49"/>
  <c r="K1424" i="49"/>
  <c r="K1425" i="49"/>
  <c r="K1426" i="49"/>
  <c r="K1427" i="49"/>
  <c r="K1428" i="49"/>
  <c r="K1429" i="49"/>
  <c r="K1430" i="49"/>
  <c r="K1431" i="49"/>
  <c r="K1432" i="49"/>
  <c r="K38" i="49"/>
  <c r="K40" i="49"/>
  <c r="K1435" i="49"/>
  <c r="K39" i="49"/>
  <c r="K1437" i="49"/>
  <c r="K1438" i="49"/>
  <c r="K1439" i="49"/>
  <c r="K1440" i="49"/>
  <c r="K676" i="49"/>
  <c r="K1442" i="49"/>
  <c r="K1443" i="49"/>
  <c r="K31" i="49"/>
  <c r="K1445" i="49"/>
  <c r="K1446" i="49"/>
  <c r="K1447" i="49"/>
  <c r="K1448" i="49"/>
  <c r="K1449" i="49"/>
  <c r="K1450" i="49"/>
  <c r="K1451" i="49"/>
  <c r="K1452" i="49"/>
  <c r="K1453" i="49"/>
  <c r="K1116" i="49"/>
  <c r="K1124" i="49"/>
  <c r="K1156" i="49"/>
  <c r="K1161" i="49"/>
  <c r="K1164" i="49"/>
  <c r="K1459" i="49"/>
  <c r="K337" i="49"/>
  <c r="K1461" i="49"/>
  <c r="K1462" i="49"/>
  <c r="K1463" i="49"/>
  <c r="K1464" i="49"/>
  <c r="K1465" i="49"/>
  <c r="K1466" i="49"/>
  <c r="K1467" i="49"/>
  <c r="K1468" i="49"/>
  <c r="K1469" i="49"/>
  <c r="K1470" i="49"/>
  <c r="D312" i="34" l="1"/>
  <c r="D313" i="34"/>
  <c r="D314" i="34"/>
  <c r="I46" i="55"/>
  <c r="J46" i="55" s="1"/>
  <c r="H47" i="55"/>
  <c r="F16" i="36"/>
  <c r="G16" i="36" s="1"/>
  <c r="B45" i="41"/>
  <c r="B44" i="41"/>
  <c r="B28" i="41"/>
  <c r="B20" i="41"/>
  <c r="B19" i="41"/>
  <c r="B16" i="41"/>
  <c r="B15" i="41"/>
  <c r="B14" i="40"/>
  <c r="F18" i="18"/>
  <c r="F14" i="18"/>
  <c r="H48" i="55" l="1"/>
  <c r="I47" i="55"/>
  <c r="J47" i="55" s="1"/>
  <c r="L33" i="18"/>
  <c r="L32" i="18"/>
  <c r="H49" i="55" l="1"/>
  <c r="I48" i="55"/>
  <c r="J48" i="55" s="1"/>
  <c r="C8" i="18"/>
  <c r="I18" i="34"/>
  <c r="I19" i="34"/>
  <c r="I20" i="34"/>
  <c r="I21" i="34"/>
  <c r="I22" i="34"/>
  <c r="I23" i="34"/>
  <c r="I24" i="34"/>
  <c r="I25" i="34"/>
  <c r="I26" i="34"/>
  <c r="I27" i="34"/>
  <c r="I28" i="34"/>
  <c r="I29" i="34"/>
  <c r="I30" i="34"/>
  <c r="I31" i="34"/>
  <c r="I32" i="34"/>
  <c r="I33" i="34"/>
  <c r="I34" i="34"/>
  <c r="I35" i="34"/>
  <c r="I36" i="34"/>
  <c r="I37" i="34"/>
  <c r="I38" i="34"/>
  <c r="I39" i="34"/>
  <c r="I40" i="34"/>
  <c r="I41" i="34"/>
  <c r="I42" i="34"/>
  <c r="I43" i="34"/>
  <c r="I44" i="34"/>
  <c r="I45" i="34"/>
  <c r="I46" i="34"/>
  <c r="I47" i="34"/>
  <c r="I48" i="34"/>
  <c r="I49" i="34"/>
  <c r="I50" i="34"/>
  <c r="I51" i="34"/>
  <c r="I52" i="34"/>
  <c r="I53" i="34"/>
  <c r="I54" i="34"/>
  <c r="I55" i="34"/>
  <c r="I56" i="34"/>
  <c r="I57" i="34"/>
  <c r="I58" i="34"/>
  <c r="I59" i="34"/>
  <c r="I60" i="34"/>
  <c r="I61" i="34"/>
  <c r="I62" i="34"/>
  <c r="I63" i="34"/>
  <c r="I64" i="34"/>
  <c r="I65" i="34"/>
  <c r="I66" i="34"/>
  <c r="I67" i="34"/>
  <c r="I68" i="34"/>
  <c r="I69" i="34"/>
  <c r="I70" i="34"/>
  <c r="I71" i="34"/>
  <c r="I72" i="34"/>
  <c r="I73" i="34"/>
  <c r="I74" i="34"/>
  <c r="I75" i="34"/>
  <c r="I76" i="34"/>
  <c r="I77" i="34"/>
  <c r="I78" i="34"/>
  <c r="I79" i="34"/>
  <c r="I80" i="34"/>
  <c r="I81" i="34"/>
  <c r="I82" i="34"/>
  <c r="I83" i="34"/>
  <c r="I84" i="34"/>
  <c r="I85" i="34"/>
  <c r="I86" i="34"/>
  <c r="I87" i="34"/>
  <c r="I88" i="34"/>
  <c r="I89" i="34"/>
  <c r="I90" i="34"/>
  <c r="I91" i="34"/>
  <c r="I92" i="34"/>
  <c r="I93" i="34"/>
  <c r="I94" i="34"/>
  <c r="I95" i="34"/>
  <c r="I96" i="34"/>
  <c r="I97" i="34"/>
  <c r="I98" i="34"/>
  <c r="I99" i="34"/>
  <c r="I100" i="34"/>
  <c r="I101" i="34"/>
  <c r="I102" i="34"/>
  <c r="I103" i="34"/>
  <c r="I104" i="34"/>
  <c r="I105" i="34"/>
  <c r="I106" i="34"/>
  <c r="I107" i="34"/>
  <c r="I108" i="34"/>
  <c r="I109" i="34"/>
  <c r="I110" i="34"/>
  <c r="I111" i="34"/>
  <c r="I112" i="34"/>
  <c r="I113" i="34"/>
  <c r="I114" i="34"/>
  <c r="I115" i="34"/>
  <c r="I116" i="34"/>
  <c r="I117" i="34"/>
  <c r="I118" i="34"/>
  <c r="I119" i="34"/>
  <c r="I120" i="34"/>
  <c r="I121" i="34"/>
  <c r="I122" i="34"/>
  <c r="I123" i="34"/>
  <c r="I124" i="34"/>
  <c r="I125" i="34"/>
  <c r="I126" i="34"/>
  <c r="I127" i="34"/>
  <c r="I128" i="34"/>
  <c r="I129" i="34"/>
  <c r="I130" i="34"/>
  <c r="I131" i="34"/>
  <c r="I132" i="34"/>
  <c r="I133" i="34"/>
  <c r="I134" i="34"/>
  <c r="I135" i="34"/>
  <c r="I136" i="34"/>
  <c r="I137" i="34"/>
  <c r="I138" i="34"/>
  <c r="I139" i="34"/>
  <c r="I140" i="34"/>
  <c r="I141" i="34"/>
  <c r="I142" i="34"/>
  <c r="I143" i="34"/>
  <c r="I144" i="34"/>
  <c r="I145" i="34"/>
  <c r="I146" i="34"/>
  <c r="I147" i="34"/>
  <c r="I148" i="34"/>
  <c r="I149" i="34"/>
  <c r="I150" i="34"/>
  <c r="I151" i="34"/>
  <c r="I152" i="34"/>
  <c r="I153" i="34"/>
  <c r="I154" i="34"/>
  <c r="I155" i="34"/>
  <c r="I156" i="34"/>
  <c r="I157" i="34"/>
  <c r="I158" i="34"/>
  <c r="I159" i="34"/>
  <c r="I160" i="34"/>
  <c r="I161" i="34"/>
  <c r="I162" i="34"/>
  <c r="I163" i="34"/>
  <c r="I164" i="34"/>
  <c r="I165" i="34"/>
  <c r="I166" i="34"/>
  <c r="I167" i="34"/>
  <c r="I168" i="34"/>
  <c r="I169" i="34"/>
  <c r="I170" i="34"/>
  <c r="I171" i="34"/>
  <c r="I172" i="34"/>
  <c r="I173" i="34"/>
  <c r="I174" i="34"/>
  <c r="I175" i="34"/>
  <c r="I176" i="34"/>
  <c r="I177" i="34"/>
  <c r="I178" i="34"/>
  <c r="I179" i="34"/>
  <c r="I180" i="34"/>
  <c r="I181" i="34"/>
  <c r="I182" i="34"/>
  <c r="I183" i="34"/>
  <c r="I184" i="34"/>
  <c r="I185" i="34"/>
  <c r="I186" i="34"/>
  <c r="I187" i="34"/>
  <c r="I188" i="34"/>
  <c r="I189" i="34"/>
  <c r="I190" i="34"/>
  <c r="I191" i="34"/>
  <c r="I192" i="34"/>
  <c r="I193" i="34"/>
  <c r="I194" i="34"/>
  <c r="I195" i="34"/>
  <c r="I196" i="34"/>
  <c r="I199" i="34"/>
  <c r="I200" i="34"/>
  <c r="I201" i="34"/>
  <c r="I202" i="34"/>
  <c r="I203" i="34"/>
  <c r="I204" i="34"/>
  <c r="I205" i="34"/>
  <c r="I206" i="34"/>
  <c r="I207" i="34"/>
  <c r="I208" i="34"/>
  <c r="I209" i="34"/>
  <c r="I210" i="34"/>
  <c r="I211" i="34"/>
  <c r="I212" i="34"/>
  <c r="I213" i="34"/>
  <c r="I214" i="34"/>
  <c r="I215" i="34"/>
  <c r="I216" i="34"/>
  <c r="I217" i="34"/>
  <c r="I218" i="34"/>
  <c r="I219" i="34"/>
  <c r="I220" i="34"/>
  <c r="I221" i="34"/>
  <c r="I222" i="34"/>
  <c r="I223" i="34"/>
  <c r="I224" i="34"/>
  <c r="I225" i="34"/>
  <c r="I226" i="34"/>
  <c r="I227" i="34"/>
  <c r="I228" i="34"/>
  <c r="I229" i="34"/>
  <c r="I230" i="34"/>
  <c r="I231" i="34"/>
  <c r="I232" i="34"/>
  <c r="I233" i="34"/>
  <c r="I234" i="34"/>
  <c r="I235" i="34"/>
  <c r="I236" i="34"/>
  <c r="I237" i="34"/>
  <c r="I238" i="34"/>
  <c r="I239" i="34"/>
  <c r="I240" i="34"/>
  <c r="I241" i="34"/>
  <c r="I242" i="34"/>
  <c r="I243" i="34"/>
  <c r="I244" i="34"/>
  <c r="I245" i="34"/>
  <c r="I246" i="34"/>
  <c r="I247" i="34"/>
  <c r="I248" i="34"/>
  <c r="I249" i="34"/>
  <c r="I250" i="34"/>
  <c r="I251" i="34"/>
  <c r="I252" i="34"/>
  <c r="I253" i="34"/>
  <c r="I254" i="34"/>
  <c r="I255" i="34"/>
  <c r="I256" i="34"/>
  <c r="I257" i="34"/>
  <c r="I258" i="34"/>
  <c r="I259" i="34"/>
  <c r="I260" i="34"/>
  <c r="I261" i="34"/>
  <c r="I262" i="34"/>
  <c r="I263" i="34"/>
  <c r="I264" i="34"/>
  <c r="I265" i="34"/>
  <c r="I266" i="34"/>
  <c r="I267" i="34"/>
  <c r="I268" i="34"/>
  <c r="I269" i="34"/>
  <c r="I270" i="34"/>
  <c r="I271" i="34"/>
  <c r="I272" i="34"/>
  <c r="I273" i="34"/>
  <c r="I274" i="34"/>
  <c r="I275" i="34"/>
  <c r="I276" i="34"/>
  <c r="I277" i="34"/>
  <c r="I279" i="34"/>
  <c r="I280" i="34"/>
  <c r="I281" i="34"/>
  <c r="I282" i="34"/>
  <c r="I283" i="34"/>
  <c r="I284" i="34"/>
  <c r="I285" i="34"/>
  <c r="I286" i="34"/>
  <c r="I287" i="34"/>
  <c r="I288" i="34"/>
  <c r="I289" i="34"/>
  <c r="I290" i="34"/>
  <c r="I291" i="34"/>
  <c r="I292" i="34"/>
  <c r="I293" i="34"/>
  <c r="I294" i="34"/>
  <c r="I295" i="34"/>
  <c r="I296" i="34"/>
  <c r="I297" i="34"/>
  <c r="I298" i="34"/>
  <c r="I299" i="34"/>
  <c r="I300" i="34"/>
  <c r="I301" i="34"/>
  <c r="I302" i="34"/>
  <c r="I303" i="34"/>
  <c r="I304" i="34"/>
  <c r="I305" i="34"/>
  <c r="I306" i="34"/>
  <c r="I307" i="34"/>
  <c r="I308" i="34"/>
  <c r="I309" i="34"/>
  <c r="I310" i="34"/>
  <c r="I312" i="34"/>
  <c r="I313" i="34"/>
  <c r="I314" i="34"/>
  <c r="I315" i="34"/>
  <c r="I316" i="34"/>
  <c r="I317" i="34"/>
  <c r="I318" i="34"/>
  <c r="I319" i="34"/>
  <c r="I320" i="34"/>
  <c r="I321" i="34"/>
  <c r="I322" i="34"/>
  <c r="I323" i="34"/>
  <c r="I324" i="34"/>
  <c r="I325" i="34"/>
  <c r="I326" i="34"/>
  <c r="I327" i="34"/>
  <c r="I328" i="34"/>
  <c r="I329" i="34"/>
  <c r="I330" i="34"/>
  <c r="I331" i="34"/>
  <c r="I332" i="34"/>
  <c r="I333" i="34"/>
  <c r="I334" i="34"/>
  <c r="I335" i="34"/>
  <c r="I336" i="34"/>
  <c r="I337" i="34"/>
  <c r="I338" i="34"/>
  <c r="I339" i="34"/>
  <c r="I340" i="34"/>
  <c r="I341" i="34"/>
  <c r="I342" i="34"/>
  <c r="I343" i="34"/>
  <c r="I344" i="34"/>
  <c r="I345" i="34"/>
  <c r="I346" i="34"/>
  <c r="I347" i="34"/>
  <c r="I348" i="34"/>
  <c r="I349" i="34"/>
  <c r="I350" i="34"/>
  <c r="I351" i="34"/>
  <c r="I352" i="34"/>
  <c r="I353" i="34"/>
  <c r="I354" i="34"/>
  <c r="I355" i="34"/>
  <c r="I356" i="34"/>
  <c r="I357" i="34"/>
  <c r="I358" i="34"/>
  <c r="I359" i="34"/>
  <c r="I360" i="34"/>
  <c r="I361" i="34"/>
  <c r="I362" i="34"/>
  <c r="I363" i="34"/>
  <c r="I364" i="34"/>
  <c r="I365" i="34"/>
  <c r="I366" i="34"/>
  <c r="I367" i="34"/>
  <c r="I368" i="34"/>
  <c r="I369" i="34"/>
  <c r="I370" i="34"/>
  <c r="I371" i="34"/>
  <c r="I372" i="34"/>
  <c r="I373" i="34"/>
  <c r="I374" i="34"/>
  <c r="I375" i="34"/>
  <c r="I376" i="34"/>
  <c r="I377" i="34"/>
  <c r="I378" i="34"/>
  <c r="I379" i="34"/>
  <c r="I380" i="34"/>
  <c r="I381" i="34"/>
  <c r="I382" i="34"/>
  <c r="I383" i="34"/>
  <c r="I384" i="34"/>
  <c r="I385" i="34"/>
  <c r="I386" i="34"/>
  <c r="I387" i="34"/>
  <c r="I388" i="34"/>
  <c r="I389" i="34"/>
  <c r="I390" i="34"/>
  <c r="I391" i="34"/>
  <c r="I392" i="34"/>
  <c r="I393" i="34"/>
  <c r="I394" i="34"/>
  <c r="I395" i="34"/>
  <c r="I396" i="34"/>
  <c r="I397" i="34"/>
  <c r="I398" i="34"/>
  <c r="I399" i="34"/>
  <c r="I400" i="34"/>
  <c r="I401" i="34"/>
  <c r="I402" i="34"/>
  <c r="I403" i="34"/>
  <c r="I404" i="34"/>
  <c r="I405" i="34"/>
  <c r="I406" i="34"/>
  <c r="I407" i="34"/>
  <c r="I408" i="34"/>
  <c r="I409" i="34"/>
  <c r="I410" i="34"/>
  <c r="I411" i="34"/>
  <c r="I412" i="34"/>
  <c r="I413" i="34"/>
  <c r="I414" i="34"/>
  <c r="I415" i="34"/>
  <c r="I416" i="34"/>
  <c r="I417" i="34"/>
  <c r="I418" i="34"/>
  <c r="I419" i="34"/>
  <c r="I420" i="34"/>
  <c r="I421" i="34"/>
  <c r="I422" i="34"/>
  <c r="I423" i="34"/>
  <c r="I424" i="34"/>
  <c r="I425" i="34"/>
  <c r="I426" i="34"/>
  <c r="I427" i="34"/>
  <c r="I428" i="34"/>
  <c r="I429" i="34"/>
  <c r="I430" i="34"/>
  <c r="I431" i="34"/>
  <c r="I432" i="34"/>
  <c r="I433" i="34"/>
  <c r="I434" i="34"/>
  <c r="I435" i="34"/>
  <c r="I436" i="34"/>
  <c r="I437" i="34"/>
  <c r="I438" i="34"/>
  <c r="I439" i="34"/>
  <c r="I440" i="34"/>
  <c r="I441" i="34"/>
  <c r="I442" i="34"/>
  <c r="I443" i="34"/>
  <c r="I444" i="34"/>
  <c r="I445" i="34"/>
  <c r="I446" i="34"/>
  <c r="I447" i="34"/>
  <c r="I448" i="34"/>
  <c r="I449" i="34"/>
  <c r="I450" i="34"/>
  <c r="I451" i="34"/>
  <c r="I452" i="34"/>
  <c r="I453" i="34"/>
  <c r="I454" i="34"/>
  <c r="I455" i="34"/>
  <c r="I456" i="34"/>
  <c r="I457" i="34"/>
  <c r="I458" i="34"/>
  <c r="I459" i="34"/>
  <c r="I460" i="34"/>
  <c r="I461" i="34"/>
  <c r="I462" i="34"/>
  <c r="I463" i="34"/>
  <c r="I464" i="34"/>
  <c r="I465" i="34"/>
  <c r="I466" i="34"/>
  <c r="I467" i="34"/>
  <c r="I468" i="34"/>
  <c r="I469" i="34"/>
  <c r="I470" i="34"/>
  <c r="I471" i="34"/>
  <c r="I472" i="34"/>
  <c r="I473" i="34"/>
  <c r="I474" i="34"/>
  <c r="I475" i="34"/>
  <c r="I476" i="34"/>
  <c r="I477" i="34"/>
  <c r="I478" i="34"/>
  <c r="I479" i="34"/>
  <c r="I480" i="34"/>
  <c r="I481" i="34"/>
  <c r="I482" i="34"/>
  <c r="I483" i="34"/>
  <c r="I484" i="34"/>
  <c r="I485" i="34"/>
  <c r="I486" i="34"/>
  <c r="I487" i="34"/>
  <c r="I488" i="34"/>
  <c r="I489" i="34"/>
  <c r="I490" i="34"/>
  <c r="I491" i="34"/>
  <c r="I492" i="34"/>
  <c r="I493" i="34"/>
  <c r="I494" i="34"/>
  <c r="I495" i="34"/>
  <c r="I496" i="34"/>
  <c r="I497" i="34"/>
  <c r="I498" i="34"/>
  <c r="I499" i="34"/>
  <c r="I500" i="34"/>
  <c r="I501" i="34"/>
  <c r="I502" i="34"/>
  <c r="I503" i="34"/>
  <c r="I504" i="34"/>
  <c r="I505" i="34"/>
  <c r="I506" i="34"/>
  <c r="I507" i="34"/>
  <c r="I508" i="34"/>
  <c r="I509" i="34"/>
  <c r="I510" i="34"/>
  <c r="I511" i="34"/>
  <c r="I512" i="34"/>
  <c r="I513" i="34"/>
  <c r="I514" i="34"/>
  <c r="I515" i="34"/>
  <c r="I516" i="34"/>
  <c r="I278" i="34"/>
  <c r="I517" i="34"/>
  <c r="I518" i="34"/>
  <c r="I519" i="34"/>
  <c r="I520" i="34"/>
  <c r="I521" i="34"/>
  <c r="I522" i="34"/>
  <c r="I523" i="34"/>
  <c r="I524" i="34"/>
  <c r="I525" i="34"/>
  <c r="I526" i="34"/>
  <c r="I527" i="34"/>
  <c r="I528" i="34"/>
  <c r="I529" i="34"/>
  <c r="I530" i="34"/>
  <c r="I531" i="34"/>
  <c r="I532" i="34"/>
  <c r="I533" i="34"/>
  <c r="I534" i="34"/>
  <c r="I535" i="34"/>
  <c r="I536" i="34"/>
  <c r="I537" i="34"/>
  <c r="I538" i="34"/>
  <c r="I539" i="34"/>
  <c r="I540" i="34"/>
  <c r="I541" i="34"/>
  <c r="I542" i="34"/>
  <c r="I543" i="34"/>
  <c r="I544" i="34"/>
  <c r="I545" i="34"/>
  <c r="I546" i="34"/>
  <c r="I547" i="34"/>
  <c r="I548" i="34"/>
  <c r="I549" i="34"/>
  <c r="I550" i="34"/>
  <c r="I551" i="34"/>
  <c r="I552" i="34"/>
  <c r="I553" i="34"/>
  <c r="I554" i="34"/>
  <c r="I555" i="34"/>
  <c r="I556" i="34"/>
  <c r="I557" i="34"/>
  <c r="I558" i="34"/>
  <c r="I559" i="34"/>
  <c r="I560" i="34"/>
  <c r="I561" i="34"/>
  <c r="I562" i="34"/>
  <c r="I563" i="34"/>
  <c r="I564" i="34"/>
  <c r="I565" i="34"/>
  <c r="I566" i="34"/>
  <c r="I567" i="34"/>
  <c r="I568" i="34"/>
  <c r="I569" i="34"/>
  <c r="I570" i="34"/>
  <c r="I571" i="34"/>
  <c r="I572" i="34"/>
  <c r="I573" i="34"/>
  <c r="I574" i="34"/>
  <c r="I575" i="34"/>
  <c r="I576" i="34"/>
  <c r="I577" i="34"/>
  <c r="I578" i="34"/>
  <c r="I579" i="34"/>
  <c r="I580" i="34"/>
  <c r="I581" i="34"/>
  <c r="I582" i="34"/>
  <c r="I583" i="34"/>
  <c r="I584" i="34"/>
  <c r="I585" i="34"/>
  <c r="I586" i="34"/>
  <c r="I587" i="34"/>
  <c r="I588" i="34"/>
  <c r="I589" i="34"/>
  <c r="I590" i="34"/>
  <c r="I591" i="34"/>
  <c r="I592" i="34"/>
  <c r="I593" i="34"/>
  <c r="I594" i="34"/>
  <c r="I595" i="34"/>
  <c r="I596" i="34"/>
  <c r="I597" i="34"/>
  <c r="I598" i="34"/>
  <c r="I599" i="34"/>
  <c r="I600" i="34"/>
  <c r="I601" i="34"/>
  <c r="I602" i="34"/>
  <c r="I603" i="34"/>
  <c r="I604" i="34"/>
  <c r="I605" i="34"/>
  <c r="I606" i="34"/>
  <c r="I607" i="34"/>
  <c r="I608" i="34"/>
  <c r="I609" i="34"/>
  <c r="I610" i="34"/>
  <c r="I611" i="34"/>
  <c r="I612" i="34"/>
  <c r="I613" i="34"/>
  <c r="I614" i="34"/>
  <c r="I615" i="34"/>
  <c r="I616" i="34"/>
  <c r="I617" i="34"/>
  <c r="I618" i="34"/>
  <c r="I619" i="34"/>
  <c r="I620" i="34"/>
  <c r="I621" i="34"/>
  <c r="I622" i="34"/>
  <c r="I623" i="34"/>
  <c r="I624" i="34"/>
  <c r="I625" i="34"/>
  <c r="I626" i="34"/>
  <c r="I627" i="34"/>
  <c r="I628" i="34"/>
  <c r="I629" i="34"/>
  <c r="I630" i="34"/>
  <c r="I631" i="34"/>
  <c r="I632" i="34"/>
  <c r="I633" i="34"/>
  <c r="I634" i="34"/>
  <c r="I635" i="34"/>
  <c r="I636" i="34"/>
  <c r="I637" i="34"/>
  <c r="I638" i="34"/>
  <c r="I639" i="34"/>
  <c r="I640" i="34"/>
  <c r="I641" i="34"/>
  <c r="I642" i="34"/>
  <c r="I643" i="34"/>
  <c r="I644" i="34"/>
  <c r="I645" i="34"/>
  <c r="I646" i="34"/>
  <c r="I647" i="34"/>
  <c r="I648" i="34"/>
  <c r="I649" i="34"/>
  <c r="I650" i="34"/>
  <c r="I651" i="34"/>
  <c r="I652" i="34"/>
  <c r="I653" i="34"/>
  <c r="I654" i="34"/>
  <c r="I655" i="34"/>
  <c r="I656" i="34"/>
  <c r="I657" i="34"/>
  <c r="I658" i="34"/>
  <c r="I659" i="34"/>
  <c r="I660" i="34"/>
  <c r="I661" i="34"/>
  <c r="I662" i="34"/>
  <c r="I663" i="34"/>
  <c r="I664" i="34"/>
  <c r="I665" i="34"/>
  <c r="I666" i="34"/>
  <c r="I667" i="34"/>
  <c r="I668" i="34"/>
  <c r="I669" i="34"/>
  <c r="I670" i="34"/>
  <c r="I671" i="34"/>
  <c r="I672" i="34"/>
  <c r="I673" i="34"/>
  <c r="I674" i="34"/>
  <c r="I675" i="34"/>
  <c r="I676" i="34"/>
  <c r="I677" i="34"/>
  <c r="I678" i="34"/>
  <c r="I679" i="34"/>
  <c r="I680" i="34"/>
  <c r="I681" i="34"/>
  <c r="I682" i="34"/>
  <c r="I683" i="34"/>
  <c r="I684" i="34"/>
  <c r="I685" i="34"/>
  <c r="I686" i="34"/>
  <c r="I687" i="34"/>
  <c r="I688" i="34"/>
  <c r="I689" i="34"/>
  <c r="I690" i="34"/>
  <c r="I691" i="34"/>
  <c r="I692" i="34"/>
  <c r="I693" i="34"/>
  <c r="I694" i="34"/>
  <c r="I695" i="34"/>
  <c r="I696" i="34"/>
  <c r="I697" i="34"/>
  <c r="I698" i="34"/>
  <c r="I699" i="34"/>
  <c r="I700" i="34"/>
  <c r="I701" i="34"/>
  <c r="I702" i="34"/>
  <c r="I703" i="34"/>
  <c r="I704" i="34"/>
  <c r="I705" i="34"/>
  <c r="I17" i="34"/>
  <c r="H50" i="55" l="1"/>
  <c r="I49" i="55"/>
  <c r="J49" i="55" s="1"/>
  <c r="Q15" i="36"/>
  <c r="Q14" i="36"/>
  <c r="D550" i="36"/>
  <c r="E550" i="36" s="1"/>
  <c r="F550" i="36" s="1"/>
  <c r="G550" i="36" s="1"/>
  <c r="E549" i="36"/>
  <c r="F549" i="36" s="1"/>
  <c r="G549" i="36" s="1"/>
  <c r="E548" i="36"/>
  <c r="F548" i="36" s="1"/>
  <c r="G548" i="36" s="1"/>
  <c r="E547" i="36"/>
  <c r="F547" i="36" s="1"/>
  <c r="G547" i="36" s="1"/>
  <c r="E546" i="36"/>
  <c r="F546" i="36" s="1"/>
  <c r="G546" i="36" s="1"/>
  <c r="E545" i="36"/>
  <c r="F545" i="36" s="1"/>
  <c r="G545" i="36" s="1"/>
  <c r="E544" i="36"/>
  <c r="F544" i="36" s="1"/>
  <c r="G544" i="36" s="1"/>
  <c r="E543" i="36"/>
  <c r="F543" i="36" s="1"/>
  <c r="G543" i="36" s="1"/>
  <c r="E542" i="36"/>
  <c r="F542" i="36" s="1"/>
  <c r="G542" i="36" s="1"/>
  <c r="E541" i="36"/>
  <c r="F541" i="36" s="1"/>
  <c r="G541" i="36" s="1"/>
  <c r="E540" i="36"/>
  <c r="F540" i="36" s="1"/>
  <c r="G540" i="36" s="1"/>
  <c r="E539" i="36"/>
  <c r="F539" i="36" s="1"/>
  <c r="G539" i="36" s="1"/>
  <c r="E538" i="36"/>
  <c r="F538" i="36" s="1"/>
  <c r="G538" i="36" s="1"/>
  <c r="E537" i="36"/>
  <c r="F537" i="36" s="1"/>
  <c r="G537" i="36" s="1"/>
  <c r="E536" i="36"/>
  <c r="F536" i="36" s="1"/>
  <c r="G536" i="36" s="1"/>
  <c r="E535" i="36"/>
  <c r="F535" i="36" s="1"/>
  <c r="G535" i="36" s="1"/>
  <c r="E534" i="36"/>
  <c r="F534" i="36" s="1"/>
  <c r="G534" i="36" s="1"/>
  <c r="E533" i="36"/>
  <c r="F533" i="36" s="1"/>
  <c r="G533" i="36" s="1"/>
  <c r="E532" i="36"/>
  <c r="F532" i="36" s="1"/>
  <c r="G532" i="36" s="1"/>
  <c r="E531" i="36"/>
  <c r="F531" i="36" s="1"/>
  <c r="G531" i="36" s="1"/>
  <c r="E530" i="36"/>
  <c r="F530" i="36" s="1"/>
  <c r="G530" i="36" s="1"/>
  <c r="E529" i="36"/>
  <c r="F529" i="36" s="1"/>
  <c r="G529" i="36" s="1"/>
  <c r="E528" i="36"/>
  <c r="F528" i="36" s="1"/>
  <c r="G528" i="36" s="1"/>
  <c r="E527" i="36"/>
  <c r="F527" i="36" s="1"/>
  <c r="G527" i="36" s="1"/>
  <c r="E526" i="36"/>
  <c r="F526" i="36" s="1"/>
  <c r="G526" i="36" s="1"/>
  <c r="E525" i="36"/>
  <c r="F525" i="36" s="1"/>
  <c r="G525" i="36" s="1"/>
  <c r="E524" i="36"/>
  <c r="F524" i="36" s="1"/>
  <c r="G524" i="36" s="1"/>
  <c r="E523" i="36"/>
  <c r="F523" i="36" s="1"/>
  <c r="G523" i="36" s="1"/>
  <c r="E522" i="36"/>
  <c r="F522" i="36" s="1"/>
  <c r="G522" i="36" s="1"/>
  <c r="E521" i="36"/>
  <c r="F521" i="36" s="1"/>
  <c r="G521" i="36" s="1"/>
  <c r="E520" i="36"/>
  <c r="F520" i="36" s="1"/>
  <c r="G520" i="36" s="1"/>
  <c r="E519" i="36"/>
  <c r="F519" i="36" s="1"/>
  <c r="G519" i="36" s="1"/>
  <c r="E518" i="36"/>
  <c r="F518" i="36" s="1"/>
  <c r="G518" i="36" s="1"/>
  <c r="E517" i="36"/>
  <c r="F517" i="36" s="1"/>
  <c r="G517" i="36" s="1"/>
  <c r="E516" i="36"/>
  <c r="F516" i="36" s="1"/>
  <c r="G516" i="36" s="1"/>
  <c r="E515" i="36"/>
  <c r="F515" i="36" s="1"/>
  <c r="G515" i="36" s="1"/>
  <c r="E514" i="36"/>
  <c r="F514" i="36" s="1"/>
  <c r="G514" i="36" s="1"/>
  <c r="E513" i="36"/>
  <c r="F513" i="36" s="1"/>
  <c r="G513" i="36" s="1"/>
  <c r="E512" i="36"/>
  <c r="F512" i="36" s="1"/>
  <c r="G512" i="36" s="1"/>
  <c r="E511" i="36"/>
  <c r="F511" i="36" s="1"/>
  <c r="G511" i="36" s="1"/>
  <c r="E510" i="36"/>
  <c r="F510" i="36" s="1"/>
  <c r="G510" i="36" s="1"/>
  <c r="E509" i="36"/>
  <c r="F509" i="36" s="1"/>
  <c r="G509" i="36" s="1"/>
  <c r="E508" i="36"/>
  <c r="F508" i="36" s="1"/>
  <c r="G508" i="36" s="1"/>
  <c r="E507" i="36"/>
  <c r="F507" i="36" s="1"/>
  <c r="G507" i="36" s="1"/>
  <c r="E506" i="36"/>
  <c r="F506" i="36" s="1"/>
  <c r="G506" i="36" s="1"/>
  <c r="E505" i="36"/>
  <c r="F505" i="36" s="1"/>
  <c r="G505" i="36" s="1"/>
  <c r="E504" i="36"/>
  <c r="F504" i="36" s="1"/>
  <c r="G504" i="36" s="1"/>
  <c r="E503" i="36"/>
  <c r="F503" i="36" s="1"/>
  <c r="G503" i="36" s="1"/>
  <c r="E502" i="36"/>
  <c r="F502" i="36" s="1"/>
  <c r="G502" i="36" s="1"/>
  <c r="E501" i="36"/>
  <c r="F501" i="36" s="1"/>
  <c r="G501" i="36" s="1"/>
  <c r="E500" i="36"/>
  <c r="F500" i="36" s="1"/>
  <c r="G500" i="36" s="1"/>
  <c r="E499" i="36"/>
  <c r="F499" i="36" s="1"/>
  <c r="G499" i="36" s="1"/>
  <c r="E498" i="36"/>
  <c r="F498" i="36" s="1"/>
  <c r="G498" i="36" s="1"/>
  <c r="E497" i="36"/>
  <c r="F497" i="36" s="1"/>
  <c r="G497" i="36" s="1"/>
  <c r="E496" i="36"/>
  <c r="F496" i="36" s="1"/>
  <c r="G496" i="36" s="1"/>
  <c r="E495" i="36"/>
  <c r="F495" i="36" s="1"/>
  <c r="G495" i="36" s="1"/>
  <c r="E494" i="36"/>
  <c r="F494" i="36" s="1"/>
  <c r="G494" i="36" s="1"/>
  <c r="E493" i="36"/>
  <c r="F493" i="36" s="1"/>
  <c r="G493" i="36" s="1"/>
  <c r="E492" i="36"/>
  <c r="F492" i="36" s="1"/>
  <c r="G492" i="36" s="1"/>
  <c r="E491" i="36"/>
  <c r="F491" i="36" s="1"/>
  <c r="G491" i="36" s="1"/>
  <c r="E490" i="36"/>
  <c r="F490" i="36" s="1"/>
  <c r="G490" i="36" s="1"/>
  <c r="E489" i="36"/>
  <c r="F489" i="36" s="1"/>
  <c r="G489" i="36" s="1"/>
  <c r="E488" i="36"/>
  <c r="F488" i="36" s="1"/>
  <c r="G488" i="36" s="1"/>
  <c r="E487" i="36"/>
  <c r="F487" i="36" s="1"/>
  <c r="G487" i="36" s="1"/>
  <c r="E486" i="36"/>
  <c r="F486" i="36" s="1"/>
  <c r="G486" i="36" s="1"/>
  <c r="E485" i="36"/>
  <c r="F485" i="36" s="1"/>
  <c r="G485" i="36" s="1"/>
  <c r="E484" i="36"/>
  <c r="F484" i="36" s="1"/>
  <c r="G484" i="36" s="1"/>
  <c r="E483" i="36"/>
  <c r="F483" i="36" s="1"/>
  <c r="G483" i="36" s="1"/>
  <c r="E482" i="36"/>
  <c r="F482" i="36" s="1"/>
  <c r="G482" i="36" s="1"/>
  <c r="E481" i="36"/>
  <c r="F481" i="36" s="1"/>
  <c r="G481" i="36" s="1"/>
  <c r="E480" i="36"/>
  <c r="F480" i="36" s="1"/>
  <c r="G480" i="36" s="1"/>
  <c r="E479" i="36"/>
  <c r="F479" i="36" s="1"/>
  <c r="G479" i="36" s="1"/>
  <c r="E478" i="36"/>
  <c r="F478" i="36" s="1"/>
  <c r="G478" i="36" s="1"/>
  <c r="E477" i="36"/>
  <c r="F477" i="36" s="1"/>
  <c r="G477" i="36" s="1"/>
  <c r="E476" i="36"/>
  <c r="F476" i="36" s="1"/>
  <c r="G476" i="36" s="1"/>
  <c r="E475" i="36"/>
  <c r="F475" i="36" s="1"/>
  <c r="G475" i="36" s="1"/>
  <c r="E474" i="36"/>
  <c r="F474" i="36" s="1"/>
  <c r="G474" i="36" s="1"/>
  <c r="E473" i="36"/>
  <c r="F473" i="36" s="1"/>
  <c r="G473" i="36" s="1"/>
  <c r="E472" i="36"/>
  <c r="F472" i="36" s="1"/>
  <c r="G472" i="36" s="1"/>
  <c r="E471" i="36"/>
  <c r="F471" i="36" s="1"/>
  <c r="G471" i="36" s="1"/>
  <c r="E470" i="36"/>
  <c r="F470" i="36" s="1"/>
  <c r="G470" i="36" s="1"/>
  <c r="E469" i="36"/>
  <c r="F469" i="36" s="1"/>
  <c r="G469" i="36" s="1"/>
  <c r="E468" i="36"/>
  <c r="F468" i="36" s="1"/>
  <c r="G468" i="36" s="1"/>
  <c r="E467" i="36"/>
  <c r="F467" i="36" s="1"/>
  <c r="G467" i="36" s="1"/>
  <c r="E466" i="36"/>
  <c r="F466" i="36" s="1"/>
  <c r="G466" i="36" s="1"/>
  <c r="E465" i="36"/>
  <c r="F465" i="36" s="1"/>
  <c r="G465" i="36" s="1"/>
  <c r="E464" i="36"/>
  <c r="F464" i="36" s="1"/>
  <c r="G464" i="36" s="1"/>
  <c r="E463" i="36"/>
  <c r="F463" i="36" s="1"/>
  <c r="G463" i="36" s="1"/>
  <c r="E462" i="36"/>
  <c r="F462" i="36" s="1"/>
  <c r="G462" i="36" s="1"/>
  <c r="E461" i="36"/>
  <c r="F461" i="36" s="1"/>
  <c r="G461" i="36" s="1"/>
  <c r="E460" i="36"/>
  <c r="F460" i="36" s="1"/>
  <c r="G460" i="36" s="1"/>
  <c r="E459" i="36"/>
  <c r="F459" i="36" s="1"/>
  <c r="G459" i="36" s="1"/>
  <c r="E458" i="36"/>
  <c r="F458" i="36" s="1"/>
  <c r="G458" i="36" s="1"/>
  <c r="E457" i="36"/>
  <c r="F457" i="36" s="1"/>
  <c r="G457" i="36" s="1"/>
  <c r="E456" i="36"/>
  <c r="F456" i="36" s="1"/>
  <c r="G456" i="36" s="1"/>
  <c r="E455" i="36"/>
  <c r="F455" i="36" s="1"/>
  <c r="G455" i="36" s="1"/>
  <c r="E454" i="36"/>
  <c r="F454" i="36" s="1"/>
  <c r="G454" i="36" s="1"/>
  <c r="E453" i="36"/>
  <c r="F453" i="36" s="1"/>
  <c r="G453" i="36" s="1"/>
  <c r="E452" i="36"/>
  <c r="F452" i="36" s="1"/>
  <c r="G452" i="36" s="1"/>
  <c r="E451" i="36"/>
  <c r="F451" i="36" s="1"/>
  <c r="G451" i="36" s="1"/>
  <c r="E450" i="36"/>
  <c r="F450" i="36" s="1"/>
  <c r="G450" i="36" s="1"/>
  <c r="E449" i="36"/>
  <c r="F449" i="36" s="1"/>
  <c r="G449" i="36" s="1"/>
  <c r="E448" i="36"/>
  <c r="F448" i="36" s="1"/>
  <c r="G448" i="36" s="1"/>
  <c r="E447" i="36"/>
  <c r="F447" i="36" s="1"/>
  <c r="G447" i="36" s="1"/>
  <c r="E446" i="36"/>
  <c r="F446" i="36" s="1"/>
  <c r="G446" i="36" s="1"/>
  <c r="E445" i="36"/>
  <c r="F445" i="36" s="1"/>
  <c r="G445" i="36" s="1"/>
  <c r="E444" i="36"/>
  <c r="F444" i="36" s="1"/>
  <c r="G444" i="36" s="1"/>
  <c r="E443" i="36"/>
  <c r="F443" i="36" s="1"/>
  <c r="G443" i="36" s="1"/>
  <c r="E442" i="36"/>
  <c r="F442" i="36" s="1"/>
  <c r="G442" i="36" s="1"/>
  <c r="E441" i="36"/>
  <c r="F441" i="36" s="1"/>
  <c r="G441" i="36" s="1"/>
  <c r="E440" i="36"/>
  <c r="F440" i="36" s="1"/>
  <c r="G440" i="36" s="1"/>
  <c r="E439" i="36"/>
  <c r="F439" i="36" s="1"/>
  <c r="G439" i="36" s="1"/>
  <c r="E438" i="36"/>
  <c r="F438" i="36" s="1"/>
  <c r="G438" i="36" s="1"/>
  <c r="E437" i="36"/>
  <c r="F437" i="36" s="1"/>
  <c r="G437" i="36" s="1"/>
  <c r="E436" i="36"/>
  <c r="F436" i="36" s="1"/>
  <c r="G436" i="36" s="1"/>
  <c r="E435" i="36"/>
  <c r="F435" i="36" s="1"/>
  <c r="G435" i="36" s="1"/>
  <c r="E434" i="36"/>
  <c r="F434" i="36" s="1"/>
  <c r="G434" i="36" s="1"/>
  <c r="E433" i="36"/>
  <c r="F433" i="36" s="1"/>
  <c r="G433" i="36" s="1"/>
  <c r="E432" i="36"/>
  <c r="F432" i="36" s="1"/>
  <c r="G432" i="36" s="1"/>
  <c r="E431" i="36"/>
  <c r="F431" i="36" s="1"/>
  <c r="G431" i="36" s="1"/>
  <c r="E430" i="36"/>
  <c r="F430" i="36" s="1"/>
  <c r="G430" i="36" s="1"/>
  <c r="E429" i="36"/>
  <c r="F429" i="36" s="1"/>
  <c r="G429" i="36" s="1"/>
  <c r="E428" i="36"/>
  <c r="F428" i="36" s="1"/>
  <c r="G428" i="36" s="1"/>
  <c r="E427" i="36"/>
  <c r="F427" i="36" s="1"/>
  <c r="G427" i="36" s="1"/>
  <c r="E426" i="36"/>
  <c r="F426" i="36" s="1"/>
  <c r="G426" i="36" s="1"/>
  <c r="E425" i="36"/>
  <c r="F425" i="36" s="1"/>
  <c r="G425" i="36" s="1"/>
  <c r="E424" i="36"/>
  <c r="F424" i="36" s="1"/>
  <c r="G424" i="36" s="1"/>
  <c r="E423" i="36"/>
  <c r="F423" i="36" s="1"/>
  <c r="G423" i="36" s="1"/>
  <c r="E422" i="36"/>
  <c r="F422" i="36" s="1"/>
  <c r="G422" i="36" s="1"/>
  <c r="E421" i="36"/>
  <c r="F421" i="36" s="1"/>
  <c r="G421" i="36" s="1"/>
  <c r="E420" i="36"/>
  <c r="F420" i="36" s="1"/>
  <c r="G420" i="36" s="1"/>
  <c r="E419" i="36"/>
  <c r="F419" i="36" s="1"/>
  <c r="G419" i="36" s="1"/>
  <c r="E418" i="36"/>
  <c r="F418" i="36" s="1"/>
  <c r="G418" i="36" s="1"/>
  <c r="E417" i="36"/>
  <c r="F417" i="36" s="1"/>
  <c r="G417" i="36" s="1"/>
  <c r="F416" i="36"/>
  <c r="G416" i="36" s="1"/>
  <c r="E416" i="36"/>
  <c r="E415" i="36"/>
  <c r="F415" i="36" s="1"/>
  <c r="G415" i="36" s="1"/>
  <c r="E414" i="36"/>
  <c r="F414" i="36" s="1"/>
  <c r="G414" i="36" s="1"/>
  <c r="E413" i="36"/>
  <c r="F413" i="36" s="1"/>
  <c r="G413" i="36" s="1"/>
  <c r="E412" i="36"/>
  <c r="F412" i="36" s="1"/>
  <c r="G412" i="36" s="1"/>
  <c r="E411" i="36"/>
  <c r="F411" i="36" s="1"/>
  <c r="G411" i="36" s="1"/>
  <c r="E410" i="36"/>
  <c r="F410" i="36" s="1"/>
  <c r="G410" i="36" s="1"/>
  <c r="E409" i="36"/>
  <c r="F409" i="36" s="1"/>
  <c r="G409" i="36" s="1"/>
  <c r="E408" i="36"/>
  <c r="F408" i="36" s="1"/>
  <c r="G408" i="36" s="1"/>
  <c r="E407" i="36"/>
  <c r="F407" i="36" s="1"/>
  <c r="G407" i="36" s="1"/>
  <c r="E406" i="36"/>
  <c r="F406" i="36" s="1"/>
  <c r="G406" i="36" s="1"/>
  <c r="E405" i="36"/>
  <c r="F405" i="36" s="1"/>
  <c r="G405" i="36" s="1"/>
  <c r="E404" i="36"/>
  <c r="F404" i="36" s="1"/>
  <c r="G404" i="36" s="1"/>
  <c r="E403" i="36"/>
  <c r="F403" i="36" s="1"/>
  <c r="G403" i="36" s="1"/>
  <c r="E402" i="36"/>
  <c r="F402" i="36" s="1"/>
  <c r="G402" i="36" s="1"/>
  <c r="E401" i="36"/>
  <c r="F401" i="36" s="1"/>
  <c r="G401" i="36" s="1"/>
  <c r="E400" i="36"/>
  <c r="F400" i="36" s="1"/>
  <c r="G400" i="36" s="1"/>
  <c r="E399" i="36"/>
  <c r="F399" i="36" s="1"/>
  <c r="G399" i="36" s="1"/>
  <c r="E398" i="36"/>
  <c r="F398" i="36" s="1"/>
  <c r="G398" i="36" s="1"/>
  <c r="E397" i="36"/>
  <c r="F397" i="36" s="1"/>
  <c r="G397" i="36" s="1"/>
  <c r="E396" i="36"/>
  <c r="F396" i="36" s="1"/>
  <c r="G396" i="36" s="1"/>
  <c r="E395" i="36"/>
  <c r="F395" i="36" s="1"/>
  <c r="G395" i="36" s="1"/>
  <c r="E394" i="36"/>
  <c r="F394" i="36" s="1"/>
  <c r="G394" i="36" s="1"/>
  <c r="E393" i="36"/>
  <c r="F393" i="36" s="1"/>
  <c r="G393" i="36" s="1"/>
  <c r="E392" i="36"/>
  <c r="F392" i="36" s="1"/>
  <c r="G392" i="36" s="1"/>
  <c r="E391" i="36"/>
  <c r="F391" i="36" s="1"/>
  <c r="G391" i="36" s="1"/>
  <c r="E390" i="36"/>
  <c r="F390" i="36" s="1"/>
  <c r="G390" i="36" s="1"/>
  <c r="E389" i="36"/>
  <c r="F389" i="36" s="1"/>
  <c r="G389" i="36" s="1"/>
  <c r="E388" i="36"/>
  <c r="F388" i="36" s="1"/>
  <c r="G388" i="36" s="1"/>
  <c r="E387" i="36"/>
  <c r="F387" i="36" s="1"/>
  <c r="G387" i="36" s="1"/>
  <c r="E386" i="36"/>
  <c r="F386" i="36" s="1"/>
  <c r="G386" i="36" s="1"/>
  <c r="E385" i="36"/>
  <c r="F385" i="36" s="1"/>
  <c r="G385" i="36" s="1"/>
  <c r="E384" i="36"/>
  <c r="F384" i="36" s="1"/>
  <c r="G384" i="36" s="1"/>
  <c r="E383" i="36"/>
  <c r="F383" i="36" s="1"/>
  <c r="G383" i="36" s="1"/>
  <c r="E382" i="36"/>
  <c r="F382" i="36" s="1"/>
  <c r="G382" i="36" s="1"/>
  <c r="E381" i="36"/>
  <c r="F381" i="36" s="1"/>
  <c r="G381" i="36" s="1"/>
  <c r="E380" i="36"/>
  <c r="F380" i="36" s="1"/>
  <c r="G380" i="36" s="1"/>
  <c r="E379" i="36"/>
  <c r="F379" i="36" s="1"/>
  <c r="G379" i="36" s="1"/>
  <c r="E378" i="36"/>
  <c r="F378" i="36" s="1"/>
  <c r="G378" i="36" s="1"/>
  <c r="E377" i="36"/>
  <c r="F377" i="36" s="1"/>
  <c r="G377" i="36" s="1"/>
  <c r="E376" i="36"/>
  <c r="F376" i="36" s="1"/>
  <c r="G376" i="36" s="1"/>
  <c r="G375" i="36"/>
  <c r="E375" i="36"/>
  <c r="F375" i="36" s="1"/>
  <c r="E374" i="36"/>
  <c r="F374" i="36" s="1"/>
  <c r="G374" i="36" s="1"/>
  <c r="F373" i="36"/>
  <c r="G373" i="36" s="1"/>
  <c r="E373" i="36"/>
  <c r="E372" i="36"/>
  <c r="F372" i="36" s="1"/>
  <c r="G372" i="36" s="1"/>
  <c r="E371" i="36"/>
  <c r="F371" i="36" s="1"/>
  <c r="G371" i="36" s="1"/>
  <c r="E370" i="36"/>
  <c r="F370" i="36" s="1"/>
  <c r="G370" i="36" s="1"/>
  <c r="E369" i="36"/>
  <c r="F369" i="36" s="1"/>
  <c r="G369" i="36" s="1"/>
  <c r="E368" i="36"/>
  <c r="F368" i="36" s="1"/>
  <c r="G368" i="36" s="1"/>
  <c r="E367" i="36"/>
  <c r="F367" i="36" s="1"/>
  <c r="G367" i="36" s="1"/>
  <c r="E366" i="36"/>
  <c r="F366" i="36" s="1"/>
  <c r="G366" i="36" s="1"/>
  <c r="E365" i="36"/>
  <c r="F365" i="36" s="1"/>
  <c r="G365" i="36" s="1"/>
  <c r="E364" i="36"/>
  <c r="F364" i="36" s="1"/>
  <c r="G364" i="36" s="1"/>
  <c r="E363" i="36"/>
  <c r="F363" i="36" s="1"/>
  <c r="G363" i="36" s="1"/>
  <c r="E362" i="36"/>
  <c r="F362" i="36" s="1"/>
  <c r="G362" i="36" s="1"/>
  <c r="E361" i="36"/>
  <c r="F361" i="36" s="1"/>
  <c r="G361" i="36" s="1"/>
  <c r="E360" i="36"/>
  <c r="F360" i="36" s="1"/>
  <c r="G360" i="36" s="1"/>
  <c r="E359" i="36"/>
  <c r="F359" i="36" s="1"/>
  <c r="G359" i="36" s="1"/>
  <c r="E358" i="36"/>
  <c r="F358" i="36" s="1"/>
  <c r="G358" i="36" s="1"/>
  <c r="E357" i="36"/>
  <c r="F357" i="36" s="1"/>
  <c r="G357" i="36" s="1"/>
  <c r="E356" i="36"/>
  <c r="F356" i="36" s="1"/>
  <c r="G356" i="36" s="1"/>
  <c r="E355" i="36"/>
  <c r="F355" i="36" s="1"/>
  <c r="G355" i="36" s="1"/>
  <c r="E354" i="36"/>
  <c r="F354" i="36" s="1"/>
  <c r="G354" i="36" s="1"/>
  <c r="E353" i="36"/>
  <c r="F353" i="36" s="1"/>
  <c r="G353" i="36" s="1"/>
  <c r="E352" i="36"/>
  <c r="F352" i="36" s="1"/>
  <c r="G352" i="36" s="1"/>
  <c r="E351" i="36"/>
  <c r="F351" i="36" s="1"/>
  <c r="G351" i="36" s="1"/>
  <c r="E350" i="36"/>
  <c r="F350" i="36" s="1"/>
  <c r="G350" i="36" s="1"/>
  <c r="E349" i="36"/>
  <c r="F349" i="36" s="1"/>
  <c r="G349" i="36" s="1"/>
  <c r="E348" i="36"/>
  <c r="F348" i="36" s="1"/>
  <c r="G348" i="36" s="1"/>
  <c r="E347" i="36"/>
  <c r="F347" i="36" s="1"/>
  <c r="G347" i="36" s="1"/>
  <c r="E346" i="36"/>
  <c r="F346" i="36" s="1"/>
  <c r="G346" i="36" s="1"/>
  <c r="E345" i="36"/>
  <c r="F345" i="36" s="1"/>
  <c r="G345" i="36" s="1"/>
  <c r="E344" i="36"/>
  <c r="F344" i="36" s="1"/>
  <c r="G344" i="36" s="1"/>
  <c r="G343" i="36"/>
  <c r="E343" i="36"/>
  <c r="F343" i="36" s="1"/>
  <c r="F342" i="36"/>
  <c r="G342" i="36" s="1"/>
  <c r="E342" i="36"/>
  <c r="F341" i="36"/>
  <c r="G341" i="36" s="1"/>
  <c r="E341" i="36"/>
  <c r="E340" i="36"/>
  <c r="F340" i="36" s="1"/>
  <c r="G340" i="36" s="1"/>
  <c r="E339" i="36"/>
  <c r="F339" i="36" s="1"/>
  <c r="G339" i="36" s="1"/>
  <c r="E338" i="36"/>
  <c r="F338" i="36" s="1"/>
  <c r="G338" i="36" s="1"/>
  <c r="E337" i="36"/>
  <c r="F337" i="36" s="1"/>
  <c r="G337" i="36" s="1"/>
  <c r="E336" i="36"/>
  <c r="F336" i="36" s="1"/>
  <c r="G336" i="36" s="1"/>
  <c r="E335" i="36"/>
  <c r="F335" i="36" s="1"/>
  <c r="G335" i="36" s="1"/>
  <c r="E334" i="36"/>
  <c r="F334" i="36" s="1"/>
  <c r="G334" i="36" s="1"/>
  <c r="E333" i="36"/>
  <c r="F333" i="36" s="1"/>
  <c r="G333" i="36" s="1"/>
  <c r="E332" i="36"/>
  <c r="F332" i="36" s="1"/>
  <c r="G332" i="36" s="1"/>
  <c r="E331" i="36"/>
  <c r="F331" i="36" s="1"/>
  <c r="G331" i="36" s="1"/>
  <c r="E330" i="36"/>
  <c r="F330" i="36" s="1"/>
  <c r="G330" i="36" s="1"/>
  <c r="E329" i="36"/>
  <c r="F329" i="36" s="1"/>
  <c r="G329" i="36" s="1"/>
  <c r="E328" i="36"/>
  <c r="F328" i="36" s="1"/>
  <c r="G328" i="36" s="1"/>
  <c r="E327" i="36"/>
  <c r="F327" i="36" s="1"/>
  <c r="G327" i="36" s="1"/>
  <c r="F326" i="36"/>
  <c r="G326" i="36" s="1"/>
  <c r="E326" i="36"/>
  <c r="E325" i="36"/>
  <c r="F325" i="36" s="1"/>
  <c r="G325" i="36" s="1"/>
  <c r="E324" i="36"/>
  <c r="F324" i="36" s="1"/>
  <c r="G324" i="36" s="1"/>
  <c r="E323" i="36"/>
  <c r="F323" i="36" s="1"/>
  <c r="G323" i="36" s="1"/>
  <c r="E322" i="36"/>
  <c r="F322" i="36" s="1"/>
  <c r="G322" i="36" s="1"/>
  <c r="E321" i="36"/>
  <c r="F321" i="36" s="1"/>
  <c r="G321" i="36" s="1"/>
  <c r="E320" i="36"/>
  <c r="F320" i="36" s="1"/>
  <c r="G320" i="36" s="1"/>
  <c r="E319" i="36"/>
  <c r="F319" i="36" s="1"/>
  <c r="G319" i="36" s="1"/>
  <c r="E318" i="36"/>
  <c r="F318" i="36" s="1"/>
  <c r="G318" i="36" s="1"/>
  <c r="E317" i="36"/>
  <c r="F317" i="36" s="1"/>
  <c r="G317" i="36" s="1"/>
  <c r="E316" i="36"/>
  <c r="F316" i="36" s="1"/>
  <c r="G316" i="36" s="1"/>
  <c r="E315" i="36"/>
  <c r="F315" i="36" s="1"/>
  <c r="G315" i="36" s="1"/>
  <c r="E314" i="36"/>
  <c r="F314" i="36" s="1"/>
  <c r="G314" i="36" s="1"/>
  <c r="E313" i="36"/>
  <c r="F313" i="36" s="1"/>
  <c r="G313" i="36" s="1"/>
  <c r="E312" i="36"/>
  <c r="F312" i="36" s="1"/>
  <c r="G312" i="36" s="1"/>
  <c r="G311" i="36"/>
  <c r="E311" i="36"/>
  <c r="F311" i="36" s="1"/>
  <c r="E310" i="36"/>
  <c r="F310" i="36" s="1"/>
  <c r="G310" i="36" s="1"/>
  <c r="F309" i="36"/>
  <c r="G309" i="36" s="1"/>
  <c r="E309" i="36"/>
  <c r="E308" i="36"/>
  <c r="F308" i="36" s="1"/>
  <c r="G308" i="36" s="1"/>
  <c r="E307" i="36"/>
  <c r="F307" i="36" s="1"/>
  <c r="G307" i="36" s="1"/>
  <c r="E306" i="36"/>
  <c r="F306" i="36" s="1"/>
  <c r="G306" i="36" s="1"/>
  <c r="E305" i="36"/>
  <c r="F305" i="36" s="1"/>
  <c r="G305" i="36" s="1"/>
  <c r="E304" i="36"/>
  <c r="F304" i="36" s="1"/>
  <c r="G304" i="36" s="1"/>
  <c r="E303" i="36"/>
  <c r="F303" i="36" s="1"/>
  <c r="G303" i="36" s="1"/>
  <c r="E302" i="36"/>
  <c r="F302" i="36" s="1"/>
  <c r="G302" i="36" s="1"/>
  <c r="E301" i="36"/>
  <c r="F301" i="36" s="1"/>
  <c r="G301" i="36" s="1"/>
  <c r="E300" i="36"/>
  <c r="F300" i="36" s="1"/>
  <c r="G300" i="36" s="1"/>
  <c r="E299" i="36"/>
  <c r="F299" i="36" s="1"/>
  <c r="G299" i="36" s="1"/>
  <c r="E298" i="36"/>
  <c r="F298" i="36" s="1"/>
  <c r="G298" i="36" s="1"/>
  <c r="E297" i="36"/>
  <c r="F297" i="36" s="1"/>
  <c r="G297" i="36" s="1"/>
  <c r="E296" i="36"/>
  <c r="F296" i="36" s="1"/>
  <c r="G296" i="36" s="1"/>
  <c r="G295" i="36"/>
  <c r="E295" i="36"/>
  <c r="F295" i="36" s="1"/>
  <c r="E294" i="36"/>
  <c r="F294" i="36" s="1"/>
  <c r="G294" i="36" s="1"/>
  <c r="F293" i="36"/>
  <c r="G293" i="36" s="1"/>
  <c r="E293" i="36"/>
  <c r="E292" i="36"/>
  <c r="F292" i="36" s="1"/>
  <c r="G292" i="36" s="1"/>
  <c r="E291" i="36"/>
  <c r="F291" i="36" s="1"/>
  <c r="G291" i="36" s="1"/>
  <c r="E290" i="36"/>
  <c r="F290" i="36" s="1"/>
  <c r="G290" i="36" s="1"/>
  <c r="E289" i="36"/>
  <c r="F289" i="36" s="1"/>
  <c r="G289" i="36" s="1"/>
  <c r="E288" i="36"/>
  <c r="F288" i="36" s="1"/>
  <c r="G288" i="36" s="1"/>
  <c r="E287" i="36"/>
  <c r="F287" i="36" s="1"/>
  <c r="G287" i="36" s="1"/>
  <c r="E286" i="36"/>
  <c r="F286" i="36" s="1"/>
  <c r="G286" i="36" s="1"/>
  <c r="E285" i="36"/>
  <c r="F285" i="36" s="1"/>
  <c r="G285" i="36" s="1"/>
  <c r="E284" i="36"/>
  <c r="F284" i="36" s="1"/>
  <c r="G284" i="36" s="1"/>
  <c r="E283" i="36"/>
  <c r="F283" i="36" s="1"/>
  <c r="G283" i="36" s="1"/>
  <c r="E282" i="36"/>
  <c r="F282" i="36" s="1"/>
  <c r="G282" i="36" s="1"/>
  <c r="E281" i="36"/>
  <c r="F281" i="36" s="1"/>
  <c r="G281" i="36" s="1"/>
  <c r="E280" i="36"/>
  <c r="F280" i="36" s="1"/>
  <c r="G280" i="36" s="1"/>
  <c r="E279" i="36"/>
  <c r="F279" i="36" s="1"/>
  <c r="G279" i="36" s="1"/>
  <c r="F278" i="36"/>
  <c r="G278" i="36" s="1"/>
  <c r="E278" i="36"/>
  <c r="E277" i="36"/>
  <c r="F277" i="36" s="1"/>
  <c r="G277" i="36" s="1"/>
  <c r="E276" i="36"/>
  <c r="F276" i="36" s="1"/>
  <c r="G276" i="36" s="1"/>
  <c r="E275" i="36"/>
  <c r="F275" i="36" s="1"/>
  <c r="G275" i="36" s="1"/>
  <c r="E274" i="36"/>
  <c r="F274" i="36" s="1"/>
  <c r="G274" i="36" s="1"/>
  <c r="E273" i="36"/>
  <c r="F273" i="36" s="1"/>
  <c r="G273" i="36" s="1"/>
  <c r="E272" i="36"/>
  <c r="F272" i="36" s="1"/>
  <c r="G272" i="36" s="1"/>
  <c r="E271" i="36"/>
  <c r="F271" i="36" s="1"/>
  <c r="G271" i="36" s="1"/>
  <c r="E270" i="36"/>
  <c r="F270" i="36" s="1"/>
  <c r="G270" i="36" s="1"/>
  <c r="E269" i="36"/>
  <c r="F269" i="36" s="1"/>
  <c r="G269" i="36" s="1"/>
  <c r="E268" i="36"/>
  <c r="F268" i="36" s="1"/>
  <c r="G268" i="36" s="1"/>
  <c r="E267" i="36"/>
  <c r="F267" i="36" s="1"/>
  <c r="G267" i="36" s="1"/>
  <c r="E266" i="36"/>
  <c r="F266" i="36" s="1"/>
  <c r="G266" i="36" s="1"/>
  <c r="E265" i="36"/>
  <c r="F265" i="36" s="1"/>
  <c r="G265" i="36" s="1"/>
  <c r="E264" i="36"/>
  <c r="F264" i="36" s="1"/>
  <c r="G264" i="36" s="1"/>
  <c r="G263" i="36"/>
  <c r="E263" i="36"/>
  <c r="F263" i="36" s="1"/>
  <c r="F262" i="36"/>
  <c r="G262" i="36" s="1"/>
  <c r="E262" i="36"/>
  <c r="F261" i="36"/>
  <c r="G261" i="36" s="1"/>
  <c r="E261" i="36"/>
  <c r="E260" i="36"/>
  <c r="F260" i="36" s="1"/>
  <c r="G260" i="36" s="1"/>
  <c r="E259" i="36"/>
  <c r="F259" i="36" s="1"/>
  <c r="G259" i="36" s="1"/>
  <c r="E258" i="36"/>
  <c r="F258" i="36" s="1"/>
  <c r="G258" i="36" s="1"/>
  <c r="E257" i="36"/>
  <c r="F257" i="36" s="1"/>
  <c r="G257" i="36" s="1"/>
  <c r="E256" i="36"/>
  <c r="F256" i="36" s="1"/>
  <c r="G256" i="36" s="1"/>
  <c r="E255" i="36"/>
  <c r="F255" i="36" s="1"/>
  <c r="G255" i="36" s="1"/>
  <c r="E254" i="36"/>
  <c r="F254" i="36" s="1"/>
  <c r="G254" i="36" s="1"/>
  <c r="E253" i="36"/>
  <c r="F253" i="36" s="1"/>
  <c r="G253" i="36" s="1"/>
  <c r="E252" i="36"/>
  <c r="F252" i="36" s="1"/>
  <c r="G252" i="36" s="1"/>
  <c r="E251" i="36"/>
  <c r="F251" i="36" s="1"/>
  <c r="G251" i="36" s="1"/>
  <c r="E250" i="36"/>
  <c r="F250" i="36" s="1"/>
  <c r="G250" i="36" s="1"/>
  <c r="E249" i="36"/>
  <c r="F249" i="36" s="1"/>
  <c r="G249" i="36" s="1"/>
  <c r="E248" i="36"/>
  <c r="F248" i="36" s="1"/>
  <c r="G248" i="36" s="1"/>
  <c r="E247" i="36"/>
  <c r="F247" i="36" s="1"/>
  <c r="G247" i="36" s="1"/>
  <c r="E246" i="36"/>
  <c r="F246" i="36" s="1"/>
  <c r="G246" i="36" s="1"/>
  <c r="E245" i="36"/>
  <c r="F245" i="36" s="1"/>
  <c r="G245" i="36" s="1"/>
  <c r="E244" i="36"/>
  <c r="F244" i="36" s="1"/>
  <c r="G244" i="36" s="1"/>
  <c r="E243" i="36"/>
  <c r="F243" i="36" s="1"/>
  <c r="G243" i="36" s="1"/>
  <c r="E242" i="36"/>
  <c r="F242" i="36" s="1"/>
  <c r="G242" i="36" s="1"/>
  <c r="E241" i="36"/>
  <c r="F241" i="36" s="1"/>
  <c r="G241" i="36" s="1"/>
  <c r="E240" i="36"/>
  <c r="F240" i="36" s="1"/>
  <c r="G240" i="36" s="1"/>
  <c r="E239" i="36"/>
  <c r="F239" i="36" s="1"/>
  <c r="G239" i="36" s="1"/>
  <c r="F238" i="36"/>
  <c r="G238" i="36" s="1"/>
  <c r="E238" i="36"/>
  <c r="E237" i="36"/>
  <c r="F237" i="36" s="1"/>
  <c r="G237" i="36" s="1"/>
  <c r="E236" i="36"/>
  <c r="F236" i="36" s="1"/>
  <c r="G236" i="36" s="1"/>
  <c r="G235" i="36"/>
  <c r="E235" i="36"/>
  <c r="F235" i="36" s="1"/>
  <c r="E234" i="36"/>
  <c r="F234" i="36" s="1"/>
  <c r="G234" i="36" s="1"/>
  <c r="E233" i="36"/>
  <c r="F233" i="36" s="1"/>
  <c r="G233" i="36" s="1"/>
  <c r="E232" i="36"/>
  <c r="F232" i="36" s="1"/>
  <c r="G232" i="36" s="1"/>
  <c r="E231" i="36"/>
  <c r="F231" i="36" s="1"/>
  <c r="G231" i="36" s="1"/>
  <c r="E230" i="36"/>
  <c r="F230" i="36" s="1"/>
  <c r="G230" i="36" s="1"/>
  <c r="E229" i="36"/>
  <c r="F229" i="36" s="1"/>
  <c r="G229" i="36" s="1"/>
  <c r="E228" i="36"/>
  <c r="F228" i="36" s="1"/>
  <c r="G228" i="36" s="1"/>
  <c r="E227" i="36"/>
  <c r="F227" i="36" s="1"/>
  <c r="G227" i="36" s="1"/>
  <c r="E226" i="36"/>
  <c r="F226" i="36" s="1"/>
  <c r="G226" i="36" s="1"/>
  <c r="E225" i="36"/>
  <c r="F225" i="36" s="1"/>
  <c r="G225" i="36" s="1"/>
  <c r="E224" i="36"/>
  <c r="F224" i="36" s="1"/>
  <c r="G224" i="36" s="1"/>
  <c r="E223" i="36"/>
  <c r="F223" i="36" s="1"/>
  <c r="G223" i="36" s="1"/>
  <c r="E222" i="36"/>
  <c r="F222" i="36" s="1"/>
  <c r="G222" i="36" s="1"/>
  <c r="E221" i="36"/>
  <c r="F221" i="36" s="1"/>
  <c r="G221" i="36" s="1"/>
  <c r="E220" i="36"/>
  <c r="F220" i="36" s="1"/>
  <c r="G220" i="36" s="1"/>
  <c r="E219" i="36"/>
  <c r="F219" i="36" s="1"/>
  <c r="G219" i="36" s="1"/>
  <c r="E218" i="36"/>
  <c r="F218" i="36" s="1"/>
  <c r="G218" i="36" s="1"/>
  <c r="E217" i="36"/>
  <c r="F217" i="36" s="1"/>
  <c r="G217" i="36" s="1"/>
  <c r="E216" i="36"/>
  <c r="F216" i="36" s="1"/>
  <c r="G216" i="36" s="1"/>
  <c r="E215" i="36"/>
  <c r="F215" i="36" s="1"/>
  <c r="G215" i="36" s="1"/>
  <c r="E214" i="36"/>
  <c r="F214" i="36" s="1"/>
  <c r="G214" i="36" s="1"/>
  <c r="E213" i="36"/>
  <c r="F213" i="36" s="1"/>
  <c r="G213" i="36" s="1"/>
  <c r="E212" i="36"/>
  <c r="F212" i="36" s="1"/>
  <c r="G212" i="36" s="1"/>
  <c r="E211" i="36"/>
  <c r="F211" i="36" s="1"/>
  <c r="G211" i="36" s="1"/>
  <c r="E210" i="36"/>
  <c r="F210" i="36" s="1"/>
  <c r="G210" i="36" s="1"/>
  <c r="E209" i="36"/>
  <c r="F209" i="36" s="1"/>
  <c r="G209" i="36" s="1"/>
  <c r="E208" i="36"/>
  <c r="F208" i="36" s="1"/>
  <c r="G208" i="36" s="1"/>
  <c r="E207" i="36"/>
  <c r="F207" i="36" s="1"/>
  <c r="G207" i="36" s="1"/>
  <c r="E206" i="36"/>
  <c r="F206" i="36" s="1"/>
  <c r="G206" i="36" s="1"/>
  <c r="E205" i="36"/>
  <c r="F205" i="36" s="1"/>
  <c r="G205" i="36" s="1"/>
  <c r="E204" i="36"/>
  <c r="F204" i="36" s="1"/>
  <c r="G204" i="36" s="1"/>
  <c r="E203" i="36"/>
  <c r="F203" i="36" s="1"/>
  <c r="G203" i="36" s="1"/>
  <c r="E202" i="36"/>
  <c r="F202" i="36" s="1"/>
  <c r="G202" i="36" s="1"/>
  <c r="E201" i="36"/>
  <c r="F201" i="36" s="1"/>
  <c r="G201" i="36" s="1"/>
  <c r="E200" i="36"/>
  <c r="F200" i="36" s="1"/>
  <c r="G200" i="36" s="1"/>
  <c r="E199" i="36"/>
  <c r="F199" i="36" s="1"/>
  <c r="G199" i="36" s="1"/>
  <c r="E198" i="36"/>
  <c r="F198" i="36" s="1"/>
  <c r="G198" i="36" s="1"/>
  <c r="E197" i="36"/>
  <c r="F197" i="36" s="1"/>
  <c r="G197" i="36" s="1"/>
  <c r="E196" i="36"/>
  <c r="F196" i="36" s="1"/>
  <c r="G196" i="36" s="1"/>
  <c r="E195" i="36"/>
  <c r="F195" i="36" s="1"/>
  <c r="G195" i="36" s="1"/>
  <c r="E194" i="36"/>
  <c r="F194" i="36" s="1"/>
  <c r="G194" i="36" s="1"/>
  <c r="E193" i="36"/>
  <c r="F193" i="36" s="1"/>
  <c r="G193" i="36" s="1"/>
  <c r="E192" i="36"/>
  <c r="F192" i="36" s="1"/>
  <c r="G192" i="36" s="1"/>
  <c r="E191" i="36"/>
  <c r="F191" i="36" s="1"/>
  <c r="G191" i="36" s="1"/>
  <c r="E190" i="36"/>
  <c r="F190" i="36" s="1"/>
  <c r="G190" i="36" s="1"/>
  <c r="E189" i="36"/>
  <c r="F189" i="36" s="1"/>
  <c r="G189" i="36" s="1"/>
  <c r="E188" i="36"/>
  <c r="F188" i="36" s="1"/>
  <c r="G188" i="36" s="1"/>
  <c r="E187" i="36"/>
  <c r="F187" i="36" s="1"/>
  <c r="G187" i="36" s="1"/>
  <c r="E186" i="36"/>
  <c r="F186" i="36" s="1"/>
  <c r="G186" i="36" s="1"/>
  <c r="E185" i="36"/>
  <c r="F185" i="36" s="1"/>
  <c r="G185" i="36" s="1"/>
  <c r="E184" i="36"/>
  <c r="F184" i="36" s="1"/>
  <c r="G184" i="36" s="1"/>
  <c r="E183" i="36"/>
  <c r="F183" i="36" s="1"/>
  <c r="G183" i="36" s="1"/>
  <c r="E182" i="36"/>
  <c r="F182" i="36" s="1"/>
  <c r="G182" i="36" s="1"/>
  <c r="E181" i="36"/>
  <c r="F181" i="36" s="1"/>
  <c r="G181" i="36" s="1"/>
  <c r="E180" i="36"/>
  <c r="F180" i="36" s="1"/>
  <c r="G180" i="36" s="1"/>
  <c r="E179" i="36"/>
  <c r="F179" i="36" s="1"/>
  <c r="G179" i="36" s="1"/>
  <c r="E178" i="36"/>
  <c r="F178" i="36" s="1"/>
  <c r="G178" i="36" s="1"/>
  <c r="E177" i="36"/>
  <c r="F177" i="36" s="1"/>
  <c r="G177" i="36" s="1"/>
  <c r="E176" i="36"/>
  <c r="F176" i="36" s="1"/>
  <c r="G176" i="36" s="1"/>
  <c r="E175" i="36"/>
  <c r="F175" i="36" s="1"/>
  <c r="G175" i="36" s="1"/>
  <c r="E174" i="36"/>
  <c r="F174" i="36" s="1"/>
  <c r="G174" i="36" s="1"/>
  <c r="E173" i="36"/>
  <c r="F173" i="36" s="1"/>
  <c r="G173" i="36" s="1"/>
  <c r="E172" i="36"/>
  <c r="F172" i="36" s="1"/>
  <c r="G172" i="36" s="1"/>
  <c r="E171" i="36"/>
  <c r="F171" i="36" s="1"/>
  <c r="G171" i="36" s="1"/>
  <c r="E170" i="36"/>
  <c r="F170" i="36" s="1"/>
  <c r="G170" i="36" s="1"/>
  <c r="E169" i="36"/>
  <c r="F169" i="36" s="1"/>
  <c r="G169" i="36" s="1"/>
  <c r="E168" i="36"/>
  <c r="F168" i="36" s="1"/>
  <c r="G168" i="36" s="1"/>
  <c r="E167" i="36"/>
  <c r="F167" i="36" s="1"/>
  <c r="G167" i="36" s="1"/>
  <c r="E166" i="36"/>
  <c r="F166" i="36" s="1"/>
  <c r="G166" i="36" s="1"/>
  <c r="E165" i="36"/>
  <c r="F165" i="36" s="1"/>
  <c r="G165" i="36" s="1"/>
  <c r="E164" i="36"/>
  <c r="F164" i="36" s="1"/>
  <c r="G164" i="36" s="1"/>
  <c r="E163" i="36"/>
  <c r="F163" i="36" s="1"/>
  <c r="G163" i="36" s="1"/>
  <c r="E162" i="36"/>
  <c r="F162" i="36" s="1"/>
  <c r="G162" i="36" s="1"/>
  <c r="E161" i="36"/>
  <c r="F161" i="36" s="1"/>
  <c r="G161" i="36" s="1"/>
  <c r="E160" i="36"/>
  <c r="F160" i="36" s="1"/>
  <c r="G160" i="36" s="1"/>
  <c r="E159" i="36"/>
  <c r="F159" i="36" s="1"/>
  <c r="G159" i="36" s="1"/>
  <c r="E158" i="36"/>
  <c r="F158" i="36" s="1"/>
  <c r="G158" i="36" s="1"/>
  <c r="E157" i="36"/>
  <c r="F157" i="36" s="1"/>
  <c r="G157" i="36" s="1"/>
  <c r="E156" i="36"/>
  <c r="F156" i="36" s="1"/>
  <c r="G156" i="36" s="1"/>
  <c r="E155" i="36"/>
  <c r="F155" i="36" s="1"/>
  <c r="G155" i="36" s="1"/>
  <c r="E154" i="36"/>
  <c r="F154" i="36" s="1"/>
  <c r="G154" i="36" s="1"/>
  <c r="E153" i="36"/>
  <c r="F153" i="36" s="1"/>
  <c r="G153" i="36" s="1"/>
  <c r="E152" i="36"/>
  <c r="F152" i="36" s="1"/>
  <c r="G152" i="36" s="1"/>
  <c r="E151" i="36"/>
  <c r="F151" i="36" s="1"/>
  <c r="G151" i="36" s="1"/>
  <c r="E150" i="36"/>
  <c r="F150" i="36" s="1"/>
  <c r="G150" i="36" s="1"/>
  <c r="E149" i="36"/>
  <c r="F149" i="36" s="1"/>
  <c r="G149" i="36" s="1"/>
  <c r="E148" i="36"/>
  <c r="F148" i="36" s="1"/>
  <c r="G148" i="36" s="1"/>
  <c r="E147" i="36"/>
  <c r="F147" i="36" s="1"/>
  <c r="G147" i="36" s="1"/>
  <c r="E146" i="36"/>
  <c r="F146" i="36" s="1"/>
  <c r="G146" i="36" s="1"/>
  <c r="E145" i="36"/>
  <c r="F145" i="36" s="1"/>
  <c r="G145" i="36" s="1"/>
  <c r="E144" i="36"/>
  <c r="F144" i="36" s="1"/>
  <c r="G144" i="36" s="1"/>
  <c r="E143" i="36"/>
  <c r="F143" i="36" s="1"/>
  <c r="G143" i="36" s="1"/>
  <c r="E142" i="36"/>
  <c r="F142" i="36" s="1"/>
  <c r="G142" i="36" s="1"/>
  <c r="E141" i="36"/>
  <c r="F141" i="36" s="1"/>
  <c r="G141" i="36" s="1"/>
  <c r="E140" i="36"/>
  <c r="F140" i="36" s="1"/>
  <c r="G140" i="36" s="1"/>
  <c r="E139" i="36"/>
  <c r="F139" i="36" s="1"/>
  <c r="G139" i="36" s="1"/>
  <c r="E138" i="36"/>
  <c r="F138" i="36" s="1"/>
  <c r="G138" i="36" s="1"/>
  <c r="E137" i="36"/>
  <c r="F137" i="36" s="1"/>
  <c r="G137" i="36" s="1"/>
  <c r="E136" i="36"/>
  <c r="F136" i="36" s="1"/>
  <c r="G136" i="36" s="1"/>
  <c r="E135" i="36"/>
  <c r="F135" i="36" s="1"/>
  <c r="G135" i="36" s="1"/>
  <c r="E134" i="36"/>
  <c r="F134" i="36" s="1"/>
  <c r="G134" i="36" s="1"/>
  <c r="E133" i="36"/>
  <c r="F133" i="36" s="1"/>
  <c r="G133" i="36" s="1"/>
  <c r="E132" i="36"/>
  <c r="F132" i="36" s="1"/>
  <c r="G132" i="36" s="1"/>
  <c r="E131" i="36"/>
  <c r="F131" i="36" s="1"/>
  <c r="G131" i="36" s="1"/>
  <c r="E130" i="36"/>
  <c r="F130" i="36" s="1"/>
  <c r="G130" i="36" s="1"/>
  <c r="E129" i="36"/>
  <c r="F129" i="36" s="1"/>
  <c r="G129" i="36" s="1"/>
  <c r="E128" i="36"/>
  <c r="F128" i="36" s="1"/>
  <c r="G128" i="36" s="1"/>
  <c r="E127" i="36"/>
  <c r="F127" i="36" s="1"/>
  <c r="G127" i="36" s="1"/>
  <c r="E126" i="36"/>
  <c r="F126" i="36" s="1"/>
  <c r="G126" i="36" s="1"/>
  <c r="E125" i="36"/>
  <c r="F125" i="36" s="1"/>
  <c r="G125" i="36" s="1"/>
  <c r="E124" i="36"/>
  <c r="F124" i="36" s="1"/>
  <c r="G124" i="36" s="1"/>
  <c r="E123" i="36"/>
  <c r="F123" i="36" s="1"/>
  <c r="G123" i="36" s="1"/>
  <c r="E122" i="36"/>
  <c r="F122" i="36" s="1"/>
  <c r="G122" i="36" s="1"/>
  <c r="E121" i="36"/>
  <c r="F121" i="36" s="1"/>
  <c r="G121" i="36" s="1"/>
  <c r="E120" i="36"/>
  <c r="F120" i="36" s="1"/>
  <c r="G120" i="36" s="1"/>
  <c r="E119" i="36"/>
  <c r="F119" i="36" s="1"/>
  <c r="G119" i="36" s="1"/>
  <c r="E118" i="36"/>
  <c r="F118" i="36" s="1"/>
  <c r="G118" i="36" s="1"/>
  <c r="E117" i="36"/>
  <c r="F117" i="36" s="1"/>
  <c r="G117" i="36" s="1"/>
  <c r="E116" i="36"/>
  <c r="F116" i="36" s="1"/>
  <c r="G116" i="36" s="1"/>
  <c r="E115" i="36"/>
  <c r="F115" i="36" s="1"/>
  <c r="G115" i="36" s="1"/>
  <c r="E114" i="36"/>
  <c r="F114" i="36" s="1"/>
  <c r="G114" i="36" s="1"/>
  <c r="E113" i="36"/>
  <c r="E112" i="36"/>
  <c r="F112" i="36" s="1"/>
  <c r="G112" i="36" s="1"/>
  <c r="E111" i="36"/>
  <c r="F111" i="36" s="1"/>
  <c r="G111" i="36" s="1"/>
  <c r="E110" i="36"/>
  <c r="F110" i="36" s="1"/>
  <c r="G110" i="36" s="1"/>
  <c r="E109" i="36"/>
  <c r="F109" i="36" s="1"/>
  <c r="G109" i="36" s="1"/>
  <c r="E108" i="36"/>
  <c r="F108" i="36" s="1"/>
  <c r="G108" i="36" s="1"/>
  <c r="E107" i="36"/>
  <c r="F107" i="36" s="1"/>
  <c r="G107" i="36" s="1"/>
  <c r="E106" i="36"/>
  <c r="F106" i="36" s="1"/>
  <c r="G106" i="36" s="1"/>
  <c r="F105" i="36"/>
  <c r="G105" i="36" s="1"/>
  <c r="E105" i="36"/>
  <c r="E104" i="36"/>
  <c r="F104" i="36" s="1"/>
  <c r="G104" i="36" s="1"/>
  <c r="E103" i="36"/>
  <c r="F103" i="36" s="1"/>
  <c r="G103" i="36" s="1"/>
  <c r="E102" i="36"/>
  <c r="F102" i="36" s="1"/>
  <c r="G102" i="36" s="1"/>
  <c r="E101" i="36"/>
  <c r="F101" i="36" s="1"/>
  <c r="G101" i="36" s="1"/>
  <c r="E100" i="36"/>
  <c r="F100" i="36" s="1"/>
  <c r="G100" i="36" s="1"/>
  <c r="E99" i="36"/>
  <c r="F99" i="36" s="1"/>
  <c r="G99" i="36" s="1"/>
  <c r="E98" i="36"/>
  <c r="F98" i="36" s="1"/>
  <c r="G98" i="36" s="1"/>
  <c r="F97" i="36"/>
  <c r="G97" i="36" s="1"/>
  <c r="E97" i="36"/>
  <c r="E96" i="36"/>
  <c r="F96" i="36" s="1"/>
  <c r="G96" i="36" s="1"/>
  <c r="E95" i="36"/>
  <c r="F95" i="36" s="1"/>
  <c r="G95" i="36" s="1"/>
  <c r="E94" i="36"/>
  <c r="F94" i="36" s="1"/>
  <c r="G94" i="36" s="1"/>
  <c r="E93" i="36"/>
  <c r="F93" i="36" s="1"/>
  <c r="G93" i="36" s="1"/>
  <c r="E92" i="36"/>
  <c r="F92" i="36" s="1"/>
  <c r="G92" i="36" s="1"/>
  <c r="E91" i="36"/>
  <c r="F91" i="36" s="1"/>
  <c r="G91" i="36" s="1"/>
  <c r="E90" i="36"/>
  <c r="F90" i="36" s="1"/>
  <c r="G90" i="36" s="1"/>
  <c r="F89" i="36"/>
  <c r="G89" i="36" s="1"/>
  <c r="E89" i="36"/>
  <c r="E88" i="36"/>
  <c r="F88" i="36" s="1"/>
  <c r="G88" i="36" s="1"/>
  <c r="E87" i="36"/>
  <c r="E86" i="36"/>
  <c r="F86" i="36" s="1"/>
  <c r="G86" i="36" s="1"/>
  <c r="E85" i="36"/>
  <c r="F85" i="36" s="1"/>
  <c r="G85" i="36" s="1"/>
  <c r="E84" i="36"/>
  <c r="F84" i="36" s="1"/>
  <c r="G84" i="36" s="1"/>
  <c r="E83" i="36"/>
  <c r="F83" i="36" s="1"/>
  <c r="G83" i="36" s="1"/>
  <c r="E82" i="36"/>
  <c r="F82" i="36" s="1"/>
  <c r="G82" i="36" s="1"/>
  <c r="F81" i="36"/>
  <c r="G81" i="36" s="1"/>
  <c r="E81" i="36"/>
  <c r="E80" i="36"/>
  <c r="F80" i="36" s="1"/>
  <c r="G80" i="36" s="1"/>
  <c r="E79" i="36"/>
  <c r="F79" i="36" s="1"/>
  <c r="G79" i="36" s="1"/>
  <c r="E78" i="36"/>
  <c r="F78" i="36" s="1"/>
  <c r="G78" i="36" s="1"/>
  <c r="E77" i="36"/>
  <c r="F77" i="36" s="1"/>
  <c r="G77" i="36" s="1"/>
  <c r="E76" i="36"/>
  <c r="F76" i="36" s="1"/>
  <c r="G76" i="36" s="1"/>
  <c r="E75" i="36"/>
  <c r="F75" i="36" s="1"/>
  <c r="G75" i="36" s="1"/>
  <c r="E74" i="36"/>
  <c r="F74" i="36" s="1"/>
  <c r="G74" i="36" s="1"/>
  <c r="F73" i="36"/>
  <c r="G73" i="36" s="1"/>
  <c r="E73" i="36"/>
  <c r="E72" i="36"/>
  <c r="F72" i="36" s="1"/>
  <c r="G72" i="36" s="1"/>
  <c r="E71" i="36"/>
  <c r="F71" i="36" s="1"/>
  <c r="G71" i="36" s="1"/>
  <c r="E70" i="36"/>
  <c r="F70" i="36" s="1"/>
  <c r="G70" i="36" s="1"/>
  <c r="E69" i="36"/>
  <c r="F69" i="36" s="1"/>
  <c r="G69" i="36" s="1"/>
  <c r="E68" i="36"/>
  <c r="F68" i="36" s="1"/>
  <c r="G68" i="36" s="1"/>
  <c r="E67" i="36"/>
  <c r="F67" i="36" s="1"/>
  <c r="G67" i="36" s="1"/>
  <c r="E66" i="36"/>
  <c r="F66" i="36" s="1"/>
  <c r="G66" i="36" s="1"/>
  <c r="E65" i="36"/>
  <c r="F65" i="36" s="1"/>
  <c r="G65" i="36" s="1"/>
  <c r="E64" i="36"/>
  <c r="E63" i="36"/>
  <c r="F63" i="36" s="1"/>
  <c r="G63" i="36" s="1"/>
  <c r="E62" i="36"/>
  <c r="F62" i="36" s="1"/>
  <c r="G62" i="36" s="1"/>
  <c r="E61" i="36"/>
  <c r="F61" i="36" s="1"/>
  <c r="G61" i="36" s="1"/>
  <c r="E60" i="36"/>
  <c r="F60" i="36" s="1"/>
  <c r="G60" i="36" s="1"/>
  <c r="E59" i="36"/>
  <c r="F59" i="36" s="1"/>
  <c r="G59" i="36" s="1"/>
  <c r="E58" i="36"/>
  <c r="F58" i="36" s="1"/>
  <c r="G58" i="36" s="1"/>
  <c r="E57" i="36"/>
  <c r="F57" i="36" s="1"/>
  <c r="G57" i="36" s="1"/>
  <c r="E56" i="36"/>
  <c r="F56" i="36" s="1"/>
  <c r="G56" i="36" s="1"/>
  <c r="E55" i="36"/>
  <c r="F55" i="36" s="1"/>
  <c r="G55" i="36" s="1"/>
  <c r="E54" i="36"/>
  <c r="F54" i="36" s="1"/>
  <c r="G54" i="36" s="1"/>
  <c r="E53" i="36"/>
  <c r="F53" i="36" s="1"/>
  <c r="G53" i="36" s="1"/>
  <c r="E52" i="36"/>
  <c r="F52" i="36" s="1"/>
  <c r="G52" i="36" s="1"/>
  <c r="E51" i="36"/>
  <c r="F51" i="36" s="1"/>
  <c r="G51" i="36" s="1"/>
  <c r="E50" i="36"/>
  <c r="F50" i="36" s="1"/>
  <c r="G50" i="36" s="1"/>
  <c r="E49" i="36"/>
  <c r="F49" i="36" s="1"/>
  <c r="G49" i="36" s="1"/>
  <c r="E48" i="36"/>
  <c r="F48" i="36" s="1"/>
  <c r="G48" i="36" s="1"/>
  <c r="E47" i="36"/>
  <c r="F47" i="36" s="1"/>
  <c r="G47" i="36" s="1"/>
  <c r="E46" i="36"/>
  <c r="F46" i="36" s="1"/>
  <c r="G46" i="36" s="1"/>
  <c r="E45" i="36"/>
  <c r="F45" i="36" s="1"/>
  <c r="G45" i="36" s="1"/>
  <c r="E44" i="36"/>
  <c r="F44" i="36" s="1"/>
  <c r="G44" i="36" s="1"/>
  <c r="E43" i="36"/>
  <c r="F43" i="36" s="1"/>
  <c r="G43" i="36" s="1"/>
  <c r="E42" i="36"/>
  <c r="F42" i="36" s="1"/>
  <c r="G42" i="36" s="1"/>
  <c r="E41" i="36"/>
  <c r="F41" i="36" s="1"/>
  <c r="G41" i="36" s="1"/>
  <c r="E40" i="36"/>
  <c r="F40" i="36" s="1"/>
  <c r="G40" i="36" s="1"/>
  <c r="E39" i="36"/>
  <c r="F39" i="36" s="1"/>
  <c r="G39" i="36" s="1"/>
  <c r="E38" i="36"/>
  <c r="F38" i="36" s="1"/>
  <c r="G38" i="36" s="1"/>
  <c r="E37" i="36"/>
  <c r="F37" i="36" s="1"/>
  <c r="G37" i="36" s="1"/>
  <c r="E36" i="36"/>
  <c r="F36" i="36" s="1"/>
  <c r="G36" i="36" s="1"/>
  <c r="E35" i="36"/>
  <c r="F35" i="36" s="1"/>
  <c r="G35" i="36" s="1"/>
  <c r="E34" i="36"/>
  <c r="F34" i="36" s="1"/>
  <c r="G34" i="36" s="1"/>
  <c r="E33" i="36"/>
  <c r="F33" i="36" s="1"/>
  <c r="G33" i="36" s="1"/>
  <c r="E32" i="36"/>
  <c r="F32" i="36" s="1"/>
  <c r="G32" i="36" s="1"/>
  <c r="E31" i="36"/>
  <c r="F31" i="36" s="1"/>
  <c r="G31" i="36" s="1"/>
  <c r="E30" i="36"/>
  <c r="F30" i="36" s="1"/>
  <c r="G30" i="36" s="1"/>
  <c r="E29" i="36"/>
  <c r="F29" i="36" s="1"/>
  <c r="G29" i="36" s="1"/>
  <c r="E28" i="36"/>
  <c r="E27" i="36"/>
  <c r="E26" i="36"/>
  <c r="E25" i="36"/>
  <c r="E24" i="36"/>
  <c r="E23" i="36"/>
  <c r="F23" i="36" s="1"/>
  <c r="G23" i="36" s="1"/>
  <c r="E21" i="36"/>
  <c r="F21" i="36" s="1"/>
  <c r="G21" i="36" s="1"/>
  <c r="E19" i="36"/>
  <c r="F19" i="36" s="1"/>
  <c r="G19" i="36" s="1"/>
  <c r="E18" i="36"/>
  <c r="F18" i="36" s="1"/>
  <c r="G18" i="36" s="1"/>
  <c r="E17" i="36"/>
  <c r="F17" i="36" s="1"/>
  <c r="G17" i="36" s="1"/>
  <c r="E15" i="36"/>
  <c r="F15" i="36" s="1"/>
  <c r="G15" i="36" s="1"/>
  <c r="E14" i="36"/>
  <c r="F14" i="36" s="1"/>
  <c r="G14" i="36" s="1"/>
  <c r="I50" i="55" l="1"/>
  <c r="J50" i="55" s="1"/>
  <c r="H51" i="55"/>
  <c r="F27" i="36"/>
  <c r="G27" i="36" s="1"/>
  <c r="F24" i="36"/>
  <c r="G24" i="36" s="1"/>
  <c r="F28" i="36"/>
  <c r="G28" i="36" s="1"/>
  <c r="F25" i="36"/>
  <c r="G25" i="36" s="1"/>
  <c r="F26" i="36"/>
  <c r="G26" i="36" s="1"/>
  <c r="P15" i="36"/>
  <c r="F113" i="36"/>
  <c r="G113" i="36" s="1"/>
  <c r="R14" i="36"/>
  <c r="F64" i="36"/>
  <c r="G64" i="36" s="1"/>
  <c r="F87" i="36"/>
  <c r="G87" i="36" s="1"/>
  <c r="H13" i="34"/>
  <c r="D28" i="57" l="1"/>
  <c r="G28" i="57" s="1"/>
  <c r="P17" i="36"/>
  <c r="H52" i="55"/>
  <c r="I51" i="55"/>
  <c r="J51" i="55" s="1"/>
  <c r="R15" i="36"/>
  <c r="R17" i="36" s="1"/>
  <c r="K6" i="34"/>
  <c r="D29" i="57" l="1"/>
  <c r="I52" i="55"/>
  <c r="J52" i="55" s="1"/>
  <c r="H53" i="55"/>
  <c r="H54" i="55" s="1"/>
  <c r="H55" i="55" s="1"/>
  <c r="B8" i="40"/>
  <c r="H56" i="55" l="1"/>
  <c r="I55" i="55"/>
  <c r="J55" i="55" s="1"/>
  <c r="I53" i="55"/>
  <c r="J53" i="55" s="1"/>
  <c r="B21" i="40"/>
  <c r="H57" i="55" l="1"/>
  <c r="I56" i="55"/>
  <c r="J56" i="55" s="1"/>
  <c r="I54" i="55"/>
  <c r="J54" i="55" s="1"/>
  <c r="E20" i="40"/>
  <c r="E24" i="40"/>
  <c r="E21" i="40"/>
  <c r="E22" i="40"/>
  <c r="E23" i="40"/>
  <c r="E25" i="40"/>
  <c r="E26" i="40"/>
  <c r="E19" i="40"/>
  <c r="B19" i="40"/>
  <c r="B20" i="40"/>
  <c r="B13" i="40"/>
  <c r="B25" i="40"/>
  <c r="B29" i="40"/>
  <c r="H58" i="55" l="1"/>
  <c r="I57" i="55"/>
  <c r="J57" i="55" s="1"/>
  <c r="B14" i="14"/>
  <c r="I58" i="55" l="1"/>
  <c r="J58" i="55" s="1"/>
  <c r="H59" i="55"/>
  <c r="B24" i="40"/>
  <c r="B32" i="40"/>
  <c r="B33" i="40"/>
  <c r="B26" i="40"/>
  <c r="H60" i="55" l="1"/>
  <c r="I59" i="55"/>
  <c r="J59" i="55" s="1"/>
  <c r="C72" i="20"/>
  <c r="H54" i="20"/>
  <c r="H53" i="20"/>
  <c r="H52" i="20"/>
  <c r="H61" i="55" l="1"/>
  <c r="I60" i="55"/>
  <c r="J60" i="55" s="1"/>
  <c r="I29" i="48"/>
  <c r="O25" i="48"/>
  <c r="O26" i="48"/>
  <c r="O27" i="48"/>
  <c r="O29" i="48"/>
  <c r="O24" i="48"/>
  <c r="O23" i="48"/>
  <c r="O20" i="48"/>
  <c r="O19" i="48"/>
  <c r="O17" i="48"/>
  <c r="O22" i="48"/>
  <c r="O18" i="48"/>
  <c r="O16" i="48"/>
  <c r="O15" i="48"/>
  <c r="O14" i="48"/>
  <c r="O11" i="48"/>
  <c r="O9" i="48"/>
  <c r="O8" i="48"/>
  <c r="I27" i="48"/>
  <c r="I26" i="48"/>
  <c r="I25" i="48"/>
  <c r="I24" i="48"/>
  <c r="I23" i="48"/>
  <c r="I22" i="48"/>
  <c r="I20" i="48"/>
  <c r="I19" i="48"/>
  <c r="I18" i="48"/>
  <c r="I17" i="48"/>
  <c r="I16" i="48"/>
  <c r="I15" i="48"/>
  <c r="I14" i="48"/>
  <c r="I12" i="48"/>
  <c r="I11" i="48"/>
  <c r="I9" i="48"/>
  <c r="I8" i="48"/>
  <c r="C29" i="48"/>
  <c r="C27" i="48"/>
  <c r="C22" i="48"/>
  <c r="C20" i="48"/>
  <c r="C18" i="48"/>
  <c r="C16" i="48"/>
  <c r="C15" i="48"/>
  <c r="C14" i="48"/>
  <c r="C12" i="48"/>
  <c r="C11" i="48"/>
  <c r="C9" i="48"/>
  <c r="C8" i="48"/>
  <c r="H62" i="55" l="1"/>
  <c r="I61" i="55"/>
  <c r="J61" i="55" s="1"/>
  <c r="B22" i="48"/>
  <c r="B8" i="48"/>
  <c r="B11" i="48"/>
  <c r="B14" i="48"/>
  <c r="O7" i="48"/>
  <c r="I7" i="48"/>
  <c r="C7" i="48"/>
  <c r="B2" i="45"/>
  <c r="O7" i="36"/>
  <c r="I62" i="55" l="1"/>
  <c r="J62" i="55" s="1"/>
  <c r="H63" i="55"/>
  <c r="F102" i="18"/>
  <c r="F114" i="18"/>
  <c r="H64" i="55" l="1"/>
  <c r="I63" i="55"/>
  <c r="J63" i="55" s="1"/>
  <c r="B2" i="48"/>
  <c r="B5" i="48"/>
  <c r="B1" i="48"/>
  <c r="H65" i="55" l="1"/>
  <c r="I64" i="55"/>
  <c r="J64" i="55" s="1"/>
  <c r="B1" i="18"/>
  <c r="C75" i="20"/>
  <c r="I65" i="55" l="1"/>
  <c r="J65" i="55" s="1"/>
  <c r="B5" i="14"/>
  <c r="B4" i="14"/>
  <c r="K15" i="55" l="1"/>
  <c r="J66" i="55"/>
  <c r="E11" i="55" s="1"/>
  <c r="F100" i="18"/>
  <c r="F87" i="18"/>
  <c r="F113" i="18"/>
  <c r="B61" i="41" l="1"/>
  <c r="B52" i="41"/>
  <c r="B41" i="41"/>
  <c r="B38" i="41"/>
  <c r="B35" i="41" l="1"/>
  <c r="B30" i="41"/>
  <c r="B13" i="41"/>
  <c r="B5" i="41" l="1"/>
  <c r="K8" i="41"/>
  <c r="L299" i="34" l="1"/>
  <c r="L300" i="34"/>
  <c r="L17" i="34" l="1"/>
  <c r="L18" i="34"/>
  <c r="L19" i="34"/>
  <c r="L20" i="34"/>
  <c r="L21" i="34"/>
  <c r="L22" i="34"/>
  <c r="L23" i="34"/>
  <c r="L24" i="34"/>
  <c r="L25" i="34"/>
  <c r="L26" i="34"/>
  <c r="L27" i="34"/>
  <c r="L28" i="34"/>
  <c r="L29" i="34"/>
  <c r="L30" i="34"/>
  <c r="L31" i="34"/>
  <c r="L32" i="34"/>
  <c r="L33" i="34"/>
  <c r="L34" i="34"/>
  <c r="L35" i="34"/>
  <c r="L36" i="34"/>
  <c r="L37" i="34"/>
  <c r="L38" i="34"/>
  <c r="L39" i="34"/>
  <c r="L40" i="34"/>
  <c r="L41" i="34"/>
  <c r="L42" i="34"/>
  <c r="L43" i="34"/>
  <c r="L44" i="34"/>
  <c r="L45" i="34"/>
  <c r="L46" i="34"/>
  <c r="L47" i="34"/>
  <c r="L48" i="34"/>
  <c r="L49" i="34"/>
  <c r="L50" i="34"/>
  <c r="L51" i="34"/>
  <c r="L52" i="34"/>
  <c r="L53" i="34"/>
  <c r="L54" i="34"/>
  <c r="L55" i="34"/>
  <c r="L56" i="34"/>
  <c r="L57" i="34"/>
  <c r="L58" i="34"/>
  <c r="L59" i="34"/>
  <c r="L60" i="34"/>
  <c r="L61" i="34"/>
  <c r="L62" i="34"/>
  <c r="L63" i="34"/>
  <c r="L64" i="34"/>
  <c r="L65" i="34"/>
  <c r="L66" i="34"/>
  <c r="L67" i="34"/>
  <c r="L68" i="34"/>
  <c r="L69" i="34"/>
  <c r="L70" i="34"/>
  <c r="L71" i="34"/>
  <c r="L72" i="34"/>
  <c r="L73" i="34"/>
  <c r="L74" i="34"/>
  <c r="L75" i="34"/>
  <c r="L76" i="34"/>
  <c r="L77" i="34"/>
  <c r="L78" i="34"/>
  <c r="L79" i="34"/>
  <c r="L80" i="34"/>
  <c r="L81" i="34"/>
  <c r="L82" i="34"/>
  <c r="L83" i="34"/>
  <c r="L84" i="34"/>
  <c r="L85" i="34"/>
  <c r="L86" i="34"/>
  <c r="L87" i="34"/>
  <c r="L88" i="34"/>
  <c r="L89" i="34"/>
  <c r="L90" i="34"/>
  <c r="L91" i="34"/>
  <c r="L92" i="34"/>
  <c r="L93" i="34"/>
  <c r="L94" i="34"/>
  <c r="L95" i="34"/>
  <c r="L96" i="34"/>
  <c r="L97" i="34"/>
  <c r="L98" i="34"/>
  <c r="L99" i="34"/>
  <c r="L100" i="34"/>
  <c r="L101" i="34"/>
  <c r="L102" i="34"/>
  <c r="L103" i="34"/>
  <c r="L104" i="34"/>
  <c r="L105" i="34"/>
  <c r="L106" i="34"/>
  <c r="L107" i="34"/>
  <c r="L108" i="34"/>
  <c r="L109" i="34"/>
  <c r="L110" i="34"/>
  <c r="L111" i="34"/>
  <c r="L112" i="34"/>
  <c r="L113" i="34"/>
  <c r="L114" i="34"/>
  <c r="L115" i="34"/>
  <c r="L116" i="34"/>
  <c r="L117" i="34"/>
  <c r="L118" i="34"/>
  <c r="L119" i="34"/>
  <c r="L120" i="34"/>
  <c r="L121" i="34"/>
  <c r="L122" i="34"/>
  <c r="L123" i="34"/>
  <c r="L124" i="34"/>
  <c r="L125" i="34"/>
  <c r="L126" i="34"/>
  <c r="L127" i="34"/>
  <c r="L128" i="34"/>
  <c r="L129" i="34"/>
  <c r="L130" i="34"/>
  <c r="L131" i="34"/>
  <c r="L132" i="34"/>
  <c r="L133" i="34"/>
  <c r="L134" i="34"/>
  <c r="L135" i="34"/>
  <c r="L136" i="34"/>
  <c r="L137" i="34"/>
  <c r="L138" i="34"/>
  <c r="L139" i="34"/>
  <c r="L140" i="34"/>
  <c r="L141" i="34"/>
  <c r="L142" i="34"/>
  <c r="L143" i="34"/>
  <c r="L144" i="34"/>
  <c r="L145" i="34"/>
  <c r="L146" i="34"/>
  <c r="L147" i="34"/>
  <c r="L148" i="34"/>
  <c r="L149" i="34"/>
  <c r="L150" i="34"/>
  <c r="L151" i="34"/>
  <c r="L152" i="34"/>
  <c r="L153" i="34"/>
  <c r="L154" i="34"/>
  <c r="L155" i="34"/>
  <c r="L156" i="34"/>
  <c r="L157" i="34"/>
  <c r="L158" i="34"/>
  <c r="L159" i="34"/>
  <c r="L160" i="34"/>
  <c r="L161" i="34"/>
  <c r="L162" i="34"/>
  <c r="L163" i="34"/>
  <c r="L164" i="34"/>
  <c r="L165" i="34"/>
  <c r="L166" i="34"/>
  <c r="L167" i="34"/>
  <c r="L168" i="34"/>
  <c r="L169" i="34"/>
  <c r="L170" i="34"/>
  <c r="L171" i="34"/>
  <c r="L172" i="34"/>
  <c r="L173" i="34"/>
  <c r="L174" i="34"/>
  <c r="L175" i="34"/>
  <c r="L176" i="34"/>
  <c r="L177" i="34"/>
  <c r="L178" i="34"/>
  <c r="L179" i="34"/>
  <c r="L180" i="34"/>
  <c r="L181" i="34"/>
  <c r="L182" i="34"/>
  <c r="L183" i="34"/>
  <c r="L184" i="34"/>
  <c r="L185" i="34"/>
  <c r="L186" i="34"/>
  <c r="L187" i="34"/>
  <c r="L188" i="34"/>
  <c r="L189" i="34"/>
  <c r="L190" i="34"/>
  <c r="L191" i="34"/>
  <c r="L192" i="34"/>
  <c r="L193" i="34"/>
  <c r="L194" i="34"/>
  <c r="L195" i="34"/>
  <c r="L196" i="34"/>
  <c r="L199" i="34"/>
  <c r="L200" i="34"/>
  <c r="L201" i="34"/>
  <c r="L202" i="34"/>
  <c r="L203" i="34"/>
  <c r="L204" i="34"/>
  <c r="L205" i="34"/>
  <c r="L206" i="34"/>
  <c r="L207" i="34"/>
  <c r="L208" i="34"/>
  <c r="L209" i="34"/>
  <c r="L210" i="34"/>
  <c r="L211" i="34"/>
  <c r="L212" i="34"/>
  <c r="L213" i="34"/>
  <c r="L214" i="34"/>
  <c r="L215" i="34"/>
  <c r="L216" i="34"/>
  <c r="L217" i="34"/>
  <c r="L218" i="34"/>
  <c r="L219" i="34"/>
  <c r="L220" i="34"/>
  <c r="L221" i="34"/>
  <c r="L222" i="34"/>
  <c r="L223" i="34"/>
  <c r="L224" i="34"/>
  <c r="L225" i="34"/>
  <c r="L226" i="34"/>
  <c r="L227" i="34"/>
  <c r="L228" i="34"/>
  <c r="L229" i="34"/>
  <c r="L230" i="34"/>
  <c r="L231" i="34"/>
  <c r="L232" i="34"/>
  <c r="L233" i="34"/>
  <c r="L234" i="34"/>
  <c r="L235" i="34"/>
  <c r="L236" i="34"/>
  <c r="L237" i="34"/>
  <c r="L238" i="34"/>
  <c r="L239" i="34"/>
  <c r="L240" i="34"/>
  <c r="L241" i="34"/>
  <c r="L242" i="34"/>
  <c r="L243" i="34"/>
  <c r="L244" i="34"/>
  <c r="L245" i="34"/>
  <c r="L246" i="34"/>
  <c r="L247" i="34"/>
  <c r="L248" i="34"/>
  <c r="L249" i="34"/>
  <c r="L250" i="34"/>
  <c r="L251" i="34"/>
  <c r="L252" i="34"/>
  <c r="L253" i="34"/>
  <c r="L254" i="34"/>
  <c r="L255" i="34"/>
  <c r="L256" i="34"/>
  <c r="L257" i="34"/>
  <c r="L258" i="34"/>
  <c r="L259" i="34"/>
  <c r="L260" i="34"/>
  <c r="L261" i="34"/>
  <c r="L262" i="34"/>
  <c r="L263" i="34"/>
  <c r="L264" i="34"/>
  <c r="L265" i="34"/>
  <c r="L266" i="34"/>
  <c r="L267" i="34"/>
  <c r="L268" i="34"/>
  <c r="L269" i="34"/>
  <c r="L270" i="34"/>
  <c r="L271" i="34"/>
  <c r="L272" i="34"/>
  <c r="L273" i="34"/>
  <c r="L274" i="34"/>
  <c r="L275" i="34"/>
  <c r="L276" i="34"/>
  <c r="L277" i="34"/>
  <c r="L279" i="34"/>
  <c r="L280" i="34"/>
  <c r="L281" i="34"/>
  <c r="L282" i="34"/>
  <c r="L283" i="34"/>
  <c r="L284" i="34"/>
  <c r="L285" i="34"/>
  <c r="L286" i="34"/>
  <c r="L287" i="34"/>
  <c r="L288" i="34"/>
  <c r="L289" i="34"/>
  <c r="L290" i="34"/>
  <c r="L291" i="34"/>
  <c r="L292" i="34"/>
  <c r="L293" i="34"/>
  <c r="L294" i="34"/>
  <c r="L295" i="34"/>
  <c r="L296" i="34"/>
  <c r="L297" i="34"/>
  <c r="L298" i="34"/>
  <c r="L310" i="34"/>
  <c r="L311" i="34"/>
  <c r="L309" i="34"/>
  <c r="B3" i="36" l="1"/>
  <c r="F145" i="34"/>
  <c r="D145" i="34"/>
  <c r="O18" i="36"/>
  <c r="O17" i="36"/>
  <c r="K103" i="18" l="1"/>
  <c r="F9" i="18"/>
  <c r="F131" i="18"/>
  <c r="F132" i="18"/>
  <c r="F133" i="18"/>
  <c r="F134" i="18"/>
  <c r="F135" i="18"/>
  <c r="F136" i="18"/>
  <c r="F137" i="18"/>
  <c r="F138" i="18"/>
  <c r="F139" i="18"/>
  <c r="F130" i="18"/>
  <c r="F122" i="18"/>
  <c r="F123" i="18"/>
  <c r="F124" i="18"/>
  <c r="F125" i="18"/>
  <c r="F126" i="18"/>
  <c r="F121" i="18"/>
  <c r="F107" i="18"/>
  <c r="F106" i="18"/>
  <c r="F104" i="18"/>
  <c r="F105" i="18"/>
  <c r="F96" i="18"/>
  <c r="F95" i="18"/>
  <c r="F94" i="18"/>
  <c r="F93" i="18"/>
  <c r="F92" i="18"/>
  <c r="F91" i="18"/>
  <c r="F90" i="18"/>
  <c r="F89" i="18"/>
  <c r="F31" i="18"/>
  <c r="C11" i="41"/>
  <c r="K16" i="34" l="1"/>
  <c r="H12" i="34" l="1"/>
  <c r="H9" i="34"/>
  <c r="H8" i="34"/>
  <c r="H10" i="34"/>
  <c r="H11" i="34"/>
  <c r="H14" i="34"/>
  <c r="H15" i="34"/>
  <c r="C7" i="20" l="1"/>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3" i="20"/>
  <c r="C74" i="20"/>
  <c r="C6" i="20"/>
  <c r="F57" i="34" l="1"/>
  <c r="K90" i="41" l="1"/>
  <c r="I311" i="34" s="1"/>
  <c r="M679" i="22" l="1"/>
  <c r="N679" i="22"/>
  <c r="O679" i="22"/>
  <c r="L679" i="22"/>
  <c r="K679" i="22"/>
  <c r="P679" i="22"/>
  <c r="H679" i="22"/>
  <c r="G679" i="22"/>
  <c r="B311" i="34" l="1"/>
  <c r="F311" i="34"/>
  <c r="D7" i="34"/>
  <c r="D311" i="34" l="1"/>
  <c r="F17" i="34"/>
  <c r="E15" i="20"/>
  <c r="E16" i="20"/>
  <c r="E17" i="20"/>
  <c r="E18" i="20"/>
  <c r="E19" i="20"/>
  <c r="E20" i="20"/>
  <c r="E21" i="20"/>
  <c r="E22" i="20"/>
  <c r="E23" i="20"/>
  <c r="E24" i="20"/>
  <c r="B1" i="40" l="1"/>
  <c r="B3" i="40"/>
  <c r="B1" i="28"/>
  <c r="B1" i="41"/>
  <c r="B20" i="14" l="1"/>
  <c r="F49" i="20"/>
  <c r="C78" i="18" l="1"/>
  <c r="F18" i="34" l="1"/>
  <c r="B18" i="34"/>
  <c r="B17" i="34"/>
  <c r="J15" i="34" l="1"/>
  <c r="J198" i="34"/>
  <c r="J197" i="34"/>
  <c r="K60" i="18"/>
  <c r="L314" i="34"/>
  <c r="L312" i="34"/>
  <c r="L313" i="34"/>
  <c r="J145" i="34"/>
  <c r="J311" i="34"/>
  <c r="J17" i="34"/>
  <c r="D18" i="34"/>
  <c r="D17" i="34"/>
  <c r="J19" i="34"/>
  <c r="J20" i="34"/>
  <c r="J21" i="34"/>
  <c r="J22" i="34"/>
  <c r="J23" i="34"/>
  <c r="J24" i="34"/>
  <c r="J25" i="34"/>
  <c r="J26" i="34"/>
  <c r="J27" i="34"/>
  <c r="J28" i="34"/>
  <c r="J29" i="34"/>
  <c r="J30" i="34"/>
  <c r="J31" i="34"/>
  <c r="J32" i="34"/>
  <c r="J34" i="34"/>
  <c r="J35" i="34"/>
  <c r="J36" i="34"/>
  <c r="J40" i="34"/>
  <c r="J41" i="34"/>
  <c r="J42" i="34"/>
  <c r="J43" i="34"/>
  <c r="J44" i="34"/>
  <c r="J46" i="34"/>
  <c r="J47" i="34"/>
  <c r="J48" i="34"/>
  <c r="J52" i="34"/>
  <c r="J53" i="34"/>
  <c r="J54" i="34"/>
  <c r="J55" i="34"/>
  <c r="J56" i="34"/>
  <c r="J58" i="34"/>
  <c r="J59" i="34"/>
  <c r="J60" i="34"/>
  <c r="J61" i="34"/>
  <c r="J62" i="34"/>
  <c r="J63" i="34"/>
  <c r="J65" i="34"/>
  <c r="J66" i="34"/>
  <c r="J67" i="34"/>
  <c r="J68" i="34"/>
  <c r="J69" i="34"/>
  <c r="J70" i="34"/>
  <c r="J72" i="34"/>
  <c r="J73" i="34"/>
  <c r="J74" i="34"/>
  <c r="J75" i="34"/>
  <c r="J76" i="34"/>
  <c r="J77" i="34"/>
  <c r="J78" i="34"/>
  <c r="J79" i="34"/>
  <c r="J80" i="34"/>
  <c r="J81" i="34"/>
  <c r="J82" i="34"/>
  <c r="J83" i="34"/>
  <c r="J84" i="34"/>
  <c r="J85" i="34"/>
  <c r="J86" i="34"/>
  <c r="J87" i="34"/>
  <c r="J88" i="34"/>
  <c r="J89" i="34"/>
  <c r="J90" i="34"/>
  <c r="J92" i="34"/>
  <c r="J93" i="34"/>
  <c r="J94" i="34"/>
  <c r="J95" i="34"/>
  <c r="J96" i="34"/>
  <c r="J97" i="34"/>
  <c r="J101" i="34"/>
  <c r="J103" i="34"/>
  <c r="J104" i="34"/>
  <c r="J107" i="34"/>
  <c r="J108" i="34"/>
  <c r="J109" i="34"/>
  <c r="J110" i="34"/>
  <c r="J111" i="34"/>
  <c r="J112" i="34"/>
  <c r="J113" i="34"/>
  <c r="J116" i="34"/>
  <c r="J117" i="34"/>
  <c r="J118" i="34"/>
  <c r="J119" i="34"/>
  <c r="J121" i="34"/>
  <c r="J123" i="34"/>
  <c r="J124" i="34"/>
  <c r="J125" i="34"/>
  <c r="J126" i="34"/>
  <c r="J127" i="34"/>
  <c r="J128" i="34"/>
  <c r="J129" i="34"/>
  <c r="J130" i="34"/>
  <c r="J131" i="34"/>
  <c r="J132" i="34"/>
  <c r="J133" i="34"/>
  <c r="J134" i="34"/>
  <c r="J135" i="34"/>
  <c r="J136" i="34"/>
  <c r="J137" i="34"/>
  <c r="J138" i="34"/>
  <c r="J139" i="34"/>
  <c r="J140" i="34"/>
  <c r="J141" i="34"/>
  <c r="J144" i="34"/>
  <c r="J146" i="34"/>
  <c r="J147" i="34"/>
  <c r="J149" i="34"/>
  <c r="J150" i="34"/>
  <c r="J151" i="34"/>
  <c r="J152" i="34"/>
  <c r="J153" i="34"/>
  <c r="J154" i="34"/>
  <c r="J155" i="34"/>
  <c r="J156" i="34"/>
  <c r="J157" i="34"/>
  <c r="J158" i="34"/>
  <c r="J159" i="34"/>
  <c r="J160" i="34"/>
  <c r="J161" i="34"/>
  <c r="J162" i="34"/>
  <c r="J163" i="34"/>
  <c r="J164" i="34"/>
  <c r="J165" i="34"/>
  <c r="J166" i="34"/>
  <c r="J167" i="34"/>
  <c r="J168" i="34"/>
  <c r="J169" i="34"/>
  <c r="J170" i="34"/>
  <c r="J171" i="34"/>
  <c r="J172" i="34"/>
  <c r="J174" i="34"/>
  <c r="J177" i="34"/>
  <c r="J178" i="34"/>
  <c r="J179" i="34"/>
  <c r="J180" i="34"/>
  <c r="J181" i="34"/>
  <c r="J182" i="34"/>
  <c r="J183" i="34"/>
  <c r="J184" i="34"/>
  <c r="J185" i="34"/>
  <c r="J186" i="34"/>
  <c r="J187" i="34"/>
  <c r="J188" i="34"/>
  <c r="J189" i="34"/>
  <c r="J190" i="34"/>
  <c r="J191" i="34"/>
  <c r="J192" i="34"/>
  <c r="J193" i="34"/>
  <c r="J196" i="34"/>
  <c r="J199" i="34"/>
  <c r="J200" i="34"/>
  <c r="J201" i="34"/>
  <c r="J202" i="34"/>
  <c r="J203" i="34"/>
  <c r="J205" i="34"/>
  <c r="J207" i="34"/>
  <c r="J208" i="34"/>
  <c r="J209" i="34"/>
  <c r="J210" i="34"/>
  <c r="J211" i="34"/>
  <c r="J212" i="34"/>
  <c r="J213" i="34"/>
  <c r="J214" i="34"/>
  <c r="J215" i="34"/>
  <c r="J216" i="34"/>
  <c r="J217" i="34"/>
  <c r="J218" i="34"/>
  <c r="J219" i="34"/>
  <c r="J220" i="34"/>
  <c r="J223" i="34"/>
  <c r="J224" i="34"/>
  <c r="J226" i="34"/>
  <c r="J227" i="34"/>
  <c r="J229" i="34"/>
  <c r="J231" i="34"/>
  <c r="J232" i="34"/>
  <c r="J233" i="34"/>
  <c r="J235" i="34"/>
  <c r="J237" i="34"/>
  <c r="J240" i="34"/>
  <c r="J241" i="34"/>
  <c r="J242" i="34"/>
  <c r="J244" i="34"/>
  <c r="J245" i="34"/>
  <c r="J246" i="34"/>
  <c r="J247" i="34"/>
  <c r="J248" i="34"/>
  <c r="J249" i="34"/>
  <c r="J250" i="34"/>
  <c r="J251" i="34"/>
  <c r="J252" i="34"/>
  <c r="J253" i="34"/>
  <c r="J254" i="34"/>
  <c r="J256" i="34"/>
  <c r="J258" i="34"/>
  <c r="J259" i="34"/>
  <c r="J260" i="34"/>
  <c r="J261" i="34"/>
  <c r="J262" i="34"/>
  <c r="J263" i="34"/>
  <c r="J265" i="34"/>
  <c r="J266" i="34"/>
  <c r="J269" i="34"/>
  <c r="J273" i="34"/>
  <c r="J276" i="34"/>
  <c r="J277" i="34"/>
  <c r="J279" i="34"/>
  <c r="J280" i="34"/>
  <c r="J281" i="34"/>
  <c r="J283" i="34"/>
  <c r="J284" i="34"/>
  <c r="J286" i="34"/>
  <c r="J289" i="34"/>
  <c r="J290" i="34"/>
  <c r="J291" i="34"/>
  <c r="J292" i="34"/>
  <c r="J293" i="34"/>
  <c r="J294" i="34"/>
  <c r="J295" i="34"/>
  <c r="J296" i="34"/>
  <c r="J297" i="34"/>
  <c r="J298" i="34"/>
  <c r="J299" i="34"/>
  <c r="J300" i="34"/>
  <c r="J301" i="34"/>
  <c r="J304" i="34"/>
  <c r="L303" i="34" s="1"/>
  <c r="J305" i="34"/>
  <c r="L304" i="34" s="1"/>
  <c r="J306" i="34"/>
  <c r="L305" i="34" s="1"/>
  <c r="J308" i="34"/>
  <c r="L307" i="34" s="1"/>
  <c r="J309" i="34"/>
  <c r="L308" i="34" s="1"/>
  <c r="J310" i="34"/>
  <c r="D12" i="34"/>
  <c r="F12" i="34"/>
  <c r="L12" i="34"/>
  <c r="D13" i="34"/>
  <c r="F13" i="34"/>
  <c r="L13" i="34"/>
  <c r="D14" i="34"/>
  <c r="F14" i="34"/>
  <c r="L14" i="34"/>
  <c r="D15" i="34"/>
  <c r="F15" i="34"/>
  <c r="L15" i="34"/>
  <c r="F19" i="34"/>
  <c r="F20" i="34"/>
  <c r="F21" i="34"/>
  <c r="B19" i="34"/>
  <c r="B20" i="34"/>
  <c r="B21" i="34"/>
  <c r="D21" i="34" l="1"/>
  <c r="D20" i="34"/>
  <c r="D19" i="34"/>
  <c r="E7" i="20"/>
  <c r="E8" i="20"/>
  <c r="E9" i="20"/>
  <c r="E10" i="20"/>
  <c r="E11" i="20"/>
  <c r="E14" i="20"/>
  <c r="E25" i="20"/>
  <c r="E26" i="20"/>
  <c r="E27" i="20"/>
  <c r="E28" i="20"/>
  <c r="E29" i="20"/>
  <c r="E30" i="20"/>
  <c r="E31" i="20"/>
  <c r="E32" i="20"/>
  <c r="E33" i="20"/>
  <c r="E34" i="20"/>
  <c r="E12" i="20"/>
  <c r="E13" i="20"/>
  <c r="F22" i="34"/>
  <c r="F23" i="34"/>
  <c r="F24" i="34"/>
  <c r="F25" i="34"/>
  <c r="F26" i="34"/>
  <c r="F27" i="34"/>
  <c r="F28" i="34"/>
  <c r="F29" i="34"/>
  <c r="F30" i="34"/>
  <c r="F31" i="34"/>
  <c r="F32" i="34"/>
  <c r="F33" i="34"/>
  <c r="F34" i="34"/>
  <c r="F35" i="34"/>
  <c r="F36" i="34"/>
  <c r="F37" i="34"/>
  <c r="F38" i="34"/>
  <c r="F39" i="34"/>
  <c r="F40" i="34"/>
  <c r="F41" i="34"/>
  <c r="F42" i="34"/>
  <c r="F43" i="34"/>
  <c r="F44" i="34"/>
  <c r="F45" i="34"/>
  <c r="F46" i="34"/>
  <c r="F47" i="34"/>
  <c r="F48" i="34"/>
  <c r="F49" i="34"/>
  <c r="F50" i="34"/>
  <c r="F51" i="34"/>
  <c r="F52" i="34"/>
  <c r="F53" i="34"/>
  <c r="F54" i="34"/>
  <c r="F55" i="34"/>
  <c r="F56" i="34"/>
  <c r="F58" i="34"/>
  <c r="F59" i="34"/>
  <c r="F60" i="34"/>
  <c r="F61" i="34"/>
  <c r="F62" i="34"/>
  <c r="F63" i="34"/>
  <c r="F64" i="34"/>
  <c r="F65" i="34"/>
  <c r="F66" i="34"/>
  <c r="F67" i="34"/>
  <c r="F68" i="34"/>
  <c r="F69" i="34"/>
  <c r="F70" i="34"/>
  <c r="F71" i="34"/>
  <c r="F72" i="34"/>
  <c r="F73" i="34"/>
  <c r="F74" i="34"/>
  <c r="F75" i="34"/>
  <c r="F76" i="34"/>
  <c r="F77" i="34"/>
  <c r="F78" i="34"/>
  <c r="F79" i="34"/>
  <c r="F80" i="34"/>
  <c r="F81" i="34"/>
  <c r="F82" i="34"/>
  <c r="F83" i="34"/>
  <c r="F84" i="34"/>
  <c r="F85" i="34"/>
  <c r="F86" i="34"/>
  <c r="F87" i="34"/>
  <c r="F88" i="34"/>
  <c r="F89" i="34"/>
  <c r="F90" i="34"/>
  <c r="F91" i="34"/>
  <c r="F92" i="34"/>
  <c r="F93" i="34"/>
  <c r="F94" i="34"/>
  <c r="F95" i="34"/>
  <c r="F96" i="34"/>
  <c r="F97" i="34"/>
  <c r="F98" i="34"/>
  <c r="F99" i="34"/>
  <c r="F100" i="34"/>
  <c r="F101" i="34"/>
  <c r="F102" i="34"/>
  <c r="F103" i="34"/>
  <c r="F104" i="34"/>
  <c r="F105" i="34"/>
  <c r="F106" i="34"/>
  <c r="F107" i="34"/>
  <c r="F108" i="34"/>
  <c r="F109" i="34"/>
  <c r="F110" i="34"/>
  <c r="F111" i="34"/>
  <c r="F112" i="34"/>
  <c r="F113" i="34"/>
  <c r="F114" i="34"/>
  <c r="F115" i="34"/>
  <c r="F116" i="34"/>
  <c r="F117" i="34"/>
  <c r="F118" i="34"/>
  <c r="F119" i="34"/>
  <c r="F120" i="34"/>
  <c r="F121" i="34"/>
  <c r="F122" i="34"/>
  <c r="F123" i="34"/>
  <c r="F124" i="34"/>
  <c r="F125" i="34"/>
  <c r="F126" i="34"/>
  <c r="F127" i="34"/>
  <c r="F128" i="34"/>
  <c r="F129" i="34"/>
  <c r="F130" i="34"/>
  <c r="F131" i="34"/>
  <c r="F132" i="34"/>
  <c r="F133" i="34"/>
  <c r="F134" i="34"/>
  <c r="F135" i="34"/>
  <c r="F136" i="34"/>
  <c r="F137" i="34"/>
  <c r="F138" i="34"/>
  <c r="F139" i="34"/>
  <c r="F140" i="34"/>
  <c r="F141" i="34"/>
  <c r="F142" i="34"/>
  <c r="F143" i="34"/>
  <c r="F144" i="34"/>
  <c r="F146" i="34"/>
  <c r="F147" i="34"/>
  <c r="F148" i="34"/>
  <c r="F149" i="34"/>
  <c r="F150" i="34"/>
  <c r="F151" i="34"/>
  <c r="F152" i="34"/>
  <c r="F153" i="34"/>
  <c r="F154" i="34"/>
  <c r="F155" i="34"/>
  <c r="F156" i="34"/>
  <c r="F157" i="34"/>
  <c r="F158" i="34"/>
  <c r="F159" i="34"/>
  <c r="F160" i="34"/>
  <c r="F161" i="34"/>
  <c r="F162" i="34"/>
  <c r="F163" i="34"/>
  <c r="F164" i="34"/>
  <c r="F165" i="34"/>
  <c r="F166" i="34"/>
  <c r="F167" i="34"/>
  <c r="F168" i="34"/>
  <c r="F169" i="34"/>
  <c r="F170" i="34"/>
  <c r="F171" i="34"/>
  <c r="F172" i="34"/>
  <c r="F173" i="34"/>
  <c r="F174" i="34"/>
  <c r="F175" i="34"/>
  <c r="F176" i="34"/>
  <c r="F177" i="34"/>
  <c r="F178" i="34"/>
  <c r="F179" i="34"/>
  <c r="F180" i="34"/>
  <c r="F181" i="34"/>
  <c r="F182" i="34"/>
  <c r="F183" i="34"/>
  <c r="F184" i="34"/>
  <c r="F185" i="34"/>
  <c r="F186" i="34"/>
  <c r="F187" i="34"/>
  <c r="F188" i="34"/>
  <c r="F189" i="34"/>
  <c r="F190" i="34"/>
  <c r="F191" i="34"/>
  <c r="F192" i="34"/>
  <c r="F193" i="34"/>
  <c r="F194" i="34"/>
  <c r="F195" i="34"/>
  <c r="F196" i="34"/>
  <c r="F199" i="34"/>
  <c r="F200" i="34"/>
  <c r="F201" i="34"/>
  <c r="F202" i="34"/>
  <c r="F203" i="34"/>
  <c r="F204" i="34"/>
  <c r="F205" i="34"/>
  <c r="F206" i="34"/>
  <c r="F207" i="34"/>
  <c r="F208" i="34"/>
  <c r="F209" i="34"/>
  <c r="F210" i="34"/>
  <c r="F211" i="34"/>
  <c r="F212" i="34"/>
  <c r="F213" i="34"/>
  <c r="F214" i="34"/>
  <c r="F215" i="34"/>
  <c r="F216" i="34"/>
  <c r="F217" i="34"/>
  <c r="F218" i="34"/>
  <c r="F219" i="34"/>
  <c r="F220" i="34"/>
  <c r="F221" i="34"/>
  <c r="F222" i="34"/>
  <c r="F223" i="34"/>
  <c r="F224" i="34"/>
  <c r="F225" i="34"/>
  <c r="F226" i="34"/>
  <c r="F227" i="34"/>
  <c r="F228" i="34"/>
  <c r="F229" i="34"/>
  <c r="F230" i="34"/>
  <c r="F231" i="34"/>
  <c r="F232" i="34"/>
  <c r="F233" i="34"/>
  <c r="F234" i="34"/>
  <c r="F235" i="34"/>
  <c r="F236" i="34"/>
  <c r="F237" i="34"/>
  <c r="F238" i="34"/>
  <c r="F239" i="34"/>
  <c r="F240" i="34"/>
  <c r="F241" i="34"/>
  <c r="F242" i="34"/>
  <c r="F243" i="34"/>
  <c r="F244" i="34"/>
  <c r="F245" i="34"/>
  <c r="F246" i="34"/>
  <c r="F247" i="34"/>
  <c r="F248" i="34"/>
  <c r="F249" i="34"/>
  <c r="F250" i="34"/>
  <c r="F251" i="34"/>
  <c r="F252" i="34"/>
  <c r="F253" i="34"/>
  <c r="F254" i="34"/>
  <c r="F255" i="34"/>
  <c r="F256" i="34"/>
  <c r="F257" i="34"/>
  <c r="F258" i="34"/>
  <c r="F259" i="34"/>
  <c r="F260" i="34"/>
  <c r="F261" i="34"/>
  <c r="F262" i="34"/>
  <c r="F263" i="34"/>
  <c r="F264" i="34"/>
  <c r="F265" i="34"/>
  <c r="F266" i="34"/>
  <c r="F267" i="34"/>
  <c r="F268" i="34"/>
  <c r="F269" i="34"/>
  <c r="F270" i="34"/>
  <c r="F271" i="34"/>
  <c r="F272" i="34"/>
  <c r="F273" i="34"/>
  <c r="F274" i="34"/>
  <c r="F275" i="34"/>
  <c r="F276" i="34"/>
  <c r="F277" i="34"/>
  <c r="F279" i="34"/>
  <c r="F280" i="34"/>
  <c r="F281" i="34"/>
  <c r="F282" i="34"/>
  <c r="F283" i="34"/>
  <c r="F284" i="34"/>
  <c r="F285" i="34"/>
  <c r="F286" i="34"/>
  <c r="F287" i="34"/>
  <c r="F288" i="34"/>
  <c r="F289" i="34"/>
  <c r="F290" i="34"/>
  <c r="F291" i="34"/>
  <c r="F292" i="34"/>
  <c r="F293" i="34"/>
  <c r="F294" i="34"/>
  <c r="F295" i="34"/>
  <c r="F296" i="34"/>
  <c r="F297" i="34"/>
  <c r="F298" i="34"/>
  <c r="F299" i="34"/>
  <c r="F300" i="34"/>
  <c r="F301" i="34"/>
  <c r="F302" i="34"/>
  <c r="F303" i="34"/>
  <c r="F304" i="34"/>
  <c r="F305" i="34"/>
  <c r="F306" i="34"/>
  <c r="F307" i="34"/>
  <c r="F308" i="34"/>
  <c r="F309" i="34"/>
  <c r="F310" i="34"/>
  <c r="B22" i="34" l="1"/>
  <c r="B23" i="34"/>
  <c r="B24" i="34"/>
  <c r="B25" i="34"/>
  <c r="B26" i="34"/>
  <c r="B27" i="34"/>
  <c r="B28" i="34"/>
  <c r="B29" i="34"/>
  <c r="B30" i="34"/>
  <c r="B31" i="34"/>
  <c r="B32" i="34"/>
  <c r="B33" i="34"/>
  <c r="B34" i="34"/>
  <c r="B35" i="34"/>
  <c r="B36" i="34"/>
  <c r="B37" i="34"/>
  <c r="B38" i="34"/>
  <c r="B39" i="34"/>
  <c r="B40" i="34"/>
  <c r="B41" i="34"/>
  <c r="B42" i="34"/>
  <c r="B43" i="34"/>
  <c r="B44" i="34"/>
  <c r="B45" i="34"/>
  <c r="B46" i="34"/>
  <c r="B47" i="34"/>
  <c r="B48" i="34"/>
  <c r="B49" i="34"/>
  <c r="B50" i="34"/>
  <c r="B51" i="34"/>
  <c r="B52" i="34"/>
  <c r="B53" i="34"/>
  <c r="B54" i="34"/>
  <c r="B55" i="34"/>
  <c r="B56" i="34"/>
  <c r="B57" i="34"/>
  <c r="B58" i="34"/>
  <c r="B59" i="34"/>
  <c r="B60" i="34"/>
  <c r="B61" i="34"/>
  <c r="B62" i="34"/>
  <c r="B63" i="34"/>
  <c r="B64" i="34"/>
  <c r="B65" i="34"/>
  <c r="B66" i="34"/>
  <c r="B67" i="34"/>
  <c r="B68" i="34"/>
  <c r="B69" i="34"/>
  <c r="B70" i="34"/>
  <c r="B71" i="34"/>
  <c r="B72" i="34"/>
  <c r="B73" i="34"/>
  <c r="B74" i="34"/>
  <c r="B75" i="34"/>
  <c r="B76" i="34"/>
  <c r="B77" i="34"/>
  <c r="B78" i="34"/>
  <c r="B79" i="34"/>
  <c r="B80" i="34"/>
  <c r="B81" i="34"/>
  <c r="B82" i="34"/>
  <c r="B83" i="34"/>
  <c r="B84" i="34"/>
  <c r="B85" i="34"/>
  <c r="B86" i="34"/>
  <c r="B87" i="34"/>
  <c r="B88" i="34"/>
  <c r="B89" i="34"/>
  <c r="B90" i="34"/>
  <c r="B91" i="34"/>
  <c r="B92" i="34"/>
  <c r="B93" i="34"/>
  <c r="B94" i="34"/>
  <c r="B95" i="34"/>
  <c r="B96" i="34"/>
  <c r="B97" i="34"/>
  <c r="B98" i="34"/>
  <c r="B99" i="34"/>
  <c r="B100" i="34"/>
  <c r="B101" i="34"/>
  <c r="B102" i="34"/>
  <c r="B103" i="34"/>
  <c r="B104" i="34"/>
  <c r="B105" i="34"/>
  <c r="B106" i="34"/>
  <c r="B107" i="34"/>
  <c r="B108" i="34"/>
  <c r="B109" i="34"/>
  <c r="B110" i="34"/>
  <c r="B111" i="34"/>
  <c r="B112" i="34"/>
  <c r="B113" i="34"/>
  <c r="B114" i="34"/>
  <c r="B115" i="34"/>
  <c r="B116" i="34"/>
  <c r="B117" i="34"/>
  <c r="B118" i="34"/>
  <c r="B119" i="34"/>
  <c r="B120" i="34"/>
  <c r="B121" i="34"/>
  <c r="B122" i="34"/>
  <c r="B123" i="34"/>
  <c r="B124" i="34"/>
  <c r="B125" i="34"/>
  <c r="B126" i="34"/>
  <c r="B127" i="34"/>
  <c r="B128" i="34"/>
  <c r="B129" i="34"/>
  <c r="B130" i="34"/>
  <c r="B131" i="34"/>
  <c r="B132" i="34"/>
  <c r="B133" i="34"/>
  <c r="B134" i="34"/>
  <c r="B135" i="34"/>
  <c r="B136" i="34"/>
  <c r="B137" i="34"/>
  <c r="B138" i="34"/>
  <c r="B139" i="34"/>
  <c r="B140" i="34"/>
  <c r="B141" i="34"/>
  <c r="B142" i="34"/>
  <c r="B143" i="34"/>
  <c r="B144" i="34"/>
  <c r="B146" i="34"/>
  <c r="B147" i="34"/>
  <c r="B148" i="34"/>
  <c r="B149" i="34"/>
  <c r="B150" i="34"/>
  <c r="B151" i="34"/>
  <c r="B152" i="34"/>
  <c r="B153" i="34"/>
  <c r="B154" i="34"/>
  <c r="B155" i="34"/>
  <c r="B156" i="34"/>
  <c r="B157" i="34"/>
  <c r="B158" i="34"/>
  <c r="B159" i="34"/>
  <c r="B160" i="34"/>
  <c r="B161" i="34"/>
  <c r="B162" i="34"/>
  <c r="B163" i="34"/>
  <c r="B164" i="34"/>
  <c r="B165" i="34"/>
  <c r="B166" i="34"/>
  <c r="B167" i="34"/>
  <c r="B168" i="34"/>
  <c r="B169" i="34"/>
  <c r="B170" i="34"/>
  <c r="B171" i="34"/>
  <c r="B172" i="34"/>
  <c r="B173" i="34"/>
  <c r="B174" i="34"/>
  <c r="B175" i="34"/>
  <c r="B176" i="34"/>
  <c r="B177" i="34"/>
  <c r="B178" i="34"/>
  <c r="B179" i="34"/>
  <c r="B180" i="34"/>
  <c r="B181" i="34"/>
  <c r="B182" i="34"/>
  <c r="B183" i="34"/>
  <c r="B184" i="34"/>
  <c r="B185" i="34"/>
  <c r="B186" i="34"/>
  <c r="B187" i="34"/>
  <c r="B188" i="34"/>
  <c r="B189" i="34"/>
  <c r="B190" i="34"/>
  <c r="B191" i="34"/>
  <c r="B192" i="34"/>
  <c r="B193" i="34"/>
  <c r="B194" i="34"/>
  <c r="B195" i="34"/>
  <c r="B196" i="34"/>
  <c r="B200" i="34"/>
  <c r="B201" i="34"/>
  <c r="B202" i="34"/>
  <c r="B203" i="34"/>
  <c r="B204" i="34"/>
  <c r="B205" i="34"/>
  <c r="B206" i="34"/>
  <c r="B207" i="34"/>
  <c r="B208" i="34"/>
  <c r="B209" i="34"/>
  <c r="B210" i="34"/>
  <c r="B211" i="34"/>
  <c r="B212" i="34"/>
  <c r="B213" i="34"/>
  <c r="B214" i="34"/>
  <c r="B215" i="34"/>
  <c r="B216" i="34"/>
  <c r="B217" i="34"/>
  <c r="B218" i="34"/>
  <c r="B219" i="34"/>
  <c r="B220" i="34"/>
  <c r="B221" i="34"/>
  <c r="B222" i="34"/>
  <c r="B223" i="34"/>
  <c r="B224" i="34"/>
  <c r="B225" i="34"/>
  <c r="B226" i="34"/>
  <c r="B227" i="34"/>
  <c r="B228" i="34"/>
  <c r="B229" i="34"/>
  <c r="B230" i="34"/>
  <c r="B231" i="34"/>
  <c r="B232" i="34"/>
  <c r="B233" i="34"/>
  <c r="B234" i="34"/>
  <c r="B235" i="34"/>
  <c r="B236" i="34"/>
  <c r="B237" i="34"/>
  <c r="B238" i="34"/>
  <c r="B239" i="34"/>
  <c r="B240" i="34"/>
  <c r="B241" i="34"/>
  <c r="B242" i="34"/>
  <c r="B243" i="34"/>
  <c r="B244" i="34"/>
  <c r="B245" i="34"/>
  <c r="B246" i="34"/>
  <c r="B247" i="34"/>
  <c r="B248" i="34"/>
  <c r="B249" i="34"/>
  <c r="B250" i="34"/>
  <c r="B251" i="34"/>
  <c r="B252" i="34"/>
  <c r="B253" i="34"/>
  <c r="B254" i="34"/>
  <c r="B255" i="34"/>
  <c r="B256" i="34"/>
  <c r="B257" i="34"/>
  <c r="B258" i="34"/>
  <c r="B259" i="34"/>
  <c r="B260" i="34"/>
  <c r="B261" i="34"/>
  <c r="B262" i="34"/>
  <c r="B263" i="34"/>
  <c r="B264" i="34"/>
  <c r="B265" i="34"/>
  <c r="B266" i="34"/>
  <c r="B267" i="34"/>
  <c r="B268" i="34"/>
  <c r="B269" i="34"/>
  <c r="B270" i="34"/>
  <c r="B271" i="34"/>
  <c r="B272" i="34"/>
  <c r="B273" i="34"/>
  <c r="B274" i="34"/>
  <c r="B275" i="34"/>
  <c r="B276" i="34"/>
  <c r="B277" i="34"/>
  <c r="B279" i="34"/>
  <c r="B280" i="34"/>
  <c r="B281" i="34"/>
  <c r="B282" i="34"/>
  <c r="B283" i="34"/>
  <c r="B284" i="34"/>
  <c r="B285" i="34"/>
  <c r="B286" i="34"/>
  <c r="B287" i="34"/>
  <c r="B288" i="34"/>
  <c r="B289" i="34"/>
  <c r="B290" i="34"/>
  <c r="B291" i="34"/>
  <c r="B292" i="34"/>
  <c r="B293" i="34"/>
  <c r="B294" i="34"/>
  <c r="B295" i="34"/>
  <c r="B296" i="34"/>
  <c r="B297" i="34"/>
  <c r="B298" i="34"/>
  <c r="B299" i="34"/>
  <c r="B300" i="34"/>
  <c r="B301" i="34"/>
  <c r="B302" i="34"/>
  <c r="B303" i="34"/>
  <c r="B304" i="34"/>
  <c r="B305" i="34"/>
  <c r="B306" i="34"/>
  <c r="B307" i="34"/>
  <c r="B308" i="34"/>
  <c r="B309" i="34"/>
  <c r="B310" i="34"/>
  <c r="D296" i="34" l="1"/>
  <c r="D288" i="34"/>
  <c r="D280" i="34"/>
  <c r="D271" i="34"/>
  <c r="D263" i="34"/>
  <c r="D255" i="34"/>
  <c r="D247" i="34"/>
  <c r="D239" i="34"/>
  <c r="D231" i="34"/>
  <c r="D223" i="34"/>
  <c r="D215" i="34"/>
  <c r="D207" i="34"/>
  <c r="D199" i="34"/>
  <c r="D190" i="34"/>
  <c r="D182" i="34"/>
  <c r="D174" i="34"/>
  <c r="D166" i="34"/>
  <c r="D158" i="34"/>
  <c r="D150" i="34"/>
  <c r="D141" i="34"/>
  <c r="D133" i="34"/>
  <c r="D125" i="34"/>
  <c r="D117" i="34"/>
  <c r="D109" i="34"/>
  <c r="D101" i="34"/>
  <c r="D93" i="34"/>
  <c r="D85" i="34"/>
  <c r="D77" i="34"/>
  <c r="D69" i="34"/>
  <c r="D61" i="34"/>
  <c r="D53" i="34"/>
  <c r="D305" i="34"/>
  <c r="D272" i="34"/>
  <c r="D216" i="34"/>
  <c r="D191" i="34"/>
  <c r="D295" i="34"/>
  <c r="D270" i="34"/>
  <c r="D230" i="34"/>
  <c r="D181" i="34"/>
  <c r="D140" i="34"/>
  <c r="D289" i="34"/>
  <c r="D224" i="34"/>
  <c r="D159" i="34"/>
  <c r="D262" i="34"/>
  <c r="D238" i="34"/>
  <c r="D189" i="34"/>
  <c r="D157" i="34"/>
  <c r="D116" i="34"/>
  <c r="D76" i="34"/>
  <c r="D310" i="34"/>
  <c r="D302" i="34"/>
  <c r="D277" i="34"/>
  <c r="D245" i="34"/>
  <c r="D221" i="34"/>
  <c r="D205" i="34"/>
  <c r="D180" i="34"/>
  <c r="D148" i="34"/>
  <c r="D115" i="34"/>
  <c r="D107" i="34"/>
  <c r="D99" i="34"/>
  <c r="D91" i="34"/>
  <c r="D83" i="34"/>
  <c r="D75" i="34"/>
  <c r="D67" i="34"/>
  <c r="D59" i="34"/>
  <c r="D51" i="34"/>
  <c r="D309" i="34"/>
  <c r="D301" i="34"/>
  <c r="D293" i="34"/>
  <c r="D285" i="34"/>
  <c r="D276" i="34"/>
  <c r="D268" i="34"/>
  <c r="D260" i="34"/>
  <c r="D252" i="34"/>
  <c r="D244" i="34"/>
  <c r="D236" i="34"/>
  <c r="D228" i="34"/>
  <c r="D220" i="34"/>
  <c r="D212" i="34"/>
  <c r="D204" i="34"/>
  <c r="D195" i="34"/>
  <c r="D187" i="34"/>
  <c r="D179" i="34"/>
  <c r="D171" i="34"/>
  <c r="D163" i="34"/>
  <c r="D155" i="34"/>
  <c r="D147" i="34"/>
  <c r="D138" i="34"/>
  <c r="D130" i="34"/>
  <c r="D122" i="34"/>
  <c r="D114" i="34"/>
  <c r="D106" i="34"/>
  <c r="D98" i="34"/>
  <c r="D90" i="34"/>
  <c r="D82" i="34"/>
  <c r="D74" i="34"/>
  <c r="D66" i="34"/>
  <c r="D58" i="34"/>
  <c r="D50" i="34"/>
  <c r="D281" i="34"/>
  <c r="D240" i="34"/>
  <c r="D167" i="34"/>
  <c r="D304" i="34"/>
  <c r="D254" i="34"/>
  <c r="D222" i="34"/>
  <c r="D173" i="34"/>
  <c r="D132" i="34"/>
  <c r="D68" i="34"/>
  <c r="D286" i="34"/>
  <c r="D261" i="34"/>
  <c r="D188" i="34"/>
  <c r="D139" i="34"/>
  <c r="D308" i="34"/>
  <c r="D300" i="34"/>
  <c r="D292" i="34"/>
  <c r="D284" i="34"/>
  <c r="D275" i="34"/>
  <c r="D267" i="34"/>
  <c r="D259" i="34"/>
  <c r="D251" i="34"/>
  <c r="D243" i="34"/>
  <c r="D235" i="34"/>
  <c r="D227" i="34"/>
  <c r="D219" i="34"/>
  <c r="D211" i="34"/>
  <c r="D203" i="34"/>
  <c r="D194" i="34"/>
  <c r="D186" i="34"/>
  <c r="D178" i="34"/>
  <c r="D170" i="34"/>
  <c r="D162" i="34"/>
  <c r="D154" i="34"/>
  <c r="D146" i="34"/>
  <c r="D137" i="34"/>
  <c r="D129" i="34"/>
  <c r="D121" i="34"/>
  <c r="D113" i="34"/>
  <c r="D105" i="34"/>
  <c r="D97" i="34"/>
  <c r="D89" i="34"/>
  <c r="D81" i="34"/>
  <c r="D73" i="34"/>
  <c r="D65" i="34"/>
  <c r="D57" i="34"/>
  <c r="D49" i="34"/>
  <c r="D248" i="34"/>
  <c r="D175" i="34"/>
  <c r="D303" i="34"/>
  <c r="D279" i="34"/>
  <c r="D206" i="34"/>
  <c r="D149" i="34"/>
  <c r="D108" i="34"/>
  <c r="D100" i="34"/>
  <c r="D60" i="34"/>
  <c r="D294" i="34"/>
  <c r="D253" i="34"/>
  <c r="D229" i="34"/>
  <c r="D196" i="34"/>
  <c r="D164" i="34"/>
  <c r="D156" i="34"/>
  <c r="D131" i="34"/>
  <c r="D274" i="34"/>
  <c r="D266" i="34"/>
  <c r="D258" i="34"/>
  <c r="D242" i="34"/>
  <c r="D218" i="34"/>
  <c r="D202" i="34"/>
  <c r="D185" i="34"/>
  <c r="D169" i="34"/>
  <c r="D161" i="34"/>
  <c r="D153" i="34"/>
  <c r="D144" i="34"/>
  <c r="D136" i="34"/>
  <c r="D128" i="34"/>
  <c r="D120" i="34"/>
  <c r="D112" i="34"/>
  <c r="D104" i="34"/>
  <c r="D96" i="34"/>
  <c r="D88" i="34"/>
  <c r="D80" i="34"/>
  <c r="D72" i="34"/>
  <c r="D64" i="34"/>
  <c r="D56" i="34"/>
  <c r="D48" i="34"/>
  <c r="D297" i="34"/>
  <c r="D264" i="34"/>
  <c r="D232" i="34"/>
  <c r="D208" i="34"/>
  <c r="D183" i="34"/>
  <c r="D287" i="34"/>
  <c r="D246" i="34"/>
  <c r="D214" i="34"/>
  <c r="D165" i="34"/>
  <c r="D124" i="34"/>
  <c r="D92" i="34"/>
  <c r="D84" i="34"/>
  <c r="D52" i="34"/>
  <c r="D269" i="34"/>
  <c r="D237" i="34"/>
  <c r="D213" i="34"/>
  <c r="D172" i="34"/>
  <c r="D123" i="34"/>
  <c r="D307" i="34"/>
  <c r="D299" i="34"/>
  <c r="D291" i="34"/>
  <c r="D283" i="34"/>
  <c r="D250" i="34"/>
  <c r="D234" i="34"/>
  <c r="D226" i="34"/>
  <c r="D210" i="34"/>
  <c r="D193" i="34"/>
  <c r="D177" i="34"/>
  <c r="D306" i="34"/>
  <c r="D298" i="34"/>
  <c r="D290" i="34"/>
  <c r="D282" i="34"/>
  <c r="D273" i="34"/>
  <c r="D265" i="34"/>
  <c r="D257" i="34"/>
  <c r="D249" i="34"/>
  <c r="D241" i="34"/>
  <c r="D233" i="34"/>
  <c r="D225" i="34"/>
  <c r="D217" i="34"/>
  <c r="D209" i="34"/>
  <c r="D201" i="34"/>
  <c r="D192" i="34"/>
  <c r="D184" i="34"/>
  <c r="D176" i="34"/>
  <c r="D168" i="34"/>
  <c r="D160" i="34"/>
  <c r="D152" i="34"/>
  <c r="D143" i="34"/>
  <c r="D135" i="34"/>
  <c r="D127" i="34"/>
  <c r="D119" i="34"/>
  <c r="D111" i="34"/>
  <c r="D103" i="34"/>
  <c r="D95" i="34"/>
  <c r="D87" i="34"/>
  <c r="D79" i="34"/>
  <c r="D71" i="34"/>
  <c r="D63" i="34"/>
  <c r="D55" i="34"/>
  <c r="D256" i="34"/>
  <c r="D200" i="34"/>
  <c r="D151" i="34"/>
  <c r="D142" i="34"/>
  <c r="D134" i="34"/>
  <c r="D126" i="34"/>
  <c r="D118" i="34"/>
  <c r="D110" i="34"/>
  <c r="D102" i="34"/>
  <c r="D94" i="34"/>
  <c r="D86" i="34"/>
  <c r="D78" i="34"/>
  <c r="D70" i="34"/>
  <c r="D62" i="34"/>
  <c r="D54" i="34"/>
  <c r="D45" i="34"/>
  <c r="D29" i="34"/>
  <c r="D44" i="34"/>
  <c r="D36" i="34"/>
  <c r="D28" i="34"/>
  <c r="D37" i="34"/>
  <c r="D43" i="34"/>
  <c r="D35" i="34"/>
  <c r="D27" i="34"/>
  <c r="D42" i="34"/>
  <c r="D34" i="34"/>
  <c r="D41" i="34"/>
  <c r="D33" i="34"/>
  <c r="D40" i="34"/>
  <c r="D32" i="34"/>
  <c r="D47" i="34"/>
  <c r="D39" i="34"/>
  <c r="D31" i="34"/>
  <c r="D46" i="34"/>
  <c r="D38" i="34"/>
  <c r="D30" i="34"/>
  <c r="D26" i="34"/>
  <c r="D25" i="34"/>
  <c r="D24" i="34"/>
  <c r="D23" i="34"/>
  <c r="D22" i="34"/>
  <c r="G32" i="22"/>
  <c r="H32" i="22"/>
  <c r="G33" i="22"/>
  <c r="H33" i="22"/>
  <c r="G34" i="22"/>
  <c r="H34" i="22"/>
  <c r="G35" i="22"/>
  <c r="H35" i="22"/>
  <c r="G36" i="22"/>
  <c r="H36" i="22"/>
  <c r="G37" i="22"/>
  <c r="H37" i="22"/>
  <c r="G38" i="22"/>
  <c r="H38" i="22"/>
  <c r="G39" i="22"/>
  <c r="H39" i="22"/>
  <c r="G40" i="22"/>
  <c r="H40" i="22"/>
  <c r="G41" i="22"/>
  <c r="H41" i="22"/>
  <c r="G42" i="22"/>
  <c r="H42" i="22"/>
  <c r="G43" i="22"/>
  <c r="H43" i="22"/>
  <c r="G44" i="22"/>
  <c r="H44" i="22"/>
  <c r="G45" i="22"/>
  <c r="H45" i="22"/>
  <c r="G46" i="22"/>
  <c r="H46" i="22"/>
  <c r="G47" i="22"/>
  <c r="H47" i="22"/>
  <c r="G48" i="22"/>
  <c r="H48" i="22"/>
  <c r="G49" i="22"/>
  <c r="H49" i="22"/>
  <c r="G50" i="22"/>
  <c r="H50" i="22"/>
  <c r="G51" i="22"/>
  <c r="H51" i="22"/>
  <c r="G52" i="22"/>
  <c r="H52" i="22"/>
  <c r="G53" i="22"/>
  <c r="H53" i="22"/>
  <c r="G54" i="22"/>
  <c r="H54" i="22"/>
  <c r="G55" i="22"/>
  <c r="H55" i="22"/>
  <c r="G56" i="22"/>
  <c r="H56" i="22"/>
  <c r="G57" i="22"/>
  <c r="H57" i="22"/>
  <c r="G58" i="22"/>
  <c r="H58" i="22"/>
  <c r="G59" i="22"/>
  <c r="H59" i="22"/>
  <c r="G60" i="22"/>
  <c r="H60" i="22"/>
  <c r="G61" i="22"/>
  <c r="H61" i="22"/>
  <c r="G62" i="22"/>
  <c r="H62" i="22"/>
  <c r="G63" i="22"/>
  <c r="H63" i="22"/>
  <c r="G64" i="22"/>
  <c r="H64" i="22"/>
  <c r="G65" i="22"/>
  <c r="H65" i="22"/>
  <c r="G66" i="22"/>
  <c r="H66" i="22"/>
  <c r="G67" i="22"/>
  <c r="H67" i="22"/>
  <c r="G68" i="22"/>
  <c r="H68" i="22"/>
  <c r="G69" i="22"/>
  <c r="H69" i="22"/>
  <c r="G70" i="22"/>
  <c r="H70" i="22"/>
  <c r="G71" i="22"/>
  <c r="H71" i="22"/>
  <c r="G72" i="22"/>
  <c r="H72" i="22"/>
  <c r="G73" i="22"/>
  <c r="H73" i="22"/>
  <c r="G74" i="22"/>
  <c r="H74" i="22"/>
  <c r="G75" i="22"/>
  <c r="H75" i="22"/>
  <c r="G76" i="22"/>
  <c r="H76" i="22"/>
  <c r="G77" i="22"/>
  <c r="H77" i="22"/>
  <c r="G78" i="22"/>
  <c r="H78" i="22"/>
  <c r="G79" i="22"/>
  <c r="H79" i="22"/>
  <c r="G80" i="22"/>
  <c r="H80" i="22"/>
  <c r="G81" i="22"/>
  <c r="H81" i="22"/>
  <c r="G82" i="22"/>
  <c r="H82" i="22"/>
  <c r="G83" i="22"/>
  <c r="H83" i="22"/>
  <c r="G84" i="22"/>
  <c r="H84" i="22"/>
  <c r="G85" i="22"/>
  <c r="H85" i="22"/>
  <c r="G86" i="22"/>
  <c r="H86" i="22"/>
  <c r="G87" i="22"/>
  <c r="H87" i="22"/>
  <c r="G88" i="22"/>
  <c r="H88" i="22"/>
  <c r="G89" i="22"/>
  <c r="H89" i="22"/>
  <c r="G90" i="22"/>
  <c r="H90" i="22"/>
  <c r="G91" i="22"/>
  <c r="H91" i="22"/>
  <c r="G92" i="22"/>
  <c r="H92" i="22"/>
  <c r="G93" i="22"/>
  <c r="H93" i="22"/>
  <c r="G94" i="22"/>
  <c r="H94" i="22"/>
  <c r="G95" i="22"/>
  <c r="H95" i="22"/>
  <c r="G96" i="22"/>
  <c r="H96" i="22"/>
  <c r="G97" i="22"/>
  <c r="H97" i="22"/>
  <c r="G98" i="22"/>
  <c r="H98" i="22"/>
  <c r="G99" i="22"/>
  <c r="H99" i="22"/>
  <c r="G100" i="22"/>
  <c r="H100" i="22"/>
  <c r="G101" i="22"/>
  <c r="H101" i="22"/>
  <c r="G102" i="22"/>
  <c r="H102" i="22"/>
  <c r="G103" i="22"/>
  <c r="H103" i="22"/>
  <c r="G104" i="22"/>
  <c r="H104" i="22"/>
  <c r="G105" i="22"/>
  <c r="H105" i="22"/>
  <c r="G106" i="22"/>
  <c r="H106" i="22"/>
  <c r="G107" i="22"/>
  <c r="H107" i="22"/>
  <c r="G108" i="22"/>
  <c r="H108" i="22"/>
  <c r="G109" i="22"/>
  <c r="H109" i="22"/>
  <c r="G110" i="22"/>
  <c r="H110" i="22"/>
  <c r="G111" i="22"/>
  <c r="H111" i="22"/>
  <c r="G112" i="22"/>
  <c r="H112" i="22"/>
  <c r="G113" i="22"/>
  <c r="H113" i="22"/>
  <c r="G114" i="22"/>
  <c r="H114" i="22"/>
  <c r="G115" i="22"/>
  <c r="H115" i="22"/>
  <c r="G116" i="22"/>
  <c r="H116" i="22"/>
  <c r="G117" i="22"/>
  <c r="H117" i="22"/>
  <c r="G118" i="22"/>
  <c r="H118" i="22"/>
  <c r="G119" i="22"/>
  <c r="H119" i="22"/>
  <c r="G120" i="22"/>
  <c r="H120" i="22"/>
  <c r="G121" i="22"/>
  <c r="H121" i="22"/>
  <c r="G122" i="22"/>
  <c r="H122" i="22"/>
  <c r="G123" i="22"/>
  <c r="H123" i="22"/>
  <c r="G124" i="22"/>
  <c r="H124" i="22"/>
  <c r="G125" i="22"/>
  <c r="H125" i="22"/>
  <c r="G126" i="22"/>
  <c r="H126" i="22"/>
  <c r="G127" i="22"/>
  <c r="H127" i="22"/>
  <c r="G128" i="22"/>
  <c r="H128" i="22"/>
  <c r="G129" i="22"/>
  <c r="H129" i="22"/>
  <c r="G130" i="22"/>
  <c r="H130" i="22"/>
  <c r="G131" i="22"/>
  <c r="H131" i="22"/>
  <c r="G132" i="22"/>
  <c r="H132" i="22"/>
  <c r="G133" i="22"/>
  <c r="H133" i="22"/>
  <c r="G134" i="22"/>
  <c r="H134" i="22"/>
  <c r="G135" i="22"/>
  <c r="H135" i="22"/>
  <c r="G136" i="22"/>
  <c r="H136" i="22"/>
  <c r="G137" i="22"/>
  <c r="H137" i="22"/>
  <c r="G138" i="22"/>
  <c r="H138" i="22"/>
  <c r="G139" i="22"/>
  <c r="H139" i="22"/>
  <c r="G140" i="22"/>
  <c r="H140" i="22"/>
  <c r="G141" i="22"/>
  <c r="H141" i="22"/>
  <c r="G142" i="22"/>
  <c r="H142" i="22"/>
  <c r="G143" i="22"/>
  <c r="H143" i="22"/>
  <c r="G144" i="22"/>
  <c r="H144" i="22"/>
  <c r="G145" i="22"/>
  <c r="H145" i="22"/>
  <c r="G146" i="22"/>
  <c r="H146" i="22"/>
  <c r="G147" i="22"/>
  <c r="H147" i="22"/>
  <c r="G148" i="22"/>
  <c r="H148" i="22"/>
  <c r="G149" i="22"/>
  <c r="H149" i="22"/>
  <c r="G150" i="22"/>
  <c r="H150" i="22"/>
  <c r="G151" i="22"/>
  <c r="H151" i="22"/>
  <c r="G152" i="22"/>
  <c r="H152" i="22"/>
  <c r="G153" i="22"/>
  <c r="H153" i="22"/>
  <c r="G154" i="22"/>
  <c r="H154" i="22"/>
  <c r="G155" i="22"/>
  <c r="H155" i="22"/>
  <c r="G156" i="22"/>
  <c r="H156" i="22"/>
  <c r="G157" i="22"/>
  <c r="H157" i="22"/>
  <c r="G158" i="22"/>
  <c r="H158" i="22"/>
  <c r="G159" i="22"/>
  <c r="H159" i="22"/>
  <c r="G160" i="22"/>
  <c r="H160" i="22"/>
  <c r="G161" i="22"/>
  <c r="H161" i="22"/>
  <c r="G162" i="22"/>
  <c r="H162" i="22"/>
  <c r="G163" i="22"/>
  <c r="H163" i="22"/>
  <c r="G164" i="22"/>
  <c r="H164" i="22"/>
  <c r="G165" i="22"/>
  <c r="H165" i="22"/>
  <c r="G166" i="22"/>
  <c r="H166" i="22"/>
  <c r="G167" i="22"/>
  <c r="H167" i="22"/>
  <c r="G168" i="22"/>
  <c r="H168" i="22"/>
  <c r="G169" i="22"/>
  <c r="H169" i="22"/>
  <c r="G170" i="22"/>
  <c r="H170" i="22"/>
  <c r="G171" i="22"/>
  <c r="H171" i="22"/>
  <c r="G172" i="22"/>
  <c r="H172" i="22"/>
  <c r="G173" i="22"/>
  <c r="H173" i="22"/>
  <c r="G174" i="22"/>
  <c r="H174" i="22"/>
  <c r="G175" i="22"/>
  <c r="H175" i="22"/>
  <c r="G176" i="22"/>
  <c r="H176" i="22"/>
  <c r="G177" i="22"/>
  <c r="H177" i="22"/>
  <c r="G178" i="22"/>
  <c r="H178" i="22"/>
  <c r="G179" i="22"/>
  <c r="H179" i="22"/>
  <c r="G180" i="22"/>
  <c r="H180" i="22"/>
  <c r="G181" i="22"/>
  <c r="H181" i="22"/>
  <c r="G182" i="22"/>
  <c r="H182" i="22"/>
  <c r="G183" i="22"/>
  <c r="H183" i="22"/>
  <c r="G184" i="22"/>
  <c r="H184" i="22"/>
  <c r="G185" i="22"/>
  <c r="H185" i="22"/>
  <c r="G186" i="22"/>
  <c r="H186" i="22"/>
  <c r="G187" i="22"/>
  <c r="H187" i="22"/>
  <c r="G188" i="22"/>
  <c r="H188" i="22"/>
  <c r="G189" i="22"/>
  <c r="H189" i="22"/>
  <c r="G190" i="22"/>
  <c r="H190" i="22"/>
  <c r="G191" i="22"/>
  <c r="H191" i="22"/>
  <c r="G192" i="22"/>
  <c r="H192" i="22"/>
  <c r="G193" i="22"/>
  <c r="H193" i="22"/>
  <c r="G194" i="22"/>
  <c r="H194" i="22"/>
  <c r="G195" i="22"/>
  <c r="H195" i="22"/>
  <c r="G196" i="22"/>
  <c r="H196" i="22"/>
  <c r="G197" i="22"/>
  <c r="H197" i="22"/>
  <c r="G198" i="22"/>
  <c r="H198" i="22"/>
  <c r="G199" i="22"/>
  <c r="H199" i="22"/>
  <c r="G200" i="22"/>
  <c r="H200" i="22"/>
  <c r="G201" i="22"/>
  <c r="H201" i="22"/>
  <c r="G202" i="22"/>
  <c r="H202" i="22"/>
  <c r="G203" i="22"/>
  <c r="H203" i="22"/>
  <c r="G204" i="22"/>
  <c r="H204" i="22"/>
  <c r="G205" i="22"/>
  <c r="H205" i="22"/>
  <c r="G206" i="22"/>
  <c r="H206" i="22"/>
  <c r="G207" i="22"/>
  <c r="H207" i="22"/>
  <c r="G208" i="22"/>
  <c r="H208" i="22"/>
  <c r="G209" i="22"/>
  <c r="H209" i="22"/>
  <c r="G210" i="22"/>
  <c r="H210" i="22"/>
  <c r="G211" i="22"/>
  <c r="H211" i="22"/>
  <c r="G212" i="22"/>
  <c r="H212" i="22"/>
  <c r="G213" i="22"/>
  <c r="H213" i="22"/>
  <c r="G214" i="22"/>
  <c r="H214" i="22"/>
  <c r="G215" i="22"/>
  <c r="H215" i="22"/>
  <c r="G216" i="22"/>
  <c r="H216" i="22"/>
  <c r="G217" i="22"/>
  <c r="H217" i="22"/>
  <c r="G218" i="22"/>
  <c r="H218" i="22"/>
  <c r="G219" i="22"/>
  <c r="H219" i="22"/>
  <c r="G220" i="22"/>
  <c r="H220" i="22"/>
  <c r="G221" i="22"/>
  <c r="H221" i="22"/>
  <c r="G222" i="22"/>
  <c r="H222" i="22"/>
  <c r="G223" i="22"/>
  <c r="H223" i="22"/>
  <c r="G224" i="22"/>
  <c r="H224" i="22"/>
  <c r="G225" i="22"/>
  <c r="H225" i="22"/>
  <c r="G226" i="22"/>
  <c r="H226" i="22"/>
  <c r="G227" i="22"/>
  <c r="H227" i="22"/>
  <c r="G228" i="22"/>
  <c r="H228" i="22"/>
  <c r="G229" i="22"/>
  <c r="H229" i="22"/>
  <c r="G230" i="22"/>
  <c r="H230" i="22"/>
  <c r="G231" i="22"/>
  <c r="H231" i="22"/>
  <c r="G232" i="22"/>
  <c r="H232" i="22"/>
  <c r="G233" i="22"/>
  <c r="H233" i="22"/>
  <c r="G234" i="22"/>
  <c r="H234" i="22"/>
  <c r="G235" i="22"/>
  <c r="H235" i="22"/>
  <c r="G236" i="22"/>
  <c r="H236" i="22"/>
  <c r="G237" i="22"/>
  <c r="H237" i="22"/>
  <c r="G238" i="22"/>
  <c r="H238" i="22"/>
  <c r="G239" i="22"/>
  <c r="H239" i="22"/>
  <c r="G240" i="22"/>
  <c r="H240" i="22"/>
  <c r="G241" i="22"/>
  <c r="H241" i="22"/>
  <c r="G242" i="22"/>
  <c r="H242" i="22"/>
  <c r="G243" i="22"/>
  <c r="H243" i="22"/>
  <c r="G244" i="22"/>
  <c r="H244" i="22"/>
  <c r="G245" i="22"/>
  <c r="H245" i="22"/>
  <c r="G246" i="22"/>
  <c r="H246" i="22"/>
  <c r="G247" i="22"/>
  <c r="H247" i="22"/>
  <c r="G248" i="22"/>
  <c r="H248" i="22"/>
  <c r="G249" i="22"/>
  <c r="H249" i="22"/>
  <c r="G250" i="22"/>
  <c r="H250" i="22"/>
  <c r="G251" i="22"/>
  <c r="H251" i="22"/>
  <c r="G252" i="22"/>
  <c r="H252" i="22"/>
  <c r="G253" i="22"/>
  <c r="H253" i="22"/>
  <c r="G254" i="22"/>
  <c r="H254" i="22"/>
  <c r="G255" i="22"/>
  <c r="H255" i="22"/>
  <c r="G256" i="22"/>
  <c r="H256" i="22"/>
  <c r="G257" i="22"/>
  <c r="H257" i="22"/>
  <c r="G258" i="22"/>
  <c r="H258" i="22"/>
  <c r="G259" i="22"/>
  <c r="H259" i="22"/>
  <c r="G260" i="22"/>
  <c r="H260" i="22"/>
  <c r="G261" i="22"/>
  <c r="H261" i="22"/>
  <c r="G262" i="22"/>
  <c r="H262" i="22"/>
  <c r="G263" i="22"/>
  <c r="H263" i="22"/>
  <c r="G264" i="22"/>
  <c r="H264" i="22"/>
  <c r="G265" i="22"/>
  <c r="H265" i="22"/>
  <c r="G266" i="22"/>
  <c r="H266" i="22"/>
  <c r="G267" i="22"/>
  <c r="H267" i="22"/>
  <c r="G268" i="22"/>
  <c r="H268" i="22"/>
  <c r="G269" i="22"/>
  <c r="H269" i="22"/>
  <c r="G270" i="22"/>
  <c r="H270" i="22"/>
  <c r="G271" i="22"/>
  <c r="H271" i="22"/>
  <c r="G272" i="22"/>
  <c r="H272" i="22"/>
  <c r="G273" i="22"/>
  <c r="H273" i="22"/>
  <c r="G274" i="22"/>
  <c r="H274" i="22"/>
  <c r="G275" i="22"/>
  <c r="H275" i="22"/>
  <c r="G276" i="22"/>
  <c r="H276" i="22"/>
  <c r="G277" i="22"/>
  <c r="H277" i="22"/>
  <c r="G278" i="22"/>
  <c r="H278" i="22"/>
  <c r="G279" i="22"/>
  <c r="H279" i="22"/>
  <c r="G280" i="22"/>
  <c r="H280" i="22"/>
  <c r="G281" i="22"/>
  <c r="H281" i="22"/>
  <c r="G282" i="22"/>
  <c r="H282" i="22"/>
  <c r="G283" i="22"/>
  <c r="H283" i="22"/>
  <c r="G284" i="22"/>
  <c r="H284" i="22"/>
  <c r="G285" i="22"/>
  <c r="H285" i="22"/>
  <c r="G286" i="22"/>
  <c r="H286" i="22"/>
  <c r="G287" i="22"/>
  <c r="H287" i="22"/>
  <c r="G288" i="22"/>
  <c r="H288" i="22"/>
  <c r="G289" i="22"/>
  <c r="H289" i="22"/>
  <c r="G290" i="22"/>
  <c r="H290" i="22"/>
  <c r="G291" i="22"/>
  <c r="H291" i="22"/>
  <c r="G292" i="22"/>
  <c r="H292" i="22"/>
  <c r="G293" i="22"/>
  <c r="H293" i="22"/>
  <c r="G294" i="22"/>
  <c r="H294" i="22"/>
  <c r="G295" i="22"/>
  <c r="H295" i="22"/>
  <c r="G296" i="22"/>
  <c r="H296" i="22"/>
  <c r="G297" i="22"/>
  <c r="H297" i="22"/>
  <c r="G298" i="22"/>
  <c r="H298" i="22"/>
  <c r="G299" i="22"/>
  <c r="H299" i="22"/>
  <c r="G300" i="22"/>
  <c r="H300" i="22"/>
  <c r="G301" i="22"/>
  <c r="H301" i="22"/>
  <c r="G302" i="22"/>
  <c r="H302" i="22"/>
  <c r="G303" i="22"/>
  <c r="H303" i="22"/>
  <c r="G304" i="22"/>
  <c r="H304" i="22"/>
  <c r="G305" i="22"/>
  <c r="H305" i="22"/>
  <c r="G306" i="22"/>
  <c r="H306" i="22"/>
  <c r="G307" i="22"/>
  <c r="H307" i="22"/>
  <c r="G308" i="22"/>
  <c r="H308" i="22"/>
  <c r="G309" i="22"/>
  <c r="H309" i="22"/>
  <c r="G310" i="22"/>
  <c r="H310" i="22"/>
  <c r="G311" i="22"/>
  <c r="H311" i="22"/>
  <c r="G312" i="22"/>
  <c r="H312" i="22"/>
  <c r="G313" i="22"/>
  <c r="H313" i="22"/>
  <c r="G314" i="22"/>
  <c r="H314" i="22"/>
  <c r="G315" i="22"/>
  <c r="H315" i="22"/>
  <c r="G316" i="22"/>
  <c r="H316" i="22"/>
  <c r="G317" i="22"/>
  <c r="H317" i="22"/>
  <c r="G318" i="22"/>
  <c r="H318" i="22"/>
  <c r="G319" i="22"/>
  <c r="H319" i="22"/>
  <c r="G320" i="22"/>
  <c r="H320" i="22"/>
  <c r="G321" i="22"/>
  <c r="H321" i="22"/>
  <c r="G322" i="22"/>
  <c r="H322" i="22"/>
  <c r="G323" i="22"/>
  <c r="H323" i="22"/>
  <c r="G324" i="22"/>
  <c r="H324" i="22"/>
  <c r="G325" i="22"/>
  <c r="H325" i="22"/>
  <c r="G326" i="22"/>
  <c r="H326" i="22"/>
  <c r="G327" i="22"/>
  <c r="H327" i="22"/>
  <c r="G328" i="22"/>
  <c r="H328" i="22"/>
  <c r="G329" i="22"/>
  <c r="H329" i="22"/>
  <c r="G330" i="22"/>
  <c r="H330" i="22"/>
  <c r="G331" i="22"/>
  <c r="H331" i="22"/>
  <c r="G332" i="22"/>
  <c r="H332" i="22"/>
  <c r="G333" i="22"/>
  <c r="H333" i="22"/>
  <c r="G334" i="22"/>
  <c r="H334" i="22"/>
  <c r="G335" i="22"/>
  <c r="H335" i="22"/>
  <c r="G336" i="22"/>
  <c r="H336" i="22"/>
  <c r="G337" i="22"/>
  <c r="H337" i="22"/>
  <c r="G338" i="22"/>
  <c r="H338" i="22"/>
  <c r="G339" i="22"/>
  <c r="H339" i="22"/>
  <c r="G340" i="22"/>
  <c r="H340" i="22"/>
  <c r="G341" i="22"/>
  <c r="H341" i="22"/>
  <c r="G342" i="22"/>
  <c r="H342" i="22"/>
  <c r="G343" i="22"/>
  <c r="H343" i="22"/>
  <c r="G344" i="22"/>
  <c r="H344" i="22"/>
  <c r="G345" i="22"/>
  <c r="H345" i="22"/>
  <c r="G346" i="22"/>
  <c r="H346" i="22"/>
  <c r="G347" i="22"/>
  <c r="H347" i="22"/>
  <c r="G348" i="22"/>
  <c r="H348" i="22"/>
  <c r="G349" i="22"/>
  <c r="H349" i="22"/>
  <c r="G350" i="22"/>
  <c r="H350" i="22"/>
  <c r="G351" i="22"/>
  <c r="H351" i="22"/>
  <c r="G352" i="22"/>
  <c r="H352" i="22"/>
  <c r="G353" i="22"/>
  <c r="H353" i="22"/>
  <c r="G354" i="22"/>
  <c r="H354" i="22"/>
  <c r="G355" i="22"/>
  <c r="H355" i="22"/>
  <c r="G356" i="22"/>
  <c r="H356" i="22"/>
  <c r="G357" i="22"/>
  <c r="H357" i="22"/>
  <c r="G358" i="22"/>
  <c r="H358" i="22"/>
  <c r="G359" i="22"/>
  <c r="H359" i="22"/>
  <c r="G360" i="22"/>
  <c r="H360" i="22"/>
  <c r="G361" i="22"/>
  <c r="H361" i="22"/>
  <c r="G362" i="22"/>
  <c r="H362" i="22"/>
  <c r="G363" i="22"/>
  <c r="H363" i="22"/>
  <c r="G364" i="22"/>
  <c r="H364" i="22"/>
  <c r="G365" i="22"/>
  <c r="H365" i="22"/>
  <c r="G366" i="22"/>
  <c r="H366" i="22"/>
  <c r="G367" i="22"/>
  <c r="H367" i="22"/>
  <c r="G368" i="22"/>
  <c r="H368" i="22"/>
  <c r="G369" i="22"/>
  <c r="H369" i="22"/>
  <c r="G370" i="22"/>
  <c r="H370" i="22"/>
  <c r="G371" i="22"/>
  <c r="H371" i="22"/>
  <c r="G372" i="22"/>
  <c r="H372" i="22"/>
  <c r="G373" i="22"/>
  <c r="H373" i="22"/>
  <c r="G374" i="22"/>
  <c r="H374" i="22"/>
  <c r="G375" i="22"/>
  <c r="H375" i="22"/>
  <c r="G376" i="22"/>
  <c r="H376" i="22"/>
  <c r="G377" i="22"/>
  <c r="H377" i="22"/>
  <c r="G378" i="22"/>
  <c r="H378" i="22"/>
  <c r="G379" i="22"/>
  <c r="H379" i="22"/>
  <c r="G380" i="22"/>
  <c r="H380" i="22"/>
  <c r="G381" i="22"/>
  <c r="H381" i="22"/>
  <c r="G382" i="22"/>
  <c r="H382" i="22"/>
  <c r="G383" i="22"/>
  <c r="H383" i="22"/>
  <c r="G384" i="22"/>
  <c r="H384" i="22"/>
  <c r="G385" i="22"/>
  <c r="H385" i="22"/>
  <c r="G386" i="22"/>
  <c r="H386" i="22"/>
  <c r="G387" i="22"/>
  <c r="H387" i="22"/>
  <c r="G388" i="22"/>
  <c r="H388" i="22"/>
  <c r="G389" i="22"/>
  <c r="H389" i="22"/>
  <c r="G390" i="22"/>
  <c r="H390" i="22"/>
  <c r="G391" i="22"/>
  <c r="H391" i="22"/>
  <c r="G392" i="22"/>
  <c r="H392" i="22"/>
  <c r="G393" i="22"/>
  <c r="H393" i="22"/>
  <c r="G394" i="22"/>
  <c r="H394" i="22"/>
  <c r="G395" i="22"/>
  <c r="H395" i="22"/>
  <c r="G396" i="22"/>
  <c r="H396" i="22"/>
  <c r="G397" i="22"/>
  <c r="H397" i="22"/>
  <c r="G398" i="22"/>
  <c r="H398" i="22"/>
  <c r="G399" i="22"/>
  <c r="H399" i="22"/>
  <c r="G400" i="22"/>
  <c r="H400" i="22"/>
  <c r="G401" i="22"/>
  <c r="H401" i="22"/>
  <c r="G402" i="22"/>
  <c r="H402" i="22"/>
  <c r="G403" i="22"/>
  <c r="H403" i="22"/>
  <c r="G404" i="22"/>
  <c r="H404" i="22"/>
  <c r="G405" i="22"/>
  <c r="H405" i="22"/>
  <c r="G406" i="22"/>
  <c r="H406" i="22"/>
  <c r="G407" i="22"/>
  <c r="H407" i="22"/>
  <c r="G408" i="22"/>
  <c r="H408" i="22"/>
  <c r="G409" i="22"/>
  <c r="H409" i="22"/>
  <c r="G410" i="22"/>
  <c r="H410" i="22"/>
  <c r="G411" i="22"/>
  <c r="H411" i="22"/>
  <c r="G412" i="22"/>
  <c r="H412" i="22"/>
  <c r="G413" i="22"/>
  <c r="H413" i="22"/>
  <c r="G414" i="22"/>
  <c r="H414" i="22"/>
  <c r="G415" i="22"/>
  <c r="H415" i="22"/>
  <c r="G416" i="22"/>
  <c r="H416" i="22"/>
  <c r="G417" i="22"/>
  <c r="H417" i="22"/>
  <c r="G418" i="22"/>
  <c r="H418" i="22"/>
  <c r="G419" i="22"/>
  <c r="H419" i="22"/>
  <c r="G420" i="22"/>
  <c r="H420" i="22"/>
  <c r="G421" i="22"/>
  <c r="H421" i="22"/>
  <c r="G422" i="22"/>
  <c r="H422" i="22"/>
  <c r="G423" i="22"/>
  <c r="H423" i="22"/>
  <c r="G424" i="22"/>
  <c r="H424" i="22"/>
  <c r="G425" i="22"/>
  <c r="H425" i="22"/>
  <c r="G426" i="22"/>
  <c r="H426" i="22"/>
  <c r="G427" i="22"/>
  <c r="H427" i="22"/>
  <c r="G428" i="22"/>
  <c r="H428" i="22"/>
  <c r="G429" i="22"/>
  <c r="H429" i="22"/>
  <c r="G430" i="22"/>
  <c r="H430" i="22"/>
  <c r="G431" i="22"/>
  <c r="H431" i="22"/>
  <c r="G432" i="22"/>
  <c r="H432" i="22"/>
  <c r="G433" i="22"/>
  <c r="H433" i="22"/>
  <c r="G434" i="22"/>
  <c r="H434" i="22"/>
  <c r="G435" i="22"/>
  <c r="H435" i="22"/>
  <c r="G436" i="22"/>
  <c r="H436" i="22"/>
  <c r="G437" i="22"/>
  <c r="H437" i="22"/>
  <c r="G438" i="22"/>
  <c r="H438" i="22"/>
  <c r="G439" i="22"/>
  <c r="H439" i="22"/>
  <c r="G440" i="22"/>
  <c r="H440" i="22"/>
  <c r="G441" i="22"/>
  <c r="H441" i="22"/>
  <c r="G442" i="22"/>
  <c r="H442" i="22"/>
  <c r="G443" i="22"/>
  <c r="H443" i="22"/>
  <c r="G444" i="22"/>
  <c r="H444" i="22"/>
  <c r="G445" i="22"/>
  <c r="H445" i="22"/>
  <c r="G446" i="22"/>
  <c r="H446" i="22"/>
  <c r="G447" i="22"/>
  <c r="H447" i="22"/>
  <c r="G448" i="22"/>
  <c r="H448" i="22"/>
  <c r="G449" i="22"/>
  <c r="H449" i="22"/>
  <c r="G450" i="22"/>
  <c r="H450" i="22"/>
  <c r="G451" i="22"/>
  <c r="H451" i="22"/>
  <c r="G452" i="22"/>
  <c r="H452" i="22"/>
  <c r="G453" i="22"/>
  <c r="H453" i="22"/>
  <c r="G454" i="22"/>
  <c r="H454" i="22"/>
  <c r="G455" i="22"/>
  <c r="H455" i="22"/>
  <c r="G456" i="22"/>
  <c r="H456" i="22"/>
  <c r="G457" i="22"/>
  <c r="H457" i="22"/>
  <c r="G458" i="22"/>
  <c r="H458" i="22"/>
  <c r="G459" i="22"/>
  <c r="H459" i="22"/>
  <c r="G460" i="22"/>
  <c r="H460" i="22"/>
  <c r="G461" i="22"/>
  <c r="H461" i="22"/>
  <c r="G462" i="22"/>
  <c r="H462" i="22"/>
  <c r="G463" i="22"/>
  <c r="H463" i="22"/>
  <c r="G464" i="22"/>
  <c r="H464" i="22"/>
  <c r="G465" i="22"/>
  <c r="H465" i="22"/>
  <c r="G466" i="22"/>
  <c r="H466" i="22"/>
  <c r="G467" i="22"/>
  <c r="H467" i="22"/>
  <c r="G468" i="22"/>
  <c r="H468" i="22"/>
  <c r="G469" i="22"/>
  <c r="H469" i="22"/>
  <c r="G470" i="22"/>
  <c r="H470" i="22"/>
  <c r="G471" i="22"/>
  <c r="H471" i="22"/>
  <c r="G472" i="22"/>
  <c r="H472" i="22"/>
  <c r="G473" i="22"/>
  <c r="H473" i="22"/>
  <c r="G474" i="22"/>
  <c r="H474" i="22"/>
  <c r="G475" i="22"/>
  <c r="H475" i="22"/>
  <c r="G476" i="22"/>
  <c r="H476" i="22"/>
  <c r="G477" i="22"/>
  <c r="H477" i="22"/>
  <c r="G478" i="22"/>
  <c r="H478" i="22"/>
  <c r="G479" i="22"/>
  <c r="H479" i="22"/>
  <c r="G480" i="22"/>
  <c r="H480" i="22"/>
  <c r="G481" i="22"/>
  <c r="H481" i="22"/>
  <c r="G482" i="22"/>
  <c r="H482" i="22"/>
  <c r="G483" i="22"/>
  <c r="H483" i="22"/>
  <c r="G484" i="22"/>
  <c r="H484" i="22"/>
  <c r="G485" i="22"/>
  <c r="H485" i="22"/>
  <c r="G486" i="22"/>
  <c r="H486" i="22"/>
  <c r="G487" i="22"/>
  <c r="H487" i="22"/>
  <c r="G488" i="22"/>
  <c r="H488" i="22"/>
  <c r="G489" i="22"/>
  <c r="H489" i="22"/>
  <c r="G490" i="22"/>
  <c r="H490" i="22"/>
  <c r="G491" i="22"/>
  <c r="H491" i="22"/>
  <c r="G492" i="22"/>
  <c r="H492" i="22"/>
  <c r="G493" i="22"/>
  <c r="H493" i="22"/>
  <c r="G494" i="22"/>
  <c r="H494" i="22"/>
  <c r="G495" i="22"/>
  <c r="H495" i="22"/>
  <c r="G496" i="22"/>
  <c r="H496" i="22"/>
  <c r="G497" i="22"/>
  <c r="H497" i="22"/>
  <c r="G498" i="22"/>
  <c r="H498" i="22"/>
  <c r="G499" i="22"/>
  <c r="H499" i="22"/>
  <c r="G500" i="22"/>
  <c r="H500" i="22"/>
  <c r="G501" i="22"/>
  <c r="H501" i="22"/>
  <c r="G502" i="22"/>
  <c r="H502" i="22"/>
  <c r="G503" i="22"/>
  <c r="H503" i="22"/>
  <c r="G504" i="22"/>
  <c r="H504" i="22"/>
  <c r="G505" i="22"/>
  <c r="H505" i="22"/>
  <c r="G506" i="22"/>
  <c r="H506" i="22"/>
  <c r="G507" i="22"/>
  <c r="H507" i="22"/>
  <c r="G508" i="22"/>
  <c r="H508" i="22"/>
  <c r="G509" i="22"/>
  <c r="H509" i="22"/>
  <c r="G510" i="22"/>
  <c r="H510" i="22"/>
  <c r="G511" i="22"/>
  <c r="H511" i="22"/>
  <c r="G512" i="22"/>
  <c r="H512" i="22"/>
  <c r="G513" i="22"/>
  <c r="H513" i="22"/>
  <c r="G514" i="22"/>
  <c r="H514" i="22"/>
  <c r="G515" i="22"/>
  <c r="H515" i="22"/>
  <c r="G516" i="22"/>
  <c r="H516" i="22"/>
  <c r="G517" i="22"/>
  <c r="H517" i="22"/>
  <c r="G518" i="22"/>
  <c r="H518" i="22"/>
  <c r="G519" i="22"/>
  <c r="H519" i="22"/>
  <c r="G520" i="22"/>
  <c r="H520" i="22"/>
  <c r="G521" i="22"/>
  <c r="H521" i="22"/>
  <c r="G522" i="22"/>
  <c r="H522" i="22"/>
  <c r="G523" i="22"/>
  <c r="H523" i="22"/>
  <c r="G524" i="22"/>
  <c r="H524" i="22"/>
  <c r="G525" i="22"/>
  <c r="H525" i="22"/>
  <c r="G526" i="22"/>
  <c r="H526" i="22"/>
  <c r="G527" i="22"/>
  <c r="H527" i="22"/>
  <c r="G528" i="22"/>
  <c r="H528" i="22"/>
  <c r="G529" i="22"/>
  <c r="H529" i="22"/>
  <c r="G530" i="22"/>
  <c r="H530" i="22"/>
  <c r="G531" i="22"/>
  <c r="H531" i="22"/>
  <c r="G532" i="22"/>
  <c r="H532" i="22"/>
  <c r="G533" i="22"/>
  <c r="H533" i="22"/>
  <c r="G534" i="22"/>
  <c r="H534" i="22"/>
  <c r="G535" i="22"/>
  <c r="H535" i="22"/>
  <c r="G536" i="22"/>
  <c r="H536" i="22"/>
  <c r="G537" i="22"/>
  <c r="H537" i="22"/>
  <c r="G538" i="22"/>
  <c r="H538" i="22"/>
  <c r="G539" i="22"/>
  <c r="H539" i="22"/>
  <c r="G540" i="22"/>
  <c r="H540" i="22"/>
  <c r="G541" i="22"/>
  <c r="H541" i="22"/>
  <c r="G542" i="22"/>
  <c r="H542" i="22"/>
  <c r="G543" i="22"/>
  <c r="H543" i="22"/>
  <c r="G544" i="22"/>
  <c r="H544" i="22"/>
  <c r="G545" i="22"/>
  <c r="H545" i="22"/>
  <c r="G546" i="22"/>
  <c r="H546" i="22"/>
  <c r="G547" i="22"/>
  <c r="H547" i="22"/>
  <c r="G548" i="22"/>
  <c r="H548" i="22"/>
  <c r="G549" i="22"/>
  <c r="H549" i="22"/>
  <c r="G550" i="22"/>
  <c r="H550" i="22"/>
  <c r="G551" i="22"/>
  <c r="H551" i="22"/>
  <c r="G552" i="22"/>
  <c r="H552" i="22"/>
  <c r="G553" i="22"/>
  <c r="H553" i="22"/>
  <c r="G554" i="22"/>
  <c r="H554" i="22"/>
  <c r="G555" i="22"/>
  <c r="H555" i="22"/>
  <c r="G556" i="22"/>
  <c r="H556" i="22"/>
  <c r="G557" i="22"/>
  <c r="H557" i="22"/>
  <c r="G558" i="22"/>
  <c r="H558" i="22"/>
  <c r="G559" i="22"/>
  <c r="H559" i="22"/>
  <c r="G560" i="22"/>
  <c r="H560" i="22"/>
  <c r="G561" i="22"/>
  <c r="H561" i="22"/>
  <c r="G562" i="22"/>
  <c r="H562" i="22"/>
  <c r="G563" i="22"/>
  <c r="H563" i="22"/>
  <c r="G564" i="22"/>
  <c r="H564" i="22"/>
  <c r="G565" i="22"/>
  <c r="H565" i="22"/>
  <c r="G566" i="22"/>
  <c r="H566" i="22"/>
  <c r="G567" i="22"/>
  <c r="H567" i="22"/>
  <c r="G568" i="22"/>
  <c r="H568" i="22"/>
  <c r="G569" i="22"/>
  <c r="H569" i="22"/>
  <c r="G570" i="22"/>
  <c r="H570" i="22"/>
  <c r="G571" i="22"/>
  <c r="H571" i="22"/>
  <c r="G572" i="22"/>
  <c r="H572" i="22"/>
  <c r="G573" i="22"/>
  <c r="H573" i="22"/>
  <c r="G574" i="22"/>
  <c r="H574" i="22"/>
  <c r="G575" i="22"/>
  <c r="H575" i="22"/>
  <c r="G576" i="22"/>
  <c r="H576" i="22"/>
  <c r="G577" i="22"/>
  <c r="H577" i="22"/>
  <c r="G578" i="22"/>
  <c r="H578" i="22"/>
  <c r="G579" i="22"/>
  <c r="H579" i="22"/>
  <c r="G580" i="22"/>
  <c r="H580" i="22"/>
  <c r="G581" i="22"/>
  <c r="H581" i="22"/>
  <c r="G582" i="22"/>
  <c r="H582" i="22"/>
  <c r="G583" i="22"/>
  <c r="H583" i="22"/>
  <c r="G584" i="22"/>
  <c r="H584" i="22"/>
  <c r="G585" i="22"/>
  <c r="H585" i="22"/>
  <c r="G586" i="22"/>
  <c r="H586" i="22"/>
  <c r="G587" i="22"/>
  <c r="H587" i="22"/>
  <c r="G588" i="22"/>
  <c r="H588" i="22"/>
  <c r="G589" i="22"/>
  <c r="H589" i="22"/>
  <c r="G590" i="22"/>
  <c r="H590" i="22"/>
  <c r="G591" i="22"/>
  <c r="H591" i="22"/>
  <c r="G592" i="22"/>
  <c r="H592" i="22"/>
  <c r="G593" i="22"/>
  <c r="H593" i="22"/>
  <c r="G594" i="22"/>
  <c r="H594" i="22"/>
  <c r="G595" i="22"/>
  <c r="H595" i="22"/>
  <c r="G596" i="22"/>
  <c r="H596" i="22"/>
  <c r="G597" i="22"/>
  <c r="H597" i="22"/>
  <c r="G598" i="22"/>
  <c r="H598" i="22"/>
  <c r="G599" i="22"/>
  <c r="H599" i="22"/>
  <c r="G600" i="22"/>
  <c r="H600" i="22"/>
  <c r="G601" i="22"/>
  <c r="H601" i="22"/>
  <c r="G602" i="22"/>
  <c r="H602" i="22"/>
  <c r="G603" i="22"/>
  <c r="H603" i="22"/>
  <c r="G604" i="22"/>
  <c r="H604" i="22"/>
  <c r="G605" i="22"/>
  <c r="H605" i="22"/>
  <c r="G606" i="22"/>
  <c r="H606" i="22"/>
  <c r="G607" i="22"/>
  <c r="H607" i="22"/>
  <c r="G608" i="22"/>
  <c r="H608" i="22"/>
  <c r="G609" i="22"/>
  <c r="H609" i="22"/>
  <c r="G610" i="22"/>
  <c r="H610" i="22"/>
  <c r="G611" i="22"/>
  <c r="H611" i="22"/>
  <c r="G612" i="22"/>
  <c r="H612" i="22"/>
  <c r="G613" i="22"/>
  <c r="H613" i="22"/>
  <c r="G614" i="22"/>
  <c r="H614" i="22"/>
  <c r="G615" i="22"/>
  <c r="H615" i="22"/>
  <c r="G616" i="22"/>
  <c r="H616" i="22"/>
  <c r="G617" i="22"/>
  <c r="H617" i="22"/>
  <c r="G618" i="22"/>
  <c r="H618" i="22"/>
  <c r="G619" i="22"/>
  <c r="H619" i="22"/>
  <c r="G620" i="22"/>
  <c r="H620" i="22"/>
  <c r="G621" i="22"/>
  <c r="H621" i="22"/>
  <c r="G622" i="22"/>
  <c r="H622" i="22"/>
  <c r="G623" i="22"/>
  <c r="H623" i="22"/>
  <c r="G624" i="22"/>
  <c r="H624" i="22"/>
  <c r="G625" i="22"/>
  <c r="H625" i="22"/>
  <c r="G626" i="22"/>
  <c r="H626" i="22"/>
  <c r="G627" i="22"/>
  <c r="H627" i="22"/>
  <c r="G628" i="22"/>
  <c r="H628" i="22"/>
  <c r="G629" i="22"/>
  <c r="H629" i="22"/>
  <c r="G630" i="22"/>
  <c r="H630" i="22"/>
  <c r="G631" i="22"/>
  <c r="H631" i="22"/>
  <c r="G632" i="22"/>
  <c r="H632" i="22"/>
  <c r="G633" i="22"/>
  <c r="H633" i="22"/>
  <c r="G634" i="22"/>
  <c r="H634" i="22"/>
  <c r="G635" i="22"/>
  <c r="H635" i="22"/>
  <c r="G636" i="22"/>
  <c r="H636" i="22"/>
  <c r="G637" i="22"/>
  <c r="H637" i="22"/>
  <c r="G638" i="22"/>
  <c r="H638" i="22"/>
  <c r="G639" i="22"/>
  <c r="H639" i="22"/>
  <c r="G640" i="22"/>
  <c r="H640" i="22"/>
  <c r="G641" i="22"/>
  <c r="H641" i="22"/>
  <c r="G642" i="22"/>
  <c r="H642" i="22"/>
  <c r="G643" i="22"/>
  <c r="H643" i="22"/>
  <c r="G644" i="22"/>
  <c r="H644" i="22"/>
  <c r="G645" i="22"/>
  <c r="H645" i="22"/>
  <c r="G646" i="22"/>
  <c r="H646" i="22"/>
  <c r="G647" i="22"/>
  <c r="H647" i="22"/>
  <c r="G648" i="22"/>
  <c r="H648" i="22"/>
  <c r="G649" i="22"/>
  <c r="H649" i="22"/>
  <c r="G650" i="22"/>
  <c r="H650" i="22"/>
  <c r="G651" i="22"/>
  <c r="H651" i="22"/>
  <c r="G652" i="22"/>
  <c r="H652" i="22"/>
  <c r="G653" i="22"/>
  <c r="H653" i="22"/>
  <c r="G654" i="22"/>
  <c r="H654" i="22"/>
  <c r="G655" i="22"/>
  <c r="H655" i="22"/>
  <c r="G656" i="22"/>
  <c r="H656" i="22"/>
  <c r="G657" i="22"/>
  <c r="H657" i="22"/>
  <c r="G658" i="22"/>
  <c r="H658" i="22"/>
  <c r="G659" i="22"/>
  <c r="H659" i="22"/>
  <c r="G660" i="22"/>
  <c r="H660" i="22"/>
  <c r="G661" i="22"/>
  <c r="H661" i="22"/>
  <c r="G662" i="22"/>
  <c r="H662" i="22"/>
  <c r="G663" i="22"/>
  <c r="H663" i="22"/>
  <c r="G664" i="22"/>
  <c r="H664" i="22"/>
  <c r="G665" i="22"/>
  <c r="H665" i="22"/>
  <c r="G666" i="22"/>
  <c r="H666" i="22"/>
  <c r="G667" i="22"/>
  <c r="H667" i="22"/>
  <c r="G668" i="22"/>
  <c r="H668" i="22"/>
  <c r="G669" i="22"/>
  <c r="H669" i="22"/>
  <c r="G670" i="22"/>
  <c r="H670" i="22"/>
  <c r="G671" i="22"/>
  <c r="H671" i="22"/>
  <c r="G672" i="22"/>
  <c r="H672" i="22"/>
  <c r="G673" i="22"/>
  <c r="H673" i="22"/>
  <c r="G674" i="22"/>
  <c r="H674" i="22"/>
  <c r="G675" i="22"/>
  <c r="H675" i="22"/>
  <c r="G676" i="22"/>
  <c r="H676" i="22"/>
  <c r="G677" i="22"/>
  <c r="H677" i="22"/>
  <c r="G678" i="22"/>
  <c r="H678" i="22"/>
  <c r="G4" i="22"/>
  <c r="H4" i="22"/>
  <c r="G5" i="22"/>
  <c r="H5" i="22"/>
  <c r="G6" i="22"/>
  <c r="H6" i="22"/>
  <c r="G7" i="22"/>
  <c r="H7" i="22"/>
  <c r="G8" i="22"/>
  <c r="H8" i="22"/>
  <c r="G9" i="22"/>
  <c r="H9" i="22"/>
  <c r="G10" i="22"/>
  <c r="H10" i="22"/>
  <c r="G11" i="22"/>
  <c r="H11" i="22"/>
  <c r="G12" i="22"/>
  <c r="H12" i="22"/>
  <c r="G13" i="22"/>
  <c r="H13" i="22"/>
  <c r="G14" i="22"/>
  <c r="H14" i="22"/>
  <c r="G15" i="22"/>
  <c r="H15" i="22"/>
  <c r="G16" i="22"/>
  <c r="H16" i="22"/>
  <c r="G17" i="22"/>
  <c r="H17" i="22"/>
  <c r="G18" i="22"/>
  <c r="H18" i="22"/>
  <c r="G19" i="22"/>
  <c r="H19" i="22"/>
  <c r="G20" i="22"/>
  <c r="H20" i="22"/>
  <c r="G21" i="22"/>
  <c r="H21" i="22"/>
  <c r="G22" i="22"/>
  <c r="H22" i="22"/>
  <c r="G23" i="22"/>
  <c r="H23" i="22"/>
  <c r="G24" i="22"/>
  <c r="H24" i="22"/>
  <c r="G25" i="22"/>
  <c r="H25" i="22"/>
  <c r="G26" i="22"/>
  <c r="H26" i="22"/>
  <c r="G27" i="22"/>
  <c r="H27" i="22"/>
  <c r="G28" i="22"/>
  <c r="H28" i="22"/>
  <c r="G29" i="22"/>
  <c r="H29" i="22"/>
  <c r="G30" i="22"/>
  <c r="H30" i="22"/>
  <c r="H31" i="22"/>
  <c r="G31" i="22"/>
  <c r="C76" i="18"/>
  <c r="C75" i="18"/>
  <c r="B1" i="44" l="1"/>
  <c r="E12" i="44"/>
  <c r="C96" i="18"/>
  <c r="C95" i="18"/>
  <c r="C94" i="18"/>
  <c r="C93" i="18"/>
  <c r="C92" i="18"/>
  <c r="C91" i="18"/>
  <c r="C90" i="18"/>
  <c r="C89" i="18"/>
  <c r="F9" i="44"/>
  <c r="K75" i="18" l="1"/>
  <c r="F75" i="18" s="1"/>
  <c r="G72" i="18"/>
  <c r="C72" i="18"/>
  <c r="F10" i="44"/>
  <c r="J100" i="34" l="1"/>
  <c r="C332" i="21"/>
  <c r="B332" i="21"/>
  <c r="C98" i="18" l="1"/>
  <c r="C331" i="21"/>
  <c r="B331" i="21"/>
  <c r="K98" i="18"/>
  <c r="K99" i="18"/>
  <c r="K97" i="18"/>
  <c r="C330" i="21"/>
  <c r="B330" i="21"/>
  <c r="B88" i="18"/>
  <c r="K76" i="18"/>
  <c r="F76" i="18" s="1"/>
  <c r="J115" i="34" s="1"/>
  <c r="C103" i="18"/>
  <c r="C97" i="18" l="1"/>
  <c r="C99" i="18"/>
  <c r="F99" i="18"/>
  <c r="J122" i="34" s="1"/>
  <c r="F98" i="18"/>
  <c r="F97" i="18"/>
  <c r="J236" i="34" l="1"/>
  <c r="J102" i="34"/>
  <c r="B59" i="45"/>
  <c r="B58" i="45"/>
  <c r="B57" i="45"/>
  <c r="B56" i="45"/>
  <c r="B55" i="45"/>
  <c r="B54" i="45"/>
  <c r="B53" i="45"/>
  <c r="B52" i="45"/>
  <c r="B51" i="45"/>
  <c r="B50" i="45"/>
  <c r="B49" i="45"/>
  <c r="B48" i="45"/>
  <c r="B47" i="45"/>
  <c r="B46" i="45"/>
  <c r="B45" i="45"/>
  <c r="B44" i="45"/>
  <c r="B43" i="45"/>
  <c r="B41" i="45"/>
  <c r="B40" i="45"/>
  <c r="B39" i="45"/>
  <c r="B38" i="45"/>
  <c r="B37" i="45"/>
  <c r="B36" i="45"/>
  <c r="B35" i="45"/>
  <c r="B34" i="45"/>
  <c r="B33" i="45"/>
  <c r="B32" i="45"/>
  <c r="B31" i="45"/>
  <c r="B30" i="45"/>
  <c r="B29" i="45"/>
  <c r="B28" i="45"/>
  <c r="B27" i="45"/>
  <c r="B26" i="45"/>
  <c r="B24" i="45"/>
  <c r="B16" i="45"/>
  <c r="B15" i="45"/>
  <c r="B14" i="45"/>
  <c r="B13" i="45"/>
  <c r="B12" i="45"/>
  <c r="B11" i="45"/>
  <c r="B10" i="45"/>
  <c r="B9" i="45"/>
  <c r="B8" i="45"/>
  <c r="B7" i="45"/>
  <c r="B6" i="45"/>
  <c r="B17" i="45"/>
  <c r="B18" i="45"/>
  <c r="B19" i="45"/>
  <c r="B20" i="45"/>
  <c r="B21" i="45"/>
  <c r="B22" i="45"/>
  <c r="B4" i="45"/>
  <c r="B1" i="45" l="1"/>
  <c r="B1" i="36" l="1"/>
  <c r="H11" i="41"/>
  <c r="B22" i="41"/>
  <c r="B64" i="41"/>
  <c r="B77" i="41"/>
  <c r="B66" i="41"/>
  <c r="B65" i="41"/>
  <c r="B62" i="41"/>
  <c r="B59" i="41"/>
  <c r="B58" i="41"/>
  <c r="B57" i="41"/>
  <c r="B56" i="41"/>
  <c r="B55" i="41"/>
  <c r="B54" i="41"/>
  <c r="B53" i="41"/>
  <c r="B43" i="41"/>
  <c r="B42" i="41"/>
  <c r="B39" i="41"/>
  <c r="B36" i="41"/>
  <c r="B33" i="41"/>
  <c r="B32" i="41"/>
  <c r="B31" i="41"/>
  <c r="B27" i="41"/>
  <c r="B26" i="41"/>
  <c r="B25" i="41"/>
  <c r="B24" i="41"/>
  <c r="B23" i="41"/>
  <c r="B17" i="41"/>
  <c r="B14" i="41"/>
  <c r="B11" i="41"/>
  <c r="A11" i="41"/>
  <c r="B10" i="41"/>
  <c r="J8" i="41"/>
  <c r="I8" i="41"/>
  <c r="H8" i="41"/>
  <c r="G8" i="41"/>
  <c r="F8" i="41"/>
  <c r="E8" i="41"/>
  <c r="D8" i="41"/>
  <c r="C8" i="41"/>
  <c r="B8" i="41"/>
  <c r="J7" i="41"/>
  <c r="B7" i="41"/>
  <c r="B3" i="41"/>
  <c r="B1" i="34"/>
  <c r="F151" i="18" l="1"/>
  <c r="F150" i="18"/>
  <c r="F149" i="18"/>
  <c r="F148" i="18"/>
  <c r="F147" i="18"/>
  <c r="F146" i="18"/>
  <c r="B141" i="18"/>
  <c r="B111" i="18"/>
  <c r="B116" i="18"/>
  <c r="B69" i="18"/>
  <c r="D143" i="18"/>
  <c r="C143" i="18"/>
  <c r="B143" i="18"/>
  <c r="F127" i="18"/>
  <c r="F118" i="18"/>
  <c r="D113" i="18"/>
  <c r="C113" i="18"/>
  <c r="B113" i="18"/>
  <c r="F71" i="18"/>
  <c r="D71" i="18"/>
  <c r="C71" i="18"/>
  <c r="B71" i="18"/>
  <c r="G30" i="18"/>
  <c r="G23" i="18"/>
  <c r="G17" i="18"/>
  <c r="G11" i="18"/>
  <c r="G6" i="18"/>
  <c r="F5" i="18"/>
  <c r="D5" i="18"/>
  <c r="C5" i="18"/>
  <c r="B5" i="18"/>
  <c r="F72" i="20"/>
  <c r="F70" i="20"/>
  <c r="F64" i="20"/>
  <c r="F57" i="20"/>
  <c r="F52" i="20"/>
  <c r="F40" i="20"/>
  <c r="F37" i="20"/>
  <c r="F25" i="20"/>
  <c r="F17" i="20"/>
  <c r="F14" i="20"/>
  <c r="F6" i="20"/>
  <c r="C1" i="20"/>
  <c r="B50" i="40"/>
  <c r="B7" i="40"/>
  <c r="B19" i="14"/>
  <c r="M231" i="22" l="1"/>
  <c r="N678" i="22"/>
  <c r="M678" i="22"/>
  <c r="N231" i="22"/>
  <c r="O231" i="22"/>
  <c r="L231" i="22"/>
  <c r="K231" i="22"/>
  <c r="P231" i="22"/>
  <c r="P678" i="22"/>
  <c r="O678" i="22"/>
  <c r="L678" i="22"/>
  <c r="K678" i="22"/>
  <c r="B3" i="34" l="1"/>
  <c r="J6" i="34"/>
  <c r="L6" i="34"/>
  <c r="M6" i="34"/>
  <c r="N6" i="34"/>
  <c r="I6" i="34"/>
  <c r="H6" i="34"/>
  <c r="H4" i="34"/>
  <c r="D6" i="34"/>
  <c r="E6" i="34"/>
  <c r="F6" i="34"/>
  <c r="G6" i="34"/>
  <c r="F8" i="34"/>
  <c r="F9" i="34"/>
  <c r="F10" i="34"/>
  <c r="F11" i="34"/>
  <c r="F7" i="34"/>
  <c r="B6" i="34"/>
  <c r="D8" i="34"/>
  <c r="D9" i="34"/>
  <c r="D10" i="34"/>
  <c r="D11" i="34"/>
  <c r="J194" i="34" l="1"/>
  <c r="F74" i="18"/>
  <c r="F73" i="18"/>
  <c r="F72" i="18"/>
  <c r="F16" i="18"/>
  <c r="J228" i="34" l="1"/>
  <c r="J105" i="34"/>
  <c r="J173" i="34"/>
  <c r="J38" i="34"/>
  <c r="J37" i="34"/>
  <c r="J64" i="34"/>
  <c r="J120" i="34"/>
  <c r="J33" i="34"/>
  <c r="J106" i="34"/>
  <c r="J230" i="34"/>
  <c r="J175" i="34"/>
  <c r="J257" i="34"/>
  <c r="J195" i="34"/>
  <c r="J234" i="34"/>
  <c r="J204" i="34"/>
  <c r="H7" i="34"/>
  <c r="C102" i="18" l="1"/>
  <c r="C105" i="18"/>
  <c r="B56" i="40" l="1"/>
  <c r="B15" i="40"/>
  <c r="B4" i="40"/>
  <c r="B2" i="14"/>
  <c r="B54" i="40"/>
  <c r="B51" i="40"/>
  <c r="B12" i="40"/>
  <c r="B11" i="40"/>
  <c r="B10" i="40"/>
  <c r="B9" i="40"/>
  <c r="C151" i="18" l="1"/>
  <c r="C150" i="18"/>
  <c r="C149" i="18"/>
  <c r="C148" i="18"/>
  <c r="C147" i="18"/>
  <c r="C146" i="18"/>
  <c r="C145" i="18"/>
  <c r="B129" i="18"/>
  <c r="C139" i="18"/>
  <c r="C138" i="18"/>
  <c r="C137" i="18"/>
  <c r="C136" i="18"/>
  <c r="C135" i="18"/>
  <c r="C134" i="18"/>
  <c r="C133" i="18"/>
  <c r="C132" i="18"/>
  <c r="C131" i="18"/>
  <c r="C130" i="18"/>
  <c r="C128" i="18"/>
  <c r="C126" i="18"/>
  <c r="C125" i="18"/>
  <c r="C124" i="18"/>
  <c r="C123" i="18"/>
  <c r="C122" i="18"/>
  <c r="C121" i="18"/>
  <c r="B120" i="18"/>
  <c r="C119" i="18"/>
  <c r="C17" i="18"/>
  <c r="C12" i="18"/>
  <c r="C104" i="18"/>
  <c r="C23" i="18"/>
  <c r="C19" i="18"/>
  <c r="C21" i="18"/>
  <c r="C13" i="18"/>
  <c r="C30" i="18"/>
  <c r="C106" i="18"/>
  <c r="C101" i="18"/>
  <c r="C107" i="18"/>
  <c r="C6" i="18"/>
  <c r="C7" i="18"/>
  <c r="C108" i="18"/>
  <c r="C28" i="18"/>
  <c r="C25" i="18"/>
  <c r="C27" i="18"/>
  <c r="C9" i="18"/>
  <c r="C16" i="18"/>
  <c r="C31" i="18"/>
  <c r="C74" i="18"/>
  <c r="C77" i="18"/>
  <c r="C73" i="18"/>
  <c r="C114" i="18"/>
  <c r="C11" i="18" l="1"/>
  <c r="J312" i="34" l="1"/>
  <c r="J313" i="34"/>
  <c r="J314" i="34"/>
  <c r="J315" i="34"/>
  <c r="J316" i="34"/>
  <c r="J317" i="34"/>
  <c r="J318" i="34"/>
  <c r="J319" i="34"/>
  <c r="J320" i="34"/>
  <c r="J321" i="34"/>
  <c r="J322" i="34"/>
  <c r="J323" i="34"/>
  <c r="J324" i="34"/>
  <c r="J325" i="34"/>
  <c r="J326" i="34"/>
  <c r="J327" i="34"/>
  <c r="J328" i="34"/>
  <c r="J329" i="34"/>
  <c r="J330" i="34"/>
  <c r="J331" i="34"/>
  <c r="J332" i="34"/>
  <c r="J333" i="34"/>
  <c r="J334" i="34"/>
  <c r="J335" i="34"/>
  <c r="J336" i="34"/>
  <c r="J337" i="34"/>
  <c r="J338" i="34"/>
  <c r="J339" i="34"/>
  <c r="J340" i="34"/>
  <c r="J341" i="34"/>
  <c r="J342" i="34"/>
  <c r="J343" i="34"/>
  <c r="J344" i="34"/>
  <c r="J345" i="34"/>
  <c r="J346" i="34"/>
  <c r="J347" i="34"/>
  <c r="J348" i="34"/>
  <c r="J349" i="34"/>
  <c r="J350" i="34"/>
  <c r="J351" i="34"/>
  <c r="J352" i="34"/>
  <c r="J353" i="34"/>
  <c r="J354" i="34"/>
  <c r="J355" i="34"/>
  <c r="J356" i="34"/>
  <c r="J357" i="34"/>
  <c r="J358" i="34"/>
  <c r="J359" i="34"/>
  <c r="J360" i="34"/>
  <c r="J361" i="34"/>
  <c r="J362" i="34"/>
  <c r="J363" i="34"/>
  <c r="J364" i="34"/>
  <c r="J365" i="34"/>
  <c r="J366" i="34"/>
  <c r="J367" i="34"/>
  <c r="J368" i="34"/>
  <c r="J369" i="34"/>
  <c r="J370" i="34"/>
  <c r="J371" i="34"/>
  <c r="J372" i="34"/>
  <c r="J373" i="34"/>
  <c r="J374" i="34"/>
  <c r="J375" i="34"/>
  <c r="J376" i="34"/>
  <c r="J377" i="34"/>
  <c r="J378" i="34"/>
  <c r="J379" i="34"/>
  <c r="J380" i="34"/>
  <c r="J381" i="34"/>
  <c r="J382" i="34"/>
  <c r="J383" i="34"/>
  <c r="J384" i="34"/>
  <c r="J385" i="34"/>
  <c r="J386" i="34"/>
  <c r="J387" i="34"/>
  <c r="J388" i="34"/>
  <c r="J389" i="34"/>
  <c r="J390" i="34"/>
  <c r="J391" i="34"/>
  <c r="J392" i="34"/>
  <c r="J393" i="34"/>
  <c r="J394" i="34"/>
  <c r="J395" i="34"/>
  <c r="J396" i="34"/>
  <c r="J397" i="34"/>
  <c r="J398" i="34"/>
  <c r="J399" i="34"/>
  <c r="J400" i="34"/>
  <c r="J401" i="34"/>
  <c r="J402" i="34"/>
  <c r="J403" i="34"/>
  <c r="J404" i="34"/>
  <c r="J405" i="34"/>
  <c r="J406" i="34"/>
  <c r="J407" i="34"/>
  <c r="J408" i="34"/>
  <c r="J409" i="34"/>
  <c r="J410" i="34"/>
  <c r="J411" i="34"/>
  <c r="J412" i="34"/>
  <c r="J413" i="34"/>
  <c r="J414" i="34"/>
  <c r="J415" i="34"/>
  <c r="J416" i="34"/>
  <c r="J417" i="34"/>
  <c r="J418" i="34"/>
  <c r="J419" i="34"/>
  <c r="J420" i="34"/>
  <c r="J421" i="34"/>
  <c r="J422" i="34"/>
  <c r="J423" i="34"/>
  <c r="J424" i="34"/>
  <c r="J425" i="34"/>
  <c r="J426" i="34"/>
  <c r="J427" i="34"/>
  <c r="J428" i="34"/>
  <c r="J429" i="34"/>
  <c r="J430" i="34"/>
  <c r="J431" i="34"/>
  <c r="J432" i="34"/>
  <c r="J433" i="34"/>
  <c r="J434" i="34"/>
  <c r="J435" i="34"/>
  <c r="J436" i="34"/>
  <c r="J437" i="34"/>
  <c r="J438" i="34"/>
  <c r="J439" i="34"/>
  <c r="J440" i="34"/>
  <c r="J441" i="34"/>
  <c r="J442" i="34"/>
  <c r="J443" i="34"/>
  <c r="J444" i="34"/>
  <c r="J445" i="34"/>
  <c r="J446" i="34"/>
  <c r="J447" i="34"/>
  <c r="J448" i="34"/>
  <c r="J449" i="34"/>
  <c r="J450" i="34"/>
  <c r="J451" i="34"/>
  <c r="J452" i="34"/>
  <c r="J453" i="34"/>
  <c r="J454" i="34"/>
  <c r="J455" i="34"/>
  <c r="J456" i="34"/>
  <c r="J457" i="34"/>
  <c r="J458" i="34"/>
  <c r="J459" i="34"/>
  <c r="J460" i="34"/>
  <c r="J461" i="34"/>
  <c r="J462" i="34"/>
  <c r="J463" i="34"/>
  <c r="J464" i="34"/>
  <c r="J465" i="34"/>
  <c r="J466" i="34"/>
  <c r="J467" i="34"/>
  <c r="J468" i="34"/>
  <c r="J469" i="34"/>
  <c r="J470" i="34"/>
  <c r="J471" i="34"/>
  <c r="J472" i="34"/>
  <c r="J473" i="34"/>
  <c r="J474" i="34"/>
  <c r="J475" i="34"/>
  <c r="J476" i="34"/>
  <c r="J477" i="34"/>
  <c r="J478" i="34"/>
  <c r="J479" i="34"/>
  <c r="J480" i="34"/>
  <c r="J481" i="34"/>
  <c r="J482" i="34"/>
  <c r="J483" i="34"/>
  <c r="J484" i="34"/>
  <c r="J485" i="34"/>
  <c r="J486" i="34"/>
  <c r="J487" i="34"/>
  <c r="J488" i="34"/>
  <c r="J489" i="34"/>
  <c r="J490" i="34"/>
  <c r="J491" i="34"/>
  <c r="J492" i="34"/>
  <c r="J493" i="34"/>
  <c r="J494" i="34"/>
  <c r="J495" i="34"/>
  <c r="J496" i="34"/>
  <c r="J497" i="34"/>
  <c r="J498" i="34"/>
  <c r="J499" i="34"/>
  <c r="J500" i="34"/>
  <c r="J501" i="34"/>
  <c r="J502" i="34"/>
  <c r="J503" i="34"/>
  <c r="J504" i="34"/>
  <c r="J505" i="34"/>
  <c r="J506" i="34"/>
  <c r="J507" i="34"/>
  <c r="J508" i="34"/>
  <c r="J509" i="34"/>
  <c r="J510" i="34"/>
  <c r="J511" i="34"/>
  <c r="J512" i="34"/>
  <c r="J513" i="34"/>
  <c r="J514" i="34"/>
  <c r="J515" i="34"/>
  <c r="J516" i="34"/>
  <c r="J518" i="34"/>
  <c r="J519" i="34"/>
  <c r="J520" i="34"/>
  <c r="J521" i="34"/>
  <c r="J522" i="34"/>
  <c r="J523" i="34"/>
  <c r="J524" i="34"/>
  <c r="J525" i="34"/>
  <c r="J526" i="34"/>
  <c r="J527" i="34"/>
  <c r="J528" i="34"/>
  <c r="J529" i="34"/>
  <c r="J530" i="34"/>
  <c r="J531" i="34"/>
  <c r="J532" i="34"/>
  <c r="J533" i="34"/>
  <c r="J534" i="34"/>
  <c r="J535" i="34"/>
  <c r="J536" i="34"/>
  <c r="J537" i="34"/>
  <c r="J538" i="34"/>
  <c r="J539" i="34"/>
  <c r="J540" i="34"/>
  <c r="J541" i="34"/>
  <c r="J542" i="34"/>
  <c r="J543" i="34"/>
  <c r="J544" i="34"/>
  <c r="J545" i="34"/>
  <c r="J546" i="34"/>
  <c r="J547" i="34"/>
  <c r="J548" i="34"/>
  <c r="J549" i="34"/>
  <c r="J550" i="34"/>
  <c r="J551" i="34"/>
  <c r="J552" i="34"/>
  <c r="J553" i="34"/>
  <c r="J554" i="34"/>
  <c r="J555" i="34"/>
  <c r="J556" i="34"/>
  <c r="J557" i="34"/>
  <c r="J558" i="34"/>
  <c r="J559" i="34"/>
  <c r="J560" i="34"/>
  <c r="J561" i="34"/>
  <c r="J562" i="34"/>
  <c r="J563" i="34"/>
  <c r="J564" i="34"/>
  <c r="J565" i="34"/>
  <c r="J566" i="34"/>
  <c r="J567" i="34"/>
  <c r="J568" i="34"/>
  <c r="J569" i="34"/>
  <c r="J570" i="34"/>
  <c r="J571" i="34"/>
  <c r="J572" i="34"/>
  <c r="J573" i="34"/>
  <c r="J574" i="34"/>
  <c r="J575" i="34"/>
  <c r="J576" i="34"/>
  <c r="J577" i="34"/>
  <c r="J578" i="34"/>
  <c r="J579" i="34"/>
  <c r="J580" i="34"/>
  <c r="J581" i="34"/>
  <c r="J582" i="34"/>
  <c r="J583" i="34"/>
  <c r="J584" i="34"/>
  <c r="J585" i="34"/>
  <c r="J586" i="34"/>
  <c r="J587" i="34"/>
  <c r="J588" i="34"/>
  <c r="J589" i="34"/>
  <c r="J590" i="34"/>
  <c r="J591" i="34"/>
  <c r="J592" i="34"/>
  <c r="J593" i="34"/>
  <c r="J594" i="34"/>
  <c r="J595" i="34"/>
  <c r="J596" i="34"/>
  <c r="J597" i="34"/>
  <c r="J598" i="34"/>
  <c r="J599" i="34"/>
  <c r="J600" i="34"/>
  <c r="J601" i="34"/>
  <c r="J602" i="34"/>
  <c r="J603" i="34"/>
  <c r="J604" i="34"/>
  <c r="J605" i="34"/>
  <c r="J606" i="34"/>
  <c r="J607" i="34"/>
  <c r="J608" i="34"/>
  <c r="J609" i="34"/>
  <c r="J610" i="34"/>
  <c r="J611" i="34"/>
  <c r="J612" i="34"/>
  <c r="J613" i="34"/>
  <c r="J614" i="34"/>
  <c r="J615" i="34"/>
  <c r="J616" i="34"/>
  <c r="J617" i="34"/>
  <c r="J618" i="34"/>
  <c r="J619" i="34"/>
  <c r="J620" i="34"/>
  <c r="J621" i="34"/>
  <c r="J622" i="34"/>
  <c r="J623" i="34"/>
  <c r="J624" i="34"/>
  <c r="J625" i="34"/>
  <c r="J626" i="34"/>
  <c r="J627" i="34"/>
  <c r="J628" i="34"/>
  <c r="J629" i="34"/>
  <c r="J630" i="34"/>
  <c r="J631" i="34"/>
  <c r="J632" i="34"/>
  <c r="J633" i="34"/>
  <c r="J634" i="34"/>
  <c r="J635" i="34"/>
  <c r="J636" i="34"/>
  <c r="J637" i="34"/>
  <c r="J638" i="34"/>
  <c r="J639" i="34"/>
  <c r="J640" i="34"/>
  <c r="J641" i="34"/>
  <c r="J642" i="34"/>
  <c r="J643" i="34"/>
  <c r="J644" i="34"/>
  <c r="J645" i="34"/>
  <c r="J646" i="34"/>
  <c r="J647" i="34"/>
  <c r="J648" i="34"/>
  <c r="J649" i="34"/>
  <c r="J650" i="34"/>
  <c r="J651" i="34"/>
  <c r="J652" i="34"/>
  <c r="J653" i="34"/>
  <c r="J654" i="34"/>
  <c r="J655" i="34"/>
  <c r="J656" i="34"/>
  <c r="J657" i="34"/>
  <c r="J658" i="34"/>
  <c r="J659" i="34"/>
  <c r="J660" i="34"/>
  <c r="J661" i="34"/>
  <c r="J662" i="34"/>
  <c r="J663" i="34"/>
  <c r="J664" i="34"/>
  <c r="J665" i="34"/>
  <c r="J666" i="34"/>
  <c r="J667" i="34"/>
  <c r="J668" i="34"/>
  <c r="J669" i="34"/>
  <c r="J670" i="34"/>
  <c r="J671" i="34"/>
  <c r="J672" i="34"/>
  <c r="J673" i="34"/>
  <c r="J674" i="34"/>
  <c r="J675" i="34"/>
  <c r="J676" i="34"/>
  <c r="J677" i="34"/>
  <c r="J678" i="34"/>
  <c r="J679" i="34"/>
  <c r="J680" i="34"/>
  <c r="J681" i="34"/>
  <c r="J682" i="34"/>
  <c r="J683" i="34"/>
  <c r="J684" i="34"/>
  <c r="J685" i="34"/>
  <c r="J686" i="34"/>
  <c r="J687" i="34"/>
  <c r="J688" i="34"/>
  <c r="J689" i="34"/>
  <c r="J690" i="34"/>
  <c r="J691" i="34"/>
  <c r="J692" i="34"/>
  <c r="J693" i="34"/>
  <c r="J694" i="34"/>
  <c r="J695" i="34"/>
  <c r="J696" i="34"/>
  <c r="J697" i="34"/>
  <c r="J698" i="34"/>
  <c r="J699" i="34"/>
  <c r="J700" i="34"/>
  <c r="J701" i="34"/>
  <c r="J702" i="34"/>
  <c r="J703" i="34"/>
  <c r="J704" i="34"/>
  <c r="J705" i="34"/>
  <c r="F109" i="18" l="1"/>
  <c r="K128" i="18"/>
  <c r="F128" i="18" s="1"/>
  <c r="J302" i="34" s="1"/>
  <c r="L301" i="34" s="1"/>
  <c r="K119" i="18"/>
  <c r="F119" i="18" s="1"/>
  <c r="J307" i="34" s="1"/>
  <c r="L306" i="34" s="1"/>
  <c r="J49" i="34" l="1"/>
  <c r="J91" i="34"/>
  <c r="L7" i="34"/>
  <c r="L8" i="34"/>
  <c r="L9" i="34"/>
  <c r="L10" i="34"/>
  <c r="L11" i="34"/>
  <c r="L16" i="34"/>
  <c r="L315" i="34"/>
  <c r="L316" i="34"/>
  <c r="L317" i="34"/>
  <c r="L318" i="34"/>
  <c r="L319" i="34"/>
  <c r="L320" i="34"/>
  <c r="L321" i="34"/>
  <c r="L322" i="34"/>
  <c r="L323" i="34"/>
  <c r="L324" i="34"/>
  <c r="L325" i="34"/>
  <c r="L326" i="34"/>
  <c r="L327" i="34"/>
  <c r="L328" i="34"/>
  <c r="L329" i="34"/>
  <c r="L330" i="34"/>
  <c r="L331" i="34"/>
  <c r="L332" i="34"/>
  <c r="L333" i="34"/>
  <c r="L334" i="34"/>
  <c r="L335" i="34"/>
  <c r="L336" i="34"/>
  <c r="L337" i="34"/>
  <c r="L338" i="34"/>
  <c r="L339" i="34"/>
  <c r="L340" i="34"/>
  <c r="L341" i="34"/>
  <c r="L342" i="34"/>
  <c r="L343" i="34"/>
  <c r="L344" i="34"/>
  <c r="L345" i="34"/>
  <c r="L346" i="34"/>
  <c r="L347" i="34"/>
  <c r="L348" i="34"/>
  <c r="L349" i="34"/>
  <c r="L350" i="34"/>
  <c r="L351" i="34"/>
  <c r="L352" i="34"/>
  <c r="L353" i="34"/>
  <c r="L354" i="34"/>
  <c r="L355" i="34"/>
  <c r="L356" i="34"/>
  <c r="L357" i="34"/>
  <c r="L358" i="34"/>
  <c r="L359" i="34"/>
  <c r="L360" i="34"/>
  <c r="L361" i="34"/>
  <c r="L362" i="34"/>
  <c r="L363" i="34"/>
  <c r="L364" i="34"/>
  <c r="L365" i="34"/>
  <c r="L366" i="34"/>
  <c r="L367" i="34"/>
  <c r="L368" i="34"/>
  <c r="L369" i="34"/>
  <c r="L370" i="34"/>
  <c r="L371" i="34"/>
  <c r="L372" i="34"/>
  <c r="L373" i="34"/>
  <c r="L374" i="34"/>
  <c r="L375" i="34"/>
  <c r="L376" i="34"/>
  <c r="L377" i="34"/>
  <c r="L378" i="34"/>
  <c r="L379" i="34"/>
  <c r="L380" i="34"/>
  <c r="L381" i="34"/>
  <c r="L382" i="34"/>
  <c r="L383" i="34"/>
  <c r="L384" i="34"/>
  <c r="L385" i="34"/>
  <c r="L386" i="34"/>
  <c r="L387" i="34"/>
  <c r="L388" i="34"/>
  <c r="L389" i="34"/>
  <c r="L390" i="34"/>
  <c r="L391" i="34"/>
  <c r="L392" i="34"/>
  <c r="L393" i="34"/>
  <c r="L394" i="34"/>
  <c r="L395" i="34"/>
  <c r="L396" i="34"/>
  <c r="L397" i="34"/>
  <c r="L398" i="34"/>
  <c r="L399" i="34"/>
  <c r="L400" i="34"/>
  <c r="L401" i="34"/>
  <c r="L402" i="34"/>
  <c r="L403" i="34"/>
  <c r="L404" i="34"/>
  <c r="L405" i="34"/>
  <c r="L406" i="34"/>
  <c r="L407" i="34"/>
  <c r="L408" i="34"/>
  <c r="L409" i="34"/>
  <c r="L410" i="34"/>
  <c r="L411" i="34"/>
  <c r="L412" i="34"/>
  <c r="L413" i="34"/>
  <c r="L414" i="34"/>
  <c r="L415" i="34"/>
  <c r="L416" i="34"/>
  <c r="L417" i="34"/>
  <c r="L418" i="34"/>
  <c r="L419" i="34"/>
  <c r="L420" i="34"/>
  <c r="L421" i="34"/>
  <c r="L422" i="34"/>
  <c r="L423" i="34"/>
  <c r="L424" i="34"/>
  <c r="L425" i="34"/>
  <c r="L426" i="34"/>
  <c r="L427" i="34"/>
  <c r="L428" i="34"/>
  <c r="L429" i="34"/>
  <c r="L430" i="34"/>
  <c r="L431" i="34"/>
  <c r="L432" i="34"/>
  <c r="L433" i="34"/>
  <c r="L434" i="34"/>
  <c r="L435" i="34"/>
  <c r="L436" i="34"/>
  <c r="L437" i="34"/>
  <c r="L438" i="34"/>
  <c r="L439" i="34"/>
  <c r="L440" i="34"/>
  <c r="L441" i="34"/>
  <c r="L442" i="34"/>
  <c r="L443" i="34"/>
  <c r="L444" i="34"/>
  <c r="L445" i="34"/>
  <c r="L446" i="34"/>
  <c r="L447" i="34"/>
  <c r="L448" i="34"/>
  <c r="L449" i="34"/>
  <c r="L450" i="34"/>
  <c r="L451" i="34"/>
  <c r="L452" i="34"/>
  <c r="L453" i="34"/>
  <c r="L454" i="34"/>
  <c r="L455" i="34"/>
  <c r="L456" i="34"/>
  <c r="L457" i="34"/>
  <c r="L458" i="34"/>
  <c r="L459" i="34"/>
  <c r="L460" i="34"/>
  <c r="L461" i="34"/>
  <c r="L462" i="34"/>
  <c r="L463" i="34"/>
  <c r="L464" i="34"/>
  <c r="L465" i="34"/>
  <c r="L466" i="34"/>
  <c r="L467" i="34"/>
  <c r="L468" i="34"/>
  <c r="L469" i="34"/>
  <c r="L470" i="34"/>
  <c r="L471" i="34"/>
  <c r="L472" i="34"/>
  <c r="L473" i="34"/>
  <c r="L474" i="34"/>
  <c r="L475" i="34"/>
  <c r="L476" i="34"/>
  <c r="L477" i="34"/>
  <c r="L478" i="34"/>
  <c r="L479" i="34"/>
  <c r="L480" i="34"/>
  <c r="L481" i="34"/>
  <c r="L482" i="34"/>
  <c r="L483" i="34"/>
  <c r="L484" i="34"/>
  <c r="L485" i="34"/>
  <c r="L30" i="18" l="1"/>
  <c r="I8" i="34" l="1"/>
  <c r="K8" i="34" s="1"/>
  <c r="B11" i="14" l="1"/>
  <c r="E6" i="20" l="1"/>
  <c r="B16" i="14"/>
  <c r="L487" i="34" l="1"/>
  <c r="L488" i="34"/>
  <c r="L489" i="34"/>
  <c r="L490" i="34"/>
  <c r="L491" i="34"/>
  <c r="L492" i="34"/>
  <c r="L493" i="34"/>
  <c r="L494" i="34"/>
  <c r="L495" i="34"/>
  <c r="L496" i="34"/>
  <c r="L497" i="34"/>
  <c r="L498" i="34"/>
  <c r="L499" i="34"/>
  <c r="L500" i="34"/>
  <c r="L501" i="34"/>
  <c r="L502" i="34"/>
  <c r="L503" i="34"/>
  <c r="L504" i="34"/>
  <c r="L505" i="34"/>
  <c r="L506" i="34"/>
  <c r="L507" i="34"/>
  <c r="L508" i="34"/>
  <c r="L509" i="34"/>
  <c r="L510" i="34"/>
  <c r="L511" i="34"/>
  <c r="L512" i="34"/>
  <c r="L513" i="34"/>
  <c r="L514" i="34"/>
  <c r="L515" i="34"/>
  <c r="L516" i="34"/>
  <c r="L278" i="34"/>
  <c r="L517" i="34"/>
  <c r="L518" i="34"/>
  <c r="L519" i="34"/>
  <c r="L520" i="34"/>
  <c r="L521" i="34"/>
  <c r="L522" i="34"/>
  <c r="L523" i="34"/>
  <c r="L524" i="34"/>
  <c r="L525" i="34"/>
  <c r="L526" i="34"/>
  <c r="L527" i="34"/>
  <c r="L528" i="34"/>
  <c r="L529" i="34"/>
  <c r="L530" i="34"/>
  <c r="L531" i="34"/>
  <c r="L532" i="34"/>
  <c r="L533" i="34"/>
  <c r="L534" i="34"/>
  <c r="L535" i="34"/>
  <c r="L536" i="34"/>
  <c r="L537" i="34"/>
  <c r="L538" i="34"/>
  <c r="L539" i="34"/>
  <c r="L540" i="34"/>
  <c r="L541" i="34"/>
  <c r="L542" i="34"/>
  <c r="L543" i="34"/>
  <c r="L544" i="34"/>
  <c r="L545" i="34"/>
  <c r="L546" i="34"/>
  <c r="L547" i="34"/>
  <c r="L548" i="34"/>
  <c r="L549" i="34"/>
  <c r="L550" i="34"/>
  <c r="L551" i="34"/>
  <c r="L552" i="34"/>
  <c r="L553" i="34"/>
  <c r="L554" i="34"/>
  <c r="L555" i="34"/>
  <c r="L556" i="34"/>
  <c r="L557" i="34"/>
  <c r="L558" i="34"/>
  <c r="L559" i="34"/>
  <c r="L560" i="34"/>
  <c r="L561" i="34"/>
  <c r="L562" i="34"/>
  <c r="L563" i="34"/>
  <c r="L564" i="34"/>
  <c r="L565" i="34"/>
  <c r="L566" i="34"/>
  <c r="L567" i="34"/>
  <c r="L568" i="34"/>
  <c r="L569" i="34"/>
  <c r="L570" i="34"/>
  <c r="L571" i="34"/>
  <c r="L572" i="34"/>
  <c r="L573" i="34"/>
  <c r="L574" i="34"/>
  <c r="L575" i="34"/>
  <c r="L576" i="34"/>
  <c r="L577" i="34"/>
  <c r="L578" i="34"/>
  <c r="L579" i="34"/>
  <c r="L580" i="34"/>
  <c r="L581" i="34"/>
  <c r="L582" i="34"/>
  <c r="L584" i="34"/>
  <c r="L585" i="34"/>
  <c r="L586" i="34"/>
  <c r="L588" i="34"/>
  <c r="L589" i="34"/>
  <c r="L590" i="34"/>
  <c r="L591" i="34"/>
  <c r="L592" i="34"/>
  <c r="L593" i="34"/>
  <c r="L594" i="34"/>
  <c r="L595" i="34"/>
  <c r="L596" i="34"/>
  <c r="L597" i="34"/>
  <c r="L598" i="34"/>
  <c r="L599" i="34"/>
  <c r="L600" i="34"/>
  <c r="L601" i="34"/>
  <c r="L602" i="34"/>
  <c r="L603" i="34"/>
  <c r="L604" i="34"/>
  <c r="L605" i="34"/>
  <c r="L608" i="34"/>
  <c r="L609" i="34"/>
  <c r="L610" i="34"/>
  <c r="L611" i="34"/>
  <c r="L612" i="34"/>
  <c r="L614" i="34"/>
  <c r="L615" i="34"/>
  <c r="L616" i="34"/>
  <c r="L617" i="34"/>
  <c r="L618" i="34"/>
  <c r="L619" i="34"/>
  <c r="L620" i="34"/>
  <c r="L621" i="34"/>
  <c r="L622" i="34"/>
  <c r="L623" i="34"/>
  <c r="L624" i="34"/>
  <c r="L626" i="34"/>
  <c r="L627" i="34"/>
  <c r="L628" i="34"/>
  <c r="L630" i="34"/>
  <c r="L631" i="34"/>
  <c r="L632" i="34"/>
  <c r="L633" i="34"/>
  <c r="L634" i="34"/>
  <c r="L635" i="34"/>
  <c r="L636" i="34"/>
  <c r="L637" i="34"/>
  <c r="L638" i="34"/>
  <c r="L639" i="34"/>
  <c r="L641" i="34"/>
  <c r="L642" i="34"/>
  <c r="L643" i="34"/>
  <c r="L644" i="34"/>
  <c r="L645" i="34"/>
  <c r="L646" i="34"/>
  <c r="L647" i="34"/>
  <c r="L648" i="34"/>
  <c r="L649" i="34"/>
  <c r="L650" i="34"/>
  <c r="L652" i="34"/>
  <c r="L653" i="34"/>
  <c r="L654" i="34"/>
  <c r="L655" i="34"/>
  <c r="L656" i="34"/>
  <c r="L657" i="34"/>
  <c r="L658" i="34"/>
  <c r="L659" i="34"/>
  <c r="L660" i="34"/>
  <c r="L661" i="34"/>
  <c r="L662" i="34"/>
  <c r="L663" i="34"/>
  <c r="L664" i="34"/>
  <c r="L667" i="34"/>
  <c r="L668" i="34"/>
  <c r="L671" i="34"/>
  <c r="L672" i="34"/>
  <c r="L673" i="34"/>
  <c r="L674" i="34"/>
  <c r="L675" i="34"/>
  <c r="L676" i="34"/>
  <c r="L677" i="34"/>
  <c r="L678" i="34"/>
  <c r="L679" i="34"/>
  <c r="L680" i="34"/>
  <c r="L681" i="34"/>
  <c r="L682" i="34"/>
  <c r="L683" i="34"/>
  <c r="L684" i="34"/>
  <c r="L685" i="34"/>
  <c r="L686" i="34"/>
  <c r="L687" i="34"/>
  <c r="L688" i="34"/>
  <c r="L689" i="34"/>
  <c r="L690" i="34"/>
  <c r="L691" i="34"/>
  <c r="L692" i="34"/>
  <c r="L695" i="34"/>
  <c r="L696" i="34"/>
  <c r="L697" i="34"/>
  <c r="L698" i="34"/>
  <c r="L699" i="34"/>
  <c r="L700" i="34"/>
  <c r="L701" i="34"/>
  <c r="L702" i="34"/>
  <c r="L703" i="34"/>
  <c r="L704" i="34"/>
  <c r="L705" i="34"/>
  <c r="D5" i="20" l="1"/>
  <c r="C5" i="20"/>
  <c r="B5" i="20"/>
  <c r="B3" i="20"/>
  <c r="F3" i="20"/>
  <c r="E3" i="20"/>
  <c r="D3" i="20"/>
  <c r="C3" i="20"/>
  <c r="G468" i="34" l="1"/>
  <c r="G465" i="34"/>
  <c r="G467" i="34"/>
  <c r="G464" i="34"/>
  <c r="H464" i="34" s="1"/>
  <c r="B1305" i="66" s="1"/>
  <c r="G463" i="34"/>
  <c r="G466" i="34"/>
  <c r="G462" i="34"/>
  <c r="G461" i="34"/>
  <c r="H461" i="34" s="1"/>
  <c r="B1257" i="66" s="1"/>
  <c r="G437" i="34"/>
  <c r="G448" i="34"/>
  <c r="G455" i="34"/>
  <c r="G450" i="34"/>
  <c r="H450" i="34" s="1"/>
  <c r="B1241" i="66" s="1"/>
  <c r="G457" i="34"/>
  <c r="G460" i="34"/>
  <c r="G436" i="34"/>
  <c r="G451" i="34"/>
  <c r="H451" i="34" s="1"/>
  <c r="B1295" i="66" s="1"/>
  <c r="G453" i="34"/>
  <c r="G456" i="34"/>
  <c r="G454" i="34"/>
  <c r="G447" i="34"/>
  <c r="H447" i="34" s="1"/>
  <c r="B1187" i="66" s="1"/>
  <c r="G449" i="34"/>
  <c r="G452" i="34"/>
  <c r="G459" i="34"/>
  <c r="G458" i="34"/>
  <c r="H458" i="34" s="1"/>
  <c r="B1236" i="66" s="1"/>
  <c r="G394" i="34"/>
  <c r="G444" i="34"/>
  <c r="G404" i="34"/>
  <c r="G399" i="34"/>
  <c r="H399" i="34" s="1"/>
  <c r="B1150" i="66" s="1"/>
  <c r="G407" i="34"/>
  <c r="G403" i="34"/>
  <c r="G386" i="34"/>
  <c r="G393" i="34"/>
  <c r="H393" i="34" s="1"/>
  <c r="B1319" i="66" s="1"/>
  <c r="G340" i="34"/>
  <c r="G334" i="34"/>
  <c r="G332" i="34"/>
  <c r="G417" i="34"/>
  <c r="H417" i="34" s="1"/>
  <c r="B1234" i="66" s="1"/>
  <c r="G426" i="34"/>
  <c r="G418" i="34"/>
  <c r="G419" i="34"/>
  <c r="G356" i="34"/>
  <c r="H356" i="34" s="1"/>
  <c r="B1266" i="66" s="1"/>
  <c r="G344" i="34"/>
  <c r="G358" i="34"/>
  <c r="G350" i="34"/>
  <c r="G354" i="34"/>
  <c r="H354" i="34" s="1"/>
  <c r="B1222" i="66" s="1"/>
  <c r="G440" i="34"/>
  <c r="G329" i="34"/>
  <c r="G328" i="34"/>
  <c r="G431" i="34"/>
  <c r="H431" i="34" s="1"/>
  <c r="B1262" i="66" s="1"/>
  <c r="G361" i="34"/>
  <c r="G373" i="34"/>
  <c r="G376" i="34"/>
  <c r="G395" i="34"/>
  <c r="H395" i="34" s="1"/>
  <c r="B1220" i="66" s="1"/>
  <c r="G445" i="34"/>
  <c r="G413" i="34"/>
  <c r="G400" i="34"/>
  <c r="G402" i="34"/>
  <c r="H402" i="34" s="1"/>
  <c r="B1282" i="66" s="1"/>
  <c r="G409" i="34"/>
  <c r="G391" i="34"/>
  <c r="G387" i="34"/>
  <c r="G335" i="34"/>
  <c r="H335" i="34" s="1"/>
  <c r="B1178" i="66" s="1"/>
  <c r="G333" i="34"/>
  <c r="G337" i="34"/>
  <c r="G427" i="34"/>
  <c r="G429" i="34"/>
  <c r="H429" i="34" s="1"/>
  <c r="B1308" i="66" s="1"/>
  <c r="G425" i="34"/>
  <c r="G414" i="34"/>
  <c r="G345" i="34"/>
  <c r="H345" i="34" s="1"/>
  <c r="B1171" i="66" s="1"/>
  <c r="G352" i="34"/>
  <c r="H352" i="34" s="1"/>
  <c r="B1293" i="66" s="1"/>
  <c r="G342" i="34"/>
  <c r="G348" i="34"/>
  <c r="G353" i="34"/>
  <c r="G438" i="34"/>
  <c r="H438" i="34" s="1"/>
  <c r="B1226" i="66" s="1"/>
  <c r="G326" i="34"/>
  <c r="G433" i="34"/>
  <c r="G435" i="34"/>
  <c r="G371" i="34"/>
  <c r="H371" i="34" s="1"/>
  <c r="B357" i="66" s="1"/>
  <c r="G368" i="34"/>
  <c r="G375" i="34"/>
  <c r="G369" i="34"/>
  <c r="H369" i="34" s="1"/>
  <c r="B1331" i="66" s="1"/>
  <c r="G380" i="34"/>
  <c r="H380" i="34" s="1"/>
  <c r="B1332" i="66" s="1"/>
  <c r="G377" i="34"/>
  <c r="G432" i="34"/>
  <c r="G430" i="34"/>
  <c r="H430" i="34" s="1"/>
  <c r="B1273" i="66" s="1"/>
  <c r="G362" i="34"/>
  <c r="H362" i="34" s="1"/>
  <c r="B1255" i="66" s="1"/>
  <c r="G363" i="34"/>
  <c r="G365" i="34"/>
  <c r="G397" i="34"/>
  <c r="H397" i="34" s="1"/>
  <c r="B1221" i="66" s="1"/>
  <c r="G381" i="34"/>
  <c r="H381" i="34" s="1"/>
  <c r="B1337" i="66" s="1"/>
  <c r="G379" i="34"/>
  <c r="G316" i="34"/>
  <c r="G446" i="34"/>
  <c r="G411" i="34"/>
  <c r="H411" i="34" s="1"/>
  <c r="B1186" i="66" s="1"/>
  <c r="G405" i="34"/>
  <c r="G410" i="34"/>
  <c r="G408" i="34"/>
  <c r="G392" i="34"/>
  <c r="H392" i="34" s="1"/>
  <c r="B1174" i="66" s="1"/>
  <c r="G388" i="34"/>
  <c r="G330" i="34"/>
  <c r="G336" i="34"/>
  <c r="H336" i="34" s="1"/>
  <c r="B1253" i="66" s="1"/>
  <c r="G338" i="34"/>
  <c r="H338" i="34" s="1"/>
  <c r="B1239" i="66" s="1"/>
  <c r="G422" i="34"/>
  <c r="G416" i="34"/>
  <c r="G421" i="34"/>
  <c r="H421" i="34" s="1"/>
  <c r="B1320" i="66" s="1"/>
  <c r="G415" i="34"/>
  <c r="H415" i="34" s="1"/>
  <c r="B1151" i="66" s="1"/>
  <c r="G351" i="34"/>
  <c r="G347" i="34"/>
  <c r="G360" i="34"/>
  <c r="G359" i="34"/>
  <c r="H359" i="34" s="1"/>
  <c r="B511" i="66" s="1"/>
  <c r="G355" i="34"/>
  <c r="H355" i="34" s="1"/>
  <c r="B1284" i="66" s="1"/>
  <c r="G439" i="34"/>
  <c r="G325" i="34"/>
  <c r="H325" i="34" s="1"/>
  <c r="B1290" i="66" s="1"/>
  <c r="G396" i="34"/>
  <c r="H396" i="34" s="1"/>
  <c r="B1335" i="66" s="1"/>
  <c r="G378" i="34"/>
  <c r="G374" i="34"/>
  <c r="H374" i="34" s="1"/>
  <c r="B1260" i="66" s="1"/>
  <c r="G382" i="34"/>
  <c r="H382" i="34" s="1"/>
  <c r="B589" i="66" s="1"/>
  <c r="G443" i="34"/>
  <c r="H443" i="34" s="1"/>
  <c r="B1264" i="66" s="1"/>
  <c r="G442" i="34"/>
  <c r="G406" i="34"/>
  <c r="H406" i="34" s="1"/>
  <c r="B1159" i="66" s="1"/>
  <c r="G401" i="34"/>
  <c r="G412" i="34"/>
  <c r="H412" i="34" s="1"/>
  <c r="B1309" i="66" s="1"/>
  <c r="G389" i="34"/>
  <c r="G385" i="34"/>
  <c r="G390" i="34"/>
  <c r="H390" i="34" s="1"/>
  <c r="B1324" i="66" s="1"/>
  <c r="G339" i="34"/>
  <c r="H339" i="34" s="1"/>
  <c r="B1179" i="66" s="1"/>
  <c r="G331" i="34"/>
  <c r="G420" i="34"/>
  <c r="G424" i="34"/>
  <c r="H424" i="34" s="1"/>
  <c r="B1211" i="66" s="1"/>
  <c r="G423" i="34"/>
  <c r="H423" i="34" s="1"/>
  <c r="B1212" i="66" s="1"/>
  <c r="G428" i="34"/>
  <c r="G341" i="34"/>
  <c r="G346" i="34"/>
  <c r="G349" i="34"/>
  <c r="H349" i="34" s="1"/>
  <c r="B1162" i="66" s="1"/>
  <c r="G357" i="34"/>
  <c r="H357" i="34" s="1"/>
  <c r="B724" i="66" s="1"/>
  <c r="G343" i="34"/>
  <c r="G441" i="34"/>
  <c r="H441" i="34" s="1"/>
  <c r="B1272" i="66" s="1"/>
  <c r="G324" i="34"/>
  <c r="H324" i="34" s="1"/>
  <c r="B1261" i="66" s="1"/>
  <c r="G327" i="34"/>
  <c r="H327" i="34" s="1"/>
  <c r="B1205" i="66" s="1"/>
  <c r="G434" i="34"/>
  <c r="G372" i="34"/>
  <c r="H372" i="34" s="1"/>
  <c r="B1227" i="66" s="1"/>
  <c r="G366" i="34"/>
  <c r="H366" i="34" s="1"/>
  <c r="B1155" i="66" s="1"/>
  <c r="G367" i="34"/>
  <c r="H367" i="34" s="1"/>
  <c r="B1263" i="66" s="1"/>
  <c r="G364" i="34"/>
  <c r="G383" i="34"/>
  <c r="H383" i="34" s="1"/>
  <c r="B1188" i="66" s="1"/>
  <c r="G370" i="34"/>
  <c r="H370" i="34" s="1"/>
  <c r="B1326" i="66" s="1"/>
  <c r="G384" i="34"/>
  <c r="H384" i="34" s="1"/>
  <c r="B1302" i="66" s="1"/>
  <c r="G320" i="34"/>
  <c r="H320" i="34" s="1"/>
  <c r="B1203" i="66" s="1"/>
  <c r="G319" i="34"/>
  <c r="H319" i="34" s="1"/>
  <c r="B1301" i="66" s="1"/>
  <c r="G398" i="34"/>
  <c r="H398" i="34" s="1"/>
  <c r="B1274" i="66" s="1"/>
  <c r="G321" i="34"/>
  <c r="H321" i="34" s="1"/>
  <c r="G322" i="34"/>
  <c r="H322" i="34" s="1"/>
  <c r="B1342" i="66" s="1"/>
  <c r="G317" i="34"/>
  <c r="G318" i="34"/>
  <c r="H318" i="34" s="1"/>
  <c r="B1259" i="66" s="1"/>
  <c r="G323" i="34"/>
  <c r="H323" i="34" s="1"/>
  <c r="B725" i="66" s="1"/>
  <c r="G516" i="34"/>
  <c r="H516" i="34" s="1"/>
  <c r="G512" i="34"/>
  <c r="G508" i="34"/>
  <c r="H508" i="34" s="1"/>
  <c r="G504" i="34"/>
  <c r="H504" i="34" s="1"/>
  <c r="G500" i="34"/>
  <c r="H500" i="34" s="1"/>
  <c r="G496" i="34"/>
  <c r="G492" i="34"/>
  <c r="H492" i="34" s="1"/>
  <c r="G488" i="34"/>
  <c r="H488" i="34" s="1"/>
  <c r="G484" i="34"/>
  <c r="H484" i="34" s="1"/>
  <c r="G480" i="34"/>
  <c r="G476" i="34"/>
  <c r="H476" i="34" s="1"/>
  <c r="G472" i="34"/>
  <c r="H472" i="34" s="1"/>
  <c r="G515" i="34"/>
  <c r="H515" i="34" s="1"/>
  <c r="G511" i="34"/>
  <c r="G507" i="34"/>
  <c r="H507" i="34" s="1"/>
  <c r="G503" i="34"/>
  <c r="H503" i="34" s="1"/>
  <c r="G499" i="34"/>
  <c r="G495" i="34"/>
  <c r="G491" i="34"/>
  <c r="H491" i="34" s="1"/>
  <c r="G487" i="34"/>
  <c r="H487" i="34" s="1"/>
  <c r="G483" i="34"/>
  <c r="H483" i="34" s="1"/>
  <c r="G479" i="34"/>
  <c r="G475" i="34"/>
  <c r="H475" i="34" s="1"/>
  <c r="G471" i="34"/>
  <c r="H471" i="34" s="1"/>
  <c r="G505" i="34"/>
  <c r="H505" i="34" s="1"/>
  <c r="G497" i="34"/>
  <c r="G489" i="34"/>
  <c r="H489" i="34" s="1"/>
  <c r="G481" i="34"/>
  <c r="H481" i="34" s="1"/>
  <c r="G473" i="34"/>
  <c r="H473" i="34" s="1"/>
  <c r="G514" i="34"/>
  <c r="H514" i="34" s="1"/>
  <c r="G510" i="34"/>
  <c r="H510" i="34" s="1"/>
  <c r="G506" i="34"/>
  <c r="H506" i="34" s="1"/>
  <c r="G502" i="34"/>
  <c r="H502" i="34" s="1"/>
  <c r="G498" i="34"/>
  <c r="G494" i="34"/>
  <c r="H494" i="34" s="1"/>
  <c r="G490" i="34"/>
  <c r="H490" i="34" s="1"/>
  <c r="G486" i="34"/>
  <c r="G482" i="34"/>
  <c r="G478" i="34"/>
  <c r="H478" i="34" s="1"/>
  <c r="G474" i="34"/>
  <c r="H474" i="34" s="1"/>
  <c r="G470" i="34"/>
  <c r="H470" i="34" s="1"/>
  <c r="G513" i="34"/>
  <c r="G509" i="34"/>
  <c r="H509" i="34" s="1"/>
  <c r="G501" i="34"/>
  <c r="H501" i="34" s="1"/>
  <c r="G493" i="34"/>
  <c r="H493" i="34" s="1"/>
  <c r="G485" i="34"/>
  <c r="G477" i="34"/>
  <c r="H477" i="34" s="1"/>
  <c r="G469" i="34"/>
  <c r="H469" i="34" s="1"/>
  <c r="H467" i="34"/>
  <c r="B590" i="66" s="1"/>
  <c r="H468" i="34"/>
  <c r="B1330" i="66" s="1"/>
  <c r="H465" i="34"/>
  <c r="B1318" i="66" s="1"/>
  <c r="H463" i="34"/>
  <c r="B713" i="66" s="1"/>
  <c r="H460" i="34"/>
  <c r="B1258" i="66" s="1"/>
  <c r="H400" i="34"/>
  <c r="B1292" i="66" s="1"/>
  <c r="H454" i="34"/>
  <c r="B312" i="66" s="1"/>
  <c r="H368" i="34"/>
  <c r="B1339" i="66" s="1"/>
  <c r="H329" i="34"/>
  <c r="B1148" i="66" s="1"/>
  <c r="H457" i="34"/>
  <c r="B1265" i="66" s="1"/>
  <c r="H409" i="34"/>
  <c r="B1158" i="66" s="1"/>
  <c r="H452" i="34"/>
  <c r="B1286" i="66" s="1"/>
  <c r="H376" i="34"/>
  <c r="B1210" i="66" s="1"/>
  <c r="H361" i="34"/>
  <c r="B1254" i="66" s="1"/>
  <c r="H358" i="34"/>
  <c r="B1230" i="66" s="1"/>
  <c r="H418" i="34"/>
  <c r="B1323" i="66" s="1"/>
  <c r="H379" i="34"/>
  <c r="B1201" i="66" s="1"/>
  <c r="H364" i="34"/>
  <c r="B1181" i="66" s="1"/>
  <c r="H453" i="34"/>
  <c r="B1315" i="66" s="1"/>
  <c r="H405" i="34"/>
  <c r="B1269" i="66" s="1"/>
  <c r="H378" i="34"/>
  <c r="B1184" i="66" s="1"/>
  <c r="H363" i="34"/>
  <c r="B1256" i="66" s="1"/>
  <c r="H348" i="34"/>
  <c r="B1165" i="66" s="1"/>
  <c r="H440" i="34"/>
  <c r="B1294" i="66" s="1"/>
  <c r="H350" i="34"/>
  <c r="B1229" i="66" s="1"/>
  <c r="H459" i="34"/>
  <c r="B1217" i="66" s="1"/>
  <c r="H427" i="34"/>
  <c r="B1279" i="66" s="1"/>
  <c r="H373" i="34"/>
  <c r="B1268" i="66" s="1"/>
  <c r="H342" i="34"/>
  <c r="B1214" i="66" s="1"/>
  <c r="H404" i="34"/>
  <c r="B1287" i="66" s="1"/>
  <c r="H426" i="34"/>
  <c r="B1276" i="66" s="1"/>
  <c r="H394" i="34"/>
  <c r="B362" i="66" s="1"/>
  <c r="H456" i="34"/>
  <c r="B1280" i="66" s="1"/>
  <c r="H419" i="34"/>
  <c r="B1333" i="66" s="1"/>
  <c r="H444" i="34"/>
  <c r="B1251" i="66" s="1"/>
  <c r="H408" i="34"/>
  <c r="B1173" i="66" s="1"/>
  <c r="H377" i="34"/>
  <c r="B1152" i="66" s="1"/>
  <c r="H446" i="34"/>
  <c r="B1235" i="66" s="1"/>
  <c r="H414" i="34"/>
  <c r="B1283" i="66" s="1"/>
  <c r="H375" i="34"/>
  <c r="B1225" i="66" s="1"/>
  <c r="H360" i="34"/>
  <c r="B599" i="66" s="1"/>
  <c r="H449" i="34"/>
  <c r="B1252" i="66" s="1"/>
  <c r="H433" i="34"/>
  <c r="B1223" i="66" s="1"/>
  <c r="H401" i="34"/>
  <c r="B1312" i="66" s="1"/>
  <c r="H344" i="34"/>
  <c r="B1209" i="66" s="1"/>
  <c r="B721" i="66"/>
  <c r="H347" i="34"/>
  <c r="B1166" i="66" s="1"/>
  <c r="H455" i="34"/>
  <c r="B1338" i="66" s="1"/>
  <c r="H439" i="34"/>
  <c r="B1314" i="66" s="1"/>
  <c r="H407" i="34"/>
  <c r="B1167" i="66" s="1"/>
  <c r="H353" i="34"/>
  <c r="B1149" i="66" s="1"/>
  <c r="H326" i="34"/>
  <c r="B1164" i="66" s="1"/>
  <c r="H436" i="34"/>
  <c r="B510" i="66" s="1"/>
  <c r="H420" i="34"/>
  <c r="B1311" i="66" s="1"/>
  <c r="H442" i="34"/>
  <c r="B1228" i="66" s="1"/>
  <c r="H410" i="34"/>
  <c r="B1157" i="66" s="1"/>
  <c r="H341" i="34"/>
  <c r="B1169" i="66" s="1"/>
  <c r="H445" i="34"/>
  <c r="B1219" i="66" s="1"/>
  <c r="H413" i="34"/>
  <c r="B1202" i="66" s="1"/>
  <c r="H328" i="34"/>
  <c r="B1168" i="66" s="1"/>
  <c r="H343" i="34"/>
  <c r="B1163" i="66" s="1"/>
  <c r="H435" i="34"/>
  <c r="B1313" i="66" s="1"/>
  <c r="H403" i="34"/>
  <c r="B1267" i="66" s="1"/>
  <c r="H365" i="34"/>
  <c r="B1172" i="66" s="1"/>
  <c r="H386" i="34"/>
  <c r="B616" i="66" s="1"/>
  <c r="H333" i="34"/>
  <c r="B1175" i="66" s="1"/>
  <c r="H337" i="34"/>
  <c r="B1285" i="66" s="1"/>
  <c r="H391" i="34"/>
  <c r="B1328" i="66" s="1"/>
  <c r="H389" i="34"/>
  <c r="B1200" i="66" s="1"/>
  <c r="H385" i="34"/>
  <c r="B1334" i="66" s="1"/>
  <c r="H332" i="34"/>
  <c r="B1177" i="66" s="1"/>
  <c r="H340" i="34"/>
  <c r="B1180" i="66" s="1"/>
  <c r="H388" i="34"/>
  <c r="B1170" i="66" s="1"/>
  <c r="H387" i="34"/>
  <c r="B1182" i="66" s="1"/>
  <c r="H330" i="34"/>
  <c r="B1153" i="66" s="1"/>
  <c r="H331" i="34"/>
  <c r="B1176" i="66" s="1"/>
  <c r="H334" i="34"/>
  <c r="B1185" i="66" s="1"/>
  <c r="H317" i="34"/>
  <c r="B1316" i="66" s="1"/>
  <c r="G145" i="34"/>
  <c r="H145" i="34" s="1"/>
  <c r="G531" i="34"/>
  <c r="H531" i="34" s="1"/>
  <c r="G547" i="34"/>
  <c r="H547" i="34" s="1"/>
  <c r="G563" i="34"/>
  <c r="H563" i="34" s="1"/>
  <c r="G579" i="34"/>
  <c r="H579" i="34" s="1"/>
  <c r="G595" i="34"/>
  <c r="H595" i="34" s="1"/>
  <c r="G611" i="34"/>
  <c r="H611" i="34" s="1"/>
  <c r="G627" i="34"/>
  <c r="H627" i="34" s="1"/>
  <c r="G643" i="34"/>
  <c r="H643" i="34" s="1"/>
  <c r="G659" i="34"/>
  <c r="H659" i="34" s="1"/>
  <c r="G675" i="34"/>
  <c r="H675" i="34" s="1"/>
  <c r="G691" i="34"/>
  <c r="H691" i="34" s="1"/>
  <c r="G278" i="34"/>
  <c r="H278" i="34" s="1"/>
  <c r="G532" i="34"/>
  <c r="H532" i="34" s="1"/>
  <c r="G548" i="34"/>
  <c r="H548" i="34" s="1"/>
  <c r="G564" i="34"/>
  <c r="H564" i="34" s="1"/>
  <c r="G580" i="34"/>
  <c r="H580" i="34" s="1"/>
  <c r="G596" i="34"/>
  <c r="H596" i="34" s="1"/>
  <c r="G612" i="34"/>
  <c r="H612" i="34" s="1"/>
  <c r="G628" i="34"/>
  <c r="H628" i="34" s="1"/>
  <c r="G644" i="34"/>
  <c r="H644" i="34" s="1"/>
  <c r="G660" i="34"/>
  <c r="H660" i="34" s="1"/>
  <c r="G676" i="34"/>
  <c r="H676" i="34" s="1"/>
  <c r="G692" i="34"/>
  <c r="H692" i="34" s="1"/>
  <c r="G574" i="34"/>
  <c r="H574" i="34" s="1"/>
  <c r="G626" i="34"/>
  <c r="H626" i="34" s="1"/>
  <c r="G658" i="34"/>
  <c r="H658" i="34" s="1"/>
  <c r="G690" i="34"/>
  <c r="H690" i="34" s="1"/>
  <c r="G525" i="34"/>
  <c r="H525" i="34" s="1"/>
  <c r="G541" i="34"/>
  <c r="H541" i="34" s="1"/>
  <c r="G557" i="34"/>
  <c r="H557" i="34" s="1"/>
  <c r="G573" i="34"/>
  <c r="H573" i="34" s="1"/>
  <c r="G589" i="34"/>
  <c r="H589" i="34" s="1"/>
  <c r="G605" i="34"/>
  <c r="H605" i="34" s="1"/>
  <c r="G621" i="34"/>
  <c r="H621" i="34" s="1"/>
  <c r="G637" i="34"/>
  <c r="H637" i="34" s="1"/>
  <c r="G653" i="34"/>
  <c r="H653" i="34" s="1"/>
  <c r="G669" i="34"/>
  <c r="H669" i="34" s="1"/>
  <c r="G685" i="34"/>
  <c r="H685" i="34" s="1"/>
  <c r="G701" i="34"/>
  <c r="H701" i="34" s="1"/>
  <c r="G526" i="34"/>
  <c r="H526" i="34" s="1"/>
  <c r="G542" i="34"/>
  <c r="H542" i="34" s="1"/>
  <c r="G558" i="34"/>
  <c r="H558" i="34" s="1"/>
  <c r="G578" i="34"/>
  <c r="H578" i="34" s="1"/>
  <c r="G594" i="34"/>
  <c r="H594" i="34" s="1"/>
  <c r="G622" i="34"/>
  <c r="H622" i="34" s="1"/>
  <c r="G654" i="34"/>
  <c r="H654" i="34" s="1"/>
  <c r="G686" i="34"/>
  <c r="H686" i="34" s="1"/>
  <c r="G519" i="34"/>
  <c r="H519" i="34" s="1"/>
  <c r="G535" i="34"/>
  <c r="H535" i="34" s="1"/>
  <c r="G551" i="34"/>
  <c r="H551" i="34" s="1"/>
  <c r="G567" i="34"/>
  <c r="H567" i="34" s="1"/>
  <c r="G583" i="34"/>
  <c r="H583" i="34" s="1"/>
  <c r="G599" i="34"/>
  <c r="H599" i="34" s="1"/>
  <c r="G615" i="34"/>
  <c r="H615" i="34" s="1"/>
  <c r="G631" i="34"/>
  <c r="H631" i="34" s="1"/>
  <c r="G647" i="34"/>
  <c r="H647" i="34" s="1"/>
  <c r="G663" i="34"/>
  <c r="H663" i="34" s="1"/>
  <c r="G679" i="34"/>
  <c r="H679" i="34" s="1"/>
  <c r="G695" i="34"/>
  <c r="H695" i="34" s="1"/>
  <c r="G520" i="34"/>
  <c r="H520" i="34" s="1"/>
  <c r="G536" i="34"/>
  <c r="H536" i="34" s="1"/>
  <c r="G552" i="34"/>
  <c r="H552" i="34" s="1"/>
  <c r="G568" i="34"/>
  <c r="H568" i="34" s="1"/>
  <c r="G584" i="34"/>
  <c r="H584" i="34" s="1"/>
  <c r="G600" i="34"/>
  <c r="H600" i="34" s="1"/>
  <c r="G616" i="34"/>
  <c r="H616" i="34" s="1"/>
  <c r="G632" i="34"/>
  <c r="H632" i="34" s="1"/>
  <c r="G648" i="34"/>
  <c r="H648" i="34" s="1"/>
  <c r="G664" i="34"/>
  <c r="H664" i="34" s="1"/>
  <c r="G680" i="34"/>
  <c r="H680" i="34" s="1"/>
  <c r="G696" i="34"/>
  <c r="H696" i="34" s="1"/>
  <c r="G602" i="34"/>
  <c r="H602" i="34" s="1"/>
  <c r="G634" i="34"/>
  <c r="H634" i="34" s="1"/>
  <c r="G666" i="34"/>
  <c r="H666" i="34" s="1"/>
  <c r="G698" i="34"/>
  <c r="H698" i="34" s="1"/>
  <c r="G529" i="34"/>
  <c r="H529" i="34" s="1"/>
  <c r="G545" i="34"/>
  <c r="H545" i="34" s="1"/>
  <c r="G561" i="34"/>
  <c r="H561" i="34" s="1"/>
  <c r="G577" i="34"/>
  <c r="H577" i="34" s="1"/>
  <c r="G593" i="34"/>
  <c r="H593" i="34" s="1"/>
  <c r="G609" i="34"/>
  <c r="H609" i="34" s="1"/>
  <c r="G625" i="34"/>
  <c r="H625" i="34" s="1"/>
  <c r="G641" i="34"/>
  <c r="H641" i="34" s="1"/>
  <c r="G657" i="34"/>
  <c r="H657" i="34" s="1"/>
  <c r="G673" i="34"/>
  <c r="H673" i="34" s="1"/>
  <c r="G689" i="34"/>
  <c r="H689" i="34" s="1"/>
  <c r="G705" i="34"/>
  <c r="H705" i="34" s="1"/>
  <c r="G530" i="34"/>
  <c r="H530" i="34" s="1"/>
  <c r="G546" i="34"/>
  <c r="H546" i="34" s="1"/>
  <c r="G562" i="34"/>
  <c r="H562" i="34" s="1"/>
  <c r="G582" i="34"/>
  <c r="H582" i="34" s="1"/>
  <c r="G598" i="34"/>
  <c r="H598" i="34" s="1"/>
  <c r="G630" i="34"/>
  <c r="H630" i="34" s="1"/>
  <c r="G662" i="34"/>
  <c r="H662" i="34" s="1"/>
  <c r="G694" i="34"/>
  <c r="H694" i="34" s="1"/>
  <c r="G523" i="34"/>
  <c r="H523" i="34" s="1"/>
  <c r="G539" i="34"/>
  <c r="H539" i="34" s="1"/>
  <c r="G555" i="34"/>
  <c r="H555" i="34" s="1"/>
  <c r="G571" i="34"/>
  <c r="H571" i="34" s="1"/>
  <c r="G587" i="34"/>
  <c r="H587" i="34" s="1"/>
  <c r="G603" i="34"/>
  <c r="H603" i="34" s="1"/>
  <c r="G619" i="34"/>
  <c r="H619" i="34" s="1"/>
  <c r="G635" i="34"/>
  <c r="H635" i="34" s="1"/>
  <c r="G651" i="34"/>
  <c r="H651" i="34" s="1"/>
  <c r="G667" i="34"/>
  <c r="H667" i="34" s="1"/>
  <c r="G683" i="34"/>
  <c r="H683" i="34" s="1"/>
  <c r="G699" i="34"/>
  <c r="H699" i="34" s="1"/>
  <c r="G524" i="34"/>
  <c r="H524" i="34" s="1"/>
  <c r="G540" i="34"/>
  <c r="H540" i="34" s="1"/>
  <c r="G556" i="34"/>
  <c r="H556" i="34" s="1"/>
  <c r="G572" i="34"/>
  <c r="H572" i="34" s="1"/>
  <c r="G588" i="34"/>
  <c r="H588" i="34" s="1"/>
  <c r="G604" i="34"/>
  <c r="H604" i="34" s="1"/>
  <c r="G620" i="34"/>
  <c r="H620" i="34" s="1"/>
  <c r="G636" i="34"/>
  <c r="H636" i="34" s="1"/>
  <c r="G652" i="34"/>
  <c r="H652" i="34" s="1"/>
  <c r="G668" i="34"/>
  <c r="H668" i="34" s="1"/>
  <c r="G684" i="34"/>
  <c r="H684" i="34" s="1"/>
  <c r="G700" i="34"/>
  <c r="H700" i="34" s="1"/>
  <c r="G610" i="34"/>
  <c r="H610" i="34" s="1"/>
  <c r="G642" i="34"/>
  <c r="H642" i="34" s="1"/>
  <c r="G674" i="34"/>
  <c r="H674" i="34" s="1"/>
  <c r="G517" i="34"/>
  <c r="H517" i="34" s="1"/>
  <c r="G533" i="34"/>
  <c r="H533" i="34" s="1"/>
  <c r="G549" i="34"/>
  <c r="H549" i="34" s="1"/>
  <c r="G565" i="34"/>
  <c r="H565" i="34" s="1"/>
  <c r="G581" i="34"/>
  <c r="H581" i="34" s="1"/>
  <c r="G597" i="34"/>
  <c r="H597" i="34" s="1"/>
  <c r="G613" i="34"/>
  <c r="H613" i="34" s="1"/>
  <c r="G629" i="34"/>
  <c r="H629" i="34" s="1"/>
  <c r="G645" i="34"/>
  <c r="H645" i="34" s="1"/>
  <c r="G661" i="34"/>
  <c r="H661" i="34" s="1"/>
  <c r="G677" i="34"/>
  <c r="H677" i="34" s="1"/>
  <c r="G693" i="34"/>
  <c r="H693" i="34" s="1"/>
  <c r="G518" i="34"/>
  <c r="H518" i="34" s="1"/>
  <c r="G534" i="34"/>
  <c r="H534" i="34" s="1"/>
  <c r="G550" i="34"/>
  <c r="H550" i="34" s="1"/>
  <c r="G566" i="34"/>
  <c r="H566" i="34" s="1"/>
  <c r="G586" i="34"/>
  <c r="H586" i="34" s="1"/>
  <c r="G606" i="34"/>
  <c r="H606" i="34" s="1"/>
  <c r="G638" i="34"/>
  <c r="H638" i="34" s="1"/>
  <c r="G670" i="34"/>
  <c r="H670" i="34" s="1"/>
  <c r="G702" i="34"/>
  <c r="H702" i="34" s="1"/>
  <c r="H462" i="34"/>
  <c r="B1240" i="66" s="1"/>
  <c r="H512" i="34"/>
  <c r="H498" i="34"/>
  <c r="G527" i="34"/>
  <c r="H527" i="34" s="1"/>
  <c r="G543" i="34"/>
  <c r="H543" i="34" s="1"/>
  <c r="G559" i="34"/>
  <c r="H559" i="34" s="1"/>
  <c r="G575" i="34"/>
  <c r="H575" i="34" s="1"/>
  <c r="G591" i="34"/>
  <c r="H591" i="34" s="1"/>
  <c r="G607" i="34"/>
  <c r="H607" i="34" s="1"/>
  <c r="G623" i="34"/>
  <c r="H623" i="34" s="1"/>
  <c r="G639" i="34"/>
  <c r="H639" i="34" s="1"/>
  <c r="G655" i="34"/>
  <c r="H655" i="34" s="1"/>
  <c r="G671" i="34"/>
  <c r="H671" i="34" s="1"/>
  <c r="G687" i="34"/>
  <c r="H687" i="34" s="1"/>
  <c r="G703" i="34"/>
  <c r="H703" i="34" s="1"/>
  <c r="G528" i="34"/>
  <c r="H528" i="34" s="1"/>
  <c r="G544" i="34"/>
  <c r="H544" i="34" s="1"/>
  <c r="G560" i="34"/>
  <c r="H560" i="34" s="1"/>
  <c r="G576" i="34"/>
  <c r="H576" i="34" s="1"/>
  <c r="G592" i="34"/>
  <c r="H592" i="34" s="1"/>
  <c r="G608" i="34"/>
  <c r="H608" i="34" s="1"/>
  <c r="G624" i="34"/>
  <c r="H624" i="34" s="1"/>
  <c r="G640" i="34"/>
  <c r="H640" i="34" s="1"/>
  <c r="G656" i="34"/>
  <c r="H656" i="34" s="1"/>
  <c r="G672" i="34"/>
  <c r="H672" i="34" s="1"/>
  <c r="G688" i="34"/>
  <c r="H688" i="34" s="1"/>
  <c r="G704" i="34"/>
  <c r="H704" i="34" s="1"/>
  <c r="G618" i="34"/>
  <c r="H618" i="34" s="1"/>
  <c r="G650" i="34"/>
  <c r="H650" i="34" s="1"/>
  <c r="G682" i="34"/>
  <c r="H682" i="34" s="1"/>
  <c r="G521" i="34"/>
  <c r="H521" i="34" s="1"/>
  <c r="G537" i="34"/>
  <c r="H537" i="34" s="1"/>
  <c r="G553" i="34"/>
  <c r="H553" i="34" s="1"/>
  <c r="G569" i="34"/>
  <c r="H569" i="34" s="1"/>
  <c r="G585" i="34"/>
  <c r="H585" i="34" s="1"/>
  <c r="G601" i="34"/>
  <c r="H601" i="34" s="1"/>
  <c r="G617" i="34"/>
  <c r="H617" i="34" s="1"/>
  <c r="G633" i="34"/>
  <c r="H633" i="34" s="1"/>
  <c r="G649" i="34"/>
  <c r="H649" i="34" s="1"/>
  <c r="G665" i="34"/>
  <c r="H665" i="34" s="1"/>
  <c r="G681" i="34"/>
  <c r="H681" i="34" s="1"/>
  <c r="G697" i="34"/>
  <c r="H697" i="34" s="1"/>
  <c r="G522" i="34"/>
  <c r="H522" i="34" s="1"/>
  <c r="G538" i="34"/>
  <c r="H538" i="34" s="1"/>
  <c r="G554" i="34"/>
  <c r="H554" i="34" s="1"/>
  <c r="G570" i="34"/>
  <c r="H570" i="34" s="1"/>
  <c r="G590" i="34"/>
  <c r="H590" i="34" s="1"/>
  <c r="G614" i="34"/>
  <c r="H614" i="34" s="1"/>
  <c r="G646" i="34"/>
  <c r="H646" i="34" s="1"/>
  <c r="G678" i="34"/>
  <c r="H678" i="34" s="1"/>
  <c r="H497" i="34"/>
  <c r="H496" i="34"/>
  <c r="H466" i="34"/>
  <c r="B714" i="66" s="1"/>
  <c r="H480" i="34"/>
  <c r="H351" i="34"/>
  <c r="B1291" i="66" s="1"/>
  <c r="H346" i="34"/>
  <c r="B1206" i="66" s="1"/>
  <c r="H448" i="34"/>
  <c r="B1156" i="66" s="1"/>
  <c r="H422" i="34"/>
  <c r="B1183" i="66" s="1"/>
  <c r="H437" i="34"/>
  <c r="B1207" i="66" s="1"/>
  <c r="H428" i="34"/>
  <c r="B1306" i="66" s="1"/>
  <c r="H434" i="34"/>
  <c r="B1340" i="66" s="1"/>
  <c r="H425" i="34"/>
  <c r="B1300" i="66" s="1"/>
  <c r="G198" i="34"/>
  <c r="G197" i="34"/>
  <c r="G199" i="34"/>
  <c r="H199" i="34" s="1"/>
  <c r="H513" i="34"/>
  <c r="H511" i="34"/>
  <c r="H432" i="34"/>
  <c r="B1289" i="66" s="1"/>
  <c r="H416" i="34"/>
  <c r="B1160" i="66" s="1"/>
  <c r="G315" i="34"/>
  <c r="H315" i="34" s="1"/>
  <c r="G312" i="34"/>
  <c r="H312" i="34" s="1"/>
  <c r="G313" i="34"/>
  <c r="H313" i="34" s="1"/>
  <c r="B1483" i="66" s="1"/>
  <c r="G314" i="34"/>
  <c r="H314" i="34" s="1"/>
  <c r="G311" i="34"/>
  <c r="H311" i="34" s="1"/>
  <c r="G18" i="34"/>
  <c r="H18" i="34" s="1"/>
  <c r="G19" i="34"/>
  <c r="H19" i="34" s="1"/>
  <c r="G21" i="34"/>
  <c r="H21" i="34" s="1"/>
  <c r="G20" i="34"/>
  <c r="H20" i="34" s="1"/>
  <c r="G310" i="34"/>
  <c r="H310" i="34" s="1"/>
  <c r="G294" i="34"/>
  <c r="H294" i="34" s="1"/>
  <c r="G277" i="34"/>
  <c r="H277" i="34" s="1"/>
  <c r="G261" i="34"/>
  <c r="H261" i="34" s="1"/>
  <c r="G245" i="34"/>
  <c r="H245" i="34" s="1"/>
  <c r="G229" i="34"/>
  <c r="H229" i="34" s="1"/>
  <c r="G213" i="34"/>
  <c r="H213" i="34" s="1"/>
  <c r="G194" i="34"/>
  <c r="H194" i="34" s="1"/>
  <c r="G178" i="34"/>
  <c r="H178" i="34" s="1"/>
  <c r="G162" i="34"/>
  <c r="H162" i="34" s="1"/>
  <c r="G146" i="34"/>
  <c r="H146" i="34" s="1"/>
  <c r="G129" i="34"/>
  <c r="H129" i="34" s="1"/>
  <c r="G113" i="34"/>
  <c r="H113" i="34" s="1"/>
  <c r="G97" i="34"/>
  <c r="H97" i="34" s="1"/>
  <c r="G81" i="34"/>
  <c r="H81" i="34" s="1"/>
  <c r="G65" i="34"/>
  <c r="H65" i="34" s="1"/>
  <c r="G49" i="34"/>
  <c r="H49" i="34" s="1"/>
  <c r="G33" i="34"/>
  <c r="H33" i="34" s="1"/>
  <c r="G305" i="34"/>
  <c r="H305" i="34" s="1"/>
  <c r="B1399" i="66" s="1"/>
  <c r="G289" i="34"/>
  <c r="H289" i="34" s="1"/>
  <c r="G272" i="34"/>
  <c r="H272" i="34" s="1"/>
  <c r="G256" i="34"/>
  <c r="H256" i="34" s="1"/>
  <c r="G240" i="34"/>
  <c r="H240" i="34" s="1"/>
  <c r="G224" i="34"/>
  <c r="H224" i="34" s="1"/>
  <c r="G208" i="34"/>
  <c r="H208" i="34" s="1"/>
  <c r="G189" i="34"/>
  <c r="H189" i="34" s="1"/>
  <c r="G173" i="34"/>
  <c r="H173" i="34" s="1"/>
  <c r="G157" i="34"/>
  <c r="H157" i="34" s="1"/>
  <c r="G140" i="34"/>
  <c r="H140" i="34" s="1"/>
  <c r="G124" i="34"/>
  <c r="H124" i="34" s="1"/>
  <c r="G108" i="34"/>
  <c r="H108" i="34" s="1"/>
  <c r="G92" i="34"/>
  <c r="H92" i="34" s="1"/>
  <c r="G76" i="34"/>
  <c r="H76" i="34" s="1"/>
  <c r="G60" i="34"/>
  <c r="H60" i="34" s="1"/>
  <c r="G44" i="34"/>
  <c r="H44" i="34" s="1"/>
  <c r="G28" i="34"/>
  <c r="G300" i="34"/>
  <c r="H300" i="34" s="1"/>
  <c r="G284" i="34"/>
  <c r="H284" i="34" s="1"/>
  <c r="G267" i="34"/>
  <c r="H267" i="34" s="1"/>
  <c r="G251" i="34"/>
  <c r="H251" i="34" s="1"/>
  <c r="G235" i="34"/>
  <c r="H235" i="34" s="1"/>
  <c r="G219" i="34"/>
  <c r="H219" i="34" s="1"/>
  <c r="G203" i="34"/>
  <c r="H203" i="34" s="1"/>
  <c r="G184" i="34"/>
  <c r="H184" i="34" s="1"/>
  <c r="G168" i="34"/>
  <c r="H168" i="34" s="1"/>
  <c r="G152" i="34"/>
  <c r="H152" i="34" s="1"/>
  <c r="G135" i="34"/>
  <c r="H135" i="34" s="1"/>
  <c r="G119" i="34"/>
  <c r="H119" i="34" s="1"/>
  <c r="G103" i="34"/>
  <c r="H103" i="34" s="1"/>
  <c r="G87" i="34"/>
  <c r="H87" i="34" s="1"/>
  <c r="G71" i="34"/>
  <c r="H71" i="34" s="1"/>
  <c r="G55" i="34"/>
  <c r="H55" i="34" s="1"/>
  <c r="G39" i="34"/>
  <c r="H39" i="34" s="1"/>
  <c r="G23" i="34"/>
  <c r="H23" i="34" s="1"/>
  <c r="G295" i="34"/>
  <c r="H295" i="34" s="1"/>
  <c r="G279" i="34"/>
  <c r="H279" i="34" s="1"/>
  <c r="G262" i="34"/>
  <c r="H262" i="34" s="1"/>
  <c r="G246" i="34"/>
  <c r="H246" i="34" s="1"/>
  <c r="G230" i="34"/>
  <c r="H230" i="34" s="1"/>
  <c r="G214" i="34"/>
  <c r="H214" i="34" s="1"/>
  <c r="G195" i="34"/>
  <c r="H195" i="34" s="1"/>
  <c r="G179" i="34"/>
  <c r="H179" i="34" s="1"/>
  <c r="G163" i="34"/>
  <c r="H163" i="34" s="1"/>
  <c r="G147" i="34"/>
  <c r="H147" i="34" s="1"/>
  <c r="G130" i="34"/>
  <c r="H130" i="34" s="1"/>
  <c r="G114" i="34"/>
  <c r="H114" i="34" s="1"/>
  <c r="G98" i="34"/>
  <c r="H98" i="34" s="1"/>
  <c r="G82" i="34"/>
  <c r="H82" i="34" s="1"/>
  <c r="G66" i="34"/>
  <c r="H66" i="34" s="1"/>
  <c r="G50" i="34"/>
  <c r="H50" i="34" s="1"/>
  <c r="G34" i="34"/>
  <c r="H34" i="34" s="1"/>
  <c r="G306" i="34"/>
  <c r="H306" i="34" s="1"/>
  <c r="B1400" i="66" s="1"/>
  <c r="G290" i="34"/>
  <c r="H290" i="34" s="1"/>
  <c r="G273" i="34"/>
  <c r="H273" i="34" s="1"/>
  <c r="G257" i="34"/>
  <c r="H257" i="34" s="1"/>
  <c r="G241" i="34"/>
  <c r="H241" i="34" s="1"/>
  <c r="G225" i="34"/>
  <c r="H225" i="34" s="1"/>
  <c r="G209" i="34"/>
  <c r="H209" i="34" s="1"/>
  <c r="G190" i="34"/>
  <c r="H190" i="34" s="1"/>
  <c r="G174" i="34"/>
  <c r="H174" i="34" s="1"/>
  <c r="G158" i="34"/>
  <c r="H158" i="34" s="1"/>
  <c r="G141" i="34"/>
  <c r="H141" i="34" s="1"/>
  <c r="G125" i="34"/>
  <c r="H125" i="34" s="1"/>
  <c r="G109" i="34"/>
  <c r="H109" i="34" s="1"/>
  <c r="B1016" i="66" s="1"/>
  <c r="G93" i="34"/>
  <c r="H93" i="34" s="1"/>
  <c r="G77" i="34"/>
  <c r="H77" i="34" s="1"/>
  <c r="G61" i="34"/>
  <c r="H61" i="34" s="1"/>
  <c r="G45" i="34"/>
  <c r="H45" i="34" s="1"/>
  <c r="G29" i="34"/>
  <c r="G301" i="34"/>
  <c r="H301" i="34" s="1"/>
  <c r="G285" i="34"/>
  <c r="H285" i="34" s="1"/>
  <c r="G268" i="34"/>
  <c r="H268" i="34" s="1"/>
  <c r="G252" i="34"/>
  <c r="H252" i="34" s="1"/>
  <c r="G236" i="34"/>
  <c r="H236" i="34" s="1"/>
  <c r="G220" i="34"/>
  <c r="H220" i="34" s="1"/>
  <c r="G204" i="34"/>
  <c r="H204" i="34" s="1"/>
  <c r="G185" i="34"/>
  <c r="H185" i="34" s="1"/>
  <c r="G169" i="34"/>
  <c r="H169" i="34" s="1"/>
  <c r="G153" i="34"/>
  <c r="H153" i="34" s="1"/>
  <c r="G136" i="34"/>
  <c r="H136" i="34" s="1"/>
  <c r="G120" i="34"/>
  <c r="H120" i="34" s="1"/>
  <c r="G104" i="34"/>
  <c r="H104" i="34" s="1"/>
  <c r="G88" i="34"/>
  <c r="H88" i="34" s="1"/>
  <c r="G72" i="34"/>
  <c r="H72" i="34" s="1"/>
  <c r="G56" i="34"/>
  <c r="H56" i="34" s="1"/>
  <c r="G40" i="34"/>
  <c r="H40" i="34" s="1"/>
  <c r="G24" i="34"/>
  <c r="H24" i="34" s="1"/>
  <c r="G296" i="34"/>
  <c r="H296" i="34" s="1"/>
  <c r="G280" i="34"/>
  <c r="H280" i="34" s="1"/>
  <c r="G263" i="34"/>
  <c r="H263" i="34" s="1"/>
  <c r="G247" i="34"/>
  <c r="H247" i="34" s="1"/>
  <c r="G231" i="34"/>
  <c r="H231" i="34" s="1"/>
  <c r="G215" i="34"/>
  <c r="H215" i="34" s="1"/>
  <c r="G196" i="34"/>
  <c r="H196" i="34" s="1"/>
  <c r="G180" i="34"/>
  <c r="H180" i="34" s="1"/>
  <c r="G164" i="34"/>
  <c r="H164" i="34" s="1"/>
  <c r="G148" i="34"/>
  <c r="H148" i="34" s="1"/>
  <c r="G131" i="34"/>
  <c r="H131" i="34" s="1"/>
  <c r="G115" i="34"/>
  <c r="H115" i="34" s="1"/>
  <c r="G99" i="34"/>
  <c r="H99" i="34" s="1"/>
  <c r="G83" i="34"/>
  <c r="H83" i="34" s="1"/>
  <c r="G67" i="34"/>
  <c r="H67" i="34" s="1"/>
  <c r="G51" i="34"/>
  <c r="H51" i="34" s="1"/>
  <c r="G35" i="34"/>
  <c r="H35" i="34" s="1"/>
  <c r="G307" i="34"/>
  <c r="H307" i="34" s="1"/>
  <c r="G291" i="34"/>
  <c r="H291" i="34" s="1"/>
  <c r="G274" i="34"/>
  <c r="H274" i="34" s="1"/>
  <c r="G258" i="34"/>
  <c r="H258" i="34" s="1"/>
  <c r="G242" i="34"/>
  <c r="H242" i="34" s="1"/>
  <c r="G226" i="34"/>
  <c r="H226" i="34" s="1"/>
  <c r="G210" i="34"/>
  <c r="H210" i="34" s="1"/>
  <c r="G191" i="34"/>
  <c r="H191" i="34" s="1"/>
  <c r="G175" i="34"/>
  <c r="H175" i="34" s="1"/>
  <c r="G159" i="34"/>
  <c r="H159" i="34" s="1"/>
  <c r="G142" i="34"/>
  <c r="H142" i="34" s="1"/>
  <c r="G126" i="34"/>
  <c r="H126" i="34" s="1"/>
  <c r="G110" i="34"/>
  <c r="H110" i="34" s="1"/>
  <c r="B67" i="66" s="1"/>
  <c r="G94" i="34"/>
  <c r="H94" i="34" s="1"/>
  <c r="G78" i="34"/>
  <c r="H78" i="34" s="1"/>
  <c r="G62" i="34"/>
  <c r="H62" i="34" s="1"/>
  <c r="G46" i="34"/>
  <c r="H46" i="34" s="1"/>
  <c r="G30" i="34"/>
  <c r="H30" i="34" s="1"/>
  <c r="G302" i="34"/>
  <c r="H302" i="34" s="1"/>
  <c r="G286" i="34"/>
  <c r="H286" i="34" s="1"/>
  <c r="G269" i="34"/>
  <c r="H269" i="34" s="1"/>
  <c r="G253" i="34"/>
  <c r="H253" i="34" s="1"/>
  <c r="G237" i="34"/>
  <c r="H237" i="34" s="1"/>
  <c r="G221" i="34"/>
  <c r="H221" i="34" s="1"/>
  <c r="G205" i="34"/>
  <c r="H205" i="34" s="1"/>
  <c r="G186" i="34"/>
  <c r="H186" i="34" s="1"/>
  <c r="G170" i="34"/>
  <c r="H170" i="34" s="1"/>
  <c r="G154" i="34"/>
  <c r="H154" i="34" s="1"/>
  <c r="G137" i="34"/>
  <c r="H137" i="34" s="1"/>
  <c r="G121" i="34"/>
  <c r="H121" i="34" s="1"/>
  <c r="G105" i="34"/>
  <c r="H105" i="34" s="1"/>
  <c r="G89" i="34"/>
  <c r="H89" i="34" s="1"/>
  <c r="G73" i="34"/>
  <c r="H73" i="34" s="1"/>
  <c r="G57" i="34"/>
  <c r="H57" i="34" s="1"/>
  <c r="G41" i="34"/>
  <c r="H41" i="34" s="1"/>
  <c r="G25" i="34"/>
  <c r="H25" i="34" s="1"/>
  <c r="G297" i="34"/>
  <c r="H297" i="34" s="1"/>
  <c r="G281" i="34"/>
  <c r="H281" i="34" s="1"/>
  <c r="G264" i="34"/>
  <c r="H264" i="34" s="1"/>
  <c r="G248" i="34"/>
  <c r="H248" i="34" s="1"/>
  <c r="G232" i="34"/>
  <c r="H232" i="34" s="1"/>
  <c r="G216" i="34"/>
  <c r="H216" i="34" s="1"/>
  <c r="G200" i="34"/>
  <c r="H200" i="34" s="1"/>
  <c r="G181" i="34"/>
  <c r="H181" i="34" s="1"/>
  <c r="G165" i="34"/>
  <c r="H165" i="34" s="1"/>
  <c r="G149" i="34"/>
  <c r="H149" i="34" s="1"/>
  <c r="G132" i="34"/>
  <c r="H132" i="34" s="1"/>
  <c r="G116" i="34"/>
  <c r="H116" i="34" s="1"/>
  <c r="G100" i="34"/>
  <c r="H100" i="34" s="1"/>
  <c r="G84" i="34"/>
  <c r="H84" i="34" s="1"/>
  <c r="G68" i="34"/>
  <c r="H68" i="34" s="1"/>
  <c r="G52" i="34"/>
  <c r="H52" i="34" s="1"/>
  <c r="G36" i="34"/>
  <c r="H36" i="34" s="1"/>
  <c r="B1516" i="66" s="1"/>
  <c r="G308" i="34"/>
  <c r="H308" i="34" s="1"/>
  <c r="G292" i="34"/>
  <c r="H292" i="34" s="1"/>
  <c r="G275" i="34"/>
  <c r="H275" i="34" s="1"/>
  <c r="G259" i="34"/>
  <c r="H259" i="34" s="1"/>
  <c r="G243" i="34"/>
  <c r="H243" i="34" s="1"/>
  <c r="G227" i="34"/>
  <c r="H227" i="34" s="1"/>
  <c r="G211" i="34"/>
  <c r="H211" i="34" s="1"/>
  <c r="G192" i="34"/>
  <c r="H192" i="34" s="1"/>
  <c r="G176" i="34"/>
  <c r="H176" i="34" s="1"/>
  <c r="G160" i="34"/>
  <c r="H160" i="34" s="1"/>
  <c r="G143" i="34"/>
  <c r="H143" i="34" s="1"/>
  <c r="G127" i="34"/>
  <c r="H127" i="34" s="1"/>
  <c r="G111" i="34"/>
  <c r="H111" i="34" s="1"/>
  <c r="G95" i="34"/>
  <c r="H95" i="34" s="1"/>
  <c r="G79" i="34"/>
  <c r="H79" i="34" s="1"/>
  <c r="G63" i="34"/>
  <c r="H63" i="34" s="1"/>
  <c r="G47" i="34"/>
  <c r="H47" i="34" s="1"/>
  <c r="G31" i="34"/>
  <c r="H31" i="34" s="1"/>
  <c r="G303" i="34"/>
  <c r="H303" i="34" s="1"/>
  <c r="G287" i="34"/>
  <c r="H287" i="34" s="1"/>
  <c r="G270" i="34"/>
  <c r="H270" i="34" s="1"/>
  <c r="G254" i="34"/>
  <c r="H254" i="34" s="1"/>
  <c r="G238" i="34"/>
  <c r="H238" i="34" s="1"/>
  <c r="G222" i="34"/>
  <c r="H222" i="34" s="1"/>
  <c r="G206" i="34"/>
  <c r="H206" i="34" s="1"/>
  <c r="G187" i="34"/>
  <c r="H187" i="34" s="1"/>
  <c r="G171" i="34"/>
  <c r="H171" i="34" s="1"/>
  <c r="G155" i="34"/>
  <c r="H155" i="34" s="1"/>
  <c r="G138" i="34"/>
  <c r="H138" i="34" s="1"/>
  <c r="G122" i="34"/>
  <c r="H122" i="34" s="1"/>
  <c r="G106" i="34"/>
  <c r="H106" i="34" s="1"/>
  <c r="G90" i="34"/>
  <c r="H90" i="34" s="1"/>
  <c r="G74" i="34"/>
  <c r="H74" i="34" s="1"/>
  <c r="G58" i="34"/>
  <c r="H58" i="34" s="1"/>
  <c r="G42" i="34"/>
  <c r="H42" i="34" s="1"/>
  <c r="G26" i="34"/>
  <c r="H26" i="34" s="1"/>
  <c r="G298" i="34"/>
  <c r="H298" i="34" s="1"/>
  <c r="G282" i="34"/>
  <c r="H282" i="34" s="1"/>
  <c r="G265" i="34"/>
  <c r="H265" i="34" s="1"/>
  <c r="G249" i="34"/>
  <c r="H249" i="34" s="1"/>
  <c r="G233" i="34"/>
  <c r="H233" i="34" s="1"/>
  <c r="G217" i="34"/>
  <c r="H217" i="34" s="1"/>
  <c r="G201" i="34"/>
  <c r="H201" i="34" s="1"/>
  <c r="G182" i="34"/>
  <c r="H182" i="34" s="1"/>
  <c r="G166" i="34"/>
  <c r="H166" i="34" s="1"/>
  <c r="G150" i="34"/>
  <c r="H150" i="34" s="1"/>
  <c r="G133" i="34"/>
  <c r="H133" i="34" s="1"/>
  <c r="G117" i="34"/>
  <c r="H117" i="34" s="1"/>
  <c r="G101" i="34"/>
  <c r="H101" i="34" s="1"/>
  <c r="G85" i="34"/>
  <c r="H85" i="34" s="1"/>
  <c r="G69" i="34"/>
  <c r="H69" i="34" s="1"/>
  <c r="G53" i="34"/>
  <c r="H53" i="34" s="1"/>
  <c r="G37" i="34"/>
  <c r="H37" i="34" s="1"/>
  <c r="G309" i="34"/>
  <c r="H309" i="34" s="1"/>
  <c r="G293" i="34"/>
  <c r="H293" i="34" s="1"/>
  <c r="G276" i="34"/>
  <c r="H276" i="34" s="1"/>
  <c r="G260" i="34"/>
  <c r="H260" i="34" s="1"/>
  <c r="G244" i="34"/>
  <c r="H244" i="34" s="1"/>
  <c r="G228" i="34"/>
  <c r="H228" i="34" s="1"/>
  <c r="G212" i="34"/>
  <c r="H212" i="34" s="1"/>
  <c r="G193" i="34"/>
  <c r="H193" i="34" s="1"/>
  <c r="G177" i="34"/>
  <c r="H177" i="34" s="1"/>
  <c r="G161" i="34"/>
  <c r="H161" i="34" s="1"/>
  <c r="G144" i="34"/>
  <c r="H144" i="34" s="1"/>
  <c r="G128" i="34"/>
  <c r="H128" i="34" s="1"/>
  <c r="G112" i="34"/>
  <c r="H112" i="34" s="1"/>
  <c r="G96" i="34"/>
  <c r="H96" i="34" s="1"/>
  <c r="G80" i="34"/>
  <c r="H80" i="34" s="1"/>
  <c r="G64" i="34"/>
  <c r="H64" i="34" s="1"/>
  <c r="G48" i="34"/>
  <c r="H48" i="34" s="1"/>
  <c r="G32" i="34"/>
  <c r="H32" i="34" s="1"/>
  <c r="G304" i="34"/>
  <c r="H304" i="34" s="1"/>
  <c r="G288" i="34"/>
  <c r="H288" i="34" s="1"/>
  <c r="G271" i="34"/>
  <c r="H271" i="34" s="1"/>
  <c r="G255" i="34"/>
  <c r="H255" i="34" s="1"/>
  <c r="G239" i="34"/>
  <c r="H239" i="34" s="1"/>
  <c r="G223" i="34"/>
  <c r="H223" i="34" s="1"/>
  <c r="G207" i="34"/>
  <c r="H207" i="34" s="1"/>
  <c r="G188" i="34"/>
  <c r="H188" i="34" s="1"/>
  <c r="G172" i="34"/>
  <c r="H172" i="34" s="1"/>
  <c r="G156" i="34"/>
  <c r="H156" i="34" s="1"/>
  <c r="G139" i="34"/>
  <c r="H139" i="34" s="1"/>
  <c r="G123" i="34"/>
  <c r="H123" i="34" s="1"/>
  <c r="G107" i="34"/>
  <c r="H107" i="34" s="1"/>
  <c r="G91" i="34"/>
  <c r="H91" i="34" s="1"/>
  <c r="G75" i="34"/>
  <c r="H75" i="34" s="1"/>
  <c r="G59" i="34"/>
  <c r="H59" i="34" s="1"/>
  <c r="G43" i="34"/>
  <c r="H43" i="34" s="1"/>
  <c r="G27" i="34"/>
  <c r="G299" i="34"/>
  <c r="H299" i="34" s="1"/>
  <c r="G283" i="34"/>
  <c r="H283" i="34" s="1"/>
  <c r="G266" i="34"/>
  <c r="H266" i="34" s="1"/>
  <c r="G250" i="34"/>
  <c r="H250" i="34" s="1"/>
  <c r="G234" i="34"/>
  <c r="H234" i="34" s="1"/>
  <c r="G218" i="34"/>
  <c r="H218" i="34" s="1"/>
  <c r="G202" i="34"/>
  <c r="H202" i="34" s="1"/>
  <c r="G183" i="34"/>
  <c r="H183" i="34" s="1"/>
  <c r="G167" i="34"/>
  <c r="H167" i="34" s="1"/>
  <c r="G151" i="34"/>
  <c r="H151" i="34" s="1"/>
  <c r="G134" i="34"/>
  <c r="H134" i="34" s="1"/>
  <c r="G118" i="34"/>
  <c r="H118" i="34" s="1"/>
  <c r="G102" i="34"/>
  <c r="H102" i="34" s="1"/>
  <c r="G86" i="34"/>
  <c r="H86" i="34" s="1"/>
  <c r="G70" i="34"/>
  <c r="H70" i="34" s="1"/>
  <c r="G54" i="34"/>
  <c r="H54" i="34" s="1"/>
  <c r="G38" i="34"/>
  <c r="H38" i="34" s="1"/>
  <c r="B1469" i="66" s="1"/>
  <c r="G22" i="34"/>
  <c r="H22" i="34" s="1"/>
  <c r="H482" i="34"/>
  <c r="H485" i="34"/>
  <c r="H486" i="34"/>
  <c r="H479" i="34"/>
  <c r="H495" i="34"/>
  <c r="H499" i="34"/>
  <c r="G17" i="34"/>
  <c r="H17" i="34" s="1"/>
  <c r="B6" i="14"/>
  <c r="B1461" i="66" l="1"/>
  <c r="B1462" i="66"/>
  <c r="B816" i="66"/>
  <c r="B815" i="66"/>
  <c r="B269" i="66"/>
  <c r="B268" i="66"/>
  <c r="B1026" i="66"/>
  <c r="B1027" i="66"/>
  <c r="B549" i="66"/>
  <c r="B550" i="66"/>
  <c r="B1009" i="66"/>
  <c r="B1008" i="66"/>
  <c r="B821" i="66"/>
  <c r="B822" i="66"/>
  <c r="B889" i="66"/>
  <c r="B890" i="66"/>
  <c r="B716" i="66"/>
  <c r="B715" i="66"/>
  <c r="B277" i="66"/>
  <c r="B276" i="66"/>
  <c r="B637" i="66"/>
  <c r="B636" i="66"/>
  <c r="B588" i="66"/>
  <c r="B587" i="66"/>
  <c r="B1233" i="66"/>
  <c r="B1232" i="66"/>
  <c r="B1421" i="66"/>
  <c r="B1422" i="66"/>
  <c r="B1401" i="66"/>
  <c r="B1402" i="66"/>
  <c r="B914" i="66"/>
  <c r="B915" i="66"/>
  <c r="B1065" i="66"/>
  <c r="B1064" i="66"/>
  <c r="B988" i="66"/>
  <c r="B987" i="66"/>
  <c r="B332" i="66"/>
  <c r="B331" i="66"/>
  <c r="B1455" i="66"/>
  <c r="B1454" i="66"/>
  <c r="B954" i="66"/>
  <c r="B955" i="66"/>
  <c r="B273" i="66"/>
  <c r="B272" i="66"/>
  <c r="B921" i="66"/>
  <c r="B922" i="66"/>
  <c r="B240" i="66"/>
  <c r="B239" i="66"/>
  <c r="B1443" i="66"/>
  <c r="B1444" i="66"/>
  <c r="B265" i="66"/>
  <c r="B266" i="66"/>
  <c r="B553" i="66"/>
  <c r="B554" i="66"/>
  <c r="B284" i="66"/>
  <c r="B283" i="66"/>
  <c r="B773" i="66"/>
  <c r="B774" i="66"/>
  <c r="B581" i="66"/>
  <c r="B582" i="66"/>
  <c r="B264" i="66"/>
  <c r="B263" i="66"/>
  <c r="B638" i="66"/>
  <c r="B639" i="66"/>
  <c r="B917" i="66"/>
  <c r="B916" i="66"/>
  <c r="B1078" i="66"/>
  <c r="B1079" i="66"/>
  <c r="B1082" i="66"/>
  <c r="B1081" i="66"/>
  <c r="B1393" i="66"/>
  <c r="B1394" i="66"/>
  <c r="B947" i="66"/>
  <c r="B946" i="66"/>
  <c r="B786" i="66"/>
  <c r="B787" i="66"/>
  <c r="B1484" i="66"/>
  <c r="B1485" i="66"/>
  <c r="B356" i="66"/>
  <c r="B355" i="66"/>
  <c r="B968" i="66"/>
  <c r="B967" i="66"/>
  <c r="B1021" i="66"/>
  <c r="B1020" i="66"/>
  <c r="B935" i="66"/>
  <c r="B934" i="66"/>
  <c r="B1032" i="66"/>
  <c r="B1031" i="66"/>
  <c r="B1303" i="66"/>
  <c r="B1304" i="66"/>
  <c r="B246" i="66"/>
  <c r="B247" i="66"/>
  <c r="B1011" i="66"/>
  <c r="B1010" i="66"/>
  <c r="B1093" i="66"/>
  <c r="B1094" i="66"/>
  <c r="B1376" i="66"/>
  <c r="B1377" i="66"/>
  <c r="B1477" i="66"/>
  <c r="B1478" i="66"/>
  <c r="B1513" i="66"/>
  <c r="B1512" i="66"/>
  <c r="B569" i="66"/>
  <c r="B568" i="66"/>
  <c r="B1037" i="66"/>
  <c r="B1038" i="66"/>
  <c r="B1116" i="66"/>
  <c r="B1115" i="66"/>
  <c r="B416" i="66"/>
  <c r="B415" i="66"/>
  <c r="B1029" i="66"/>
  <c r="B1028" i="66"/>
  <c r="B328" i="66"/>
  <c r="B327" i="66"/>
  <c r="B1086" i="66"/>
  <c r="B1085" i="66"/>
  <c r="B1297" i="66"/>
  <c r="B1296" i="66"/>
  <c r="B926" i="66"/>
  <c r="B927" i="66"/>
  <c r="B281" i="66"/>
  <c r="B282" i="66"/>
  <c r="B1411" i="66"/>
  <c r="B1410" i="66"/>
  <c r="B226" i="66"/>
  <c r="B227" i="66"/>
  <c r="B984" i="66"/>
  <c r="B983" i="66"/>
  <c r="B965" i="66"/>
  <c r="B964" i="66"/>
  <c r="B961" i="66"/>
  <c r="B960" i="66"/>
  <c r="B257" i="66"/>
  <c r="B258" i="66"/>
  <c r="B1456" i="66"/>
  <c r="B1457" i="66"/>
  <c r="B278" i="66"/>
  <c r="B279" i="66"/>
  <c r="B1471" i="66"/>
  <c r="B1472" i="66"/>
  <c r="B809" i="66"/>
  <c r="B810" i="66"/>
  <c r="B1013" i="66"/>
  <c r="B1012" i="66"/>
  <c r="B1510" i="66"/>
  <c r="B1511" i="66"/>
  <c r="B700" i="66"/>
  <c r="B699" i="66"/>
  <c r="B1096" i="66"/>
  <c r="B1095" i="66"/>
  <c r="B1101" i="66"/>
  <c r="B1102" i="66"/>
  <c r="B1395" i="66"/>
  <c r="B1396" i="66"/>
  <c r="B1146" i="66"/>
  <c r="B1147" i="66"/>
  <c r="B337" i="66"/>
  <c r="B338" i="66"/>
  <c r="B1076" i="66"/>
  <c r="B1077" i="66"/>
  <c r="B957" i="66"/>
  <c r="B956" i="66"/>
  <c r="B943" i="66"/>
  <c r="B942" i="66"/>
  <c r="B929" i="66"/>
  <c r="B928" i="66"/>
  <c r="B249" i="66"/>
  <c r="B248" i="66"/>
  <c r="B532" i="66"/>
  <c r="B531" i="66"/>
  <c r="B399" i="66"/>
  <c r="B398" i="66"/>
  <c r="B301" i="66"/>
  <c r="B300" i="66"/>
  <c r="B776" i="66"/>
  <c r="B775" i="66"/>
  <c r="B918" i="66"/>
  <c r="B919" i="66"/>
  <c r="B629" i="66"/>
  <c r="B628" i="66"/>
  <c r="B609" i="66"/>
  <c r="B610" i="66"/>
  <c r="B1070" i="66"/>
  <c r="B1071" i="66"/>
  <c r="B603" i="66"/>
  <c r="B602" i="66"/>
  <c r="B420" i="66"/>
  <c r="B419" i="66"/>
  <c r="B1244" i="66"/>
  <c r="B1243" i="66"/>
  <c r="B904" i="66"/>
  <c r="B903" i="66"/>
  <c r="B989" i="66"/>
  <c r="B990" i="66"/>
  <c r="B1129" i="66"/>
  <c r="B1130" i="66"/>
  <c r="B1053" i="66"/>
  <c r="B1054" i="66"/>
  <c r="B941" i="66"/>
  <c r="B940" i="66"/>
  <c r="B969" i="66"/>
  <c r="B970" i="66"/>
  <c r="B386" i="66"/>
  <c r="B387" i="66"/>
  <c r="B1022" i="66"/>
  <c r="B1023" i="66"/>
  <c r="B985" i="66"/>
  <c r="B986" i="66"/>
  <c r="B896" i="66"/>
  <c r="B895" i="66"/>
  <c r="B345" i="66"/>
  <c r="B346" i="66"/>
  <c r="B1487" i="66"/>
  <c r="B1486" i="66"/>
  <c r="B380" i="66"/>
  <c r="B379" i="66"/>
  <c r="B789" i="66"/>
  <c r="B788" i="66"/>
  <c r="B813" i="66"/>
  <c r="B814" i="66"/>
  <c r="B1508" i="66"/>
  <c r="B1509" i="66"/>
  <c r="B808" i="66"/>
  <c r="B807" i="66"/>
  <c r="B1113" i="66"/>
  <c r="B1114" i="66"/>
  <c r="B316" i="66"/>
  <c r="B315" i="66"/>
  <c r="B412" i="66"/>
  <c r="B411" i="66"/>
  <c r="B634" i="66"/>
  <c r="B635" i="66"/>
  <c r="B251" i="66"/>
  <c r="B250" i="66"/>
  <c r="B1428" i="66"/>
  <c r="B1429" i="66"/>
  <c r="B785" i="66"/>
  <c r="B784" i="66"/>
  <c r="B749" i="66"/>
  <c r="B750" i="66"/>
  <c r="B938" i="66"/>
  <c r="B939" i="66"/>
  <c r="B992" i="66"/>
  <c r="B991" i="66"/>
  <c r="B1500" i="66"/>
  <c r="B1501" i="66"/>
  <c r="B720" i="66"/>
  <c r="B719" i="66"/>
  <c r="B937" i="66"/>
  <c r="B936" i="66"/>
  <c r="B244" i="66"/>
  <c r="B243" i="66"/>
  <c r="B1431" i="66"/>
  <c r="B1430" i="66"/>
  <c r="B1033" i="66"/>
  <c r="B1034" i="66"/>
  <c r="B633" i="66"/>
  <c r="B632" i="66"/>
  <c r="B324" i="66"/>
  <c r="B323" i="66"/>
  <c r="B819" i="66"/>
  <c r="B818" i="66"/>
  <c r="B905" i="66"/>
  <c r="B906" i="66"/>
  <c r="B622" i="66"/>
  <c r="B623" i="66"/>
  <c r="B733" i="66"/>
  <c r="B734" i="66"/>
  <c r="B1125" i="66"/>
  <c r="B1126" i="66"/>
  <c r="B329" i="66"/>
  <c r="B330" i="66"/>
  <c r="B1040" i="66"/>
  <c r="B1039" i="66"/>
  <c r="B597" i="66"/>
  <c r="B598" i="66"/>
  <c r="B1245" i="66"/>
  <c r="B1246" i="66"/>
  <c r="B389" i="66"/>
  <c r="B388" i="66"/>
  <c r="B231" i="66"/>
  <c r="B230" i="66"/>
  <c r="B1391" i="66"/>
  <c r="B1392" i="66"/>
  <c r="B529" i="66"/>
  <c r="B530" i="66"/>
  <c r="B261" i="66"/>
  <c r="B260" i="66"/>
  <c r="B1452" i="66"/>
  <c r="B1453" i="66"/>
  <c r="B1136" i="66"/>
  <c r="B1135" i="66"/>
  <c r="B1504" i="66"/>
  <c r="B1505" i="66"/>
  <c r="B1507" i="66"/>
  <c r="B1506" i="66"/>
  <c r="B274" i="66"/>
  <c r="B275" i="66"/>
  <c r="B630" i="66"/>
  <c r="B631" i="66"/>
  <c r="B361" i="66"/>
  <c r="B360" i="66"/>
  <c r="B642" i="66"/>
  <c r="B643" i="66"/>
  <c r="B1441" i="66"/>
  <c r="B1442" i="66"/>
  <c r="B229" i="66"/>
  <c r="B228" i="66"/>
  <c r="B1424" i="66"/>
  <c r="B1425" i="66"/>
  <c r="B913" i="66"/>
  <c r="B912" i="66"/>
  <c r="B1069" i="66"/>
  <c r="B1068" i="66"/>
  <c r="B384" i="66"/>
  <c r="B383" i="66"/>
  <c r="B1006" i="66"/>
  <c r="B1007" i="66"/>
  <c r="B980" i="66"/>
  <c r="B979" i="66"/>
  <c r="B753" i="66"/>
  <c r="B754" i="66"/>
  <c r="B222" i="66"/>
  <c r="B223" i="66"/>
  <c r="B1363" i="66"/>
  <c r="B1364" i="66"/>
  <c r="B1387" i="66"/>
  <c r="B1388" i="66"/>
  <c r="B897" i="66"/>
  <c r="B898" i="66"/>
  <c r="B617" i="66"/>
  <c r="B618" i="66"/>
  <c r="B1435" i="66"/>
  <c r="B1434" i="66"/>
  <c r="B779" i="66"/>
  <c r="B778" i="66"/>
  <c r="B513" i="66"/>
  <c r="B512" i="66"/>
  <c r="B1120" i="66"/>
  <c r="B1119" i="66"/>
  <c r="B996" i="66"/>
  <c r="B995" i="66"/>
  <c r="B641" i="66"/>
  <c r="B640" i="66"/>
  <c r="B302" i="66"/>
  <c r="B303" i="66"/>
  <c r="B254" i="66"/>
  <c r="B255" i="66"/>
  <c r="B1415" i="66"/>
  <c r="B1414" i="66"/>
  <c r="B931" i="66"/>
  <c r="B930" i="66"/>
  <c r="B1397" i="66"/>
  <c r="B1398" i="66"/>
  <c r="B951" i="66"/>
  <c r="B950" i="66"/>
  <c r="B997" i="66"/>
  <c r="B998" i="66"/>
  <c r="B1447" i="66"/>
  <c r="B1448" i="66"/>
  <c r="B1000" i="66"/>
  <c r="B999" i="66"/>
  <c r="B953" i="66"/>
  <c r="B952" i="66"/>
  <c r="B908" i="66"/>
  <c r="B907" i="66"/>
  <c r="B977" i="66"/>
  <c r="B978" i="66"/>
  <c r="B294" i="66"/>
  <c r="B295" i="66"/>
  <c r="B736" i="66"/>
  <c r="B735" i="66"/>
  <c r="B1118" i="66"/>
  <c r="B1117" i="66"/>
  <c r="B377" i="66"/>
  <c r="B378" i="66"/>
  <c r="B417" i="66"/>
  <c r="B418" i="66"/>
  <c r="B253" i="66"/>
  <c r="B252" i="66"/>
  <c r="B876" i="66"/>
  <c r="B875" i="66"/>
  <c r="B973" i="66"/>
  <c r="B974" i="66"/>
  <c r="B1018" i="66"/>
  <c r="B1019" i="66"/>
  <c r="B309" i="66"/>
  <c r="B308" i="66"/>
  <c r="B1036" i="66"/>
  <c r="B1035" i="66"/>
  <c r="B1379" i="66"/>
  <c r="B1380" i="66"/>
  <c r="B1463" i="66"/>
  <c r="B1464" i="66"/>
  <c r="B1041" i="66"/>
  <c r="B1042" i="66"/>
  <c r="B1002" i="66"/>
  <c r="B1003" i="66"/>
  <c r="B972" i="66"/>
  <c r="B971" i="66"/>
  <c r="B1247" i="66"/>
  <c r="B1248" i="66"/>
  <c r="B892" i="66"/>
  <c r="B891" i="66"/>
  <c r="B1108" i="66"/>
  <c r="B1109" i="66"/>
  <c r="B1088" i="66"/>
  <c r="B1089" i="66"/>
  <c r="B1110" i="66"/>
  <c r="B1111" i="66"/>
  <c r="B395" i="66"/>
  <c r="B394" i="66"/>
  <c r="J517" i="34"/>
  <c r="J278" i="34"/>
  <c r="K278" i="34" s="1"/>
  <c r="H198" i="34"/>
  <c r="K198" i="34" s="1"/>
  <c r="H197" i="34"/>
  <c r="K91" i="34"/>
  <c r="K210" i="34"/>
  <c r="K195" i="34"/>
  <c r="K75" i="34"/>
  <c r="K73" i="34"/>
  <c r="K74" i="34"/>
  <c r="K217" i="34"/>
  <c r="K218" i="34"/>
  <c r="K212" i="34"/>
  <c r="K315" i="34"/>
  <c r="K145" i="34"/>
  <c r="K418" i="34"/>
  <c r="K28" i="34"/>
  <c r="I77" i="18"/>
  <c r="K160" i="34"/>
  <c r="K192" i="34"/>
  <c r="K193" i="34"/>
  <c r="K92" i="34"/>
  <c r="K80" i="34"/>
  <c r="K154" i="34"/>
  <c r="K171" i="34"/>
  <c r="K162" i="34"/>
  <c r="K188" i="34"/>
  <c r="K82" i="34"/>
  <c r="K157" i="34"/>
  <c r="K182" i="34"/>
  <c r="K172" i="34"/>
  <c r="K161" i="34"/>
  <c r="K105" i="34"/>
  <c r="K115" i="34"/>
  <c r="K224" i="34"/>
  <c r="K93" i="34"/>
  <c r="K223" i="34"/>
  <c r="K113" i="34"/>
  <c r="K130" i="34"/>
  <c r="K133" i="34"/>
  <c r="K293" i="34"/>
  <c r="K151" i="34"/>
  <c r="K86" i="34"/>
  <c r="K95" i="34"/>
  <c r="K112" i="34"/>
  <c r="K156" i="34"/>
  <c r="K186" i="34"/>
  <c r="K139" i="34"/>
  <c r="K204" i="34"/>
  <c r="K67" i="34"/>
  <c r="K116" i="34"/>
  <c r="K94" i="34"/>
  <c r="K120" i="34"/>
  <c r="K107" i="34"/>
  <c r="K159" i="34"/>
  <c r="K137" i="34"/>
  <c r="K155" i="34"/>
  <c r="K230" i="34"/>
  <c r="I78" i="18"/>
  <c r="K84" i="34"/>
  <c r="K279" i="34"/>
  <c r="K163" i="34"/>
  <c r="K38" i="34"/>
  <c r="K118" i="34"/>
  <c r="K208" i="34"/>
  <c r="K144" i="34"/>
  <c r="K89" i="34"/>
  <c r="K68" i="34"/>
  <c r="K106" i="34"/>
  <c r="K77" i="34"/>
  <c r="K232" i="34"/>
  <c r="K153" i="34"/>
  <c r="K294" i="34"/>
  <c r="K97" i="34"/>
  <c r="K227" i="34"/>
  <c r="K147" i="34"/>
  <c r="K205" i="34"/>
  <c r="K117" i="34"/>
  <c r="K209" i="34"/>
  <c r="K226" i="34"/>
  <c r="K96" i="34"/>
  <c r="K170" i="34"/>
  <c r="K187" i="34"/>
  <c r="K158" i="34"/>
  <c r="K104" i="34"/>
  <c r="K199" i="34"/>
  <c r="K185" i="34"/>
  <c r="K108" i="34"/>
  <c r="K121" i="34"/>
  <c r="K138" i="34"/>
  <c r="K140" i="34"/>
  <c r="K109" i="34"/>
  <c r="K200" i="34"/>
  <c r="K202" i="34"/>
  <c r="K129" i="34"/>
  <c r="K191" i="34"/>
  <c r="K150" i="34"/>
  <c r="K280" i="34"/>
  <c r="K102" i="34"/>
  <c r="K241" i="34"/>
  <c r="K128" i="34"/>
  <c r="K196" i="34"/>
  <c r="K203" i="34"/>
  <c r="K90" i="34"/>
  <c r="K220" i="34"/>
  <c r="K83" i="34"/>
  <c r="K189" i="34"/>
  <c r="K190" i="34"/>
  <c r="K110" i="34"/>
  <c r="K183" i="34"/>
  <c r="K136" i="34"/>
  <c r="K229" i="34"/>
  <c r="K81" i="34"/>
  <c r="K211" i="34"/>
  <c r="K228" i="34"/>
  <c r="K101" i="34"/>
  <c r="K231" i="34"/>
  <c r="K311" i="34"/>
  <c r="K292" i="34"/>
  <c r="K248" i="34"/>
  <c r="K300" i="34"/>
  <c r="K58" i="34"/>
  <c r="K310" i="34"/>
  <c r="K216" i="34"/>
  <c r="K78" i="34"/>
  <c r="K234" i="34"/>
  <c r="K49" i="34"/>
  <c r="K308" i="34"/>
  <c r="K66" i="34"/>
  <c r="K458" i="34"/>
  <c r="K529" i="34"/>
  <c r="K380" i="34"/>
  <c r="K443" i="34"/>
  <c r="K538" i="34"/>
  <c r="K570" i="34"/>
  <c r="K634" i="34"/>
  <c r="K698" i="34"/>
  <c r="K539" i="34"/>
  <c r="K667" i="34"/>
  <c r="K328" i="34"/>
  <c r="K359" i="34"/>
  <c r="K421" i="34"/>
  <c r="K453" i="34"/>
  <c r="K485" i="34"/>
  <c r="K548" i="34"/>
  <c r="K580" i="34"/>
  <c r="K612" i="34"/>
  <c r="K644" i="34"/>
  <c r="K676" i="34"/>
  <c r="K412" i="34"/>
  <c r="K683" i="34"/>
  <c r="K430" i="34"/>
  <c r="K462" i="34"/>
  <c r="K494" i="34"/>
  <c r="K525" i="34"/>
  <c r="K557" i="34"/>
  <c r="K589" i="34"/>
  <c r="K621" i="34"/>
  <c r="K653" i="34"/>
  <c r="K685" i="34"/>
  <c r="K366" i="34"/>
  <c r="K492" i="34"/>
  <c r="K635" i="34"/>
  <c r="K384" i="34"/>
  <c r="K447" i="34"/>
  <c r="K479" i="34"/>
  <c r="K606" i="34"/>
  <c r="K638" i="34"/>
  <c r="K670" i="34"/>
  <c r="K702" i="34"/>
  <c r="K372" i="34"/>
  <c r="K508" i="34"/>
  <c r="K519" i="34"/>
  <c r="K551" i="34"/>
  <c r="K583" i="34"/>
  <c r="K615" i="34"/>
  <c r="K647" i="34"/>
  <c r="K679" i="34"/>
  <c r="K497" i="34"/>
  <c r="K528" i="34"/>
  <c r="K560" i="34"/>
  <c r="K592" i="34"/>
  <c r="K624" i="34"/>
  <c r="K656" i="34"/>
  <c r="K688" i="34"/>
  <c r="K450" i="34"/>
  <c r="K506" i="34"/>
  <c r="K569" i="34"/>
  <c r="K609" i="34"/>
  <c r="K641" i="34"/>
  <c r="K673" i="34"/>
  <c r="K705" i="34"/>
  <c r="K29" i="34"/>
  <c r="K30" i="34"/>
  <c r="K33" i="34"/>
  <c r="K126" i="34"/>
  <c r="K70" i="34"/>
  <c r="K27" i="34"/>
  <c r="K35" i="34"/>
  <c r="K290" i="34"/>
  <c r="K237" i="34"/>
  <c r="K48" i="34"/>
  <c r="K254" i="34"/>
  <c r="K40" i="34"/>
  <c r="K298" i="34"/>
  <c r="K56" i="34"/>
  <c r="K259" i="34"/>
  <c r="K309" i="34"/>
  <c r="K302" i="34"/>
  <c r="K111" i="34"/>
  <c r="K291" i="34"/>
  <c r="K261" i="34"/>
  <c r="K119" i="34"/>
  <c r="K299" i="34"/>
  <c r="K286" i="34"/>
  <c r="K289" i="34"/>
  <c r="K356" i="34"/>
  <c r="K482" i="34"/>
  <c r="K545" i="34"/>
  <c r="K326" i="34"/>
  <c r="K388" i="34"/>
  <c r="K419" i="34"/>
  <c r="K451" i="34"/>
  <c r="K483" i="34"/>
  <c r="K515" i="34"/>
  <c r="K546" i="34"/>
  <c r="K578" i="34"/>
  <c r="K642" i="34"/>
  <c r="K444" i="34"/>
  <c r="K336" i="34"/>
  <c r="K367" i="34"/>
  <c r="K397" i="34"/>
  <c r="K429" i="34"/>
  <c r="K493" i="34"/>
  <c r="K556" i="34"/>
  <c r="K588" i="34"/>
  <c r="K620" i="34"/>
  <c r="K652" i="34"/>
  <c r="K684" i="34"/>
  <c r="K335" i="34"/>
  <c r="K587" i="34"/>
  <c r="K345" i="34"/>
  <c r="K375" i="34"/>
  <c r="K502" i="34"/>
  <c r="K533" i="34"/>
  <c r="K597" i="34"/>
  <c r="K661" i="34"/>
  <c r="K693" i="34"/>
  <c r="K396" i="34"/>
  <c r="K523" i="34"/>
  <c r="K651" i="34"/>
  <c r="K330" i="34"/>
  <c r="K361" i="34"/>
  <c r="K455" i="34"/>
  <c r="K487" i="34"/>
  <c r="K518" i="34"/>
  <c r="K550" i="34"/>
  <c r="K582" i="34"/>
  <c r="K614" i="34"/>
  <c r="K646" i="34"/>
  <c r="K678" i="34"/>
  <c r="K428" i="34"/>
  <c r="K547" i="34"/>
  <c r="K675" i="34"/>
  <c r="K496" i="34"/>
  <c r="K559" i="34"/>
  <c r="K591" i="34"/>
  <c r="K623" i="34"/>
  <c r="K655" i="34"/>
  <c r="K473" i="34"/>
  <c r="K505" i="34"/>
  <c r="K536" i="34"/>
  <c r="K568" i="34"/>
  <c r="K600" i="34"/>
  <c r="K632" i="34"/>
  <c r="K664" i="34"/>
  <c r="K696" i="34"/>
  <c r="K325" i="34"/>
  <c r="K466" i="34"/>
  <c r="K577" i="34"/>
  <c r="K617" i="34"/>
  <c r="K649" i="34"/>
  <c r="K681" i="34"/>
  <c r="K32" i="34"/>
  <c r="K257" i="34"/>
  <c r="K219" i="34"/>
  <c r="K236" i="34"/>
  <c r="K304" i="34"/>
  <c r="K276" i="34"/>
  <c r="K24" i="34"/>
  <c r="K21" i="34"/>
  <c r="K63" i="34"/>
  <c r="K284" i="34"/>
  <c r="K281" i="34"/>
  <c r="K295" i="34"/>
  <c r="K88" i="34"/>
  <c r="K266" i="34"/>
  <c r="K134" i="34"/>
  <c r="K273" i="34"/>
  <c r="K60" i="34"/>
  <c r="K235" i="34"/>
  <c r="K122" i="34"/>
  <c r="K252" i="34"/>
  <c r="K37" i="34"/>
  <c r="K152" i="34"/>
  <c r="K213" i="34"/>
  <c r="K297" i="34"/>
  <c r="K260" i="34"/>
  <c r="K245" i="34"/>
  <c r="K263" i="34"/>
  <c r="K434" i="34"/>
  <c r="K498" i="34"/>
  <c r="K395" i="34"/>
  <c r="K459" i="34"/>
  <c r="K522" i="34"/>
  <c r="K554" i="34"/>
  <c r="K586" i="34"/>
  <c r="K618" i="34"/>
  <c r="K650" i="34"/>
  <c r="K409" i="34"/>
  <c r="K603" i="34"/>
  <c r="K313" i="34"/>
  <c r="K344" i="34"/>
  <c r="K374" i="34"/>
  <c r="K405" i="34"/>
  <c r="K437" i="34"/>
  <c r="K501" i="34"/>
  <c r="K532" i="34"/>
  <c r="K564" i="34"/>
  <c r="K596" i="34"/>
  <c r="K628" i="34"/>
  <c r="K692" i="34"/>
  <c r="K619" i="34"/>
  <c r="K383" i="34"/>
  <c r="K541" i="34"/>
  <c r="K573" i="34"/>
  <c r="K605" i="34"/>
  <c r="K669" i="34"/>
  <c r="K701" i="34"/>
  <c r="K555" i="34"/>
  <c r="K338" i="34"/>
  <c r="K431" i="34"/>
  <c r="K654" i="34"/>
  <c r="K350" i="34"/>
  <c r="K460" i="34"/>
  <c r="K579" i="34"/>
  <c r="K316" i="34"/>
  <c r="K535" i="34"/>
  <c r="K567" i="34"/>
  <c r="K599" i="34"/>
  <c r="K631" i="34"/>
  <c r="K663" i="34"/>
  <c r="K695" i="34"/>
  <c r="K425" i="34"/>
  <c r="K608" i="34"/>
  <c r="K640" i="34"/>
  <c r="K672" i="34"/>
  <c r="K704" i="34"/>
  <c r="K387" i="34"/>
  <c r="K537" i="34"/>
  <c r="K593" i="34"/>
  <c r="K657" i="34"/>
  <c r="K689" i="34"/>
  <c r="K19" i="34"/>
  <c r="K307" i="34"/>
  <c r="K207" i="34"/>
  <c r="K265" i="34"/>
  <c r="K79" i="34"/>
  <c r="K31" i="34"/>
  <c r="K34" i="34"/>
  <c r="K23" i="34"/>
  <c r="K17" i="34"/>
  <c r="K54" i="34"/>
  <c r="K22" i="34"/>
  <c r="K20" i="34"/>
  <c r="K25" i="34"/>
  <c r="K214" i="34"/>
  <c r="K305" i="34"/>
  <c r="K103" i="34"/>
  <c r="K233" i="34"/>
  <c r="K283" i="34"/>
  <c r="K65" i="34"/>
  <c r="K194" i="34"/>
  <c r="K132" i="34"/>
  <c r="K244" i="34"/>
  <c r="K85" i="34"/>
  <c r="K215" i="34"/>
  <c r="K43" i="34"/>
  <c r="K256" i="34"/>
  <c r="K306" i="34"/>
  <c r="K64" i="34"/>
  <c r="K125" i="34"/>
  <c r="K55" i="34"/>
  <c r="K72" i="34"/>
  <c r="K242" i="34"/>
  <c r="K146" i="34"/>
  <c r="K240" i="34"/>
  <c r="K296" i="34"/>
  <c r="K402" i="34"/>
  <c r="K585" i="34"/>
  <c r="K342" i="34"/>
  <c r="K403" i="34"/>
  <c r="K435" i="34"/>
  <c r="K467" i="34"/>
  <c r="K499" i="34"/>
  <c r="K530" i="34"/>
  <c r="K594" i="34"/>
  <c r="K626" i="34"/>
  <c r="K658" i="34"/>
  <c r="K441" i="34"/>
  <c r="K381" i="34"/>
  <c r="K516" i="34"/>
  <c r="K627" i="34"/>
  <c r="K351" i="34"/>
  <c r="K382" i="34"/>
  <c r="K413" i="34"/>
  <c r="K509" i="34"/>
  <c r="K540" i="34"/>
  <c r="K572" i="34"/>
  <c r="K604" i="34"/>
  <c r="K668" i="34"/>
  <c r="K700" i="34"/>
  <c r="K341" i="34"/>
  <c r="K659" i="34"/>
  <c r="K360" i="34"/>
  <c r="K390" i="34"/>
  <c r="K422" i="34"/>
  <c r="K486" i="34"/>
  <c r="K517" i="34"/>
  <c r="K549" i="34"/>
  <c r="K581" i="34"/>
  <c r="K613" i="34"/>
  <c r="K645" i="34"/>
  <c r="K677" i="34"/>
  <c r="K595" i="34"/>
  <c r="K346" i="34"/>
  <c r="K376" i="34"/>
  <c r="K407" i="34"/>
  <c r="K439" i="34"/>
  <c r="K471" i="34"/>
  <c r="K503" i="34"/>
  <c r="K534" i="34"/>
  <c r="K598" i="34"/>
  <c r="K630" i="34"/>
  <c r="K662" i="34"/>
  <c r="K318" i="34"/>
  <c r="K476" i="34"/>
  <c r="K575" i="34"/>
  <c r="K703" i="34"/>
  <c r="K457" i="34"/>
  <c r="K552" i="34"/>
  <c r="K584" i="34"/>
  <c r="K616" i="34"/>
  <c r="K680" i="34"/>
  <c r="K490" i="34"/>
  <c r="K553" i="34"/>
  <c r="K601" i="34"/>
  <c r="K633" i="34"/>
  <c r="K665" i="34"/>
  <c r="K697" i="34"/>
  <c r="F78" i="18"/>
  <c r="K301" i="34"/>
  <c r="K76" i="34"/>
  <c r="K46" i="34"/>
  <c r="K277" i="34"/>
  <c r="K127" i="34"/>
  <c r="K62" i="34"/>
  <c r="K61" i="34"/>
  <c r="K59" i="34"/>
  <c r="K52" i="34"/>
  <c r="K53" i="34"/>
  <c r="K42" i="34"/>
  <c r="K41" i="34"/>
  <c r="K36" i="34"/>
  <c r="K26" i="34"/>
  <c r="K269" i="34"/>
  <c r="K253" i="34"/>
  <c r="K250" i="34"/>
  <c r="K251" i="34"/>
  <c r="K124" i="34"/>
  <c r="K177" i="34"/>
  <c r="K247" i="34"/>
  <c r="K249" i="34"/>
  <c r="K184" i="34"/>
  <c r="K135" i="34"/>
  <c r="K69" i="34"/>
  <c r="K246" i="34"/>
  <c r="K166" i="34"/>
  <c r="K181" i="34"/>
  <c r="K100" i="34"/>
  <c r="K180" i="34"/>
  <c r="K131" i="34"/>
  <c r="K169" i="34"/>
  <c r="K179" i="34"/>
  <c r="K168" i="34"/>
  <c r="K178" i="34"/>
  <c r="K123" i="34"/>
  <c r="K174" i="34"/>
  <c r="K47" i="34"/>
  <c r="K201" i="34"/>
  <c r="K87" i="34"/>
  <c r="K165" i="34"/>
  <c r="K149" i="34"/>
  <c r="K262" i="34"/>
  <c r="K175" i="34"/>
  <c r="K167" i="34"/>
  <c r="K164" i="34"/>
  <c r="K423" i="34"/>
  <c r="K334" i="34"/>
  <c r="K329" i="34"/>
  <c r="K489" i="34"/>
  <c r="K393" i="34"/>
  <c r="K378" i="34"/>
  <c r="K348" i="34"/>
  <c r="K332" i="34"/>
  <c r="K464" i="34"/>
  <c r="K448" i="34"/>
  <c r="K432" i="34"/>
  <c r="K416" i="34"/>
  <c r="K400" i="34"/>
  <c r="K385" i="34"/>
  <c r="K370" i="34"/>
  <c r="K354" i="34"/>
  <c r="K339" i="34"/>
  <c r="K319" i="34"/>
  <c r="K524" i="34"/>
  <c r="K602" i="34"/>
  <c r="K507" i="34"/>
  <c r="K643" i="34"/>
  <c r="K563" i="34"/>
  <c r="K531" i="34"/>
  <c r="K500" i="34"/>
  <c r="K369" i="34"/>
  <c r="K690" i="34"/>
  <c r="K427" i="34"/>
  <c r="K365" i="34"/>
  <c r="K446" i="34"/>
  <c r="K398" i="34"/>
  <c r="K368" i="34"/>
  <c r="K337" i="34"/>
  <c r="K488" i="34"/>
  <c r="K472" i="34"/>
  <c r="K456" i="34"/>
  <c r="K440" i="34"/>
  <c r="K424" i="34"/>
  <c r="K408" i="34"/>
  <c r="K392" i="34"/>
  <c r="K377" i="34"/>
  <c r="K362" i="34"/>
  <c r="K347" i="34"/>
  <c r="K331" i="34"/>
  <c r="K314" i="34"/>
  <c r="K510" i="34"/>
  <c r="K699" i="34"/>
  <c r="K571" i="34"/>
  <c r="K491" i="34"/>
  <c r="K399" i="34"/>
  <c r="K666" i="34"/>
  <c r="K438" i="34"/>
  <c r="K406" i="34"/>
  <c r="K637" i="34"/>
  <c r="K521" i="34"/>
  <c r="K391" i="34"/>
  <c r="K660" i="34"/>
  <c r="K478" i="34"/>
  <c r="K373" i="34"/>
  <c r="K611" i="34"/>
  <c r="K475" i="34"/>
  <c r="K674" i="34"/>
  <c r="K610" i="34"/>
  <c r="K474" i="34"/>
  <c r="K414" i="34"/>
  <c r="K320" i="34"/>
  <c r="K481" i="34"/>
  <c r="K465" i="34"/>
  <c r="K449" i="34"/>
  <c r="K433" i="34"/>
  <c r="K417" i="34"/>
  <c r="K401" i="34"/>
  <c r="K386" i="34"/>
  <c r="K371" i="34"/>
  <c r="K355" i="34"/>
  <c r="K340" i="34"/>
  <c r="K324" i="34"/>
  <c r="K629" i="34"/>
  <c r="K565" i="34"/>
  <c r="K544" i="34"/>
  <c r="K513" i="34"/>
  <c r="K470" i="34"/>
  <c r="K357" i="34"/>
  <c r="K687" i="34"/>
  <c r="K671" i="34"/>
  <c r="K639" i="34"/>
  <c r="K607" i="34"/>
  <c r="K543" i="34"/>
  <c r="K527" i="34"/>
  <c r="K512" i="34"/>
  <c r="K415" i="34"/>
  <c r="K353" i="34"/>
  <c r="K463" i="34"/>
  <c r="K686" i="34"/>
  <c r="K622" i="34"/>
  <c r="K590" i="34"/>
  <c r="K574" i="34"/>
  <c r="K558" i="34"/>
  <c r="K542" i="34"/>
  <c r="K526" i="34"/>
  <c r="K511" i="34"/>
  <c r="K495" i="34"/>
  <c r="K411" i="34"/>
  <c r="K442" i="34"/>
  <c r="K426" i="34"/>
  <c r="K410" i="34"/>
  <c r="K394" i="34"/>
  <c r="K379" i="34"/>
  <c r="K364" i="34"/>
  <c r="K349" i="34"/>
  <c r="K333" i="34"/>
  <c r="K312" i="34"/>
  <c r="K477" i="34"/>
  <c r="K461" i="34"/>
  <c r="K445" i="34"/>
  <c r="K317" i="34"/>
  <c r="K484" i="34"/>
  <c r="K468" i="34"/>
  <c r="K452" i="34"/>
  <c r="K436" i="34"/>
  <c r="K420" i="34"/>
  <c r="K404" i="34"/>
  <c r="K389" i="34"/>
  <c r="K358" i="34"/>
  <c r="K343" i="34"/>
  <c r="K327" i="34"/>
  <c r="K323" i="34"/>
  <c r="K322" i="34"/>
  <c r="K197" i="34" l="1"/>
  <c r="B1481" i="66"/>
  <c r="B1482" i="66"/>
  <c r="K648" i="34"/>
  <c r="K520" i="34"/>
  <c r="K480" i="34"/>
  <c r="K694" i="34"/>
  <c r="K566" i="34"/>
  <c r="K363" i="34"/>
  <c r="K454" i="34"/>
  <c r="K636" i="34"/>
  <c r="K321" i="34"/>
  <c r="K562" i="34"/>
  <c r="K514" i="34"/>
  <c r="K625" i="34"/>
  <c r="K576" i="34"/>
  <c r="K504" i="34"/>
  <c r="K691" i="34"/>
  <c r="K352" i="34"/>
  <c r="K469" i="34"/>
  <c r="K682" i="34"/>
  <c r="K561" i="34"/>
  <c r="K44" i="34"/>
  <c r="K141" i="34"/>
  <c r="K258" i="34"/>
  <c r="K173" i="34"/>
  <c r="F77" i="18"/>
  <c r="J99" i="34" s="1"/>
  <c r="K99" i="34" s="1"/>
  <c r="L35" i="18"/>
  <c r="L34" i="18"/>
  <c r="L21" i="18"/>
  <c r="L9" i="18"/>
  <c r="L27" i="18"/>
  <c r="L25" i="18"/>
  <c r="L28" i="18"/>
  <c r="L108" i="18"/>
  <c r="L7" i="18"/>
  <c r="L6" i="18"/>
  <c r="L107" i="18"/>
  <c r="L101" i="18"/>
  <c r="L106" i="18"/>
  <c r="L583" i="34"/>
  <c r="L13" i="18"/>
  <c r="L19" i="18"/>
  <c r="L23" i="18"/>
  <c r="L104" i="18"/>
  <c r="L103" i="18"/>
  <c r="L12" i="18"/>
  <c r="L17" i="18"/>
  <c r="L11" i="18"/>
  <c r="K11" i="18"/>
  <c r="B13" i="14"/>
  <c r="B12" i="14"/>
  <c r="B10" i="14"/>
  <c r="B9" i="14"/>
  <c r="C9" i="14" s="1"/>
  <c r="J255" i="34" l="1"/>
  <c r="K255" i="34" s="1"/>
  <c r="J98" i="34"/>
  <c r="K98" i="34" s="1"/>
  <c r="F11" i="18"/>
  <c r="L625" i="34"/>
  <c r="L666" i="34"/>
  <c r="L587" i="34"/>
  <c r="L629" i="34"/>
  <c r="L665" i="34"/>
  <c r="L651" i="34"/>
  <c r="L693" i="34"/>
  <c r="L486" i="34"/>
  <c r="L613" i="34"/>
  <c r="L640" i="34"/>
  <c r="L694" i="34"/>
  <c r="L669" i="34"/>
  <c r="L670" i="34"/>
  <c r="L607" i="34"/>
  <c r="L606" i="34"/>
  <c r="K104" i="18"/>
  <c r="K34" i="18"/>
  <c r="F34" i="18" s="1"/>
  <c r="K27" i="18"/>
  <c r="J268" i="34" s="1"/>
  <c r="K268" i="34" s="1"/>
  <c r="K108" i="18"/>
  <c r="F108" i="18" s="1"/>
  <c r="J272" i="34" s="1"/>
  <c r="K272" i="34" s="1"/>
  <c r="K12" i="18"/>
  <c r="F12" i="18" s="1"/>
  <c r="J238" i="34" s="1"/>
  <c r="K238" i="34" s="1"/>
  <c r="K17" i="18"/>
  <c r="F17" i="18" s="1"/>
  <c r="J71" i="34" s="1"/>
  <c r="K71" i="34" s="1"/>
  <c r="K101" i="18"/>
  <c r="F101" i="18" s="1"/>
  <c r="J114" i="34" s="1"/>
  <c r="K114" i="34" s="1"/>
  <c r="K23" i="18"/>
  <c r="F23" i="18" s="1"/>
  <c r="J264" i="34" s="1"/>
  <c r="K264" i="34" s="1"/>
  <c r="K25" i="18"/>
  <c r="F25" i="18" s="1"/>
  <c r="J267" i="34" s="1"/>
  <c r="K267" i="34" s="1"/>
  <c r="K30" i="18"/>
  <c r="K6" i="18"/>
  <c r="K107" i="18"/>
  <c r="K28" i="18"/>
  <c r="F28" i="18" s="1"/>
  <c r="J275" i="34" s="1"/>
  <c r="K275" i="34" s="1"/>
  <c r="K106" i="18"/>
  <c r="F103" i="18"/>
  <c r="K21" i="18"/>
  <c r="J222" i="34" s="1"/>
  <c r="K222" i="34" s="1"/>
  <c r="K19" i="18"/>
  <c r="F19" i="18" s="1"/>
  <c r="K35" i="18"/>
  <c r="F35" i="18" s="1"/>
  <c r="K13" i="18"/>
  <c r="F13" i="18" s="1"/>
  <c r="K7" i="18"/>
  <c r="F7" i="18" s="1"/>
  <c r="F6" i="18" l="1"/>
  <c r="J45" i="34" s="1"/>
  <c r="K45" i="34" s="1"/>
  <c r="J274" i="34"/>
  <c r="K274" i="34" s="1"/>
  <c r="J50" i="34"/>
  <c r="K50" i="34" s="1"/>
  <c r="J288" i="34"/>
  <c r="K288" i="34" s="1"/>
  <c r="J271" i="34"/>
  <c r="K271" i="34" s="1"/>
  <c r="J287" i="34"/>
  <c r="K287" i="34" s="1"/>
  <c r="J270" i="34"/>
  <c r="K270" i="34" s="1"/>
  <c r="J18" i="34"/>
  <c r="K18" i="34" s="1"/>
  <c r="J57" i="34"/>
  <c r="K57" i="34" s="1"/>
  <c r="J39" i="34"/>
  <c r="K39" i="34" s="1"/>
  <c r="J148" i="34"/>
  <c r="K148" i="34" s="1"/>
  <c r="J142" i="34"/>
  <c r="K142" i="34" s="1"/>
  <c r="J221" i="34"/>
  <c r="K221" i="34" s="1"/>
  <c r="J282" i="34"/>
  <c r="K282" i="34" s="1"/>
  <c r="J303" i="34"/>
  <c r="K303" i="34" s="1"/>
  <c r="J143" i="34"/>
  <c r="K143" i="34" s="1"/>
  <c r="J243" i="34"/>
  <c r="K243" i="34" s="1"/>
  <c r="J51" i="34"/>
  <c r="K51" i="34" s="1"/>
  <c r="J285" i="34"/>
  <c r="K285" i="34" s="1"/>
  <c r="J239" i="34"/>
  <c r="K239" i="34" s="1"/>
  <c r="J206" i="34"/>
  <c r="K206" i="34" s="1"/>
  <c r="L302" i="34" l="1"/>
  <c r="J176" i="34"/>
  <c r="K176" i="34" s="1"/>
  <c r="J225" i="34"/>
  <c r="K225" i="34" s="1"/>
  <c r="B129" i="35" l="1"/>
  <c r="F26" i="40" s="1"/>
  <c r="I13" i="34" l="1"/>
  <c r="K13" i="34" s="1"/>
  <c r="I9" i="34"/>
  <c r="K9" i="34" s="1"/>
  <c r="I7" i="34"/>
  <c r="K7" i="34" s="1"/>
  <c r="I11" i="34"/>
  <c r="K11" i="34" s="1"/>
  <c r="I10" i="34"/>
  <c r="K10" i="34" s="1"/>
  <c r="I12" i="34"/>
  <c r="K12" i="34" s="1"/>
  <c r="I15" i="34"/>
  <c r="K15" i="34" s="1"/>
  <c r="I14" i="34"/>
  <c r="K14" i="3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Philips</author>
  </authors>
  <commentList>
    <comment ref="B22" authorId="0" shapeId="0" xr:uid="{72BA423E-6415-44A2-92A7-9A347F885DD6}">
      <text>
        <r>
          <rPr>
            <b/>
            <sz val="9"/>
            <color indexed="81"/>
            <rFont val="Tahoma"/>
            <family val="2"/>
          </rPr>
          <t>Philips:</t>
        </r>
        <r>
          <rPr>
            <sz val="9"/>
            <color indexed="81"/>
            <rFont val="Tahoma"/>
            <family val="2"/>
          </rPr>
          <t xml:space="preserve">
Pergunta 78 foi excluída.</t>
        </r>
      </text>
    </comment>
    <comment ref="B35" authorId="0" shapeId="0" xr:uid="{AE911B76-1AA7-46D6-B5EA-B5EF4848EEA6}">
      <text>
        <r>
          <rPr>
            <b/>
            <sz val="9"/>
            <color indexed="81"/>
            <rFont val="Tahoma"/>
            <family val="2"/>
          </rPr>
          <t>Philips:</t>
        </r>
        <r>
          <rPr>
            <sz val="9"/>
            <color indexed="81"/>
            <rFont val="Tahoma"/>
            <family val="2"/>
          </rPr>
          <t xml:space="preserve">
A pergunta 17 foi excluída</t>
        </r>
      </text>
    </comment>
    <comment ref="B105" authorId="0" shapeId="0" xr:uid="{5906D866-7B8A-4534-8CF7-F93A9746893C}">
      <text>
        <r>
          <rPr>
            <b/>
            <sz val="9"/>
            <color indexed="81"/>
            <rFont val="Tahoma"/>
            <family val="2"/>
          </rPr>
          <t>Philips:</t>
        </r>
        <r>
          <rPr>
            <sz val="9"/>
            <color indexed="81"/>
            <rFont val="Tahoma"/>
            <family val="2"/>
          </rPr>
          <t xml:space="preserve">
A pergunta 31 foi excluída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Philips</author>
  </authors>
  <commentList>
    <comment ref="B15" authorId="0" shapeId="0" xr:uid="{04F9999B-2502-4120-9B6F-49EC28B8C3B2}">
      <text>
        <r>
          <rPr>
            <b/>
            <sz val="9"/>
            <color indexed="81"/>
            <rFont val="Tahoma"/>
            <family val="2"/>
          </rPr>
          <t>Philips:</t>
        </r>
        <r>
          <rPr>
            <sz val="9"/>
            <color indexed="81"/>
            <rFont val="Tahoma"/>
            <family val="2"/>
          </rPr>
          <t xml:space="preserve">
NO Aplica para México
</t>
        </r>
      </text>
    </comment>
    <comment ref="B16" authorId="0" shapeId="0" xr:uid="{2A26CCB1-DAA6-43A6-A743-96102EEE3B91}">
      <text>
        <r>
          <rPr>
            <b/>
            <sz val="9"/>
            <color indexed="81"/>
            <rFont val="Tahoma"/>
            <family val="2"/>
          </rPr>
          <t>Philips:</t>
        </r>
        <r>
          <rPr>
            <sz val="9"/>
            <color indexed="81"/>
            <rFont val="Tahoma"/>
            <family val="2"/>
          </rPr>
          <t xml:space="preserve">
NO Aplica para México
</t>
        </r>
      </text>
    </comment>
    <comment ref="B19" authorId="0" shapeId="0" xr:uid="{48882357-88E6-4D62-917B-E226EDD72898}">
      <text>
        <r>
          <rPr>
            <b/>
            <sz val="9"/>
            <color indexed="81"/>
            <rFont val="Tahoma"/>
            <family val="2"/>
          </rPr>
          <t>Philips:</t>
        </r>
        <r>
          <rPr>
            <sz val="9"/>
            <color indexed="81"/>
            <rFont val="Tahoma"/>
            <family val="2"/>
          </rPr>
          <t xml:space="preserve">
NO Aplica para México
</t>
        </r>
      </text>
    </comment>
    <comment ref="B20" authorId="0" shapeId="0" xr:uid="{3AF3360C-5FB1-4E69-9783-7B68CF1F2CFF}">
      <text>
        <r>
          <rPr>
            <b/>
            <sz val="9"/>
            <color indexed="81"/>
            <rFont val="Tahoma"/>
            <family val="2"/>
          </rPr>
          <t>Philips:</t>
        </r>
        <r>
          <rPr>
            <sz val="9"/>
            <color indexed="81"/>
            <rFont val="Tahoma"/>
            <family val="2"/>
          </rPr>
          <t xml:space="preserve">
NO Aplica para México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Philips</author>
  </authors>
  <commentList>
    <comment ref="D451" authorId="0" shapeId="0" xr:uid="{2B85582A-C18C-4B55-823B-055CC367ABD1}">
      <text>
        <r>
          <rPr>
            <b/>
            <sz val="9"/>
            <color indexed="81"/>
            <rFont val="Tahoma"/>
            <family val="2"/>
          </rPr>
          <t>Philips:</t>
        </r>
        <r>
          <rPr>
            <sz val="9"/>
            <color indexed="81"/>
            <rFont val="Tahoma"/>
            <family val="2"/>
          </rPr>
          <t xml:space="preserve">
NO aplica para México</t>
        </r>
      </text>
    </comment>
    <comment ref="D454" authorId="0" shapeId="0" xr:uid="{747DC16F-D21D-4AB9-BDEC-07BCD54F4457}">
      <text>
        <r>
          <rPr>
            <b/>
            <sz val="9"/>
            <color indexed="81"/>
            <rFont val="Tahoma"/>
            <family val="2"/>
          </rPr>
          <t>Philips:</t>
        </r>
        <r>
          <rPr>
            <sz val="9"/>
            <color indexed="81"/>
            <rFont val="Tahoma"/>
            <family val="2"/>
          </rPr>
          <t xml:space="preserve">
Agregar Elsevier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Diogo Benigo</author>
  </authors>
  <commentList>
    <comment ref="A3" authorId="0" shapeId="0" xr:uid="{00000000-0006-0000-0F00-000001000000}">
      <text>
        <r>
          <rPr>
            <b/>
            <sz val="9"/>
            <color indexed="81"/>
            <rFont val="Tahoma"/>
            <family val="2"/>
          </rPr>
          <t>Diogo Benigo:</t>
        </r>
        <r>
          <rPr>
            <sz val="9"/>
            <color indexed="81"/>
            <rFont val="Tahoma"/>
            <family val="2"/>
          </rPr>
          <t xml:space="preserve">
SELECT
   a.cd_funcao,
   a.ds_funcao ds_funcao_PT,
    b.nr_sequencia cd_modulo,
   b.nm_modulo modulo_PT,
   (   select
          x.ds_expressao_us
  from  dic_expressao  x
  where  x.cd_expressao = a.cd_exp_funcao --307852
   )      ds_funcao_US,
    (   select
          xx.ds_expressao_us
  from  dic_expressao  xx
  where  xx.cd_expressao = b.cd_exp_modulo --307852
   )    modulo_US,
   (   select
          x.ds_expressao_mx
  from  dic_expressao  x
  where  x.cd_expressao = a.cd_exp_funcao --307852
   )      ds_funcao_es,
    (   select
          xx.ds_expressao_mx
  from  dic_expressao  xx
  where  xx.cd_expressao = b.cd_exp_modulo --307852
   )    modulo_es
FROM funcao a,
     modulo_implantacao b
where a.ie_situacao = 'A'
and a.nr_seq_mod_impl = b.nr_sequencia
AND Upper(a.ds_funcao) NOT LIKE 'OPS%' </t>
        </r>
      </text>
    </comment>
  </commentList>
</comments>
</file>

<file path=xl/sharedStrings.xml><?xml version="1.0" encoding="utf-8"?>
<sst xmlns="http://schemas.openxmlformats.org/spreadsheetml/2006/main" count="46387" uniqueCount="8177">
  <si>
    <t>Exames</t>
  </si>
  <si>
    <t>Agenda</t>
  </si>
  <si>
    <t>Comunicação</t>
  </si>
  <si>
    <t>Administração de Contratos (Preços)</t>
  </si>
  <si>
    <t>Contas a Pagar</t>
  </si>
  <si>
    <t>Almoxarifado</t>
  </si>
  <si>
    <t>Contabilidade</t>
  </si>
  <si>
    <t>Laboratório</t>
  </si>
  <si>
    <t>SAC</t>
  </si>
  <si>
    <t>Contas a Receber</t>
  </si>
  <si>
    <t>Estoque</t>
  </si>
  <si>
    <t>Custos</t>
  </si>
  <si>
    <t>EIS</t>
  </si>
  <si>
    <t>Manutenção</t>
  </si>
  <si>
    <t>Tesouraria</t>
  </si>
  <si>
    <t>Compras</t>
  </si>
  <si>
    <t>Prontuário Eletrônico</t>
  </si>
  <si>
    <t>Fluxo de Caixa</t>
  </si>
  <si>
    <t>Patrimônio</t>
  </si>
  <si>
    <t>Auditoria</t>
  </si>
  <si>
    <t>Controle Bancário</t>
  </si>
  <si>
    <t>Gestão de Autorizações</t>
  </si>
  <si>
    <t>Retorno de Convênios</t>
  </si>
  <si>
    <t>Repasse a Terceiros</t>
  </si>
  <si>
    <t>Módulo</t>
  </si>
  <si>
    <t>Função</t>
  </si>
  <si>
    <t>Agenda Integrada</t>
  </si>
  <si>
    <t>Cadastro Completo de Pessoas</t>
  </si>
  <si>
    <t>Gerenciamento de Senhas</t>
  </si>
  <si>
    <t>Orçamento de Pacientes</t>
  </si>
  <si>
    <t>Gestão das Amostras</t>
  </si>
  <si>
    <t>Laudo de Anatomia patológica</t>
  </si>
  <si>
    <t>Gestão de Exames</t>
  </si>
  <si>
    <t>Central de Laudos</t>
  </si>
  <si>
    <t>Ficha Médica</t>
  </si>
  <si>
    <t>Consulta de Resultados</t>
  </si>
  <si>
    <t>Exames de Laboratório</t>
  </si>
  <si>
    <t>Exames Pendentes</t>
  </si>
  <si>
    <t>Interface Laboratório</t>
  </si>
  <si>
    <t>Lote de Exame</t>
  </si>
  <si>
    <t>Lote de Exames Externos</t>
  </si>
  <si>
    <t>Painel de chamadas do laboratório</t>
  </si>
  <si>
    <t>Enfermagem</t>
  </si>
  <si>
    <t>Cadastros da manutenção</t>
  </si>
  <si>
    <t>Controle de Equipamentos</t>
  </si>
  <si>
    <t>Rota de inspeção</t>
  </si>
  <si>
    <t>Ordem de Serviço (Nova)</t>
  </si>
  <si>
    <t>Procedimentos</t>
  </si>
  <si>
    <t>Infraestrutura Laudo</t>
  </si>
  <si>
    <t>Boletim de Ocorrência</t>
  </si>
  <si>
    <t>Controle de Sugestões</t>
  </si>
  <si>
    <t>Consulta Cobertura</t>
  </si>
  <si>
    <t>Consulta Preço</t>
  </si>
  <si>
    <t>Cópia de Preços de Serviços</t>
  </si>
  <si>
    <t>Documentação do Convênio</t>
  </si>
  <si>
    <t>Parâmetros Faturamento</t>
  </si>
  <si>
    <t>Regras de Lançamento Automático</t>
  </si>
  <si>
    <t>Tabelas de Preços</t>
  </si>
  <si>
    <t>Faturamento (Convênios e Particular)</t>
  </si>
  <si>
    <t>Alteração Convênio Procedimento Exec.</t>
  </si>
  <si>
    <t>Alterar Convênio Atendimento</t>
  </si>
  <si>
    <t>Análise de Contas</t>
  </si>
  <si>
    <t>Análise do Faturamento por Médico</t>
  </si>
  <si>
    <t>Atualizações Faturamento</t>
  </si>
  <si>
    <t>Consulta Documentação Convênio</t>
  </si>
  <si>
    <t>Consulta Liberação Plano Convênio</t>
  </si>
  <si>
    <t>Consulta Receita de Atendimentos</t>
  </si>
  <si>
    <t>Controle de Produção de Terceiros</t>
  </si>
  <si>
    <t>Gestão de Pacotes</t>
  </si>
  <si>
    <t>Integrações TISS</t>
  </si>
  <si>
    <t>Log Transações TISS</t>
  </si>
  <si>
    <t>Protocolo Convênio</t>
  </si>
  <si>
    <t>TISS - Reapresentação de Contas</t>
  </si>
  <si>
    <t>Transferência de gastos</t>
  </si>
  <si>
    <t>Central de Faturamento</t>
  </si>
  <si>
    <t>Transferência entre Atendimentos</t>
  </si>
  <si>
    <t>Autorização Convênio</t>
  </si>
  <si>
    <t>Gerenciamento de Autorizações</t>
  </si>
  <si>
    <t>Gestão de Autorizações SUS</t>
  </si>
  <si>
    <t>Adiantamento Pago</t>
  </si>
  <si>
    <t>Alteração de Classificação de Títulos</t>
  </si>
  <si>
    <t>Borderô a Pagar</t>
  </si>
  <si>
    <t>Consulta de Títulos a Pagar</t>
  </si>
  <si>
    <t>Controle de Notas de Crédito (a pagar)</t>
  </si>
  <si>
    <t>Digitação de Cheques</t>
  </si>
  <si>
    <t>DL - Distribuição de Lucros</t>
  </si>
  <si>
    <t>DL - Regras de Distribuição de Lucros</t>
  </si>
  <si>
    <t>DL - Reunião de Sócios</t>
  </si>
  <si>
    <t>Geração Interface Contas a Pagar</t>
  </si>
  <si>
    <t>Pagamento Escritural</t>
  </si>
  <si>
    <t>Títulos a Pagar</t>
  </si>
  <si>
    <t>Administração de Cheques</t>
  </si>
  <si>
    <t>Cobrança</t>
  </si>
  <si>
    <t>Cobrança Escritural</t>
  </si>
  <si>
    <t>Consulta Adiantamentos Pendentes</t>
  </si>
  <si>
    <t>Consulta de Títulos a Receber</t>
  </si>
  <si>
    <t>Controle de Contribuições</t>
  </si>
  <si>
    <t>Digitação de Adiantamentos</t>
  </si>
  <si>
    <t>Ficha Financeira</t>
  </si>
  <si>
    <t>Manutenção de Títulos a Receber</t>
  </si>
  <si>
    <t>Parâmetros do Contas a Receber</t>
  </si>
  <si>
    <t>Valores Pendentes</t>
  </si>
  <si>
    <t>Controle de Terceiros</t>
  </si>
  <si>
    <t>Regras e Critérios de Repasse</t>
  </si>
  <si>
    <t>Repasse para Terceiros</t>
  </si>
  <si>
    <t>Gestão de Recurso de Glosas</t>
  </si>
  <si>
    <t>Retorno Convênio</t>
  </si>
  <si>
    <t>Administração de Cartões</t>
  </si>
  <si>
    <t>Atendimento da Requisição</t>
  </si>
  <si>
    <t>Inspeção Recebimento</t>
  </si>
  <si>
    <t>Requisição de Materiais e Medicamentos</t>
  </si>
  <si>
    <t>Aprovações Pendentes</t>
  </si>
  <si>
    <t>Controle de Contratos</t>
  </si>
  <si>
    <t>Cotação de Compra</t>
  </si>
  <si>
    <t>Emissão da Solicitação de Compra</t>
  </si>
  <si>
    <t>Emissão Solicitações/Ordem/Autorizações</t>
  </si>
  <si>
    <t>Gestão da Avaliação de Produtos</t>
  </si>
  <si>
    <t>Gestão de Fornecimento</t>
  </si>
  <si>
    <t>Integração de compras</t>
  </si>
  <si>
    <t>Materiais Consig. c/ Preço Última Compra</t>
  </si>
  <si>
    <t>Solicitação de Compra</t>
  </si>
  <si>
    <t>Administração de Estoques</t>
  </si>
  <si>
    <t>Controle Transferências de Estoque</t>
  </si>
  <si>
    <t>Acompanhamento de Tributos</t>
  </si>
  <si>
    <t>Análise do Lote Contábil</t>
  </si>
  <si>
    <t>Controle de Projetos e Recursos Externos</t>
  </si>
  <si>
    <t>Fechamento Financeiro</t>
  </si>
  <si>
    <t>Geração do Lote Contábil</t>
  </si>
  <si>
    <t>Parâmetros Contabilidade</t>
  </si>
  <si>
    <t>Resumo Contábil SUS</t>
  </si>
  <si>
    <t>Tipo de Lote Contábil/Eventos Contábeis</t>
  </si>
  <si>
    <t>Apuração de Custo</t>
  </si>
  <si>
    <t>Cadastros Custos</t>
  </si>
  <si>
    <t>Orçamento Contábil</t>
  </si>
  <si>
    <t>Controle de Patrimônio</t>
  </si>
  <si>
    <t>Cadastro de Indicadores</t>
  </si>
  <si>
    <t>EIS - Diagnóstico Médico</t>
  </si>
  <si>
    <t>EIS Contas pendentes (nova)</t>
  </si>
  <si>
    <t>Eis Resultado Hospital</t>
  </si>
  <si>
    <t>Eis Resultado por Procedimento</t>
  </si>
  <si>
    <t>Indicadores de Gestão</t>
  </si>
  <si>
    <t>Nome</t>
  </si>
  <si>
    <t>Cargo</t>
  </si>
  <si>
    <t>Telefone</t>
  </si>
  <si>
    <t>Email</t>
  </si>
  <si>
    <t>Informações do Questionário</t>
  </si>
  <si>
    <t>Horas</t>
  </si>
  <si>
    <t>Conta Paciente</t>
  </si>
  <si>
    <t>Gestão de Pendências da Conta do Paciente</t>
  </si>
  <si>
    <t>Cadastros e Funções Gerais</t>
  </si>
  <si>
    <t>Cadastro Avaliações</t>
  </si>
  <si>
    <t>Cadastro de CEP</t>
  </si>
  <si>
    <t>Cadastro de Estrutura da Conta Paciente</t>
  </si>
  <si>
    <t>Cadastro de Estruturas Internas</t>
  </si>
  <si>
    <t>Cadastro de Funcionários</t>
  </si>
  <si>
    <t>Cadastro de Materiais</t>
  </si>
  <si>
    <t>Cadastro de Transações Financeiras</t>
  </si>
  <si>
    <t>Cadastro Médico</t>
  </si>
  <si>
    <t>Cadastros Financeiros</t>
  </si>
  <si>
    <t>Cargas</t>
  </si>
  <si>
    <t>Consulta CID 10</t>
  </si>
  <si>
    <t>Controle de Pessoas</t>
  </si>
  <si>
    <t>Empresa/Estabelecimento/Contas/CC</t>
  </si>
  <si>
    <t>Estrutura Atendimento</t>
  </si>
  <si>
    <t>Etiqueta Pessoa Jurídica</t>
  </si>
  <si>
    <t>Exames e Procedimentos Internos</t>
  </si>
  <si>
    <t>Geração de Interface Externo</t>
  </si>
  <si>
    <t>Gestão de Arquivo Setorial</t>
  </si>
  <si>
    <t>Interface</t>
  </si>
  <si>
    <t>Navegador Internet e Intranet</t>
  </si>
  <si>
    <t>Pessoa Jurídica</t>
  </si>
  <si>
    <t>Protocolo Documento</t>
  </si>
  <si>
    <t>Questionário</t>
  </si>
  <si>
    <t>Tipos de Acomodação</t>
  </si>
  <si>
    <t>Dispensário Eletrônico</t>
  </si>
  <si>
    <t>Gestão das Caixas de OPME</t>
  </si>
  <si>
    <t>Gestão de Produção de OPM</t>
  </si>
  <si>
    <t>Recepção e Internação</t>
  </si>
  <si>
    <t>Entrada Única de Pacientes</t>
  </si>
  <si>
    <t>Escala de Plantões e Sobreavisos</t>
  </si>
  <si>
    <t>Gestão de Vagas</t>
  </si>
  <si>
    <t>Mapa dos Setores</t>
  </si>
  <si>
    <t>Movimentação de Pacientes</t>
  </si>
  <si>
    <t>Ocupação Hospitalar</t>
  </si>
  <si>
    <t>Pacientes em Fila de Espera</t>
  </si>
  <si>
    <t>Pertences Paciente</t>
  </si>
  <si>
    <t>Processos de Alta</t>
  </si>
  <si>
    <t>Gerenciamento para integração OPME</t>
  </si>
  <si>
    <t>Farmácia</t>
  </si>
  <si>
    <t>Atendimento da Prescrição</t>
  </si>
  <si>
    <t>Atendimento do Lote da Prescrição</t>
  </si>
  <si>
    <t>Conferência da Prescrição - Barras</t>
  </si>
  <si>
    <t>Consumo de Materiais/Medic. por Barras</t>
  </si>
  <si>
    <t>Devolução Material Paciente</t>
  </si>
  <si>
    <t>Emissão Código de Barras</t>
  </si>
  <si>
    <t>Emissão das Prescrições por Horário</t>
  </si>
  <si>
    <t>Emissão do Lote da Prescrição</t>
  </si>
  <si>
    <t>Emissão dos Atendimentos (Req/Presc)</t>
  </si>
  <si>
    <t>Emissão Prescrição Procedimentos</t>
  </si>
  <si>
    <t>Execução Prescrição</t>
  </si>
  <si>
    <t>Farmácia Ambulatorial</t>
  </si>
  <si>
    <t>Gestão das Prescrições pela Farmácia Clínica</t>
  </si>
  <si>
    <t>Gestão de Transcrição</t>
  </si>
  <si>
    <t>Gestão dos Lotes da Dispensação</t>
  </si>
  <si>
    <t>Medicamento</t>
  </si>
  <si>
    <t>Medicamentos por Médico e Paciente</t>
  </si>
  <si>
    <t>Prescrição de Emergência</t>
  </si>
  <si>
    <t>Acompanhamento de Laudos</t>
  </si>
  <si>
    <t>Gestão de Entregas de Laudos</t>
  </si>
  <si>
    <t>Laudo Paciente</t>
  </si>
  <si>
    <t>Medidas de Laudos</t>
  </si>
  <si>
    <t>Painel de chamadas de exames</t>
  </si>
  <si>
    <t>Registro da Localização dos Laudos</t>
  </si>
  <si>
    <t>Prescrição Eletrônica</t>
  </si>
  <si>
    <t>Cópia de Prescrição</t>
  </si>
  <si>
    <t>Prescrição Eletrônica Paciente - REP</t>
  </si>
  <si>
    <t>CPOE</t>
  </si>
  <si>
    <t>Cadastro de Dispositivos Utilizados no Paciente</t>
  </si>
  <si>
    <t>CIH - Relatório de Antibióticos</t>
  </si>
  <si>
    <t>CIH Gráficos</t>
  </si>
  <si>
    <t>CIH Relatório Antibióticos</t>
  </si>
  <si>
    <t>CIH Relatório Pacientes</t>
  </si>
  <si>
    <t>Ficha de Ocorrência  CIH</t>
  </si>
  <si>
    <t>Gestão de CCIH</t>
  </si>
  <si>
    <t>Gestão NISS</t>
  </si>
  <si>
    <t>Liberação Medicamentos CIH</t>
  </si>
  <si>
    <t>Registro de Ficha de Ocorrência</t>
  </si>
  <si>
    <t>Resumo Mensal e Indicadores de I.H</t>
  </si>
  <si>
    <t>SINAN - Ficha de Notificação e Investigação</t>
  </si>
  <si>
    <t>Gestão das Regras de Convênio</t>
  </si>
  <si>
    <t>Controle de Temperatura dos Setores</t>
  </si>
  <si>
    <t>Ordem de Serviço</t>
  </si>
  <si>
    <t>TasyMed - Consultório Médico</t>
  </si>
  <si>
    <t>Consulta de Exames</t>
  </si>
  <si>
    <t>Emissão de Exames do Laboratório</t>
  </si>
  <si>
    <t>Banco de Sangue</t>
  </si>
  <si>
    <t>Hemoterapia</t>
  </si>
  <si>
    <t>Centro Cirúrgico</t>
  </si>
  <si>
    <t>Avaliação pré-anestésica eletrônica - APAE</t>
  </si>
  <si>
    <t>Cadastro dos Itens Peroperatórios</t>
  </si>
  <si>
    <t>Cirurgias - Relatório do Médico</t>
  </si>
  <si>
    <t>Ficha Anestésica Eletrônica do Paciente - FANEP</t>
  </si>
  <si>
    <t>Gestão da Escala de Anestesistas</t>
  </si>
  <si>
    <t>Gestão de Cirurgias</t>
  </si>
  <si>
    <t>Prontuário Eletrônico Peroperatório - PEPO</t>
  </si>
  <si>
    <t>SUS AIH</t>
  </si>
  <si>
    <t>Gerenciador Cartão SUS</t>
  </si>
  <si>
    <t>Gestão SUS Unificado - GSU</t>
  </si>
  <si>
    <t>SUS BPA</t>
  </si>
  <si>
    <t>SUS FPO</t>
  </si>
  <si>
    <t>Gerenciador do Sistema</t>
  </si>
  <si>
    <t>Administração do Sistema</t>
  </si>
  <si>
    <t>Dicionário de Dados Philips</t>
  </si>
  <si>
    <t>Emissão automática de relatórios</t>
  </si>
  <si>
    <t>Gestão da Administração Eletrônica da Prescrição</t>
  </si>
  <si>
    <t>Gestão das Prescrições pela Enfermagem</t>
  </si>
  <si>
    <t>Ocorrências no Turno de Trabalho</t>
  </si>
  <si>
    <t>Nutrição</t>
  </si>
  <si>
    <t>Cadastros de Nutrição</t>
  </si>
  <si>
    <t>Gestão da Nutrição</t>
  </si>
  <si>
    <t>Gestão de Reserva de Refeições</t>
  </si>
  <si>
    <t>Mapa de Dietas</t>
  </si>
  <si>
    <t>SUS APAC</t>
  </si>
  <si>
    <t>Consulta CID Morfologia</t>
  </si>
  <si>
    <t>Agenda de Consultas</t>
  </si>
  <si>
    <t>Agenda de Exames</t>
  </si>
  <si>
    <t>Agenda de Serviços</t>
  </si>
  <si>
    <t>Agenda do Cirurgião</t>
  </si>
  <si>
    <t>Agenda Global</t>
  </si>
  <si>
    <t>Consulta de Agendamentos</t>
  </si>
  <si>
    <t>Gestão da Agenda Cirúrgica</t>
  </si>
  <si>
    <t>Gestão de Atendimento Futuro</t>
  </si>
  <si>
    <t>Gestão de Pacientes em Reabilitação</t>
  </si>
  <si>
    <t>Painel de Chamadas do Agendamento</t>
  </si>
  <si>
    <t>Diagnóstico Médico</t>
  </si>
  <si>
    <t>Digitar Informação com consulta (Nova)</t>
  </si>
  <si>
    <t>Emissão de Prontuários</t>
  </si>
  <si>
    <t>Gestão de Acessos PEP</t>
  </si>
  <si>
    <t>Gestão de Qualidade Assistencial  -  GQA</t>
  </si>
  <si>
    <t>Oftalmologia</t>
  </si>
  <si>
    <t>Prontuário Eletrônico Paciente - PEP</t>
  </si>
  <si>
    <t>Sinais vitais e monitorização</t>
  </si>
  <si>
    <t>Pronto Atendimento</t>
  </si>
  <si>
    <t>Painel de Chamadas</t>
  </si>
  <si>
    <t>Painel do Pronto Atendimento</t>
  </si>
  <si>
    <t>Pronto atendimento</t>
  </si>
  <si>
    <t>Triagem do Pronto Atendimento</t>
  </si>
  <si>
    <t>Quimioterapia</t>
  </si>
  <si>
    <t>Agenda de Quimioterapia</t>
  </si>
  <si>
    <t>Registro Hospitalar de Câncer</t>
  </si>
  <si>
    <t>CME - Central de Material Esterilizado</t>
  </si>
  <si>
    <t>Cadastro de Itens Físicos</t>
  </si>
  <si>
    <t>Gestão de CME</t>
  </si>
  <si>
    <t>Requisição de Conjuntos</t>
  </si>
  <si>
    <t>Higienização</t>
  </si>
  <si>
    <t>Controle de Resíduos Hospitalares e Lixo</t>
  </si>
  <si>
    <t>Gestão de Serviços de Leito</t>
  </si>
  <si>
    <t>SOS</t>
  </si>
  <si>
    <t>Regulação</t>
  </si>
  <si>
    <t>Serviços de Emergência</t>
  </si>
  <si>
    <t>Check-up</t>
  </si>
  <si>
    <t>Imunização</t>
  </si>
  <si>
    <t>Controle de Imunizações</t>
  </si>
  <si>
    <t>SAME</t>
  </si>
  <si>
    <t>Controle de Prontuários</t>
  </si>
  <si>
    <t>Controle Interno de Exames</t>
  </si>
  <si>
    <t>Controle Interno de Prontuário (CIP)</t>
  </si>
  <si>
    <t>Gestão de Prontuários</t>
  </si>
  <si>
    <t>Licitação</t>
  </si>
  <si>
    <t>Registro de Licitação</t>
  </si>
  <si>
    <t>Auditoria Conta Paciente</t>
  </si>
  <si>
    <t>Autorização de materiais especiais</t>
  </si>
  <si>
    <t>Cadastro de Plantões Médicos</t>
  </si>
  <si>
    <t>Qualidade</t>
  </si>
  <si>
    <t>Avaliação de Profissionais</t>
  </si>
  <si>
    <t>Consulta da Qualidade</t>
  </si>
  <si>
    <t>Gestão da Qualidade</t>
  </si>
  <si>
    <t>Gestão de Acesso de Profissionais</t>
  </si>
  <si>
    <t>Gestão de Alertas e Eventos</t>
  </si>
  <si>
    <t>Problemas</t>
  </si>
  <si>
    <t>Processos</t>
  </si>
  <si>
    <t>Chat</t>
  </si>
  <si>
    <t>Particular</t>
  </si>
  <si>
    <t>Hemodiálise</t>
  </si>
  <si>
    <t>Gestão de Insuficiência Renal</t>
  </si>
  <si>
    <t>Avaliação Paciente Web</t>
  </si>
  <si>
    <t>Boletim Ocorrência Web</t>
  </si>
  <si>
    <t>Cadastro de pessoas CNS</t>
  </si>
  <si>
    <t>Cadastro de serviços</t>
  </si>
  <si>
    <t>Cadastro Nacional de Usuários SUS</t>
  </si>
  <si>
    <t>Catálogo de Contatos</t>
  </si>
  <si>
    <t>Código de barras</t>
  </si>
  <si>
    <t>Comunicação de Cobrança ao Paciente</t>
  </si>
  <si>
    <t>Consulta agendamento médico Web</t>
  </si>
  <si>
    <t>Consulta de Exames do Paciente</t>
  </si>
  <si>
    <t>Consulta de Notas Fiscais</t>
  </si>
  <si>
    <t>Consulta Tabela TUSS (Mat/Med)</t>
  </si>
  <si>
    <t>Contador de células de sangue</t>
  </si>
  <si>
    <t>Contingência</t>
  </si>
  <si>
    <t>Controle de Achados e Perdidos</t>
  </si>
  <si>
    <t>Controle de Água</t>
  </si>
  <si>
    <t>Controle de Perdas do Contas a Receber</t>
  </si>
  <si>
    <t>Projetos de Investimento</t>
  </si>
  <si>
    <t>Controle de Reuniões e Atas</t>
  </si>
  <si>
    <t>Controle do Pré-Faturamento</t>
  </si>
  <si>
    <t>Corretor Ortográfico</t>
  </si>
  <si>
    <t>Distribuição de Receitas Bancárias</t>
  </si>
  <si>
    <t>Emissão de Atendimentos</t>
  </si>
  <si>
    <t>Emissão de dietas do paciente</t>
  </si>
  <si>
    <t>Emissão de relatório Gestão de Exame</t>
  </si>
  <si>
    <t>Emissão de Requisições Laboratoriais</t>
  </si>
  <si>
    <t>Encontro de Contas</t>
  </si>
  <si>
    <t>Execução do Cartão Emergencial</t>
  </si>
  <si>
    <t>Farmácia Compras Web</t>
  </si>
  <si>
    <t>Geração de Arquivos do Laboratório</t>
  </si>
  <si>
    <t>Geração de Resultados Externos</t>
  </si>
  <si>
    <t>Gerador de Resultados de Laudo</t>
  </si>
  <si>
    <t>Gerenciamento dos parâmetros de Suprimentos</t>
  </si>
  <si>
    <t>Gerenciamento integração Hemoterapia</t>
  </si>
  <si>
    <t>Gerenciamento para integração - Solicitação</t>
  </si>
  <si>
    <t>Gestão Comercial</t>
  </si>
  <si>
    <t>Gestão da qualidade de software</t>
  </si>
  <si>
    <t>Gestão das Etapas do Agendamento - GETA</t>
  </si>
  <si>
    <t>Gestão das OS's Pendentes</t>
  </si>
  <si>
    <t>Gestão de Atualizações SUS</t>
  </si>
  <si>
    <t>Gestão de Consultórios</t>
  </si>
  <si>
    <t>Gestão de Envio de E-mail do Compras</t>
  </si>
  <si>
    <t>Gestão de Ocorrências do Lote de Entrada</t>
  </si>
  <si>
    <t>Gestão de Ordens de Serviço</t>
  </si>
  <si>
    <t>Gestão de Respostas do Questionário</t>
  </si>
  <si>
    <t>Gestão de Serviços Profissionais</t>
  </si>
  <si>
    <t>Gestão de Transporte de Pacientes</t>
  </si>
  <si>
    <t>Gestão do Cadastro de Materiais</t>
  </si>
  <si>
    <t>Gestão Laboratorial de Triagem Neonatal</t>
  </si>
  <si>
    <t>Impressão de Mapa de Exames Laboratoriais</t>
  </si>
  <si>
    <t>Impressão de Relatórios Web</t>
  </si>
  <si>
    <t>Localizador de perguntas de questionário</t>
  </si>
  <si>
    <t>Localizador de serviços</t>
  </si>
  <si>
    <t>Localizar Solicitação de compra</t>
  </si>
  <si>
    <t>Marcação agenda paciente Web</t>
  </si>
  <si>
    <t>Mentor</t>
  </si>
  <si>
    <t>Montagem do localizador</t>
  </si>
  <si>
    <t>Negociação de Contas a Receber</t>
  </si>
  <si>
    <t>Ordem serviço web</t>
  </si>
  <si>
    <t>Organograma</t>
  </si>
  <si>
    <t>PACS</t>
  </si>
  <si>
    <t>PACS ISITE</t>
  </si>
  <si>
    <t>Radioterapia</t>
  </si>
  <si>
    <t>Painel de chamadas da radioterapia</t>
  </si>
  <si>
    <t>Painel de Informações Laboratoriais</t>
  </si>
  <si>
    <t>Painel internação</t>
  </si>
  <si>
    <t>Parâmetros do Laboratório</t>
  </si>
  <si>
    <t>Personalização de itens de menu popup</t>
  </si>
  <si>
    <t>Produção de Medicamentos</t>
  </si>
  <si>
    <t>Produção por Plantão Médico</t>
  </si>
  <si>
    <t>Propriedades do Usuário</t>
  </si>
  <si>
    <t>Relatórios</t>
  </si>
  <si>
    <t>Query Builder</t>
  </si>
  <si>
    <t>Questionário Eletrônico do Paciente</t>
  </si>
  <si>
    <t>Recepção</t>
  </si>
  <si>
    <t>Registro de Cobrança</t>
  </si>
  <si>
    <t>Regulação de atendimentos</t>
  </si>
  <si>
    <t>Requisitos do Sistema</t>
  </si>
  <si>
    <t>Ressuprimento quimioterapia</t>
  </si>
  <si>
    <t>Retorno Convênio SUS</t>
  </si>
  <si>
    <t>Suporte à Decisão Clínica (SDC) - Mentor</t>
  </si>
  <si>
    <t>TISS - Lotes de Anexos Clínicos</t>
  </si>
  <si>
    <t>Transferência Estoque Quimioterapia</t>
  </si>
  <si>
    <t>Xiris RIS</t>
  </si>
  <si>
    <t>Funções/Tabelas sem neces. de vínculo</t>
  </si>
  <si>
    <t>Alertas</t>
  </si>
  <si>
    <t>Gerenciamento da telefonia</t>
  </si>
  <si>
    <t>Menu do Sistema</t>
  </si>
  <si>
    <t>Parâmetros dos Relatórios</t>
  </si>
  <si>
    <t>Rouparia</t>
  </si>
  <si>
    <t>Treinamentos</t>
  </si>
  <si>
    <t>Gestão de Treinamento</t>
  </si>
  <si>
    <t>Treinamento</t>
  </si>
  <si>
    <t>Palm</t>
  </si>
  <si>
    <t>Portal Compras Web</t>
  </si>
  <si>
    <t>Home Care</t>
  </si>
  <si>
    <t>Gestão de Home Care</t>
  </si>
  <si>
    <t>Gestão de Radioterapia</t>
  </si>
  <si>
    <t>BSC</t>
  </si>
  <si>
    <t>BSC - Balanced Scorecard</t>
  </si>
  <si>
    <t>Planejamento Estratégico</t>
  </si>
  <si>
    <t>Visitas</t>
  </si>
  <si>
    <t>Controle de Visitas</t>
  </si>
  <si>
    <t>Gestão de Projetos e Investimentos</t>
  </si>
  <si>
    <t>Funções Inativas</t>
  </si>
  <si>
    <t>CIH - Controle de Internação Hospitalar</t>
  </si>
  <si>
    <t>Conta Paciente Auditoria</t>
  </si>
  <si>
    <t>EIS Contas Pendentes</t>
  </si>
  <si>
    <t>Mapa de Dietas (Antigo)</t>
  </si>
  <si>
    <t>Oncologia</t>
  </si>
  <si>
    <t>Pertences do Paciente (Antigo)</t>
  </si>
  <si>
    <t>Procedimentos Prescritos Pendentes</t>
  </si>
  <si>
    <t>Procedimentos Requeridos por Convênio</t>
  </si>
  <si>
    <t>Registro da localização do Laudos(Antigo</t>
  </si>
  <si>
    <t>Gerenciador de Relatórios</t>
  </si>
  <si>
    <t>Transplantes</t>
  </si>
  <si>
    <t>Gestão de Transplante</t>
  </si>
  <si>
    <t>Fiscal</t>
  </si>
  <si>
    <t>Acompanhamento de Nota Fiscal Eletrônica</t>
  </si>
  <si>
    <t>Controle de Arrecadações</t>
  </si>
  <si>
    <t>Integração</t>
  </si>
  <si>
    <t>Resposta</t>
  </si>
  <si>
    <t>1 a 30 padrão, 31  a 60 + 25%, 60 a 100 + 40%, acima de 100 + 60%</t>
  </si>
  <si>
    <t>Caso a resposta seja sim, +50%</t>
  </si>
  <si>
    <t>Possui processo de auditoria externa de contas?</t>
  </si>
  <si>
    <t>Caso a resposta seja sim, +30%</t>
  </si>
  <si>
    <t>Caso a resposta seja sim, +100%</t>
  </si>
  <si>
    <t>Opções, Farmacia e P.A, +25% para cada selecionada</t>
  </si>
  <si>
    <t>+40% por central.</t>
  </si>
  <si>
    <t>Opções: TI, Manutenção Predial, Engenharia Clinica, +50% para cada selecionada.</t>
  </si>
  <si>
    <t>+30% por processo.</t>
  </si>
  <si>
    <t>Opções: ISO, JCI, ONA, Outras, Qual?, +100%</t>
  </si>
  <si>
    <t>+50% para cada</t>
  </si>
  <si>
    <t>+40% para cada</t>
  </si>
  <si>
    <t>Opções:  0 a 100 +0%, 100 a 200 + 20%, 200 a 300 + 40%, acima de 300 + 60%</t>
  </si>
  <si>
    <t>Opções:  1 a 30 padrão, 31  a 60 + 25%, 60 a 100 + 40%, acima de 100 + 60%</t>
  </si>
  <si>
    <t>Quantos caixas existem em toda a instituição?</t>
  </si>
  <si>
    <t>Caso a resposta seja acima de 10, +50%</t>
  </si>
  <si>
    <t>Utilizará auto atendimento?</t>
  </si>
  <si>
    <t>Opções:  1 a 30 padrão, 31  a 60 + 25%, 61 a 100 + 40%, acima de 100 + 60%</t>
  </si>
  <si>
    <t>Justificativa</t>
  </si>
  <si>
    <t>Perguntas Relevantes</t>
  </si>
  <si>
    <t>Consulta de Pessoa Física/Pessoa Jurídica</t>
  </si>
  <si>
    <t>General Records and Functions</t>
  </si>
  <si>
    <t>Consulta de Persona Física/Persona Moral</t>
  </si>
  <si>
    <t>Registros y Funciones Generales</t>
  </si>
  <si>
    <t>Questionnaire</t>
  </si>
  <si>
    <t>Cuestionario</t>
  </si>
  <si>
    <t xml:space="preserve">Interface </t>
  </si>
  <si>
    <t>Interfaz</t>
  </si>
  <si>
    <t>Organizational Structure</t>
  </si>
  <si>
    <t>Estructura Atención</t>
  </si>
  <si>
    <t>Physician Record</t>
  </si>
  <si>
    <t>Registro Médico</t>
  </si>
  <si>
    <t>Legal Entity</t>
  </si>
  <si>
    <t>Persona Moral</t>
  </si>
  <si>
    <t>Postal Code Record</t>
  </si>
  <si>
    <t>Registro de CP</t>
  </si>
  <si>
    <t>Accommodation Types</t>
  </si>
  <si>
    <t>Tipos de Unidad de Atención</t>
  </si>
  <si>
    <t>Financial transaction record</t>
  </si>
  <si>
    <t>Registro de Transacciones Financieras</t>
  </si>
  <si>
    <t>Loads</t>
  </si>
  <si>
    <t>Procedures</t>
  </si>
  <si>
    <t>Procedimientos</t>
  </si>
  <si>
    <t>External Interface Generation</t>
  </si>
  <si>
    <t>Generación de Interfaz Externo</t>
  </si>
  <si>
    <t>Departmental File Management</t>
  </si>
  <si>
    <t>Gestión de Archivo Sectorial</t>
  </si>
  <si>
    <t>Financial Records</t>
  </si>
  <si>
    <t>Registros Financieros</t>
  </si>
  <si>
    <t>Internal Exams and Procedures</t>
  </si>
  <si>
    <t>Exámenes y Procedimientos Internos</t>
  </si>
  <si>
    <t>Services Record</t>
  </si>
  <si>
    <t>Registro de servicios</t>
  </si>
  <si>
    <t>Internal Structure Record</t>
  </si>
  <si>
    <t>Registro de Estructuras Internas</t>
  </si>
  <si>
    <t>Employees Record</t>
  </si>
  <si>
    <t>Registro de Empleados</t>
  </si>
  <si>
    <t>Legal Entity Label</t>
  </si>
  <si>
    <t>Etiqueta Persona Moral</t>
  </si>
  <si>
    <t>Structured Assessments</t>
  </si>
  <si>
    <t>Evaluaciones Estructuradas</t>
  </si>
  <si>
    <t>Material Record</t>
  </si>
  <si>
    <t>Registro de Materiales</t>
  </si>
  <si>
    <t>Document Protocol</t>
  </si>
  <si>
    <t>Structured Assessments Settings</t>
  </si>
  <si>
    <t>Registro Evaluaciones</t>
  </si>
  <si>
    <t>Internet and Intranet Browser</t>
  </si>
  <si>
    <t>Company/Establishment/Accounts/Cost Center</t>
  </si>
  <si>
    <t>Empresa/Establecimiento/Cuentas/CC</t>
  </si>
  <si>
    <t>People Control</t>
  </si>
  <si>
    <t>Control de Personas</t>
  </si>
  <si>
    <t>Patient Account Structure Record</t>
  </si>
  <si>
    <t>Registro de Estructura de la Cuenta Paciente</t>
  </si>
  <si>
    <t>ICD 10 Search</t>
  </si>
  <si>
    <t>Consulta CIE 10</t>
  </si>
  <si>
    <t>Stock</t>
  </si>
  <si>
    <t>Electronic Dispensary</t>
  </si>
  <si>
    <t>Dispensario Electrónico</t>
  </si>
  <si>
    <t>Stock Transfer Control</t>
  </si>
  <si>
    <t>Control Transferencias de Stock</t>
  </si>
  <si>
    <t>OPM Production Management</t>
  </si>
  <si>
    <t>Gestión de Producción de OPM</t>
  </si>
  <si>
    <t>OPSM Boxes Management</t>
  </si>
  <si>
    <t>Gestión de las Cajas de OPME</t>
  </si>
  <si>
    <t>Stock Management</t>
  </si>
  <si>
    <t>Administración de Stocks</t>
  </si>
  <si>
    <t>Department Map</t>
  </si>
  <si>
    <t>Mapa de los Sectores</t>
  </si>
  <si>
    <t>Master Person Index</t>
  </si>
  <si>
    <t>Catálogo Completo de Personas</t>
  </si>
  <si>
    <t>Shift and On-call Schedule</t>
  </si>
  <si>
    <t>Escala de Guardias y Sobreavisos</t>
  </si>
  <si>
    <t>Bed Management</t>
  </si>
  <si>
    <t>Gestión de Vacantes</t>
  </si>
  <si>
    <t>Patient Belongings</t>
  </si>
  <si>
    <t>Pertenencias Paciente</t>
  </si>
  <si>
    <t>CIHA - Controle de Informação Hospitalar e Ambulatorial</t>
  </si>
  <si>
    <t>Hospital and Outpatient Information Control</t>
  </si>
  <si>
    <t>CIHA - Control de Información Hospitalaria y Ambulatoria</t>
  </si>
  <si>
    <t>Lost and Found Control</t>
  </si>
  <si>
    <t>Control de Hallazgos y Perdidos</t>
  </si>
  <si>
    <t>Waiting Number Management</t>
  </si>
  <si>
    <t>Gestión de Turnos</t>
  </si>
  <si>
    <t>Patient Quotation</t>
  </si>
  <si>
    <t>Presupuesto de Pacientes</t>
  </si>
  <si>
    <t>Hospital Occupancy</t>
  </si>
  <si>
    <t>Ocupación Hospitalaria</t>
  </si>
  <si>
    <t>Movement of Patients</t>
  </si>
  <si>
    <t>Movimiento de Pacientes</t>
  </si>
  <si>
    <t>Patient Registration</t>
  </si>
  <si>
    <t>Patients in Waiting Line</t>
  </si>
  <si>
    <t>Pacientes en Fila de Espera</t>
  </si>
  <si>
    <t>Discharge Processes</t>
  </si>
  <si>
    <t>Procesos de Alta</t>
  </si>
  <si>
    <t>Insurance Documentation Consultation</t>
  </si>
  <si>
    <t>Consulta Documentación Convenio</t>
  </si>
  <si>
    <t>Management of Patient Account Pendencies</t>
  </si>
  <si>
    <t>Gestión de Pendientes de la Cuenta del Paciente</t>
  </si>
  <si>
    <t>CNS Person Record</t>
  </si>
  <si>
    <t>Registro de personas CNS</t>
  </si>
  <si>
    <t>TISS Integrations</t>
  </si>
  <si>
    <t>Integraciones TISS</t>
  </si>
  <si>
    <t>Insurance Submission Consultation</t>
  </si>
  <si>
    <t>Consulta Liberación Plan Convenio</t>
  </si>
  <si>
    <t>Packs Management</t>
  </si>
  <si>
    <t>Gestión de Paquetes</t>
  </si>
  <si>
    <t>Billing per Physician Analysis</t>
  </si>
  <si>
    <t>Análisis de la Facturación por Médico</t>
  </si>
  <si>
    <t>Pre-Billing Control</t>
  </si>
  <si>
    <t>Control del Pre-Facturación</t>
  </si>
  <si>
    <t>Research Protocol</t>
  </si>
  <si>
    <t>Protocolo de Encuesta</t>
  </si>
  <si>
    <t>Transfer of expenses</t>
  </si>
  <si>
    <t>Transferencia de gastos</t>
  </si>
  <si>
    <t>Billing Center</t>
  </si>
  <si>
    <t>Central de Facturación</t>
  </si>
  <si>
    <t>TISS - Comunicação de Internação / Alta do Beneficiário</t>
  </si>
  <si>
    <t>TUSS Chart Lookup (Mat/Med)</t>
  </si>
  <si>
    <t>Consulta Tabla TUSS (Mat/Med)</t>
  </si>
  <si>
    <t>Billing Updates</t>
  </si>
  <si>
    <t>Actualizaciones Facturación</t>
  </si>
  <si>
    <t>Third-Party Production Control</t>
  </si>
  <si>
    <t>Control de Producción de Terceros</t>
  </si>
  <si>
    <t xml:space="preserve">Patient Account </t>
  </si>
  <si>
    <t>Cuenta Paciente</t>
  </si>
  <si>
    <t>Account Analysis</t>
  </si>
  <si>
    <t>Análisis de Cuentas</t>
  </si>
  <si>
    <t>Care Revenue Consultation</t>
  </si>
  <si>
    <t>Consulta Receta de Atenciones</t>
  </si>
  <si>
    <t>Insurance Protocol</t>
  </si>
  <si>
    <t>Protocolo Convenio</t>
  </si>
  <si>
    <t>Change Encounter Health Insurance</t>
  </si>
  <si>
    <t>Alterar Convenio Atención</t>
  </si>
  <si>
    <t>Transfer between encounters</t>
  </si>
  <si>
    <t>Transferencia entre Atenciones</t>
  </si>
  <si>
    <t>Performed Procedure Health Insurance Change</t>
  </si>
  <si>
    <t>Alteración Convenio Procedimiento Ejec.</t>
  </si>
  <si>
    <t>Management for integration - OPSM</t>
  </si>
  <si>
    <t>Gestión para integración OPME</t>
  </si>
  <si>
    <t>Purchase Integration</t>
  </si>
  <si>
    <t>Integración de compras</t>
  </si>
  <si>
    <t>Supply Management</t>
  </si>
  <si>
    <t>Gestión de Provisión</t>
  </si>
  <si>
    <t>Product Evaluation Management</t>
  </si>
  <si>
    <t>Gestión de la Evaluación de Productos</t>
  </si>
  <si>
    <t>Contract Control</t>
  </si>
  <si>
    <t>Control de Contratos</t>
  </si>
  <si>
    <t>Purchase Request</t>
  </si>
  <si>
    <t>Solicitud de Compra</t>
  </si>
  <si>
    <t>Purchase quotation</t>
  </si>
  <si>
    <t>Cotización de Compra</t>
  </si>
  <si>
    <t>Ordem compra</t>
  </si>
  <si>
    <t>Purchase order</t>
  </si>
  <si>
    <t>Orden compra</t>
  </si>
  <si>
    <t>Consigned Material with Last Purchase Price</t>
  </si>
  <si>
    <t>Materiales Consig. c/ Precio Última Compra</t>
  </si>
  <si>
    <t>Purchase Request Issue</t>
  </si>
  <si>
    <t>Emisión de la Solicitud de Compra</t>
  </si>
  <si>
    <t>Issuing Requests/Order/Authorizations</t>
  </si>
  <si>
    <t>Emisión Solicitudes/Orden/Autorizaciones</t>
  </si>
  <si>
    <t>Pending Approvals</t>
  </si>
  <si>
    <t>Aprobaciones Pendientes</t>
  </si>
  <si>
    <t>Issuing Procedure Prescription</t>
  </si>
  <si>
    <t>Emisión Prescripción Procedimientos</t>
  </si>
  <si>
    <t>Prescription Check - Barcode</t>
  </si>
  <si>
    <t>Conferencia de la Prescripción - Barras</t>
  </si>
  <si>
    <t>Medicines per Physician and Patient</t>
  </si>
  <si>
    <t>Medicamentos por Médico y Paciente</t>
  </si>
  <si>
    <t>Localizador de Medicamentos</t>
  </si>
  <si>
    <t>Medicine Search Tool</t>
  </si>
  <si>
    <t>Buscador de Medicamentos</t>
  </si>
  <si>
    <t>Dispensation Batch Management</t>
  </si>
  <si>
    <t>Gestión de los Lotes de la Dispensación</t>
  </si>
  <si>
    <t>Transcription Management</t>
  </si>
  <si>
    <t>Gestión de Transcripción</t>
  </si>
  <si>
    <t xml:space="preserve">Barcode </t>
  </si>
  <si>
    <t>Issuance of the Order Batch</t>
  </si>
  <si>
    <t>Emisión del Lote de la Prescripción</t>
  </si>
  <si>
    <t>Order Processing</t>
  </si>
  <si>
    <t>Ejecución Prescripción</t>
  </si>
  <si>
    <t>Emergency Order</t>
  </si>
  <si>
    <t>Prescripción de Emergencia</t>
  </si>
  <si>
    <t>Prescription Management by the Clinical Pharmacy</t>
  </si>
  <si>
    <t>Gestión de las Prescripciones por la Farmacia Clínica</t>
  </si>
  <si>
    <t>Order Batch Dispensation</t>
  </si>
  <si>
    <t>Atención del Lote de la Prescripción</t>
  </si>
  <si>
    <t>Gestão de Dispensação dos Processos ADEP - GEDIPA</t>
  </si>
  <si>
    <t>Electronic Medication Administration Record - Dispensing Management - eMAR-DM</t>
  </si>
  <si>
    <t>Gestión de Dispensación de los Procesos ADEP - GEDIPA</t>
  </si>
  <si>
    <t>Outpatient Pharmacy</t>
  </si>
  <si>
    <t>Farmacia ambulatorial</t>
  </si>
  <si>
    <t>Prescription Issue by Time</t>
  </si>
  <si>
    <t>Emisión de las Prescripciones por Horario</t>
  </si>
  <si>
    <t>Order Dispensation</t>
  </si>
  <si>
    <t>Dispensación de Prescripciones</t>
  </si>
  <si>
    <t>Patient Material Return</t>
  </si>
  <si>
    <t>Devolución Material Paciente</t>
  </si>
  <si>
    <t xml:space="preserve">Medicine </t>
  </si>
  <si>
    <t>Consumption of Material/Medication by Barcode</t>
  </si>
  <si>
    <t>Consumo de Materiales/Medic. por Barras</t>
  </si>
  <si>
    <t>Non-Standard Medicines Release</t>
  </si>
  <si>
    <t>Liberación Medicamentos no Estandarizados</t>
  </si>
  <si>
    <t>Attendance Issuing (Reg/Presc)</t>
  </si>
  <si>
    <t>Emisión de los Atenciones (Req/Presc)</t>
  </si>
  <si>
    <t>Barcode Issue</t>
  </si>
  <si>
    <t>Emisión Código de Barras</t>
  </si>
  <si>
    <t>External Non-Lab Results Entry</t>
  </si>
  <si>
    <t>Exams/Tests</t>
  </si>
  <si>
    <t>Digitación de Resultados de Estudios de Gabinete Externos</t>
  </si>
  <si>
    <t>Exámenes</t>
  </si>
  <si>
    <t>Report Delivery Management</t>
  </si>
  <si>
    <t>Gestión de Entregas de Interpretaciones</t>
  </si>
  <si>
    <t>Call panel for exams</t>
  </si>
  <si>
    <t>Panel de llamadas de exámenes</t>
  </si>
  <si>
    <t>Patient medical report</t>
  </si>
  <si>
    <t>Interpretaciones de exámenes</t>
  </si>
  <si>
    <t>Exam Management</t>
  </si>
  <si>
    <t>Gestión de Exámenes</t>
  </si>
  <si>
    <t>Medical report Location Registry</t>
  </si>
  <si>
    <t>Registro de la Localización de los Interpretaciones</t>
  </si>
  <si>
    <t>Medical report measures</t>
  </si>
  <si>
    <t>Medidas de Interpretaciones</t>
  </si>
  <si>
    <t>Central de Interpretaciones</t>
  </si>
  <si>
    <t>Captura de imagens</t>
  </si>
  <si>
    <t>Image capture</t>
  </si>
  <si>
    <t>Captura de imágenes</t>
  </si>
  <si>
    <t>Report Monitoring</t>
  </si>
  <si>
    <t>Acompañamiento de Interpretaciones</t>
  </si>
  <si>
    <t>Prescription Copy</t>
  </si>
  <si>
    <t>Copia de Prescripción</t>
  </si>
  <si>
    <t>Visualização Integrada das Prescrições Eletrônicas - VIPE</t>
  </si>
  <si>
    <t>Integrated View of Electronic Orders</t>
  </si>
  <si>
    <t>Visualización Integrada de las Prescripciones Electrónicas - VIPE</t>
  </si>
  <si>
    <t>Prescrição Eletrônica Paciente - Plano Terapêutico (REP - PT)</t>
  </si>
  <si>
    <t>Computerized Provider Order Entry - Therapeutic Plan (CPOE)</t>
  </si>
  <si>
    <t>Prescripción Electrónica Paciente - Plan Terapéutico (REP - PT)</t>
  </si>
  <si>
    <t>Computerized Provider Order Entry - CPOE</t>
  </si>
  <si>
    <t>Prescripción Electrónica Paciente - REP</t>
  </si>
  <si>
    <t xml:space="preserve">Accounting </t>
  </si>
  <si>
    <t>Contabilidad</t>
  </si>
  <si>
    <t>Accounting Batch Generation</t>
  </si>
  <si>
    <t>Generación de la Póliza</t>
  </si>
  <si>
    <t>Type of Accounting Batch / Accounting Events</t>
  </si>
  <si>
    <t>Tipo de Póliza/Eventos contables</t>
  </si>
  <si>
    <t>Accounting Parameters</t>
  </si>
  <si>
    <t>Parámetros Contabilidad</t>
  </si>
  <si>
    <t>Financial Closure</t>
  </si>
  <si>
    <t>Cierre Financiero</t>
  </si>
  <si>
    <t>Accounting Batch Analysis</t>
  </si>
  <si>
    <t>Análisis de la Póliza</t>
  </si>
  <si>
    <t>Encuentro de Cuentas</t>
  </si>
  <si>
    <t>Invoice Check</t>
  </si>
  <si>
    <t>Consulta de Facturas</t>
  </si>
  <si>
    <t>Conciliação Contábil</t>
  </si>
  <si>
    <t>Accounting Reconciliation</t>
  </si>
  <si>
    <t>Conciliación Contable</t>
  </si>
  <si>
    <t>SUS Accounting Summary</t>
  </si>
  <si>
    <t>Resumen contable SUS</t>
  </si>
  <si>
    <t>Accounts Payable Interface Generation</t>
  </si>
  <si>
    <t xml:space="preserve">Accounts payable </t>
  </si>
  <si>
    <t>Generación Interfaz Cuentas por Pagar</t>
  </si>
  <si>
    <t>Cuentas por pagar</t>
  </si>
  <si>
    <t>Advance Paid</t>
  </si>
  <si>
    <t>Anticipo Pago</t>
  </si>
  <si>
    <t>DL - Partners Meeting</t>
  </si>
  <si>
    <t>DL - Reunión de Socios</t>
  </si>
  <si>
    <t>ID - Profit Distribution Rules</t>
  </si>
  <si>
    <t>DL - Reglas de Distribución de Lucros</t>
  </si>
  <si>
    <t>DL - Profit Distribution</t>
  </si>
  <si>
    <t>DL - Distribución de Lucros</t>
  </si>
  <si>
    <t>Controlling of the credit note (to pay)</t>
  </si>
  <si>
    <t>Control de Notas de Crédito (a pagar)</t>
  </si>
  <si>
    <t>Changing Invoice Classification</t>
  </si>
  <si>
    <t>Alteración de Clasificación de Títulos</t>
  </si>
  <si>
    <t>Aprovação de Pagamentos</t>
  </si>
  <si>
    <t>Approval of Payments</t>
  </si>
  <si>
    <t>Aprobación de Pagos</t>
  </si>
  <si>
    <t>Check Entry</t>
  </si>
  <si>
    <t>Digitación de Cheques</t>
  </si>
  <si>
    <t>Accounts Payable</t>
  </si>
  <si>
    <t>Gestión de Cuentas por Pagar</t>
  </si>
  <si>
    <t>Accounts Payable Consultation</t>
  </si>
  <si>
    <t>Consulta de Documentos a Pagar</t>
  </si>
  <si>
    <t>Bordereau Payable</t>
  </si>
  <si>
    <t>Lista por Pagar</t>
  </si>
  <si>
    <t>Deed Payment</t>
  </si>
  <si>
    <t>Pagos Registrados</t>
  </si>
  <si>
    <t>Cost Records</t>
  </si>
  <si>
    <t>Registros Costos</t>
  </si>
  <si>
    <t>Cost Calculation</t>
  </si>
  <si>
    <t>Cálculo de Costos</t>
  </si>
  <si>
    <t>EIS - Medical Diagnosis</t>
  </si>
  <si>
    <t>Indicator Record</t>
  </si>
  <si>
    <t>Registro de Indicadores</t>
  </si>
  <si>
    <t>EIS Pending Accounts</t>
  </si>
  <si>
    <t>EIS Cuentas pendientes (nueva)</t>
  </si>
  <si>
    <t xml:space="preserve">Management Indicators </t>
  </si>
  <si>
    <t>Indicadores de Gestión</t>
  </si>
  <si>
    <t>EIS Result per Procedure</t>
  </si>
  <si>
    <t>Eis Resultado por Procedimiento</t>
  </si>
  <si>
    <t>EIS Hospital Result</t>
  </si>
  <si>
    <t>Controle de Infecção Hospitalar</t>
  </si>
  <si>
    <t>Nosocomial Infection Surveillance</t>
  </si>
  <si>
    <t>Control de Infección Hospitalaria</t>
  </si>
  <si>
    <t>Monthly Summary and Hospital Infection Indicators</t>
  </si>
  <si>
    <t>Resumen Mensual e Indicadores de I.H</t>
  </si>
  <si>
    <t>Incident Form Register</t>
  </si>
  <si>
    <t>Registro de Ficha de Caso</t>
  </si>
  <si>
    <t xml:space="preserve">NIS Management </t>
  </si>
  <si>
    <t>Gestión NIS</t>
  </si>
  <si>
    <t>NIS Incident Form</t>
  </si>
  <si>
    <t>Ficha de Caso CIH</t>
  </si>
  <si>
    <t>Tubes and Lines Record</t>
  </si>
  <si>
    <t>Registro de Dispositivos Utilizados en el Paciente</t>
  </si>
  <si>
    <t>Notification and Investigation Form</t>
  </si>
  <si>
    <t>Ficha de Notificación e Investigación</t>
  </si>
  <si>
    <t>NIS Management</t>
  </si>
  <si>
    <t>Gestión de CCIH</t>
  </si>
  <si>
    <t>NIS - Antibiotics Report</t>
  </si>
  <si>
    <t>NIS - Informe de Antibióticos</t>
  </si>
  <si>
    <t>NIS Indicator Graphs</t>
  </si>
  <si>
    <t>NIS medicine Control</t>
  </si>
  <si>
    <t>Liberación Medicamentos CIH</t>
  </si>
  <si>
    <t>Insurance Company Antibiotics Report</t>
  </si>
  <si>
    <t>CIH Informe Antibióticos</t>
  </si>
  <si>
    <t>Insurance Company Patients Report</t>
  </si>
  <si>
    <t>CIH Informe Pacientes</t>
  </si>
  <si>
    <t>Billing Parameters</t>
  </si>
  <si>
    <t>Administration of Contracts (Prices)</t>
  </si>
  <si>
    <t>Parámetros Facturación</t>
  </si>
  <si>
    <t>Administración de Contractos (Precios)</t>
  </si>
  <si>
    <t>Copy of Service Prices</t>
  </si>
  <si>
    <t>Copia de Precios de Servicios</t>
  </si>
  <si>
    <t>Coverage Consultation</t>
  </si>
  <si>
    <t>Price Check</t>
  </si>
  <si>
    <t>Consulta Precio</t>
  </si>
  <si>
    <t>Insurance Documentation</t>
  </si>
  <si>
    <t>Documentación del Convenio</t>
  </si>
  <si>
    <t>Insurance Rule Management</t>
  </si>
  <si>
    <t>Gestión de las Reglas de Aseguradora</t>
  </si>
  <si>
    <t>Cadastro de Convênios, Preços e Regras</t>
  </si>
  <si>
    <t>Insurance, Prices and Rules Record</t>
  </si>
  <si>
    <t>Registro de Convenios, Precios y Normas</t>
  </si>
  <si>
    <t>Price Chart</t>
  </si>
  <si>
    <t>Tablas de Precios</t>
  </si>
  <si>
    <t>Automatic Entry Rules</t>
  </si>
  <si>
    <t>Reglas de Lanzamiento Automático</t>
  </si>
  <si>
    <t>Equipment Control</t>
  </si>
  <si>
    <t>Control de Equipos</t>
  </si>
  <si>
    <t>Service Order</t>
  </si>
  <si>
    <t>Orden de Servicio (Nueva)</t>
  </si>
  <si>
    <t>Maintenance Records</t>
  </si>
  <si>
    <t>Registros del Mantenimiento</t>
  </si>
  <si>
    <t>Department Temperature Control</t>
  </si>
  <si>
    <t>Control de Temperatura de los Sectores</t>
  </si>
  <si>
    <t>Orden de Servicio</t>
  </si>
  <si>
    <t>Incident Report</t>
  </si>
  <si>
    <t>Atención al cliente</t>
  </si>
  <si>
    <t>Suggestion Control</t>
  </si>
  <si>
    <t>Control de Sugerencias</t>
  </si>
  <si>
    <t>Médico</t>
  </si>
  <si>
    <t>Physician</t>
  </si>
  <si>
    <t>Exportação</t>
  </si>
  <si>
    <t>Export</t>
  </si>
  <si>
    <t>Exportación</t>
  </si>
  <si>
    <t>EIS Atestado</t>
  </si>
  <si>
    <t>EIS Certificate</t>
  </si>
  <si>
    <t>EIS Certificado</t>
  </si>
  <si>
    <t>Classif.Pac.</t>
  </si>
  <si>
    <t>Patient classif.</t>
  </si>
  <si>
    <t>Clasif.Pac.</t>
  </si>
  <si>
    <t>Impressão de Relatórios</t>
  </si>
  <si>
    <t>Report Printing</t>
  </si>
  <si>
    <t>Impresión de Reportes</t>
  </si>
  <si>
    <t>TasyMed - Physician's Office</t>
  </si>
  <si>
    <t>TasyMed - Consultorio Médico</t>
  </si>
  <si>
    <t xml:space="preserve">Tratamentos </t>
  </si>
  <si>
    <t>Treatments</t>
  </si>
  <si>
    <t>Tratamientos</t>
  </si>
  <si>
    <t>Cadastros Faturamento</t>
  </si>
  <si>
    <t>Register Revenue</t>
  </si>
  <si>
    <t>Registros Facturación</t>
  </si>
  <si>
    <t>Faturamento</t>
  </si>
  <si>
    <t>Billing</t>
  </si>
  <si>
    <t>Facturación</t>
  </si>
  <si>
    <t>Schedule</t>
  </si>
  <si>
    <t>Atendimentos</t>
  </si>
  <si>
    <t>Encounters</t>
  </si>
  <si>
    <t>Atenciones</t>
  </si>
  <si>
    <t>Paciente</t>
  </si>
  <si>
    <t>Patient</t>
  </si>
  <si>
    <t>Protocolo</t>
  </si>
  <si>
    <t>Protocol</t>
  </si>
  <si>
    <t>Grupo</t>
  </si>
  <si>
    <t xml:space="preserve">Group </t>
  </si>
  <si>
    <t>CID</t>
  </si>
  <si>
    <t>ICD</t>
  </si>
  <si>
    <t>CIE</t>
  </si>
  <si>
    <t>Tabela proced</t>
  </si>
  <si>
    <t>Procedure Table</t>
  </si>
  <si>
    <t>Tabla proced</t>
  </si>
  <si>
    <t>Permissões</t>
  </si>
  <si>
    <t>Permissions</t>
  </si>
  <si>
    <t>Permisos</t>
  </si>
  <si>
    <t>EIS Paciente</t>
  </si>
  <si>
    <t>Patient EIS</t>
  </si>
  <si>
    <t>Referências</t>
  </si>
  <si>
    <t>References</t>
  </si>
  <si>
    <t>Referencias</t>
  </si>
  <si>
    <t>Textos</t>
  </si>
  <si>
    <t>Texts</t>
  </si>
  <si>
    <t>Config Agenda</t>
  </si>
  <si>
    <t>Parâmetros</t>
  </si>
  <si>
    <t xml:space="preserve">Parameters </t>
  </si>
  <si>
    <t>Parámetros</t>
  </si>
  <si>
    <t>EIS Atendimento</t>
  </si>
  <si>
    <t>EIS Encounter</t>
  </si>
  <si>
    <t>EIS Atención</t>
  </si>
  <si>
    <t>EIS Agenda</t>
  </si>
  <si>
    <t>EIS Schedule</t>
  </si>
  <si>
    <t>Val.Normais</t>
  </si>
  <si>
    <t>Normal Values</t>
  </si>
  <si>
    <t>Val.Normales</t>
  </si>
  <si>
    <t xml:space="preserve">Laboratory </t>
  </si>
  <si>
    <t>Laboratorio</t>
  </si>
  <si>
    <t>Tipo Exame</t>
  </si>
  <si>
    <t>Exam Type</t>
  </si>
  <si>
    <t>Tipo Examen</t>
  </si>
  <si>
    <t>EIS Diagnóstico</t>
  </si>
  <si>
    <t>EIS Diagnosis</t>
  </si>
  <si>
    <t>Plano</t>
  </si>
  <si>
    <t>Plan</t>
  </si>
  <si>
    <t>Editor Texto</t>
  </si>
  <si>
    <t>Text Editor</t>
  </si>
  <si>
    <t>Lab tests check</t>
  </si>
  <si>
    <t>Consulta de Exámenes</t>
  </si>
  <si>
    <t>Localizador de Exames</t>
  </si>
  <si>
    <t>Exam Search Tool</t>
  </si>
  <si>
    <t>Buscador de Exámenes</t>
  </si>
  <si>
    <t>Patient Exams Consultation</t>
  </si>
  <si>
    <t>Consulta de Exámenes del Paciente</t>
  </si>
  <si>
    <t>Lab call panel</t>
  </si>
  <si>
    <t>Panel de llamadas del laboratorio</t>
  </si>
  <si>
    <t>Sample Management</t>
  </si>
  <si>
    <t>Gestión de las Muestras</t>
  </si>
  <si>
    <t>Digitação de Resultado de Exames Laboratoriais Externos</t>
  </si>
  <si>
    <t>External Lab Results Entry</t>
  </si>
  <si>
    <t>Digitación de Resultado de Exámenes de Laboratorio Externos</t>
  </si>
  <si>
    <t>Results Check</t>
  </si>
  <si>
    <t>External Exam Batch</t>
  </si>
  <si>
    <t>Lote de Exámenes Externos</t>
  </si>
  <si>
    <t>Laboratory Tests</t>
  </si>
  <si>
    <t>Exámenes de Laboratorio</t>
  </si>
  <si>
    <t>Histopathology Report</t>
  </si>
  <si>
    <t>Interpretación de Anatomía patológica</t>
  </si>
  <si>
    <t>Blood cell counter</t>
  </si>
  <si>
    <t>Contador de células de sangre</t>
  </si>
  <si>
    <t>Interfaceamento de Laboratório</t>
  </si>
  <si>
    <t>Laboratory Interfacing</t>
  </si>
  <si>
    <t>Interconexión de Laboratorio</t>
  </si>
  <si>
    <t>Issuance of Lab Tests</t>
  </si>
  <si>
    <t>Emisión de Exámenes del Laboratorio</t>
  </si>
  <si>
    <t>Exam Batch</t>
  </si>
  <si>
    <t>Lote de Examen</t>
  </si>
  <si>
    <t>Laboratory Interface</t>
  </si>
  <si>
    <t>Interfaz Laboratorio</t>
  </si>
  <si>
    <t>Laboratory Management/LIS</t>
  </si>
  <si>
    <t>Exámenes Pendientes</t>
  </si>
  <si>
    <t>Hemotherapy</t>
  </si>
  <si>
    <t>Banco de sangre</t>
  </si>
  <si>
    <t>Anesthetist Work Schedule Management</t>
  </si>
  <si>
    <t>Gestión de la Escala de Anestesiólogos</t>
  </si>
  <si>
    <t>Registro de los ítems Quirúrgicos</t>
  </si>
  <si>
    <t>Surgery Management</t>
  </si>
  <si>
    <t>Gestión de Cirugías</t>
  </si>
  <si>
    <t>Patient Anesthetic Form</t>
  </si>
  <si>
    <t>Ficha Anestésica Electrónica del Paciente - FAEP</t>
  </si>
  <si>
    <t>Perioperative Electronic Patient Chart</t>
  </si>
  <si>
    <t>Expediente Clínico Quirúrgico - ECEO</t>
  </si>
  <si>
    <t>Evaluación preanestésica electrónica - EPAE</t>
  </si>
  <si>
    <t>Controle Eletrônico dos Processos Assistenciais - CLEPA</t>
  </si>
  <si>
    <t>Electronic Control of Assistance Processes</t>
  </si>
  <si>
    <t>Control Electrónico de los Procesos Asistenciales - CLEPA</t>
  </si>
  <si>
    <t>Surgeries - Physician's Report</t>
  </si>
  <si>
    <t>Cirugías - Informe del Médico</t>
  </si>
  <si>
    <t>Advance Payment Entry</t>
  </si>
  <si>
    <t xml:space="preserve">Accounts receivable </t>
  </si>
  <si>
    <t>Digitación de Anticipos</t>
  </si>
  <si>
    <t>Cuentas por Cobrar</t>
  </si>
  <si>
    <t>Maintenance of Accounts Receivable</t>
  </si>
  <si>
    <t>Gestión de Cuentas por Cobrar</t>
  </si>
  <si>
    <t>Query of Accounts Receivable</t>
  </si>
  <si>
    <t>Consulta de Documentos a Recibir</t>
  </si>
  <si>
    <t>Financial sheet</t>
  </si>
  <si>
    <t>Ficha Financiera</t>
  </si>
  <si>
    <t>Amounts Pending</t>
  </si>
  <si>
    <t>Valores Pendientes</t>
  </si>
  <si>
    <t>Accounts Receivable Parameters</t>
  </si>
  <si>
    <t>Parámetros del Cuentas por cobrar</t>
  </si>
  <si>
    <t>Receivables Loss Control</t>
  </si>
  <si>
    <t>Control de Pérdidas de Cuentas por Cobrar</t>
  </si>
  <si>
    <t>Charging Notification to Patient</t>
  </si>
  <si>
    <t>Comunicación de Cobranza para el Paciente</t>
  </si>
  <si>
    <t>Distribution of Bank Revenue</t>
  </si>
  <si>
    <t>Distribución de Recetas Bancarias</t>
  </si>
  <si>
    <t>Check Management</t>
  </si>
  <si>
    <t>Administración de Cheques</t>
  </si>
  <si>
    <t>Borderô recebimento</t>
  </si>
  <si>
    <t>Receivable bordereau</t>
  </si>
  <si>
    <t>Lista recibimiento</t>
  </si>
  <si>
    <t>Cobranza escritural</t>
  </si>
  <si>
    <t>Cobranza</t>
  </si>
  <si>
    <t>Pending Advances Consultation</t>
  </si>
  <si>
    <t>Consulta Anticipos Pendientes</t>
  </si>
  <si>
    <t>Contribution Control</t>
  </si>
  <si>
    <t>Control de Contribuciones</t>
  </si>
  <si>
    <t>Card Administration</t>
  </si>
  <si>
    <t>Treasury</t>
  </si>
  <si>
    <t>Administración de Tarjetas</t>
  </si>
  <si>
    <t>Tesorería</t>
  </si>
  <si>
    <t>Cash Flow</t>
  </si>
  <si>
    <t>Flujo de Efectivo</t>
  </si>
  <si>
    <t>Cadastro Nacional de Estabelecimentos de Saúde (CNES)</t>
  </si>
  <si>
    <t>SUS AHA</t>
  </si>
  <si>
    <t>Registro Nacional de Establecimientos de Salud (CNES)</t>
  </si>
  <si>
    <t>SUS Card Manager</t>
  </si>
  <si>
    <t>Gestor Tarjeta SUS</t>
  </si>
  <si>
    <t>SUS CDS</t>
  </si>
  <si>
    <t xml:space="preserve">SUS BPA </t>
  </si>
  <si>
    <t>Automatic issuing of reports</t>
  </si>
  <si>
    <t>System Manager</t>
  </si>
  <si>
    <t>Emisión automática de informes</t>
  </si>
  <si>
    <t>Gestión del sistema</t>
  </si>
  <si>
    <t>Dicionário da Língua Portuguesa</t>
  </si>
  <si>
    <t>Portuguese Language Dictionary</t>
  </si>
  <si>
    <t>Diccionario de la Lengua Española</t>
  </si>
  <si>
    <t>Philips Data Dictionary</t>
  </si>
  <si>
    <t>Diccionário de Datos Philips</t>
  </si>
  <si>
    <t xml:space="preserve">System Administration </t>
  </si>
  <si>
    <t>Administración del Sistema</t>
  </si>
  <si>
    <t>SAE - Sistematização da Assistência de Enfermagem</t>
  </si>
  <si>
    <t>Structured Nursing Care Process - SNCP</t>
  </si>
  <si>
    <t xml:space="preserve">Nursing </t>
  </si>
  <si>
    <t>SAE - Sistematización de la Asistencia de Enfermería</t>
  </si>
  <si>
    <t>Enfermería</t>
  </si>
  <si>
    <t>Order Management by the Nursing Team</t>
  </si>
  <si>
    <t>Gestión de las Prescripciones por Enfermería</t>
  </si>
  <si>
    <t>Prescription Electronic Administration Management</t>
  </si>
  <si>
    <t>Gestión de la Administración Electrónica de la Prescripción</t>
  </si>
  <si>
    <t>Adm. Eletrônica da Prescrição - ADEP</t>
  </si>
  <si>
    <t>eMAR - Electronic Medication Administration Record</t>
  </si>
  <si>
    <t>Adm. Electrónica de la Prescripción - ADEP</t>
  </si>
  <si>
    <t>Incidents during Working Hours</t>
  </si>
  <si>
    <t>Casos no Turno de Trabajo</t>
  </si>
  <si>
    <t>Meal Reservation Management</t>
  </si>
  <si>
    <t xml:space="preserve">Nutrition </t>
  </si>
  <si>
    <t>Gestión de Reserva de Colaciones</t>
  </si>
  <si>
    <t>Nutrición</t>
  </si>
  <si>
    <t>Nutrition Records</t>
  </si>
  <si>
    <t>Registros de Nutrición</t>
  </si>
  <si>
    <t>Diet Map</t>
  </si>
  <si>
    <t>Nutrition Management</t>
  </si>
  <si>
    <t>Gestión de la Nutrición</t>
  </si>
  <si>
    <t>Issuance of the patient's diets</t>
  </si>
  <si>
    <t>Emisión de dietas del paciente</t>
  </si>
  <si>
    <t>ICD Morphology Consultation</t>
  </si>
  <si>
    <t>Consulta CIE Morfología</t>
  </si>
  <si>
    <t>Accounting Budget</t>
  </si>
  <si>
    <t>Presupuesto Contable</t>
  </si>
  <si>
    <t>Asset Control</t>
  </si>
  <si>
    <t>Activo Fijo</t>
  </si>
  <si>
    <t>Unidentified Credit Control</t>
  </si>
  <si>
    <t>Banking Management</t>
  </si>
  <si>
    <t>Control de Créditos no Identificados</t>
  </si>
  <si>
    <t>Control Bancario</t>
  </si>
  <si>
    <t>Controle de Depósitos Identificados</t>
  </si>
  <si>
    <t>Identified Cash Deposits Control</t>
  </si>
  <si>
    <t>Control de Depósitos Identificados</t>
  </si>
  <si>
    <t>Global Schedule</t>
  </si>
  <si>
    <t>Management of future encounter</t>
  </si>
  <si>
    <t>Gestión de Atención Futura</t>
  </si>
  <si>
    <t>Scheduling Check</t>
  </si>
  <si>
    <t>Consulta de Programaciones</t>
  </si>
  <si>
    <t>Consultation Schedule</t>
  </si>
  <si>
    <t>Surgeon's Schedule</t>
  </si>
  <si>
    <t>Agenda del Cirujano</t>
  </si>
  <si>
    <t xml:space="preserve">Exam Schedule </t>
  </si>
  <si>
    <t>Agenda de Exámenes</t>
  </si>
  <si>
    <t>Service Schedule</t>
  </si>
  <si>
    <t>Agenda de Servicios</t>
  </si>
  <si>
    <t>Surgical Schedule Management</t>
  </si>
  <si>
    <t>Gestión de la Agenda Quirúrgica</t>
  </si>
  <si>
    <t>Integrated Schedule</t>
  </si>
  <si>
    <t xml:space="preserve">Schedule Call Panel </t>
  </si>
  <si>
    <t>Panel de Llamadas de la Programación</t>
  </si>
  <si>
    <t>Management of Patients in Rehabilitation</t>
  </si>
  <si>
    <t>Gestión de Pacientes en Rehabilitación</t>
  </si>
  <si>
    <t>Gestão da Dor</t>
  </si>
  <si>
    <t xml:space="preserve">Pain Management </t>
  </si>
  <si>
    <t>Electronic Medical Record</t>
  </si>
  <si>
    <t>Gestión del Dolor</t>
  </si>
  <si>
    <t>Expediente electrónico</t>
  </si>
  <si>
    <t>Healthcare Quality Management - HQM</t>
  </si>
  <si>
    <t>Gestión de Calidad Asistencial  -  GQA</t>
  </si>
  <si>
    <t>Cadastro de Protocolos</t>
  </si>
  <si>
    <t>Protocol Record</t>
  </si>
  <si>
    <t>Registro de Protocolos</t>
  </si>
  <si>
    <t>Medical Record Issue</t>
  </si>
  <si>
    <t>Emisión de Expedientes</t>
  </si>
  <si>
    <t>Análise dos Parâmetros Assistenciais do Paciente - APAP</t>
  </si>
  <si>
    <t>Multiparameter Flowsheet</t>
  </si>
  <si>
    <t>Análisis de los Parámetros Asistenciales del Paciente - APAP</t>
  </si>
  <si>
    <t xml:space="preserve">Ophthalmology </t>
  </si>
  <si>
    <t>Oftalmología</t>
  </si>
  <si>
    <t>Electronic Patient Chart Access Management</t>
  </si>
  <si>
    <t>Gestión de Accesos ECE</t>
  </si>
  <si>
    <t>Contingency</t>
  </si>
  <si>
    <t>Contingencia</t>
  </si>
  <si>
    <t>SAPS - Sistematização da assistência do profissional de saúde</t>
  </si>
  <si>
    <t>HPAS - Health Professional Assistance Systematization</t>
  </si>
  <si>
    <t>SAPS - Sistematización de la asistencia del profesional de salud</t>
  </si>
  <si>
    <t>Enter information with search (new)</t>
  </si>
  <si>
    <t>Digitar información con consulta (nova)</t>
  </si>
  <si>
    <t>Medical diagnosis</t>
  </si>
  <si>
    <t>Electronic Patient Chart</t>
  </si>
  <si>
    <t>Expediente Clínico Electrónico - ECE</t>
  </si>
  <si>
    <t>Emergency Department Panel</t>
  </si>
  <si>
    <t>Emergency Department</t>
  </si>
  <si>
    <t>Panel de Urgencias</t>
  </si>
  <si>
    <t>Urgencias</t>
  </si>
  <si>
    <t>Call Panel</t>
  </si>
  <si>
    <t>Panel de Llamadas</t>
  </si>
  <si>
    <t>Emergency Department Triage</t>
  </si>
  <si>
    <t>Clasificación de Urgencias</t>
  </si>
  <si>
    <t xml:space="preserve">Chemotherapy Schedule </t>
  </si>
  <si>
    <t>Chemotherapy</t>
  </si>
  <si>
    <t>Hospital Cancer Registry</t>
  </si>
  <si>
    <t>Registro de Hospitales de Cáncer</t>
  </si>
  <si>
    <t>Package Requisition</t>
  </si>
  <si>
    <t>Requisición de Conjuntos</t>
  </si>
  <si>
    <t>Physical Items Record</t>
  </si>
  <si>
    <t>Registro de ítems Físicos</t>
  </si>
  <si>
    <t>CSSD Management</t>
  </si>
  <si>
    <t>Gestión de CEYE</t>
  </si>
  <si>
    <t>Hospital Waste and Garbage Control</t>
  </si>
  <si>
    <t>Control de Residuos Hospitalarios y Basura</t>
  </si>
  <si>
    <t>Bed Services Management</t>
  </si>
  <si>
    <t>Gestión de Servicios de Cama</t>
  </si>
  <si>
    <t>Regulation</t>
  </si>
  <si>
    <t>Regulación</t>
  </si>
  <si>
    <t>Emergency Services</t>
  </si>
  <si>
    <t>Servicios de Emergencia</t>
  </si>
  <si>
    <t>Immunization Control</t>
  </si>
  <si>
    <t>Control de Inmunizaciones</t>
  </si>
  <si>
    <t>Exam Internal Control</t>
  </si>
  <si>
    <t>Control Interno de Exámenes</t>
  </si>
  <si>
    <t>Health Information Management</t>
  </si>
  <si>
    <t>Gestión de Expedientes</t>
  </si>
  <si>
    <t>Medical Record Internal Control (MRIC)</t>
  </si>
  <si>
    <t>Control Interno de Expediente (CIP)</t>
  </si>
  <si>
    <t>Medical Record Control</t>
  </si>
  <si>
    <t>Control de Expedientes</t>
  </si>
  <si>
    <t>Requisition Processing</t>
  </si>
  <si>
    <t>Atención de la Requisición</t>
  </si>
  <si>
    <t>Receipt inspection</t>
  </si>
  <si>
    <t>Inspección Recepción</t>
  </si>
  <si>
    <t>Invoice</t>
  </si>
  <si>
    <t>Facturas</t>
  </si>
  <si>
    <t>Materials and Medicines Requisition</t>
  </si>
  <si>
    <t>Requisición de Materiales y Medicamentos</t>
  </si>
  <si>
    <t>Bidding Register</t>
  </si>
  <si>
    <t xml:space="preserve">Bidding </t>
  </si>
  <si>
    <t>Registro de Licitación</t>
  </si>
  <si>
    <t>Licitación</t>
  </si>
  <si>
    <t>Registro de Compra</t>
  </si>
  <si>
    <t>Purchase register</t>
  </si>
  <si>
    <t>Patient Account Audit</t>
  </si>
  <si>
    <t>Auditoría Cuenta Paciente</t>
  </si>
  <si>
    <t>Authorization Management</t>
  </si>
  <si>
    <t>Gestión de Autorizaciones</t>
  </si>
  <si>
    <t>SUS Autorization Management</t>
  </si>
  <si>
    <t>Insurance Authorization</t>
  </si>
  <si>
    <t>Autorización Convenio</t>
  </si>
  <si>
    <t>Authorization of Special Materials</t>
  </si>
  <si>
    <t>Autorización de materiales especiales</t>
  </si>
  <si>
    <t>Denial Appeal Management</t>
  </si>
  <si>
    <t>Gestión de Recurso de Rechazos</t>
  </si>
  <si>
    <t>Insurance Return</t>
  </si>
  <si>
    <t>Pago de Convenio</t>
  </si>
  <si>
    <t>Transfer to Third Parties</t>
  </si>
  <si>
    <t>Transfer to third parties</t>
  </si>
  <si>
    <t>Traspaso para Terceros</t>
  </si>
  <si>
    <t>Traspaso a la terceros</t>
  </si>
  <si>
    <t>Medical Shift Record</t>
  </si>
  <si>
    <t>Registro de Guardias Médicas</t>
  </si>
  <si>
    <t>Third Party Control</t>
  </si>
  <si>
    <t>Control de Terceros</t>
  </si>
  <si>
    <t>Transfer Rules and Criteria</t>
  </si>
  <si>
    <t>Reglas y Criterios de Traspaso</t>
  </si>
  <si>
    <t>Alerts and Events Management</t>
  </si>
  <si>
    <t>Gestión de Alertas y Eventos</t>
  </si>
  <si>
    <t>Problems</t>
  </si>
  <si>
    <t xml:space="preserve">Quality Management </t>
  </si>
  <si>
    <t>Gestión de la Calidad</t>
  </si>
  <si>
    <t>Professional Access Management</t>
  </si>
  <si>
    <t>Gestión de Acceso de Profesionales</t>
  </si>
  <si>
    <t>Quality Consultation</t>
  </si>
  <si>
    <t>Consulta de la Calidad</t>
  </si>
  <si>
    <t>Assessment of Professionals</t>
  </si>
  <si>
    <t>Evaluación de Profesionales</t>
  </si>
  <si>
    <t>Processes</t>
  </si>
  <si>
    <t>Procesos</t>
  </si>
  <si>
    <t xml:space="preserve">Chat </t>
  </si>
  <si>
    <t xml:space="preserve">Private </t>
  </si>
  <si>
    <t>Internal Communication</t>
  </si>
  <si>
    <t>Comunicación Interna</t>
  </si>
  <si>
    <t>Kidney Failure Management</t>
  </si>
  <si>
    <t>Gestión de Hemodiálisis</t>
  </si>
  <si>
    <t>Water Control</t>
  </si>
  <si>
    <t>Control de Agua</t>
  </si>
  <si>
    <t>Medicine Production</t>
  </si>
  <si>
    <t>Producción de Medicamentos</t>
  </si>
  <si>
    <t>Medidas padrão</t>
  </si>
  <si>
    <t>Standard measures</t>
  </si>
  <si>
    <t>Medidas estándar</t>
  </si>
  <si>
    <t xml:space="preserve">Integration </t>
  </si>
  <si>
    <t>Integración</t>
  </si>
  <si>
    <t>Montagem de Laudo de Patologia</t>
  </si>
  <si>
    <t>Pathology Medical Report Elaboration</t>
  </si>
  <si>
    <t>Montaje de interpretación de patología</t>
  </si>
  <si>
    <t>Receivables negotiation</t>
  </si>
  <si>
    <t>Negociación de Cuentas por cobrar</t>
  </si>
  <si>
    <t>Service Order Management</t>
  </si>
  <si>
    <t>Gestión de Órdenes de Servicio</t>
  </si>
  <si>
    <t>Gerenciador de XML</t>
  </si>
  <si>
    <t>XML Manager</t>
  </si>
  <si>
    <t>Gestor de XML</t>
  </si>
  <si>
    <t>Digital Interventional Suite - DIS</t>
  </si>
  <si>
    <t>Cadastros Gerais</t>
  </si>
  <si>
    <t>Core Tables Settings</t>
  </si>
  <si>
    <t>Registros Generales</t>
  </si>
  <si>
    <t>Cadastros de Enfermagem</t>
  </si>
  <si>
    <t>Nursing Records</t>
  </si>
  <si>
    <t>Registros de Enfermería</t>
  </si>
  <si>
    <t>Commercial Management</t>
  </si>
  <si>
    <t>Gestión Comercial</t>
  </si>
  <si>
    <t>Professional Services Management</t>
  </si>
  <si>
    <t>Gestión de Servicios Profesionales</t>
  </si>
  <si>
    <t>External Results Generation</t>
  </si>
  <si>
    <t>Generación de Resultados Externos</t>
  </si>
  <si>
    <t>Service Search Tool</t>
  </si>
  <si>
    <t>Buscador de servicios</t>
  </si>
  <si>
    <t>Questionnaire Response Management</t>
  </si>
  <si>
    <t>Gestión de Respuestas del Cuestionario</t>
  </si>
  <si>
    <t>Prescrição Coletiva</t>
  </si>
  <si>
    <t>Collective Order</t>
  </si>
  <si>
    <t>Prescripción Colectiva</t>
  </si>
  <si>
    <t>Gestão de SPA (Solicitação de Providência Administrativa)</t>
  </si>
  <si>
    <t>AAR (Administrative Action Request) Management</t>
  </si>
  <si>
    <t>Gestión de SPA (Solicitud de Providencia Administrativa)</t>
  </si>
  <si>
    <t>Medicamentos/procedimentos de rotina oncologia</t>
  </si>
  <si>
    <t>Oncology routine medicines/procedures</t>
  </si>
  <si>
    <t>Medicamentos/procedimientos de rutina de la oncología</t>
  </si>
  <si>
    <t>Regras de Automação de Transação Financeira</t>
  </si>
  <si>
    <t>Rules for Financial Transaction Automation</t>
  </si>
  <si>
    <t>Reglas de Automación de Transacción Financiera</t>
  </si>
  <si>
    <t>Execution of Emergency Card</t>
  </si>
  <si>
    <t>Ejecución de la Tarjeta de Emergencia</t>
  </si>
  <si>
    <t>Passagem de Setor</t>
  </si>
  <si>
    <t>Passage through a department</t>
  </si>
  <si>
    <t>Pasaje de Sector</t>
  </si>
  <si>
    <t>Obter setor atendimento</t>
  </si>
  <si>
    <t>Get encounter department</t>
  </si>
  <si>
    <t>Obtener sector atención</t>
  </si>
  <si>
    <t>Histórico equipamento</t>
  </si>
  <si>
    <t>Equipment history</t>
  </si>
  <si>
    <t>Historia equipo</t>
  </si>
  <si>
    <t>Laboratory File Generation</t>
  </si>
  <si>
    <t>Generación de Archivos del Laboratorio</t>
  </si>
  <si>
    <t>Spelling Checker</t>
  </si>
  <si>
    <t>Corrector Ortográfico</t>
  </si>
  <si>
    <t>Find Purchase Request</t>
  </si>
  <si>
    <t>Encontrar Solicitud de compra</t>
  </si>
  <si>
    <t>Localiza Adiantamento</t>
  </si>
  <si>
    <t>Find Advance</t>
  </si>
  <si>
    <t>Localiza Anticipo</t>
  </si>
  <si>
    <t>Web patient schedule consultation</t>
  </si>
  <si>
    <t>Marcación agenda paciente Web</t>
  </si>
  <si>
    <t>Pharmacy Web Purchases</t>
  </si>
  <si>
    <t>Farmacia Compras Web</t>
  </si>
  <si>
    <t>Purchase E-Mail Sending Management</t>
  </si>
  <si>
    <t>Gestión de Envío de E-mail del Compras</t>
  </si>
  <si>
    <t>Gerenciamento para integração</t>
  </si>
  <si>
    <t>Management for integration</t>
  </si>
  <si>
    <t>Gestión para integración</t>
  </si>
  <si>
    <t>Web Report Printing</t>
  </si>
  <si>
    <t>Impresión de Reportes Web</t>
  </si>
  <si>
    <t>Material Record Management</t>
  </si>
  <si>
    <t>Gestión del Registro de Materiales</t>
  </si>
  <si>
    <t>Software quality management</t>
  </si>
  <si>
    <t>Gestión de la calidad de software</t>
  </si>
  <si>
    <t>Supply Parameter Management</t>
  </si>
  <si>
    <t>Report Results Generator</t>
  </si>
  <si>
    <t>Generador de Resultados de Interpretación</t>
  </si>
  <si>
    <t>Collection Record</t>
  </si>
  <si>
    <t>Registro de Cobranza</t>
  </si>
  <si>
    <t>User Properties</t>
  </si>
  <si>
    <t>Propiedades del Usuario</t>
  </si>
  <si>
    <t>Chemotherapy Resupply</t>
  </si>
  <si>
    <t>Resurtimiento quimioterapia</t>
  </si>
  <si>
    <t>Chemotherapy Stock Transfer</t>
  </si>
  <si>
    <t>Transferencia Stock Quimioterapia</t>
  </si>
  <si>
    <t>Item customization of popup menu</t>
  </si>
  <si>
    <t>Personalización de ítems del menú popup</t>
  </si>
  <si>
    <t>Search Tool Set Up</t>
  </si>
  <si>
    <t>Montaje del buscador</t>
  </si>
  <si>
    <t>Hemotherapy integration management</t>
  </si>
  <si>
    <t>Gestión integración Hemoterapia</t>
  </si>
  <si>
    <t>Issuing of Encounters</t>
  </si>
  <si>
    <t>Emisión de Atenciones</t>
  </si>
  <si>
    <t>Antibiograma (Nova)</t>
  </si>
  <si>
    <t>Antibiogram</t>
  </si>
  <si>
    <t>Antibiograma</t>
  </si>
  <si>
    <t>System Requirements</t>
  </si>
  <si>
    <t>Requisitos del Sistema</t>
  </si>
  <si>
    <t>Lote da Hemoterapia</t>
  </si>
  <si>
    <t>Hemotherapy Batch</t>
  </si>
  <si>
    <t>Lote de la Hemoterapia</t>
  </si>
  <si>
    <t>Questionnaire questions search tool</t>
  </si>
  <si>
    <t>Buscador de preguntas de cuestionario</t>
  </si>
  <si>
    <t>Management for integration - Request</t>
  </si>
  <si>
    <t>Gestión para integración - Solicitud</t>
  </si>
  <si>
    <t>Solicitações padrão</t>
  </si>
  <si>
    <t>Standard requests</t>
  </si>
  <si>
    <t>Solicitudes estándar</t>
  </si>
  <si>
    <t>Scheduling Stages Management</t>
  </si>
  <si>
    <t>Gestión de las Etapas de la Programación - GETA</t>
  </si>
  <si>
    <t>Anexos do Atendimento</t>
  </si>
  <si>
    <t>Encounter attachments</t>
  </si>
  <si>
    <t>Anexos de la atención</t>
  </si>
  <si>
    <t>Admission Panel</t>
  </si>
  <si>
    <t>Panel hospitalización</t>
  </si>
  <si>
    <t>iOS - Evoluções</t>
  </si>
  <si>
    <t>iOS - Clinical notes</t>
  </si>
  <si>
    <t>iOS - Evoluciones</t>
  </si>
  <si>
    <t>Painel de Indicadores de Desenvolvimento e Tecnologia</t>
  </si>
  <si>
    <t>Panel of Indicators of Development and Technology</t>
  </si>
  <si>
    <t>Panel de Indicadores de Desarrollo y Tecnología</t>
  </si>
  <si>
    <t>Devolução de Nota Fiscal</t>
  </si>
  <si>
    <t>Invoice Return</t>
  </si>
  <si>
    <t>Devolución de Factura</t>
  </si>
  <si>
    <t>iOS - PEP</t>
  </si>
  <si>
    <t>iOS - Electronic Patient Chart</t>
  </si>
  <si>
    <t>iOS - ECE</t>
  </si>
  <si>
    <t>iOS - Exames Laboratoriais</t>
  </si>
  <si>
    <t>iOS - Laboratory Tests</t>
  </si>
  <si>
    <t>iOS - Exámenes de Laboratorio</t>
  </si>
  <si>
    <t>Management of Incoming Batch Incidents</t>
  </si>
  <si>
    <t>Gestión de Casos del Lote de Entrada</t>
  </si>
  <si>
    <t>Resumo Protocolo</t>
  </si>
  <si>
    <t>Protocol Summary</t>
  </si>
  <si>
    <t>Resumen Protocolo</t>
  </si>
  <si>
    <t>Laboratory Parameters</t>
  </si>
  <si>
    <t>Parámetros del Laboratorio</t>
  </si>
  <si>
    <t>Production by Medical Shift</t>
  </si>
  <si>
    <t>Producción por Turno Médico</t>
  </si>
  <si>
    <t>Patient Transport Management</t>
  </si>
  <si>
    <t>Gestión de Transporte de Pacientes</t>
  </si>
  <si>
    <t>iOS - Diagnósticos</t>
  </si>
  <si>
    <t>iOS - Diagnosis</t>
  </si>
  <si>
    <t>Radiotherapy call panel</t>
  </si>
  <si>
    <t>Panel de llamadas de la radioterapia</t>
  </si>
  <si>
    <t>Laboratory Management of Neonatal Triage</t>
  </si>
  <si>
    <t>Gestión de Laboratorio de Selección Neonatal</t>
  </si>
  <si>
    <t>iOS - Sinais Vitais e Monitorização</t>
  </si>
  <si>
    <t>iOS - Vital Signs and Monitoring</t>
  </si>
  <si>
    <t>iOS - Signos Vitales y Monitorización</t>
  </si>
  <si>
    <t>Gestão de contingências de integrações</t>
  </si>
  <si>
    <t>Integration Contingency Management</t>
  </si>
  <si>
    <t>Gestión de contingencias de integraciones</t>
  </si>
  <si>
    <t>Organization chart</t>
  </si>
  <si>
    <t>Organigrama</t>
  </si>
  <si>
    <t>SUS Update Management</t>
  </si>
  <si>
    <t>iOS - Non-Laboratory Tests</t>
  </si>
  <si>
    <t>iOS - Estudios de Gabinete</t>
  </si>
  <si>
    <t>Medical Form</t>
  </si>
  <si>
    <t>Ficha Medica</t>
  </si>
  <si>
    <t>Web service order</t>
  </si>
  <si>
    <t>Orden Servicio Web</t>
  </si>
  <si>
    <t>Patient's Electronic Questionnaire</t>
  </si>
  <si>
    <t>Cuestionario Electrónico del Paciente</t>
  </si>
  <si>
    <t>Encounters Regulation</t>
  </si>
  <si>
    <t>Regulación de atenciones</t>
  </si>
  <si>
    <t>Gestão de Envio ao Órgão de Cobrança</t>
  </si>
  <si>
    <t>Sending to Charging Agency Management</t>
  </si>
  <si>
    <t>Gestión de Envío al Órgano de Cobro</t>
  </si>
  <si>
    <t>Reception</t>
  </si>
  <si>
    <t>Recepción</t>
  </si>
  <si>
    <t>Digitalização de documentos</t>
  </si>
  <si>
    <t>Scanning of documents</t>
  </si>
  <si>
    <t>Digitalización de documentos</t>
  </si>
  <si>
    <t>Issuance of Laboratory Requests</t>
  </si>
  <si>
    <t>Generación de Requisiciones de Laboratorio</t>
  </si>
  <si>
    <t>Issuance of Examination Management report</t>
  </si>
  <si>
    <t>Generación de informe Gestión de Examen</t>
  </si>
  <si>
    <t>Medical Report Infrastructure</t>
  </si>
  <si>
    <t>Infraestructura Interpretación</t>
  </si>
  <si>
    <t>Laboratory Information Panel</t>
  </si>
  <si>
    <t>Panel de Informaciones de Laboratorio</t>
  </si>
  <si>
    <t>Pending SO Management</t>
  </si>
  <si>
    <t>Gestión de las OS's Pendientes</t>
  </si>
  <si>
    <t>Office Management</t>
  </si>
  <si>
    <t>Gestión de Consultorios</t>
  </si>
  <si>
    <t>Controle de Remessa</t>
  </si>
  <si>
    <t>Dispatch Control</t>
  </si>
  <si>
    <t>Control de Envío</t>
  </si>
  <si>
    <t>Xiris Radiology Information System</t>
  </si>
  <si>
    <t>Printing of Laboratory Tests Map</t>
  </si>
  <si>
    <t>Impresión de Mapa de Exámenes ce Laboratorio</t>
  </si>
  <si>
    <t>Digitação e Aprovação de Resultados de Exames Laboratoriais</t>
  </si>
  <si>
    <t>Entry and Approval of Laboratory Test Results</t>
  </si>
  <si>
    <t>Digitación y Aprobación de Resultados de Exámenes de Laboratorio</t>
  </si>
  <si>
    <t>Conferência de exames da prescrição</t>
  </si>
  <si>
    <t>Checking of prescription's exams</t>
  </si>
  <si>
    <t>Conferencia de exámenes de la prescripción</t>
  </si>
  <si>
    <t>Validador de Integrações</t>
  </si>
  <si>
    <t>Integration Validator</t>
  </si>
  <si>
    <t>Validador de Integraciones</t>
  </si>
  <si>
    <t>Dashboards</t>
  </si>
  <si>
    <t>iOS - Checagem Procedimentos iPod</t>
  </si>
  <si>
    <t>iOS - Procedure Check iPod</t>
  </si>
  <si>
    <t>iOS - Chequeo de procedimientos iPod</t>
  </si>
  <si>
    <t>Documentação online</t>
  </si>
  <si>
    <t>Online Documentation</t>
  </si>
  <si>
    <t>Documentación online</t>
  </si>
  <si>
    <t>MOB - Notificação</t>
  </si>
  <si>
    <t>MOB - Notification</t>
  </si>
  <si>
    <t>MOB - Notificación</t>
  </si>
  <si>
    <t>iOS - Checagem Beira Leito</t>
  </si>
  <si>
    <t>iOS - Bedside Check</t>
  </si>
  <si>
    <t>Cadastros PEP</t>
  </si>
  <si>
    <t>Patient Chart Settings</t>
  </si>
  <si>
    <t>Registros ECE</t>
  </si>
  <si>
    <t>PMO - Project Management Office</t>
  </si>
  <si>
    <t xml:space="preserve">iOS - Checagem Recomendação iPod </t>
  </si>
  <si>
    <t>iOS - iPod recommendation check</t>
  </si>
  <si>
    <t>iOS - Chequeo de recomendación iPod</t>
  </si>
  <si>
    <t>Gestão dos Planos Terapêuticos</t>
  </si>
  <si>
    <t>Therapeutic Plans Management</t>
  </si>
  <si>
    <t>Gestión de Planes Terapéuticos</t>
  </si>
  <si>
    <t>Treinamentos - Philips</t>
  </si>
  <si>
    <t>Training - Philips</t>
  </si>
  <si>
    <t>Entrenamiento - Philips</t>
  </si>
  <si>
    <t>Administração Web Suite</t>
  </si>
  <si>
    <t>Web Suite Management</t>
  </si>
  <si>
    <t>Administración Web Suite</t>
  </si>
  <si>
    <t>ISP - Intellispace Portal</t>
  </si>
  <si>
    <t>Gerenciador do Schematics</t>
  </si>
  <si>
    <t>Schematics manager</t>
  </si>
  <si>
    <t>Generador del Schematics</t>
  </si>
  <si>
    <t>Gestão populacional</t>
  </si>
  <si>
    <t>Gestión de la población</t>
  </si>
  <si>
    <t>Faturamento Paciente</t>
  </si>
  <si>
    <t>Patient Billing</t>
  </si>
  <si>
    <t>Facturación paciente</t>
  </si>
  <si>
    <t>iOS - ADEP - iPod</t>
  </si>
  <si>
    <t>Troca de Dados com Convênio</t>
  </si>
  <si>
    <t>Insurance Data Exchange</t>
  </si>
  <si>
    <t>Acidente de Trabalho (DALE-UV)</t>
  </si>
  <si>
    <t>iOS - Dispositivos iPod</t>
  </si>
  <si>
    <t>Grupo de Diagnósticos Relacionados (DRG)</t>
  </si>
  <si>
    <t>Diagnosis Related Group (DRG)</t>
  </si>
  <si>
    <t>Grupo de  Diagnósticos Relacionados (DRG)</t>
  </si>
  <si>
    <t>Controle de Acesso</t>
  </si>
  <si>
    <t>Access Control</t>
  </si>
  <si>
    <t>Control de Acceso</t>
  </si>
  <si>
    <t>Gestão de Episódios</t>
  </si>
  <si>
    <t>Medical Controlling</t>
  </si>
  <si>
    <t>Gestión de Episodios</t>
  </si>
  <si>
    <t>Panorama Clínico</t>
  </si>
  <si>
    <t>Clinical Panorama</t>
  </si>
  <si>
    <t>Perspectiva Clínica</t>
  </si>
  <si>
    <t>Carta Médica</t>
  </si>
  <si>
    <t>Medical Letter</t>
  </si>
  <si>
    <t>Carta médica</t>
  </si>
  <si>
    <t>Resumo do Episódio</t>
  </si>
  <si>
    <t>Case Summary</t>
  </si>
  <si>
    <t>Resúmen del caso</t>
  </si>
  <si>
    <t>iOS - Devolução de Materiais e Medicamentos iPod</t>
  </si>
  <si>
    <t>iOS - Devolución de Materiales y Medicamentos iPod</t>
  </si>
  <si>
    <t>iOS - Controle de Glicemia Capilar iPod</t>
  </si>
  <si>
    <t>iOS - Control de Glucemia Capilar iPod</t>
  </si>
  <si>
    <t>iOS - Trocar Local do Paciente iPod</t>
  </si>
  <si>
    <t>iOS - Cambiar Local del paciente iPod</t>
  </si>
  <si>
    <t>Administração de Logs</t>
  </si>
  <si>
    <t>Log's Administration</t>
  </si>
  <si>
    <t>Administración de logs</t>
  </si>
  <si>
    <t>Clinical Board</t>
  </si>
  <si>
    <t>Junta Clínica</t>
  </si>
  <si>
    <t>Telephony management</t>
  </si>
  <si>
    <t>Functions/tables without link</t>
  </si>
  <si>
    <t>Gestión de la telefonía</t>
  </si>
  <si>
    <t>Funciones/Tablas sin necesidad de vinculo</t>
  </si>
  <si>
    <t>Alerts</t>
  </si>
  <si>
    <t>Report Parameters</t>
  </si>
  <si>
    <t>Parámetros de los Reportes</t>
  </si>
  <si>
    <t>Meetings and Minutes of Meeting Control</t>
  </si>
  <si>
    <t>Control de Reuniones y Actas</t>
  </si>
  <si>
    <t>System Menu</t>
  </si>
  <si>
    <t>Menú del Sistema</t>
  </si>
  <si>
    <t>Gestão Comercial Philips</t>
  </si>
  <si>
    <t>Gestão Comercial - Philips</t>
  </si>
  <si>
    <t>Philips Commercial Management</t>
  </si>
  <si>
    <t>Commercial management - Philips</t>
  </si>
  <si>
    <t>Gestión Comercial Philips</t>
  </si>
  <si>
    <t>Gestión comercial - Philips</t>
  </si>
  <si>
    <t>Gestão de Vendas Philips</t>
  </si>
  <si>
    <t>Philips Sales Management</t>
  </si>
  <si>
    <t>Gestión de Vendas Philips</t>
  </si>
  <si>
    <t>Currículo</t>
  </si>
  <si>
    <t>Gestão de Projetos - Philips</t>
  </si>
  <si>
    <t xml:space="preserve">Resume </t>
  </si>
  <si>
    <t>Project management - Philips</t>
  </si>
  <si>
    <t>Currículum</t>
  </si>
  <si>
    <t>Gestión de proyectos - Philips</t>
  </si>
  <si>
    <t>Gestão de Viagens</t>
  </si>
  <si>
    <t>Travel Management</t>
  </si>
  <si>
    <t>Gestión de Viajes</t>
  </si>
  <si>
    <t>Laundry</t>
  </si>
  <si>
    <t>Ropería</t>
  </si>
  <si>
    <t>Training</t>
  </si>
  <si>
    <t>Entrenamiento</t>
  </si>
  <si>
    <t>Training Management</t>
  </si>
  <si>
    <t>Gestión de Capacitación</t>
  </si>
  <si>
    <t>Web Patient Assessment</t>
  </si>
  <si>
    <t>Web</t>
  </si>
  <si>
    <t>Evaluación Paciente Web</t>
  </si>
  <si>
    <t>Palm Web</t>
  </si>
  <si>
    <t>Incident Report Web</t>
  </si>
  <si>
    <t>Atención al cliente Web</t>
  </si>
  <si>
    <t>Laboratório Web</t>
  </si>
  <si>
    <t>Web Laboratory</t>
  </si>
  <si>
    <t>Laboratorio Web</t>
  </si>
  <si>
    <t>Purchase Portal Web</t>
  </si>
  <si>
    <t>Doctor's consultation Web consultation</t>
  </si>
  <si>
    <t>Consulta programación médica Web</t>
  </si>
  <si>
    <t>Home Care Management</t>
  </si>
  <si>
    <t>Gestión de Home Care</t>
  </si>
  <si>
    <t>Radiotherapy Management</t>
  </si>
  <si>
    <t>Gestión de Radioterapia</t>
  </si>
  <si>
    <t>Strategic Planning</t>
  </si>
  <si>
    <t>Planificación Estratégica</t>
  </si>
  <si>
    <t>Visitor Control</t>
  </si>
  <si>
    <t>Control de Visitas</t>
  </si>
  <si>
    <t>Project and Investment Management</t>
  </si>
  <si>
    <t>Gestión de Proyectos e Inversiones</t>
  </si>
  <si>
    <t>Control of External Projects and Resources</t>
  </si>
  <si>
    <t>Control de Proyectos y Recursos Externos</t>
  </si>
  <si>
    <t>Patient's belongings (Old)</t>
  </si>
  <si>
    <t>Inactive functions</t>
  </si>
  <si>
    <t>Pertenencias del Paciente (Antiguo)</t>
  </si>
  <si>
    <t>Funciones Inactivas</t>
  </si>
  <si>
    <t>Auditoria SBIS</t>
  </si>
  <si>
    <t>SBIS Audit</t>
  </si>
  <si>
    <t>Auditoría SBIS</t>
  </si>
  <si>
    <t>Contact Catalog</t>
  </si>
  <si>
    <t>Catálogo de Contactos</t>
  </si>
  <si>
    <t>Oncology</t>
  </si>
  <si>
    <t>Oncología</t>
  </si>
  <si>
    <t>Diet Map (Old)</t>
  </si>
  <si>
    <t>Audit Patient Account</t>
  </si>
  <si>
    <t>Cuenta Paciente Auditoría</t>
  </si>
  <si>
    <t>Required Procedures per Insurance</t>
  </si>
  <si>
    <t>Procedimientos Requeridos por Convenio</t>
  </si>
  <si>
    <t>Pending Prescribed Procedures</t>
  </si>
  <si>
    <t>Procedimientos Prescritos Pendientes</t>
  </si>
  <si>
    <t>Report location registry (Old</t>
  </si>
  <si>
    <t>Registro de la localización de interpretaciones(Antiguo</t>
  </si>
  <si>
    <t>HAC - Hospital Admission Control</t>
  </si>
  <si>
    <t>CIH - Control de Hospitalización Hospitalaria</t>
  </si>
  <si>
    <t>EIS Cuentas Pendientes</t>
  </si>
  <si>
    <t>Gestão do Desenvolvimento e Tecnologia Philips</t>
  </si>
  <si>
    <t>Gestão Desenvolv e Tecnologia - Philips</t>
  </si>
  <si>
    <t>Philips Development and Technology Management</t>
  </si>
  <si>
    <t>Development and Tecnology management - Philips</t>
  </si>
  <si>
    <t>Gestión del Desarrollo y Tecnología Philips</t>
  </si>
  <si>
    <t>Gesticón desarrollo y tecnología - Philips</t>
  </si>
  <si>
    <t>Report Manager</t>
  </si>
  <si>
    <t>Gestor de Reportes</t>
  </si>
  <si>
    <t>TasyMed - Cadastro de Pacientes</t>
  </si>
  <si>
    <t>Teste</t>
  </si>
  <si>
    <t>TasyMed - Patient Register</t>
  </si>
  <si>
    <t>TasyMed - Registro de Pacientes</t>
  </si>
  <si>
    <t>Transplant Management</t>
  </si>
  <si>
    <t>Gestión de Trasplante</t>
  </si>
  <si>
    <t>Tax Follow-Up</t>
  </si>
  <si>
    <t>Acompañamiento de Impuestos</t>
  </si>
  <si>
    <t>Tax Control</t>
  </si>
  <si>
    <t>Control de recaudaciones</t>
  </si>
  <si>
    <t>E-Invoice Follow-Up</t>
  </si>
  <si>
    <t>Acompañamiento de Factura Electrónica</t>
  </si>
  <si>
    <t>Call Center</t>
  </si>
  <si>
    <t>Gestão de Atendimentos (Call Center)</t>
  </si>
  <si>
    <t>Encounter Management (Call Center)</t>
  </si>
  <si>
    <t>Gestión de Atenciones (Call Center)</t>
  </si>
  <si>
    <t>PACS DCX/MDC</t>
  </si>
  <si>
    <t>Suporte a Decisão Clínica</t>
  </si>
  <si>
    <t>Clinical Decision Support - Mentor</t>
  </si>
  <si>
    <t>Soporte a la Decisión Clínica (SDC) - Mentor</t>
  </si>
  <si>
    <t>Informações Gerais</t>
  </si>
  <si>
    <t>Market</t>
  </si>
  <si>
    <t>Country</t>
  </si>
  <si>
    <t>Mercado</t>
  </si>
  <si>
    <t>ID Oportunidade</t>
  </si>
  <si>
    <t>Nome do Cliente</t>
  </si>
  <si>
    <t xml:space="preserve">Telefone </t>
  </si>
  <si>
    <t>E-Mail</t>
  </si>
  <si>
    <t>Número de Leitos</t>
  </si>
  <si>
    <t>Número de Colaboradores</t>
  </si>
  <si>
    <t>Especialidade Principal</t>
  </si>
  <si>
    <t>Média de Faturamento Mensal</t>
  </si>
  <si>
    <t>Número de Médicos Atuantes</t>
  </si>
  <si>
    <t>Informações do Cliente</t>
  </si>
  <si>
    <t>Informações Equipe de T.I</t>
  </si>
  <si>
    <t>Responsável pela T.I</t>
  </si>
  <si>
    <t>E-mail</t>
  </si>
  <si>
    <t>Sistemas Atuais</t>
  </si>
  <si>
    <t>Aréa Atendida</t>
  </si>
  <si>
    <t>Informações Utilização Sistema Tasy</t>
  </si>
  <si>
    <t>Quantidade de Usuários Simultâneos</t>
  </si>
  <si>
    <t>Quantidade de Estações de trabalho</t>
  </si>
  <si>
    <t>Responsável Cliente</t>
  </si>
  <si>
    <t>Consultor de Negócio Philips</t>
  </si>
  <si>
    <t>Português</t>
  </si>
  <si>
    <t>ID</t>
  </si>
  <si>
    <t>Multisite</t>
  </si>
  <si>
    <t>Quantos sites utilizarão o sistema</t>
  </si>
  <si>
    <t>Informações Módulos de Interesse</t>
  </si>
  <si>
    <t>Interesse?</t>
  </si>
  <si>
    <t>ID Módulo</t>
  </si>
  <si>
    <t>Gestão da Regulação</t>
  </si>
  <si>
    <t>Regulation Management</t>
  </si>
  <si>
    <t>Gestión de la Regulación</t>
  </si>
  <si>
    <t>Localizador de classificação CIF</t>
  </si>
  <si>
    <t>ICF classification locator</t>
  </si>
  <si>
    <t>Localizador de clasificación CIF</t>
  </si>
  <si>
    <t>Lista de espera</t>
  </si>
  <si>
    <t xml:space="preserve">Waiting List </t>
  </si>
  <si>
    <t xml:space="preserve">Lista de espera </t>
  </si>
  <si>
    <t>Localizador de procedimento CIE9</t>
  </si>
  <si>
    <t>Buscador de procedimientos CIE9</t>
  </si>
  <si>
    <t>Lista de Tarefas</t>
  </si>
  <si>
    <t>Task List</t>
  </si>
  <si>
    <t>Lista de Tareas</t>
  </si>
  <si>
    <t>Work Accident (DALE-UV)</t>
  </si>
  <si>
    <t>Population management</t>
  </si>
  <si>
    <t>Dashboard of Targets</t>
  </si>
  <si>
    <t>iOS - eMAR - iPod</t>
  </si>
  <si>
    <t>iOS - iPod devices</t>
  </si>
  <si>
    <t>Dashboard HTML5</t>
  </si>
  <si>
    <t>iOS - Validación de medicamento con paciente en la cama</t>
  </si>
  <si>
    <t>Rel Ortese, Protese e Material Especial</t>
  </si>
  <si>
    <t xml:space="preserve">Orthosis, Prosthesis and Special Material Report </t>
  </si>
  <si>
    <t>List Órtesis, Prótesis y Material Especial</t>
  </si>
  <si>
    <t>Rel Materiais/Medic por Atendimento</t>
  </si>
  <si>
    <t>Materials/Medication per Encounter Report</t>
  </si>
  <si>
    <t>List Materiales/Medic por Atención</t>
  </si>
  <si>
    <t>Rel Medic/Mat Utilizados</t>
  </si>
  <si>
    <t>Report Used Medic/Material</t>
  </si>
  <si>
    <t>List Medic/Mat Utilizados</t>
  </si>
  <si>
    <t>Rel Exames Realizados</t>
  </si>
  <si>
    <t>Exams Performed Report</t>
  </si>
  <si>
    <t>List Exámenes Realizados</t>
  </si>
  <si>
    <t>Rel. Resultado Atendimentos</t>
  </si>
  <si>
    <t xml:space="preserve">Care Result Report </t>
  </si>
  <si>
    <t xml:space="preserve"> Resultado Atenciones</t>
  </si>
  <si>
    <t>Relatório de valores pendentes</t>
  </si>
  <si>
    <t>Amounts pending report</t>
  </si>
  <si>
    <t>Informe de valores pendientes</t>
  </si>
  <si>
    <t>Relatório de Guias do Protocolo</t>
  </si>
  <si>
    <t>Protocol Forms Report</t>
  </si>
  <si>
    <t>Informe de Guías del Protocolo</t>
  </si>
  <si>
    <t>Rel Protocolo Convênio</t>
  </si>
  <si>
    <t>Insurance Protocol Report</t>
  </si>
  <si>
    <t>List Protocolo Convenio</t>
  </si>
  <si>
    <t>Rel Protocolo Convênio (Raio-X)</t>
  </si>
  <si>
    <t>Insurance Protocol Report (X-Ray)</t>
  </si>
  <si>
    <t>List Protocolo Convenio (Rayo-X)</t>
  </si>
  <si>
    <t>Rel.Controle de Honorários Médicos</t>
  </si>
  <si>
    <t>Report Control of Physician's Fees</t>
  </si>
  <si>
    <t>Rel.Control de Honorarios Médicos</t>
  </si>
  <si>
    <t>Rel. Receita por Grupo de Receita Sint.</t>
  </si>
  <si>
    <t>Revenue per Sint. Revenue Group Report</t>
  </si>
  <si>
    <t xml:space="preserve"> Ingreso por Grupo de Ingreso Sint.</t>
  </si>
  <si>
    <t>Rel. Resumo Setor Faturamento</t>
  </si>
  <si>
    <t>Department Billing Summary Report</t>
  </si>
  <si>
    <t xml:space="preserve"> Resumen Sector Facturación</t>
  </si>
  <si>
    <t>Rel. de Rentabilidade de Pacote</t>
  </si>
  <si>
    <t>Package Profitability Report</t>
  </si>
  <si>
    <t>Rel. de Rentabilidad de Paquete</t>
  </si>
  <si>
    <t>Rel Preço Material por Convênio</t>
  </si>
  <si>
    <t>Report Material Price per Insurance</t>
  </si>
  <si>
    <t>List Precio Material por Convenio</t>
  </si>
  <si>
    <t>Rel Materiais Sem Preço</t>
  </si>
  <si>
    <t>Priceless Material Report</t>
  </si>
  <si>
    <t>List Materiales sin Precio</t>
  </si>
  <si>
    <t>Rel. Mat/Med Consumidos por Cirurgia</t>
  </si>
  <si>
    <t>Report Mat/Med Consumed per Surgery</t>
  </si>
  <si>
    <t xml:space="preserve"> Mat/Med Consumidos por Cirugía</t>
  </si>
  <si>
    <t>Rel Receitas</t>
  </si>
  <si>
    <t>Report Revenue</t>
  </si>
  <si>
    <t>List Ingresos</t>
  </si>
  <si>
    <t>Rel Saldo Estoque Consignados</t>
  </si>
  <si>
    <t>Consigned Stock Balance Report</t>
  </si>
  <si>
    <t>List Saldo Stock Consignados</t>
  </si>
  <si>
    <t>Rel Razão do Estoque</t>
  </si>
  <si>
    <t>Stock Ledger Report</t>
  </si>
  <si>
    <t>List Razón del Stock</t>
  </si>
  <si>
    <t>Rel Movto Sintético Operação</t>
  </si>
  <si>
    <t>Synthetic Movement Operation Report</t>
  </si>
  <si>
    <t>List Movto Sintético Operación</t>
  </si>
  <si>
    <t>Rel Movimento Estoque</t>
  </si>
  <si>
    <t>Stock Movement Report</t>
  </si>
  <si>
    <t>List Movimiento Stock</t>
  </si>
  <si>
    <t>Rel Consumo Mensal por Centro de Custo</t>
  </si>
  <si>
    <t>Report Monthly Consumption per Cost Center</t>
  </si>
  <si>
    <t>List Consumo Mensual por Centro de Costo</t>
  </si>
  <si>
    <t>Rel. de Inventário</t>
  </si>
  <si>
    <t>Inventory Report</t>
  </si>
  <si>
    <t>Rel. de Inventario</t>
  </si>
  <si>
    <t>Rel. Razão de Estoque Consignado</t>
  </si>
  <si>
    <t>Rationale of Consigned Stock Report</t>
  </si>
  <si>
    <t xml:space="preserve"> Razón de Stock Consignado</t>
  </si>
  <si>
    <t>Rel Compras por Fornecedor</t>
  </si>
  <si>
    <t>Purchase by Supplier Report</t>
  </si>
  <si>
    <t>List Compras por Proveedor</t>
  </si>
  <si>
    <t>Rel Notas Digitadas</t>
  </si>
  <si>
    <t>Entered Bills Report</t>
  </si>
  <si>
    <t>List Facturas Digitadas</t>
  </si>
  <si>
    <t>Rel Saldo de Estoque</t>
  </si>
  <si>
    <t>Stock Balance Report</t>
  </si>
  <si>
    <t>List Saldo de Stock</t>
  </si>
  <si>
    <t>Relação das cirurgias</t>
  </si>
  <si>
    <t xml:space="preserve">Relation of surgeries </t>
  </si>
  <si>
    <t>Lista de las cirugías</t>
  </si>
  <si>
    <t>Rel Notas por Conta Contábil</t>
  </si>
  <si>
    <t>Invoice Report per General Ledger account</t>
  </si>
  <si>
    <t xml:space="preserve">List Facturas por Cuenta contable </t>
  </si>
  <si>
    <t>Rel Utilização Material/Medicamento</t>
  </si>
  <si>
    <t>Report of Material / medicine Use</t>
  </si>
  <si>
    <t>List Utilización Material/Medicamento</t>
  </si>
  <si>
    <t>Rel Atendimentos</t>
  </si>
  <si>
    <t>Encounters Report</t>
  </si>
  <si>
    <t>List Atenciones</t>
  </si>
  <si>
    <t>Rel Atendimento Setor</t>
  </si>
  <si>
    <t>Encounter Report per department</t>
  </si>
  <si>
    <t>List Atención Sector</t>
  </si>
  <si>
    <t>Health Fitness Program</t>
  </si>
  <si>
    <t>Relatório de Topografias e Procedimentos</t>
  </si>
  <si>
    <t>Topographies and Procedures Report</t>
  </si>
  <si>
    <t>Informe de Topografías y Procedimientos</t>
  </si>
  <si>
    <t>Relatório de micro-organismo e Culturas (Relatório)</t>
  </si>
  <si>
    <t>Microorganisms and Cultures Report (Report)</t>
  </si>
  <si>
    <t>Informe de micro-organismo y Cultivos (Informe)</t>
  </si>
  <si>
    <t>Rel de Cheques</t>
  </si>
  <si>
    <t>Check Report</t>
  </si>
  <si>
    <t>List de Cheques</t>
  </si>
  <si>
    <t>Inspection Route</t>
  </si>
  <si>
    <t>Rota de Inspección</t>
  </si>
  <si>
    <t>Gestión de los Parámetros de Provisiones</t>
  </si>
  <si>
    <t>Comunicação interna</t>
  </si>
  <si>
    <t>SUS AHCP</t>
  </si>
  <si>
    <t>Nota fiscal</t>
  </si>
  <si>
    <t>Localizador de Exames Padrão</t>
  </si>
  <si>
    <t>Standard Exams Search Tool</t>
  </si>
  <si>
    <t>Localizador de Exámenes Estándar</t>
  </si>
  <si>
    <t>Person/Legal Entity Consultation</t>
  </si>
  <si>
    <t xml:space="preserve">Avaliações </t>
  </si>
  <si>
    <t>Rel Pessoas Físicas</t>
  </si>
  <si>
    <t>Persons Report</t>
  </si>
  <si>
    <t>List Personas Físicas</t>
  </si>
  <si>
    <t>Rel Curva ABC/XYZ</t>
  </si>
  <si>
    <t>Report ABC/XYZ Analysis</t>
  </si>
  <si>
    <t>List Curva ABC/XYZ</t>
  </si>
  <si>
    <t>Rel Requisição</t>
  </si>
  <si>
    <t>Request Report</t>
  </si>
  <si>
    <t>List Requisición</t>
  </si>
  <si>
    <t>Rel. Controle de Cauções</t>
  </si>
  <si>
    <t xml:space="preserve">Money Deposit Control Report </t>
  </si>
  <si>
    <t xml:space="preserve"> Control de Cauciones</t>
  </si>
  <si>
    <t>Rel de Atendimento por Município</t>
  </si>
  <si>
    <t>Encounter per Town Report</t>
  </si>
  <si>
    <t>List de Atención por Municipio</t>
  </si>
  <si>
    <t>Rel. Consistência Dados Cadastrais Pac.</t>
  </si>
  <si>
    <t xml:space="preserve">Consistency Patient Information Report </t>
  </si>
  <si>
    <t xml:space="preserve"> Validación Datos Registro Pac.</t>
  </si>
  <si>
    <t>Rel Internações por Convênio</t>
  </si>
  <si>
    <t>Admission per Insurance Report</t>
  </si>
  <si>
    <t>List Internaciones por Convenio</t>
  </si>
  <si>
    <t>Rel Diagnósticos</t>
  </si>
  <si>
    <t xml:space="preserve">Diagnosis Report </t>
  </si>
  <si>
    <t>List Diagnósticos</t>
  </si>
  <si>
    <t>Relat Atendimentos por convenio</t>
  </si>
  <si>
    <t>Care per insurance Report</t>
  </si>
  <si>
    <t>Infor Atenciones por convenio</t>
  </si>
  <si>
    <t>Rel Etiquetas</t>
  </si>
  <si>
    <t>Labels Report</t>
  </si>
  <si>
    <t>List Etiquetas</t>
  </si>
  <si>
    <t>Rel Estatística Acerto Conta</t>
  </si>
  <si>
    <t>Report Statistics Account Settling</t>
  </si>
  <si>
    <t>List Estadística Ajuste Cuenta</t>
  </si>
  <si>
    <t>TISS Transactions Log</t>
  </si>
  <si>
    <t>Rel Preço Procedimentos</t>
  </si>
  <si>
    <t>Procedure Price Report</t>
  </si>
  <si>
    <t>List Precio Procedimientos</t>
  </si>
  <si>
    <t>Rel Totais das Contas por Convênio</t>
  </si>
  <si>
    <t>Report Total of Accounts per Insurance</t>
  </si>
  <si>
    <t>List Totales de las Cuentas por Convenio</t>
  </si>
  <si>
    <t>Protocolo de pesquisa</t>
  </si>
  <si>
    <t>Rel Divergência Ordem Compra Item</t>
  </si>
  <si>
    <t>Purchase Order Item Discrepancy Report</t>
  </si>
  <si>
    <t>List Divergencia Orden Compra Ítem</t>
  </si>
  <si>
    <t>Rel Solicitação Compras</t>
  </si>
  <si>
    <t>Report Purchase Request</t>
  </si>
  <si>
    <t>List Solicitud Compras</t>
  </si>
  <si>
    <t>Rel Ordem de Compra</t>
  </si>
  <si>
    <t>Report Purchase Order</t>
  </si>
  <si>
    <t>List Orden de Compra</t>
  </si>
  <si>
    <t>Rel Solicitação de Compra</t>
  </si>
  <si>
    <t>List Solicitud de Compra</t>
  </si>
  <si>
    <t>Rel Comparativo Materiais com/sem Prescr</t>
  </si>
  <si>
    <t>Material Comparative Report w/wo Prescription</t>
  </si>
  <si>
    <t>List Comparativo Materiales con/sin Prescr</t>
  </si>
  <si>
    <t>Report of non-standardized medicine</t>
  </si>
  <si>
    <t>List Medicamentos No Estandarizados</t>
  </si>
  <si>
    <t>Rel de Materiais Controlados</t>
  </si>
  <si>
    <t>Report of Controlled Materials</t>
  </si>
  <si>
    <t>List de Materiales Controlados</t>
  </si>
  <si>
    <t>Rel Material Brasíndice</t>
  </si>
  <si>
    <t>BrasIndice Material Report</t>
  </si>
  <si>
    <t>List Material Brasíndice</t>
  </si>
  <si>
    <t>Rel Estrutura Materiais</t>
  </si>
  <si>
    <t>Material Structure Report</t>
  </si>
  <si>
    <t>List Estructura Materiales</t>
  </si>
  <si>
    <t>Rel Materiais</t>
  </si>
  <si>
    <t>Materials Report</t>
  </si>
  <si>
    <t>List Materiales</t>
  </si>
  <si>
    <t>Relação de Medicamentos</t>
  </si>
  <si>
    <t>Medicine List</t>
  </si>
  <si>
    <t>Lista de Medicamentos</t>
  </si>
  <si>
    <t>Medical Report Processing</t>
  </si>
  <si>
    <t>Non-Confirmed Exams Report</t>
  </si>
  <si>
    <t>List Exámenes No Confirmados</t>
  </si>
  <si>
    <t>Rel Protocolos - Frases Padrão</t>
  </si>
  <si>
    <t>Protocols Rel - Standard Phrases</t>
  </si>
  <si>
    <t>Rel Protocolos - Frases Estándar</t>
  </si>
  <si>
    <t>Accounts Reconciliation</t>
  </si>
  <si>
    <t>Rel. Gasto de Terceiros</t>
  </si>
  <si>
    <t>Third Party Expenses Report</t>
  </si>
  <si>
    <t xml:space="preserve"> Gasto de Terceros</t>
  </si>
  <si>
    <t>Non-accounted Patient Accounts Report</t>
  </si>
  <si>
    <t>List Cuentas Paciente no contabilizadas</t>
  </si>
  <si>
    <t>Rel Contas de Receita</t>
  </si>
  <si>
    <t>Report Revenue Accounts</t>
  </si>
  <si>
    <t>List Cuentas de Ingreso</t>
  </si>
  <si>
    <t>Rel Títulos a Pagar</t>
  </si>
  <si>
    <t>Payables Report</t>
  </si>
  <si>
    <t>List Documentos a Pagar</t>
  </si>
  <si>
    <t>Rel Notas Fiscais Vencimento</t>
  </si>
  <si>
    <t>Invoice Expiration Report</t>
  </si>
  <si>
    <t>List Facturas Vencimiento</t>
  </si>
  <si>
    <t>Relatório Comissão de controle de infecção hospitalar</t>
  </si>
  <si>
    <t>Report from Nosocomial Infection Surveillance Committee</t>
  </si>
  <si>
    <t>Informe Comisión de control de infección hospitalaria</t>
  </si>
  <si>
    <t>Relatório Percentual de controle de infecção hospitalar</t>
  </si>
  <si>
    <t>Nosocomial Infection Surveillance Percentage Report</t>
  </si>
  <si>
    <t>Informe Porcentual de control de infección hospitalaria</t>
  </si>
  <si>
    <t>Relatório de Cirurgias</t>
  </si>
  <si>
    <t>Surgeries Report</t>
  </si>
  <si>
    <t>Informe de Cirugías</t>
  </si>
  <si>
    <t>Relatório de Percentuais</t>
  </si>
  <si>
    <t>Percentage Report</t>
  </si>
  <si>
    <t>Informe de Porcentuales</t>
  </si>
  <si>
    <t>Relatório de Topografias e Procedimentos (Função)</t>
  </si>
  <si>
    <t>Topographies and Procedures Report (Function)</t>
  </si>
  <si>
    <t>Informe de Topografías y Procedimientos (Función)</t>
  </si>
  <si>
    <t>Relatório de Micro-organismos e Culturas (Função)</t>
  </si>
  <si>
    <t>Microorganisms and Cultures Report (Function)</t>
  </si>
  <si>
    <t>Informe de Microorganismos y Cultivos (Función)</t>
  </si>
  <si>
    <t>Schedule Configuration</t>
  </si>
  <si>
    <t>Perioperative Items Settings</t>
  </si>
  <si>
    <t>Electronic Pre-Anesthetic Assessment</t>
  </si>
  <si>
    <t>Rel Estatísticas de Cirurgias</t>
  </si>
  <si>
    <t>Report Surgery Statistics</t>
  </si>
  <si>
    <t>List Estadísticas de Cirugías</t>
  </si>
  <si>
    <t>Rel Títulos a Receber</t>
  </si>
  <si>
    <t>Receivables Report</t>
  </si>
  <si>
    <t>List Documentos a Recibir</t>
  </si>
  <si>
    <t>Rel. Adiantamentos</t>
  </si>
  <si>
    <t>Report Advances</t>
  </si>
  <si>
    <t xml:space="preserve">Rel. </t>
  </si>
  <si>
    <t>E-Collection</t>
  </si>
  <si>
    <t>National Record of Users SUS</t>
  </si>
  <si>
    <t>National Registry of Health Establishments (NRHE)</t>
  </si>
  <si>
    <t>SUS Unified Management - SUM</t>
  </si>
  <si>
    <t>SUS BPF</t>
  </si>
  <si>
    <t>Relatório de Conferência da Prescrição</t>
  </si>
  <si>
    <t>Prescription Checking Report</t>
  </si>
  <si>
    <t>Informe de Conferencia de la Prescripción</t>
  </si>
  <si>
    <t>PACS DCX 2.3 L1 SP2</t>
  </si>
  <si>
    <t>HDM - Agenda</t>
  </si>
  <si>
    <t>Health and Disease Management</t>
  </si>
  <si>
    <t>HDM - Schedule</t>
  </si>
  <si>
    <t>HDM - Acompanhamento do Plano de Atendimento</t>
  </si>
  <si>
    <t>HDM - Encounter Plan Monitoring</t>
  </si>
  <si>
    <t>HDM - Acompañamiento del Plan de Atención</t>
  </si>
  <si>
    <t>HDM - Controle de Participantes</t>
  </si>
  <si>
    <t>HDM - Participant Control</t>
  </si>
  <si>
    <t>HDM - Control de Participantes</t>
  </si>
  <si>
    <t>HDM - Pesquisa de População Alvo</t>
  </si>
  <si>
    <t>HDM - Target Population Search</t>
  </si>
  <si>
    <t>HDM - Investigación de Población Objetivo</t>
  </si>
  <si>
    <t>HDM - Captação</t>
  </si>
  <si>
    <t>HDM - Invitation</t>
  </si>
  <si>
    <t>HDM - Captación</t>
  </si>
  <si>
    <t>HDM - Grupos de Atendimento Coletivo</t>
  </si>
  <si>
    <t>HDM - Collective Encounter Groups</t>
  </si>
  <si>
    <t>HDM - Grupos de Atención Colectiva</t>
  </si>
  <si>
    <t>HDM - Controle de Equipes e Papéis</t>
  </si>
  <si>
    <t>HDM - Team Control and Roles</t>
  </si>
  <si>
    <t>HDM - Control de Equipos y Papeles</t>
  </si>
  <si>
    <t>HDM - Programas</t>
  </si>
  <si>
    <t>HDM - Programs</t>
  </si>
  <si>
    <t>HDM - Controle de Campanhas</t>
  </si>
  <si>
    <t>HDM - Campaign Control</t>
  </si>
  <si>
    <t>HDM ¿ Control de Campañas</t>
  </si>
  <si>
    <t>HDM - Cadastros Gerais</t>
  </si>
  <si>
    <t>HDM - Core Tables Settings</t>
  </si>
  <si>
    <t>HDM - Registros Generales</t>
  </si>
  <si>
    <t>HDM - Configurações Gerais</t>
  </si>
  <si>
    <t>HDM - General Settings</t>
  </si>
  <si>
    <t>HDM - Configuraciones Generales</t>
  </si>
  <si>
    <t>HDM - Telemonitoramento</t>
  </si>
  <si>
    <t>HDM - Telemonitoring</t>
  </si>
  <si>
    <t>HDM - Telemonitoreo</t>
  </si>
  <si>
    <t>HDM - Atendimento</t>
  </si>
  <si>
    <t>HDM - Encounter</t>
  </si>
  <si>
    <t>HDM - Atención</t>
  </si>
  <si>
    <t>CD_FUNCAO</t>
  </si>
  <si>
    <t>DS_FUNCAO_PT</t>
  </si>
  <si>
    <t>CD_MODULO</t>
  </si>
  <si>
    <t>MODULO_PT</t>
  </si>
  <si>
    <t>DS_FUNCAO_US</t>
  </si>
  <si>
    <t>MODULO_US</t>
  </si>
  <si>
    <t>DS_FUNCAO_ES</t>
  </si>
  <si>
    <t>MODULO_ES</t>
  </si>
  <si>
    <t>Inventário</t>
  </si>
  <si>
    <t>Checagem Quimioterapia</t>
  </si>
  <si>
    <t>Execução da Prescrição</t>
  </si>
  <si>
    <t>Checagem Beira Leito</t>
  </si>
  <si>
    <t>Checagem Adep</t>
  </si>
  <si>
    <t>HORAS IMPL. QUAL</t>
  </si>
  <si>
    <t>General information</t>
  </si>
  <si>
    <t>Customer Information</t>
  </si>
  <si>
    <t>ID Opportunity</t>
  </si>
  <si>
    <t>Number of beds</t>
  </si>
  <si>
    <t>Number of Employees</t>
  </si>
  <si>
    <t>Main Specialty</t>
  </si>
  <si>
    <t>Monthly Billing Average</t>
  </si>
  <si>
    <t>Number of Physicians</t>
  </si>
  <si>
    <t>Telephone</t>
  </si>
  <si>
    <t>Información general</t>
  </si>
  <si>
    <t>ID Oportunidad</t>
  </si>
  <si>
    <t>Teléfono</t>
  </si>
  <si>
    <t>Número de camas</t>
  </si>
  <si>
    <t>Número de empleados</t>
  </si>
  <si>
    <t>Especialidad principal</t>
  </si>
  <si>
    <t>Promedio de facturación mensual</t>
  </si>
  <si>
    <t>Número de médicos</t>
  </si>
  <si>
    <t>Pergunta</t>
  </si>
  <si>
    <t>Racional</t>
  </si>
  <si>
    <t>Id Função</t>
  </si>
  <si>
    <t>Horas Implantação</t>
  </si>
  <si>
    <t>ID Pergunta</t>
  </si>
  <si>
    <t>hide</t>
  </si>
  <si>
    <t>Version</t>
  </si>
  <si>
    <t>Date</t>
  </si>
  <si>
    <t>Description</t>
  </si>
  <si>
    <t>Responsible</t>
  </si>
  <si>
    <t>Version Control</t>
  </si>
  <si>
    <t>Item Prontuário</t>
  </si>
  <si>
    <t>88.1</t>
  </si>
  <si>
    <t>331.1</t>
  </si>
  <si>
    <t>Planilha</t>
  </si>
  <si>
    <t>IT Infrastructure Information</t>
  </si>
  <si>
    <t>Tasy System Information</t>
  </si>
  <si>
    <t>Current Systems</t>
  </si>
  <si>
    <t>Name</t>
  </si>
  <si>
    <t>Questionnaire Information</t>
  </si>
  <si>
    <t>Customer Responsible</t>
  </si>
  <si>
    <t>Philips Business Consultant</t>
  </si>
  <si>
    <t>Fornecedor</t>
  </si>
  <si>
    <t>Provider</t>
  </si>
  <si>
    <t>Area</t>
  </si>
  <si>
    <t>Número de estaciones de trabajo</t>
  </si>
  <si>
    <t>Número de usuarios simultáneos</t>
  </si>
  <si>
    <t>Sistemas actuales</t>
  </si>
  <si>
    <t>Nombre</t>
  </si>
  <si>
    <t>Proveedor</t>
  </si>
  <si>
    <t>Fecha</t>
  </si>
  <si>
    <t>Responsable del cliente</t>
  </si>
  <si>
    <t>Consultor de Negocios Philips</t>
  </si>
  <si>
    <t>Modules of Interest</t>
  </si>
  <si>
    <t>Módulos de interés</t>
  </si>
  <si>
    <t>Modulos</t>
  </si>
  <si>
    <t>Perguntas</t>
  </si>
  <si>
    <t>Relevant Questions</t>
  </si>
  <si>
    <t>Idioma</t>
  </si>
  <si>
    <t>Language</t>
  </si>
  <si>
    <t>English</t>
  </si>
  <si>
    <t>Español</t>
  </si>
  <si>
    <t>Module ID</t>
  </si>
  <si>
    <t>Module</t>
  </si>
  <si>
    <t>Interest?</t>
  </si>
  <si>
    <t>Interés?</t>
  </si>
  <si>
    <t>Iten of Eletronic Patient Chart</t>
  </si>
  <si>
    <t>Pequeno BR</t>
  </si>
  <si>
    <t>Médio BR</t>
  </si>
  <si>
    <t>Grande BR</t>
  </si>
  <si>
    <t>Pequeno</t>
  </si>
  <si>
    <t>Detalhamento de Horas</t>
  </si>
  <si>
    <t>Small</t>
  </si>
  <si>
    <t>Médio</t>
  </si>
  <si>
    <t>Medium</t>
  </si>
  <si>
    <t>Pequeño</t>
  </si>
  <si>
    <t>Medio</t>
  </si>
  <si>
    <t>Grande</t>
  </si>
  <si>
    <t>Big</t>
  </si>
  <si>
    <t>Porte Hospital</t>
  </si>
  <si>
    <t>Afirmativas</t>
  </si>
  <si>
    <t>OFFSET('Listas (Hide)'!$B$11;1;MATCH('Informações Gerais'!$F$4;'Listas (Hide)'!$B$11:$D$11;0)-1;2)</t>
  </si>
  <si>
    <t>Processo de Virada</t>
  </si>
  <si>
    <t>Inicialização</t>
  </si>
  <si>
    <t>Instalação</t>
  </si>
  <si>
    <t>Go Live</t>
  </si>
  <si>
    <t>sdasd</t>
  </si>
  <si>
    <t>Quantidade de Consultores para implantação?</t>
  </si>
  <si>
    <t>Percentual de Gerência de Projeto?</t>
  </si>
  <si>
    <t>Quantidade de horas para Instalação do Produto?</t>
  </si>
  <si>
    <t>Lançamento de Projetos</t>
  </si>
  <si>
    <t>Teste Piloto</t>
  </si>
  <si>
    <t>Acompanhamento Pós-Virada</t>
  </si>
  <si>
    <t>Resumo de Horas</t>
  </si>
  <si>
    <t>Quantidade de horas para Teste Piloto por recurso?</t>
  </si>
  <si>
    <t>Quantidade de horas para Processo de Virada por recurso?</t>
  </si>
  <si>
    <t>Quantidade de horas mensal de Acompanhamento Pós-Virada por recurso?</t>
  </si>
  <si>
    <t>Quantidade de horas para o Lançamento de Projetos por recurso</t>
  </si>
  <si>
    <t>Gerenciamento de Projeto</t>
  </si>
  <si>
    <t>Total de Horas do projeto</t>
  </si>
  <si>
    <t>Informações Adicionais</t>
  </si>
  <si>
    <t>Quantas recepções a instituição possui?</t>
  </si>
  <si>
    <t>Revisão de Módulo</t>
  </si>
  <si>
    <t>Classificação de Risco Manchester</t>
  </si>
  <si>
    <t>APS</t>
  </si>
  <si>
    <t>Gestão de Banco de Leite </t>
  </si>
  <si>
    <t>Painel de Serviços da Nutrição </t>
  </si>
  <si>
    <t>EIS - Indicadores de Gestão</t>
  </si>
  <si>
    <t>IOS</t>
  </si>
  <si>
    <t>Banco de Leite</t>
  </si>
  <si>
    <t>Gerenciador de Sistema</t>
  </si>
  <si>
    <t>Agenda Web</t>
  </si>
  <si>
    <t>4Test</t>
  </si>
  <si>
    <t>Schematic4Test</t>
  </si>
  <si>
    <t>Dashboard 4Test</t>
  </si>
  <si>
    <t>Data Privacy</t>
  </si>
  <si>
    <t>Tasy Web Suite</t>
  </si>
  <si>
    <t>Web Suite Agendamento do Paciente</t>
  </si>
  <si>
    <t>Web Suite Resultado de Exames</t>
  </si>
  <si>
    <t>Quantos setores utilizarão o atendimento do lote?</t>
  </si>
  <si>
    <t>Quantos setores utilizarão o processo de devolução de materiais do paciente?</t>
  </si>
  <si>
    <t>Quantos setores utilizarão o processo de Ordem de Serviço?</t>
  </si>
  <si>
    <t>Possui centro obstétrico?</t>
  </si>
  <si>
    <t>É realizado importação do extrato bancário?</t>
  </si>
  <si>
    <t>Quantos setores utilizarão a administração eletronica da prescrição (ADEP)?</t>
  </si>
  <si>
    <t>Quantas centrais de atendimentos/autorização existem?</t>
  </si>
  <si>
    <t>Controla ou pretende controlar o processo de produção de refeição?</t>
  </si>
  <si>
    <t>Possui P.A com processos diferentes? Ex: P.A Adulto e P.A Infantil. Caso possua, quantos são?</t>
  </si>
  <si>
    <t>Quantos setores utilizarão o Prontuário Eletronico do Paciente?</t>
  </si>
  <si>
    <t>Quantos setores utilizarão um painel de chamadas para controle de filas de atendimento?</t>
  </si>
  <si>
    <t>Quantos profissionais atuam com plantões na instituição?</t>
  </si>
  <si>
    <t>Quantos Terceiros possuem repasse de pagamento?Ex.: Medicos, clinicas, laboratorios, corpo clinico e etc.</t>
  </si>
  <si>
    <t>Quantos convênios a instituição atende?</t>
  </si>
  <si>
    <t>É realizado a importação de extratos da operadora de cartão de crédito?</t>
  </si>
  <si>
    <t>É realizado serviços de oncologia?</t>
  </si>
  <si>
    <t>É realizado atendimento para o SUS?</t>
  </si>
  <si>
    <t>José Dallabrida</t>
  </si>
  <si>
    <t>Diogo Benigo</t>
  </si>
  <si>
    <t>Plataforma</t>
  </si>
  <si>
    <t>Resposta sendo Sim, adiciona 8 horas no prontuário eletronico</t>
  </si>
  <si>
    <t>O que fazer com IOS?</t>
  </si>
  <si>
    <t>O que fazer com Palm?</t>
  </si>
  <si>
    <t>Licitação oq fazer?</t>
  </si>
  <si>
    <t>Banco de Leite dentro do prontuário?</t>
  </si>
  <si>
    <t>Tamanho P, M e G</t>
  </si>
  <si>
    <t>Brasil</t>
  </si>
  <si>
    <t>Nome Fantasia</t>
  </si>
  <si>
    <t>Dados Comerciais</t>
  </si>
  <si>
    <t>Distribuidores</t>
  </si>
  <si>
    <t>CNPJ</t>
  </si>
  <si>
    <t>Deslocamento Distribuidor</t>
  </si>
  <si>
    <t>obrigatoriedade de campos</t>
  </si>
  <si>
    <t>Mobilidade</t>
  </si>
  <si>
    <t>Razão Social</t>
  </si>
  <si>
    <t>Forma de Licenciamento</t>
  </si>
  <si>
    <t>GHAS</t>
  </si>
  <si>
    <t>GHR</t>
  </si>
  <si>
    <t>Digisystem</t>
  </si>
  <si>
    <t>Syspec</t>
  </si>
  <si>
    <t>IT Force</t>
  </si>
  <si>
    <t>Vivere</t>
  </si>
  <si>
    <t>MD Sistemas</t>
  </si>
  <si>
    <t>Tipo de Proposta</t>
  </si>
  <si>
    <t>Valor da LUT</t>
  </si>
  <si>
    <t>Valor CDU</t>
  </si>
  <si>
    <t>Valor da Manutenção</t>
  </si>
  <si>
    <t>Valor da Hora da Consultoria</t>
  </si>
  <si>
    <t>Os impostos estão inclusos no valor das horas de consultoria?</t>
  </si>
  <si>
    <t>Condição de Pagamento Diferenciada?</t>
  </si>
  <si>
    <t>Responsável pela compra:</t>
  </si>
  <si>
    <t>CDU</t>
  </si>
  <si>
    <t>LUT</t>
  </si>
  <si>
    <t>Ambas</t>
  </si>
  <si>
    <t>Usuário Concorrente</t>
  </si>
  <si>
    <t>Estação de Trabalho</t>
  </si>
  <si>
    <t>Trajeto</t>
  </si>
  <si>
    <t>Periodicidade</t>
  </si>
  <si>
    <t>Diário</t>
  </si>
  <si>
    <t>Semanal</t>
  </si>
  <si>
    <t>Quinzenal</t>
  </si>
  <si>
    <t>Mensal</t>
  </si>
  <si>
    <t>PALM</t>
  </si>
  <si>
    <t>iPAD</t>
  </si>
  <si>
    <t>Resposta sendo Sim, será adicionado 4 horas na função iOS - PEP</t>
  </si>
  <si>
    <t>Resposta sendo Sim, será adiconada 12 horas na função PALM Web</t>
  </si>
  <si>
    <t>Instituição utiliza Protocolo de Sepse Ilas II?</t>
  </si>
  <si>
    <t>Excluido APS</t>
  </si>
  <si>
    <t>Horas Adicionais</t>
  </si>
  <si>
    <t>Criado planilha SP- Proposta</t>
  </si>
  <si>
    <t xml:space="preserve">Ajustes nos módulos, funções e perguntas </t>
  </si>
  <si>
    <t>Excluido modulo ITEM PRONTUÁRIO, funções criadas PALM</t>
  </si>
  <si>
    <t>Atualizada horas de implantação, alterada algumas perguntas, criado indicador de plataforma</t>
  </si>
  <si>
    <t>Funções com horas 0 foram removidas de todos os escopos</t>
  </si>
  <si>
    <t>ITEM</t>
  </si>
  <si>
    <t>O QUE FAZER</t>
  </si>
  <si>
    <t>STATUS</t>
  </si>
  <si>
    <t>Criar como modulo</t>
  </si>
  <si>
    <t>Criar como modulo separado</t>
  </si>
  <si>
    <t>Manter</t>
  </si>
  <si>
    <t>Funções com 0 colocar escopo NÂO</t>
  </si>
  <si>
    <t>Perguntas do Beyond?</t>
  </si>
  <si>
    <t>Verificar na proxima versão</t>
  </si>
  <si>
    <t>OK</t>
  </si>
  <si>
    <t>PENDENTE</t>
  </si>
  <si>
    <t>Integrações</t>
  </si>
  <si>
    <t>Em Uso?</t>
  </si>
  <si>
    <t>Agendamento</t>
  </si>
  <si>
    <t>Tasy &gt; Terceiro</t>
  </si>
  <si>
    <t>Webservice</t>
  </si>
  <si>
    <t>Tasy envia para o sistema de SMS os dados do agendamento e do paciente e o sistema de SMS envia o SMS ao paciente.</t>
  </si>
  <si>
    <t>Assistencial</t>
  </si>
  <si>
    <t>Financeiro</t>
  </si>
  <si>
    <t>Controladoria</t>
  </si>
  <si>
    <t>Nome do Software</t>
  </si>
  <si>
    <t>Philips SMS Manager</t>
  </si>
  <si>
    <t>Philips</t>
  </si>
  <si>
    <t>Fabricante</t>
  </si>
  <si>
    <t>Ordem Serviço R&amp;D</t>
  </si>
  <si>
    <t>Estimativa Desenvolvimento R&amp;D</t>
  </si>
  <si>
    <t>Responsável: Vendedor</t>
  </si>
  <si>
    <t>Responsável: R&amp;D</t>
  </si>
  <si>
    <t>Detalhamento de Integrações</t>
  </si>
  <si>
    <t>Exemplo:</t>
  </si>
  <si>
    <t>Adicionada a aba de Integrações</t>
  </si>
  <si>
    <t>Anderson R. Tridapalli</t>
  </si>
  <si>
    <t>1) Ajuste do Módulo Suporte a Decisão Clínica para ser incluído no caso de Hospital de Pequeno porte;
2) Inclusão de pergunta sobre Oftalmologia para inclusão de 40 horas no Prontuário Eletrônico Paciente;
3) Ajuste do número de horas do item do PEP Oftalmologia para 40 horas. Não há reflexo, mas, é importante manter atualizado.</t>
  </si>
  <si>
    <t>Deseja implantar o item de Prontuário Oftalmologia?</t>
  </si>
  <si>
    <t>Deseja implantar o processo de Privacy? Ex. GDPR/LGPD</t>
  </si>
  <si>
    <t>1) Todas as funções com horas alteramos para "Sim" a coluna pequeno, médio e grande.
2) Ajustamos a pergunta "Data Privacy", adicionado um código de função ao processo.
3) Ajustamos as horas de teste piloto, processo de virada e acompanhamento pós virada.</t>
  </si>
  <si>
    <t>Número de Licenças</t>
  </si>
  <si>
    <t>Informações sobre o Cliente</t>
  </si>
  <si>
    <t>Valor da Hora de Geren. De Projetos</t>
  </si>
  <si>
    <t>Forma de Deslocamento</t>
  </si>
  <si>
    <t>Avião</t>
  </si>
  <si>
    <t>Ônibus Leito</t>
  </si>
  <si>
    <t>Carro</t>
  </si>
  <si>
    <t>Comunicación</t>
  </si>
  <si>
    <t>Patrimonio</t>
  </si>
  <si>
    <t>Higienización</t>
  </si>
  <si>
    <t>Archivo Clínico</t>
  </si>
  <si>
    <t>Calidad</t>
  </si>
  <si>
    <t>Ordenanza</t>
  </si>
  <si>
    <t>Auditoría</t>
  </si>
  <si>
    <t>Pago de Convenios</t>
  </si>
  <si>
    <t>Recepción e Hospitalización</t>
  </si>
  <si>
    <t>Farmacia</t>
  </si>
  <si>
    <t>Costos</t>
  </si>
  <si>
    <t>Mantenimiento</t>
  </si>
  <si>
    <t>Centro Quirúrgico</t>
  </si>
  <si>
    <t>Hemodiálisis</t>
  </si>
  <si>
    <t>Informes</t>
  </si>
  <si>
    <t>Prueba</t>
  </si>
  <si>
    <t>Banco de Sangre</t>
  </si>
  <si>
    <t>Item Expediente electrónico paciente</t>
  </si>
  <si>
    <t>O cliente deseja medir os indicadores de qualidade do protocolo de Sepse?</t>
  </si>
  <si>
    <t>How many insurance companies does the institution attend?</t>
  </si>
  <si>
    <t>Los sectores de farmacia y almacén utilizan el proceso de requisición?</t>
  </si>
  <si>
    <t>Has an external audit process of accounts?</t>
  </si>
  <si>
    <t>Tiene un proceso de auditoría externa de cuentas?</t>
  </si>
  <si>
    <t>Has an obstetric center?</t>
  </si>
  <si>
    <t>Tiene un centro obstétrico?</t>
  </si>
  <si>
    <t>Cuántos sectores utilizarán el proceso de orden de servicio?</t>
  </si>
  <si>
    <t>Controls or pretends to control the meal production process?</t>
  </si>
  <si>
    <t>Cuántos sectores utilizarán la prescripción electrónica del paciente?</t>
  </si>
  <si>
    <t>Cuántos sectores utilizarán los registros médicos electrônicos del paciente?</t>
  </si>
  <si>
    <t>How many receptions does the institution have?</t>
  </si>
  <si>
    <t>Cuántas recepciones tiene la institución?</t>
  </si>
  <si>
    <t>How many sectors will utilize the call panel to manage the service queues?</t>
  </si>
  <si>
    <t>Cuántos sectores utilizarán el panel de llamadas para administrar las cosas de servicio?</t>
  </si>
  <si>
    <t>Cuántos profesionales trabajan con "de guardia" en esta institución?</t>
  </si>
  <si>
    <t>How many Third-party service have payment transfer? Ex: Doctors, Clinics, Labs, Clinical body and etc.</t>
  </si>
  <si>
    <t>Cuántos servicios de terceros tienen repaso de pago? Ej: Doctores, Clínicas, Laboratorios, Cuerpo Clínico y etc.</t>
  </si>
  <si>
    <t>1) Ajustes do idioma das perguntas
2) Mais expressões por idioma
3) Inclusão de mais perguntas para geração da estimativa</t>
  </si>
  <si>
    <t>*Campo Obrigatório para gerar estimativa</t>
  </si>
  <si>
    <t>Core do sistema</t>
  </si>
  <si>
    <t>Adicionadas perguntas de Privacy</t>
  </si>
  <si>
    <t>FTIN</t>
  </si>
  <si>
    <t>Social Reason</t>
  </si>
  <si>
    <t>Razón Social</t>
  </si>
  <si>
    <t>Fantasy name</t>
  </si>
  <si>
    <t>Proposal type</t>
  </si>
  <si>
    <t>Tipo de propuesta</t>
  </si>
  <si>
    <t>Licensing form</t>
  </si>
  <si>
    <t>Number of licenses</t>
  </si>
  <si>
    <t>Número de licencias</t>
  </si>
  <si>
    <t>Business Data</t>
  </si>
  <si>
    <t>Datos comerciales</t>
  </si>
  <si>
    <t>LUT value</t>
  </si>
  <si>
    <t>Valor de LUT</t>
  </si>
  <si>
    <t>CDU Value</t>
  </si>
  <si>
    <t>Valor de CDU</t>
  </si>
  <si>
    <t>Maintenance Value</t>
  </si>
  <si>
    <t>Valor de mantenimiento</t>
  </si>
  <si>
    <t>Consulting hour value</t>
  </si>
  <si>
    <t>Valor de la hora de consulta</t>
  </si>
  <si>
    <t>Project Manager hour value</t>
  </si>
  <si>
    <t>Valor de hora del gerente de proyecto</t>
  </si>
  <si>
    <t>The taxes are included in the value of consulting hour?</t>
  </si>
  <si>
    <t>Distributor Displacement</t>
  </si>
  <si>
    <t>Form of displacement</t>
  </si>
  <si>
    <t>Path</t>
  </si>
  <si>
    <t>Periodicity</t>
  </si>
  <si>
    <t>Periodicidad</t>
  </si>
  <si>
    <t>Plane</t>
  </si>
  <si>
    <t>Avión</t>
  </si>
  <si>
    <t>Bed Bus (bus bed?)</t>
  </si>
  <si>
    <t>Car</t>
  </si>
  <si>
    <t>Coche</t>
  </si>
  <si>
    <t>Responsible for Buying</t>
  </si>
  <si>
    <t>Responsable de la compra</t>
  </si>
  <si>
    <t>Quantity of consultant to implantation?</t>
  </si>
  <si>
    <t>Project Management Percentage</t>
  </si>
  <si>
    <t>Porcentaje de gestión de proyectos</t>
  </si>
  <si>
    <t>Quantity of hours for launching projects by(per) resource</t>
  </si>
  <si>
    <t>Quantity of hours to the product installation</t>
  </si>
  <si>
    <t>Cantidad de horas hasta la instalación del producto</t>
  </si>
  <si>
    <t>Quantity of hours for pilot test per resource</t>
  </si>
  <si>
    <t>Cantidad de horas para prueba piloto por recurso</t>
  </si>
  <si>
    <t>Quantity of hours for turning process per resource</t>
  </si>
  <si>
    <t>Cuántos cajeros existen en toda la institución?</t>
  </si>
  <si>
    <t>Is performed Oncology services?</t>
  </si>
  <si>
    <t>Desea implantar el proceso de privacidad? Ej: GDPR/LGPD</t>
  </si>
  <si>
    <t>The customer wants to measure the quality indicators of Sepse protocol?</t>
  </si>
  <si>
    <t>Is performed the importation of credit card operator extract?</t>
  </si>
  <si>
    <t>Informe abaixo quais funcionalidades serão utilizadas no iPAD</t>
  </si>
  <si>
    <t>Informe abaixo quais funcionalidades serão utilizadas no PALM</t>
  </si>
  <si>
    <t>Responsável pela compra</t>
  </si>
  <si>
    <t>País</t>
  </si>
  <si>
    <t>Información del cliente</t>
  </si>
  <si>
    <t>Customer Name</t>
  </si>
  <si>
    <t>Nombre del Cliente</t>
  </si>
  <si>
    <t>Contato</t>
  </si>
  <si>
    <t>Contact</t>
  </si>
  <si>
    <t>Contacto</t>
  </si>
  <si>
    <t>Role</t>
  </si>
  <si>
    <t>How many sites will use the system</t>
  </si>
  <si>
    <t xml:space="preserve">I.T Team Information </t>
  </si>
  <si>
    <t>Responsable de T.I</t>
  </si>
  <si>
    <t>I.T Responsible</t>
  </si>
  <si>
    <t>Número de Funcionários da T.I</t>
  </si>
  <si>
    <t>Number of IT Employees</t>
  </si>
  <si>
    <t>Número de empleados de T.I</t>
  </si>
  <si>
    <t>Informações sobre Infraestrutura de T.I</t>
  </si>
  <si>
    <t>Workstation Number</t>
  </si>
  <si>
    <t>Simultaneous Users Number</t>
  </si>
  <si>
    <t xml:space="preserve">Possui processo de diálise externa? </t>
  </si>
  <si>
    <t>Cuántos sites utilizarán el sistema</t>
  </si>
  <si>
    <t>Note: Infrastructure information that should be send are in the document MO - Requirements for Environmental Infrastructure Tasy in the Quality System.</t>
  </si>
  <si>
    <t>OBS: As informações sobre infraestrutura  que deverão ser enviadas estão no documento MO - Requisitos de Infraestrutura de Ambiente de Tasy na Consulta da Qualidade.</t>
  </si>
  <si>
    <t>Información del Cuestionario</t>
  </si>
  <si>
    <t>Data</t>
  </si>
  <si>
    <t>Preguntas relevantes</t>
  </si>
  <si>
    <t>Os setores de farmácia e almoxarifado utilizam o processo de requisição?</t>
  </si>
  <si>
    <t>The sectors of pharmacy and warehouse use the process of requisition?</t>
  </si>
  <si>
    <t>Cuántos sectores utilizarán el proceso de devolución de materiales del paciente?</t>
  </si>
  <si>
    <t>How many sectors will use the devolution of patients materials process?</t>
  </si>
  <si>
    <t>How many sectors will use the Service Order process?</t>
  </si>
  <si>
    <t>How many sectors will use the Patient  Electronic Prescription?</t>
  </si>
  <si>
    <t>Se realiza la importación del extracto bancario?</t>
  </si>
  <si>
    <t>The customer need to implement the importation of bank statement?</t>
  </si>
  <si>
    <t>How many departments will use the shift dispensation of CPOE?</t>
  </si>
  <si>
    <t>Orientação para o Vendedor</t>
  </si>
  <si>
    <t>Resposta sendo Sim, adicionado 20 hrs na função Gestão de Insuficiência Renal</t>
  </si>
  <si>
    <t>Cliente deseja implantar Protocolo de Manchester (somente versão 2.0)?</t>
  </si>
  <si>
    <t>01/Apr/2019</t>
  </si>
  <si>
    <t>1) Melhoria nas traduções
2) Incluída a pergunta de Hemodiálise Externa
3) Incluída a pergunta/orientação Protocolo de Manchester</t>
  </si>
  <si>
    <t>Jade Kraft</t>
  </si>
  <si>
    <t>Caso seja necessária Estimativa personalizada, com número de horas diferentes dos padrões definidos pela área de Projetos, favor solicitar análise através dos e-mails abaixo e documentar esta aprovação na Ordem de Serviço.</t>
  </si>
  <si>
    <t>Medicina Preventiva</t>
  </si>
  <si>
    <t>Soporte a la Decisión Clínica</t>
  </si>
  <si>
    <t>Trainings</t>
  </si>
  <si>
    <t>Entrenamientos</t>
  </si>
  <si>
    <t xml:space="preserve">Communication </t>
  </si>
  <si>
    <t>Asset</t>
  </si>
  <si>
    <t>SMC - Sterilized Material Center</t>
  </si>
  <si>
    <t>Sanitization</t>
  </si>
  <si>
    <t xml:space="preserve">Immunization </t>
  </si>
  <si>
    <t>Inmunización</t>
  </si>
  <si>
    <t>Conventional Medical Record Archive</t>
  </si>
  <si>
    <t>Warehouse</t>
  </si>
  <si>
    <t>Audit</t>
  </si>
  <si>
    <t>Gestión de autorizaciones</t>
  </si>
  <si>
    <t>Health Insurance Refund</t>
  </si>
  <si>
    <t xml:space="preserve">Quality </t>
  </si>
  <si>
    <t>Reception and Admission</t>
  </si>
  <si>
    <t>Billing (Insurance and Selfpayment)</t>
  </si>
  <si>
    <t>Facturación (Convenios y Particular)</t>
  </si>
  <si>
    <t>Purchases</t>
  </si>
  <si>
    <t>Pharmacy</t>
  </si>
  <si>
    <t>Electronic Prescription (orders)</t>
  </si>
  <si>
    <t>Prescripción electrónica</t>
  </si>
  <si>
    <t>Costs</t>
  </si>
  <si>
    <t xml:space="preserve">EIS </t>
  </si>
  <si>
    <t>Maintenance</t>
  </si>
  <si>
    <t>Customer Service</t>
  </si>
  <si>
    <t>Blood Bank</t>
  </si>
  <si>
    <t>Operating Room</t>
  </si>
  <si>
    <t>Hemodialysis</t>
  </si>
  <si>
    <t>Radiotherapy</t>
  </si>
  <si>
    <t>Visits</t>
  </si>
  <si>
    <t xml:space="preserve">BSC </t>
  </si>
  <si>
    <t>Investment Projects</t>
  </si>
  <si>
    <t>Proyectos de Inversión</t>
  </si>
  <si>
    <t>Reports</t>
  </si>
  <si>
    <t>Test</t>
  </si>
  <si>
    <t>Transplants</t>
  </si>
  <si>
    <t>Trasplantes</t>
  </si>
  <si>
    <t>Clinical Decision Support</t>
  </si>
  <si>
    <t>Do you have an external dialysis process?</t>
  </si>
  <si>
    <t>Client wants to deploy Manchester Protocol (version 2.0 only)?</t>
  </si>
  <si>
    <t>How many sectors will use the electronic medication administration record?</t>
  </si>
  <si>
    <t>How many attendance/authorization centers exists?</t>
  </si>
  <si>
    <t>Do you have an Emergency Department with different processes? Ex: Adult ED and Children's ED. If so, how many?</t>
  </si>
  <si>
    <t>How many sectors will utilize the patient electronic medical records?</t>
  </si>
  <si>
    <t>Has any certifications? Ex: ISO, JCI, HIMSS</t>
  </si>
  <si>
    <t>Possui algumas certificação?Ex: ISO,JCI,ONA, HIMSS</t>
  </si>
  <si>
    <t>Tiene alguna certificación? Ej: ISO, JCI, ONA, HIMSS</t>
  </si>
  <si>
    <t>How many professionals works with "on duty" in this institution?</t>
  </si>
  <si>
    <t>How many cashiers exist in all the institution?</t>
  </si>
  <si>
    <t>Will utilize the self attendance (patient encounter)?</t>
  </si>
  <si>
    <t>Is performed Attendance to Public Health System?</t>
  </si>
  <si>
    <t>Does the customer want to implement the privacy process? Ex: GDPR/LGPD</t>
  </si>
  <si>
    <t>Does the institution work with Sepse Ilas II protocol?</t>
  </si>
  <si>
    <t>Does the customer want to implement the Ophthalmology Chart item?</t>
  </si>
  <si>
    <t>Digifull</t>
  </si>
  <si>
    <t>09/Apr/2019</t>
  </si>
  <si>
    <t>Backoffice</t>
  </si>
  <si>
    <t>Mínimo recomendado pela área de Projetos são 8 horas.</t>
  </si>
  <si>
    <t>Validação da Instalação do Produto?</t>
  </si>
  <si>
    <t>Validação da Instalação do Produto</t>
  </si>
  <si>
    <t>Mínimo recomendado pela área de Projetos são 40 horas.</t>
  </si>
  <si>
    <t>Mínimo recomendado pela área de Projetos são 16 horas.</t>
  </si>
  <si>
    <t>Todas Funções</t>
  </si>
  <si>
    <t>Suprimentos</t>
  </si>
  <si>
    <t>Apoio</t>
  </si>
  <si>
    <t>X</t>
  </si>
  <si>
    <t>P.A</t>
  </si>
  <si>
    <t>Todas as Funções</t>
  </si>
  <si>
    <t>All Functions</t>
  </si>
  <si>
    <t>Todas las funciones</t>
  </si>
  <si>
    <t>Escopo Original</t>
  </si>
  <si>
    <t>Mínimo recomendado pela área de Projetos são 160 horas.</t>
  </si>
  <si>
    <t>Suggested functions by customer size</t>
  </si>
  <si>
    <t>Funções sugeridas pelo porte do cliente</t>
  </si>
  <si>
    <t>Funciones Sugeridas por tamaño del cliente</t>
  </si>
  <si>
    <t>Clinica Pequena</t>
  </si>
  <si>
    <t>Clinica Grande</t>
  </si>
  <si>
    <t>Alterações manuais do escopo serão destacadas em vermelho.</t>
  </si>
  <si>
    <t>Inicialização - 2ª Onda</t>
  </si>
  <si>
    <t>Go Live - 2ª Onda</t>
  </si>
  <si>
    <t>2ª Onda</t>
  </si>
  <si>
    <t>1ª Onda</t>
  </si>
  <si>
    <t>1st Wave</t>
  </si>
  <si>
    <t>2nd Wave</t>
  </si>
  <si>
    <t>Onda Implantação</t>
  </si>
  <si>
    <t>OFFSET('Listas (Hide)'!$B$59;1;MATCH('Informações Gerais'!$F$4;'Listas (Hide)'!$B$59:$D$59;0)-1;3)</t>
  </si>
  <si>
    <t>Milk Bank</t>
  </si>
  <si>
    <t>Banco de Leche</t>
  </si>
  <si>
    <t>Atendimento</t>
  </si>
  <si>
    <t>Diagnose e Terapia</t>
  </si>
  <si>
    <t>Hotelaria</t>
  </si>
  <si>
    <t>Gerencial</t>
  </si>
  <si>
    <t>1) Inclusão Digifull
2) Sugestões do Treinamentos:
2.1) Multisite - Adicionar combo box
2.2) Classificar perguntas por areas
2.3) Sepses-nova mensagem
2.4) mensagem de observação (parte de integrações)
2.5) limitação de % de gerenciamento (20% mínimo – Full 100% máximo)
2.6) limitação de número de horas referente ao projeto, conforme conversamos em reunião
2.7) validação da instalação (nao instalação do produto) 
2.8) campo "fase" 1ª onda, 2ª onda em detalhe de horas
3) Inclusão NPI – Processo padrão NPI;
4) Melhorias em geral:
4.1) Corrigir idioma das respostas (Sim, Não)
4.2) Melhorar a forma de definição do Porte do Cliente e incluir opção de “Todas as funções por módulo”
4.2.1) Alterar descrição para “Porte do Cliente”
4.2.2) Adicionar a opção “Todas as funções dos módulos”
4.2.3) Adicionar coluna “Todas as funções dos módulos” na aba Base de Funções, marcando todas funções com mais de 0 horas para Sim
4.2.4) Atualizar a última versão para habilitar os portes e incluir sim ou não nas colunas dos portes na aba Base de Funções
5) Ordenar perguntas para fazerem sentido numa sequência lógica
6) Melhorar a pergunta da GQA sobre os indicadores de Sepse, Protocolo Manchester e Data Privacy
7) Indicador de alteração do Detalhe de Horas (informação diferente da planilha original com cor diferente e legenda)
8) Organizar os módulos por sequencia logica do sistema.</t>
  </si>
  <si>
    <t>Anderson R. Tridapalli, Diogo Benigo, José Dallabrida, Jade Kraft</t>
  </si>
  <si>
    <t>Quantos setores utilizarão a Prescrição Eletrônica do Paciente (CPOE)?</t>
  </si>
  <si>
    <t>¿Cuántos sectores utilizarán la atención de la prescripción por turno / lote?</t>
  </si>
  <si>
    <t>23/Apr/2019</t>
  </si>
  <si>
    <t>Fase: Lançamento do Projeto</t>
  </si>
  <si>
    <t>Fase: Instalação</t>
  </si>
  <si>
    <t>Fase: Liberação e Acompanhamento</t>
  </si>
  <si>
    <t>Fase: Aderência, Parametrização e Treinamentos</t>
  </si>
  <si>
    <t>Mínimo recomendado pela área de Projetos é 20%.</t>
  </si>
  <si>
    <t>Amount of monthly hours of follow-up Post-Go Live per resource?</t>
  </si>
  <si>
    <t>¿Cantidad de horas mensuales de acompañamiento de Post-Go Live por recurso?</t>
  </si>
  <si>
    <t>Será utilizado Prontuário Eletrônico Paciente no iPAD?</t>
  </si>
  <si>
    <t>Will be used Electronic Patient Chart on iPAD?</t>
  </si>
  <si>
    <t>Select below which features will be used on iPAD</t>
  </si>
  <si>
    <t>Seleccione a continuación qué funciones se utilizarán en iPAD</t>
  </si>
  <si>
    <t>Will PALM applications be used?</t>
  </si>
  <si>
    <t>Serão utilizados aplicativos PALM?</t>
  </si>
  <si>
    <t>Select below which features will be used in PALM</t>
  </si>
  <si>
    <t>Shift Medical Orders Dispensation</t>
  </si>
  <si>
    <t>Medication Administration</t>
  </si>
  <si>
    <t>Administración de medicamentos</t>
  </si>
  <si>
    <t>Side Bed Medication Administration</t>
  </si>
  <si>
    <t>Chemotherapy Administration</t>
  </si>
  <si>
    <t>Administracion de quimioterapia</t>
  </si>
  <si>
    <t>Ejecución de la prescripción</t>
  </si>
  <si>
    <t>Orders Execution</t>
  </si>
  <si>
    <t>Invoice Receipt Inspection</t>
  </si>
  <si>
    <t>Inventory</t>
  </si>
  <si>
    <t>Inventario</t>
  </si>
  <si>
    <t>Service order</t>
  </si>
  <si>
    <t>Vital signs and monitoring</t>
  </si>
  <si>
    <t>Web Agenda</t>
  </si>
  <si>
    <t>Number of Consultants for deployment?</t>
  </si>
  <si>
    <t>Percentage of Project Management?</t>
  </si>
  <si>
    <t>Number of hours for the Launch of Projects by resource</t>
  </si>
  <si>
    <t>Amount of hours for Product Installation?</t>
  </si>
  <si>
    <t>Amount of hours for Pilot Test per resource?</t>
  </si>
  <si>
    <t>Amount of hours for Go Live Process?</t>
  </si>
  <si>
    <t>¿Cantidad de horas para la instalación del producto?</t>
  </si>
  <si>
    <t>¿Cantidad de horas para la prueba piloto por recurso?</t>
  </si>
  <si>
    <t>¿Porcentaje de gestión de proyectos?</t>
  </si>
  <si>
    <t>Customer ID</t>
  </si>
  <si>
    <t>Company Name</t>
  </si>
  <si>
    <t>Commercial name</t>
  </si>
  <si>
    <t>Type of Proposal</t>
  </si>
  <si>
    <t>Type of Licensing</t>
  </si>
  <si>
    <t>Number of Licenses</t>
  </si>
  <si>
    <t>SaaS Value</t>
  </si>
  <si>
    <t>SaaP Value</t>
  </si>
  <si>
    <t>Value of Maintenance</t>
  </si>
  <si>
    <t>Consulting Time Value</t>
  </si>
  <si>
    <t>Value of Project Management Time</t>
  </si>
  <si>
    <t>Are taxes included in the value of consulting hours?</t>
  </si>
  <si>
    <t>Differentiated Payment Condition?</t>
  </si>
  <si>
    <t>Nombre comercial</t>
  </si>
  <si>
    <t>Tipo de licencia</t>
  </si>
  <si>
    <t>Información al cliente</t>
  </si>
  <si>
    <t>Datos de negocios</t>
  </si>
  <si>
    <t>Valor de SaaS</t>
  </si>
  <si>
    <t>Valor de SaaP</t>
  </si>
  <si>
    <t>¿Condición de pago diferenciada?</t>
  </si>
  <si>
    <t>Displacement of Distributor</t>
  </si>
  <si>
    <t>Type of Displacement</t>
  </si>
  <si>
    <t>Frequency</t>
  </si>
  <si>
    <t>Airplane</t>
  </si>
  <si>
    <t>Bus</t>
  </si>
  <si>
    <t>Responsible for buying</t>
  </si>
  <si>
    <t>Additional Information</t>
  </si>
  <si>
    <t>Frecuencia</t>
  </si>
  <si>
    <t>Autobús</t>
  </si>
  <si>
    <t>Información del cuestionario</t>
  </si>
  <si>
    <t>Responsable de comprar</t>
  </si>
  <si>
    <t>Información Adicional</t>
  </si>
  <si>
    <t>¿Tiene un proceso de diálisis externa?</t>
  </si>
  <si>
    <t>Initialization</t>
  </si>
  <si>
    <t>Installation</t>
  </si>
  <si>
    <t>Instalación</t>
  </si>
  <si>
    <t>Initialization - 2nd Wave</t>
  </si>
  <si>
    <t>Go Live - 2nd Wave</t>
  </si>
  <si>
    <t>Project Launching</t>
  </si>
  <si>
    <t>Product Installation Validation</t>
  </si>
  <si>
    <t>Pilot test</t>
  </si>
  <si>
    <t>Go Live Process</t>
  </si>
  <si>
    <t>Follow-up After Go Live</t>
  </si>
  <si>
    <t>ID MODULE</t>
  </si>
  <si>
    <t>MODULE</t>
  </si>
  <si>
    <t>ID FUNCTION</t>
  </si>
  <si>
    <t>DESCRIPTION FUNCTION</t>
  </si>
  <si>
    <t>Original Scope</t>
  </si>
  <si>
    <t>Manual changes to the scope will be highlighted in red.</t>
  </si>
  <si>
    <t>SCOPE</t>
  </si>
  <si>
    <t>HOURS STANDARD IMPLANTATION</t>
  </si>
  <si>
    <t>ADDITIONAL HOURS (QUESTIONS)</t>
  </si>
  <si>
    <t>Validación de la instalación del producto</t>
  </si>
  <si>
    <t>Prueba piloto</t>
  </si>
  <si>
    <t>Proceso Go Live</t>
  </si>
  <si>
    <t>Acompañamiento después de Go Live</t>
  </si>
  <si>
    <t>Alcance original</t>
  </si>
  <si>
    <t>Los cambios manuales en el alcance se resaltarán en rojo.</t>
  </si>
  <si>
    <t>PHASE</t>
  </si>
  <si>
    <t>Deployment Wave</t>
  </si>
  <si>
    <t>Hours Detailing</t>
  </si>
  <si>
    <t>VARIABLE HOURS JUSTIFICATION</t>
  </si>
  <si>
    <t>Deslocamento</t>
  </si>
  <si>
    <t>Canal de Vendas</t>
  </si>
  <si>
    <t>Sales Channel</t>
  </si>
  <si>
    <t>Canal de Ventas</t>
  </si>
  <si>
    <t>1) Tratado respostas em idiomas diferentes na planilha Perguntas.
2) Criada validação para respostas numéricas na planilha Perguntas.
3) Alterado a descrição das fases do projeto.
4) Melhorias em traduções
5) Inclusão do canal de vendas Philips Vendas Direta na planilha SP-PROPOSTA.
6) Alterada descrição do Deslocamento na planilha SP-PROPOSTA.
7) Alterado a descrição do campo B5 na planilha  SP-PROPOSTA.</t>
  </si>
  <si>
    <t>SP - Solicitação de Proposta</t>
  </si>
  <si>
    <t>PR - Propposal Request</t>
  </si>
  <si>
    <t>Platform</t>
  </si>
  <si>
    <t>*Required field to generate estimate</t>
  </si>
  <si>
    <t>*Campo Obligatorio para generar estimación</t>
  </si>
  <si>
    <t>Favor solicitar a aprovação do departamento de Projetos da Philips para Implantação em HTML5, através do e-mail: Burigo, Patricia &lt;patricia.burigo@philips.com&gt;</t>
  </si>
  <si>
    <t>Please request approval from the Philips Projects Department for HTML5 Deployment, by email: Burigo, Patricia &lt;patricia.burigo@philips.com&gt;</t>
  </si>
  <si>
    <t>Por favor, solicite la aprobación del departamento de Proyectos de Philips para la implementación en HTML5, a través del correo electrónico: Burigo, Patricia &lt;patricia.burigo@philips.com&gt;</t>
  </si>
  <si>
    <t>Core system</t>
  </si>
  <si>
    <t>Core del sistema</t>
  </si>
  <si>
    <t>Módulos</t>
  </si>
  <si>
    <t>Patient Adm</t>
  </si>
  <si>
    <t>Care</t>
  </si>
  <si>
    <t>Diagnosis and therapy</t>
  </si>
  <si>
    <t>Diagnóstico y terapia</t>
  </si>
  <si>
    <t>Hospitality</t>
  </si>
  <si>
    <t>Hospitalidad</t>
  </si>
  <si>
    <t>Support</t>
  </si>
  <si>
    <t>Apoyo</t>
  </si>
  <si>
    <t>Supplies</t>
  </si>
  <si>
    <t>Suministros</t>
  </si>
  <si>
    <t>Revenues</t>
  </si>
  <si>
    <t>Financial</t>
  </si>
  <si>
    <t>Financiero</t>
  </si>
  <si>
    <t>Controller</t>
  </si>
  <si>
    <t>Contraloría</t>
  </si>
  <si>
    <t>Managerial</t>
  </si>
  <si>
    <t>Administración</t>
  </si>
  <si>
    <t>Mobility</t>
  </si>
  <si>
    <t>Movilidad</t>
  </si>
  <si>
    <t>ID Question</t>
  </si>
  <si>
    <t>ID Pregunta</t>
  </si>
  <si>
    <t>Question</t>
  </si>
  <si>
    <t>Pregunta</t>
  </si>
  <si>
    <t>Answer</t>
  </si>
  <si>
    <t>Respuesta</t>
  </si>
  <si>
    <t>Additional hours</t>
  </si>
  <si>
    <t>Horas Adicionales</t>
  </si>
  <si>
    <t>Minimum recommended by the Projects area is 20%.</t>
  </si>
  <si>
    <t>Mínimo recomendado por el área de Proyectos es del 20%.</t>
  </si>
  <si>
    <t>Minimum recommended by the Projects area are 8 hours.</t>
  </si>
  <si>
    <t>Mínimo recomendado por el área de Proyectos son 8 horas.</t>
  </si>
  <si>
    <t>Minimum recommended by the Projects area are 16 hours.</t>
  </si>
  <si>
    <t>Mínimo recomendado por el área de Proyectos son 16 horas.</t>
  </si>
  <si>
    <t>Minimum recommended by the Projects area are 40 hours.</t>
  </si>
  <si>
    <t>Mínimo recomendado por el área de Proyectos son 40 horas.</t>
  </si>
  <si>
    <t>Minimum recommended by the Projects area are 160 hours.</t>
  </si>
  <si>
    <t>Mínimo recomendado por el área de Proyectos son 160 horas.</t>
  </si>
  <si>
    <t>Integration Details</t>
  </si>
  <si>
    <t>Detalle Integración</t>
  </si>
  <si>
    <t>Responsible: Seller</t>
  </si>
  <si>
    <t>Responsable: Vendedor</t>
  </si>
  <si>
    <t>Responsible: R&amp;D</t>
  </si>
  <si>
    <t>Responsable: R&amp;D</t>
  </si>
  <si>
    <t>Integration</t>
  </si>
  <si>
    <t>Integraciones</t>
  </si>
  <si>
    <t>In Use?</t>
  </si>
  <si>
    <t>¿En uso?</t>
  </si>
  <si>
    <t>Software Name</t>
  </si>
  <si>
    <t>Nombre del software</t>
  </si>
  <si>
    <t>Manufacturer</t>
  </si>
  <si>
    <t>Direção da Info.</t>
  </si>
  <si>
    <t>Info direction</t>
  </si>
  <si>
    <t>Dirección de Info.</t>
  </si>
  <si>
    <t>Forma Comunicação</t>
  </si>
  <si>
    <t>Communication Form</t>
  </si>
  <si>
    <t>Forma de comunicación</t>
  </si>
  <si>
    <t>R&amp;D Service order</t>
  </si>
  <si>
    <t>Orden de servicio R&amp;D</t>
  </si>
  <si>
    <t>R&amp;D Development estimate</t>
  </si>
  <si>
    <t>Estimación del desarrollo R&amp;D</t>
  </si>
  <si>
    <t>Example:</t>
  </si>
  <si>
    <t>Ejemplo:</t>
  </si>
  <si>
    <t>Scheduling</t>
  </si>
  <si>
    <t>Programación</t>
  </si>
  <si>
    <t>Yes/No</t>
  </si>
  <si>
    <t>Laboratory</t>
  </si>
  <si>
    <t>Reception and Internment</t>
  </si>
  <si>
    <t>Recepción e Internación</t>
  </si>
  <si>
    <t>Sanitation</t>
  </si>
  <si>
    <t>Purchase</t>
  </si>
  <si>
    <t>Stocks</t>
  </si>
  <si>
    <t>Retorno de convênio</t>
  </si>
  <si>
    <t>Return of covenant</t>
  </si>
  <si>
    <t>Demais integrações</t>
  </si>
  <si>
    <t>Tasy sends to the SMS system the scheduling and patient data and the SMS system sends the SMS to the patient.</t>
  </si>
  <si>
    <t>Prontuario / Mentor</t>
  </si>
  <si>
    <t>Medical record</t>
  </si>
  <si>
    <t>Displacement</t>
  </si>
  <si>
    <t>Execução do projeto</t>
  </si>
  <si>
    <t>Ejecución del proyecto</t>
  </si>
  <si>
    <t>Execution of the project</t>
  </si>
  <si>
    <t>*Envio de SMS (Confirmação da agenda e informações gerais)</t>
  </si>
  <si>
    <t>*Elegibilidade (Consultar elegibilidade do paciente no sistema da operadora)</t>
  </si>
  <si>
    <t>*Cadastro de pessoas (Sistema de RH, legado, sistema de OPS, etc.)</t>
  </si>
  <si>
    <t>*Equipamento de monitorização de sinais vitais</t>
  </si>
  <si>
    <t>*Banco de dados de medicamentos (Consulta de interação medicamentosa Ex. Micromedex e Lexicomp)</t>
  </si>
  <si>
    <t>*Laudos de radiologia (sistema terceiro para o PEP - Prontuário Eletrônico do Paciente)</t>
  </si>
  <si>
    <t>*PACS (Sistema de armazenamento e distribuição de imagens de exames radiológicos)</t>
  </si>
  <si>
    <t>*Laudos de análises clínicas (importar resultados de laboratório de sistema terceiro)</t>
  </si>
  <si>
    <t>*Sistema de Interfaceamento (que se comunica com as máquinas de análise)</t>
  </si>
  <si>
    <t>*Laboratório Externo (envio de exames a laboratórios de apoio)</t>
  </si>
  <si>
    <t>*HIS Terceiro (Envio do resultado para outro sistema)</t>
  </si>
  <si>
    <t>*Central telefônica (registro das informações de higienização)</t>
  </si>
  <si>
    <t>*Portal de compras (Mercado eletrônico, Bioanexo, Inpart, etc.)</t>
  </si>
  <si>
    <t>*Sistema de Estoque terceiro</t>
  </si>
  <si>
    <t>*Dispensário eletrônico de medicamentos</t>
  </si>
  <si>
    <t>*Contas a pagar</t>
  </si>
  <si>
    <t>*Contas a receber</t>
  </si>
  <si>
    <t>*Sistema de RH (lote contábil)</t>
  </si>
  <si>
    <t>*Pagamento escritural</t>
  </si>
  <si>
    <t>*Importação de extrato bancário</t>
  </si>
  <si>
    <t>*Importação do extrato do cartão de crédito</t>
  </si>
  <si>
    <t>*SITEF - Recebimento de cartões de crédito</t>
  </si>
  <si>
    <t>*Importação de demonstrativo de pagamento fora do padrão TISS (Troca de Informações na Saúde Suplementar)</t>
  </si>
  <si>
    <t>*Envio do lote contábil (quando a contabilidade é feita em outro sistema)</t>
  </si>
  <si>
    <t>*Recebimento do lote contábil (sistema terceiro envia lote ao Tasy)</t>
  </si>
  <si>
    <t>*Sending SMS (Confirmation of the agenda and general information)</t>
  </si>
  <si>
    <t>*Envío de SMS (Confirmación de la agenda e información general)</t>
  </si>
  <si>
    <t>*Eligibility (Consult patient eligibility in the operator's system)</t>
  </si>
  <si>
    <t>*Registration of people (HR system, legacy, OPS system, etc.)</t>
  </si>
  <si>
    <t>*Vital Signs Monitoring Equipment</t>
  </si>
  <si>
    <t>*Drug database (Drug Interaction Consultation Ex. Micromedex and Lexicomp)</t>
  </si>
  <si>
    <t>*Radiology reports (third system for PEP - Electronic Patient Record)</t>
  </si>
  <si>
    <t>*PACS (X-ray image storage and distribution system)</t>
  </si>
  <si>
    <t>*PACS (Sistema de almacenamiento y distribución de imágenes de exámenes radiológicos)</t>
  </si>
  <si>
    <t>*Clinical analysis reports (import third-party laboratory results)</t>
  </si>
  <si>
    <t>*Interface system (which communicates with the analysis machines)</t>
  </si>
  <si>
    <t>*External Laboratory (sending exams to support laboratories)</t>
  </si>
  <si>
    <t>*Laboratorio Externo (envío de exámenes a laboratorios de apoyo)</t>
  </si>
  <si>
    <t>*HIS Third (Sending the result to another system)</t>
  </si>
  <si>
    <t>*HIS Tercero (Envío del resultado a otro sistema)</t>
  </si>
  <si>
    <t>*Central telephone (registration of information of hygiene)</t>
  </si>
  <si>
    <t>*Purchasing Portal (Electronic Market, Bioanalysis, Inpart, etc.)</t>
  </si>
  <si>
    <t>*Third party inventory system</t>
  </si>
  <si>
    <t>*Sistema de Stock tercero</t>
  </si>
  <si>
    <t>*Electronic medicine dispensary</t>
  </si>
  <si>
    <t>*Bills to pay</t>
  </si>
  <si>
    <t>*Bills to receive</t>
  </si>
  <si>
    <t>*HR system (accounting lot)</t>
  </si>
  <si>
    <t>*Script payment</t>
  </si>
  <si>
    <t>*Import of bank statement</t>
  </si>
  <si>
    <t>*Importación de extractos bancarios</t>
  </si>
  <si>
    <t>*Import credit card statement</t>
  </si>
  <si>
    <t>*Importación del extracto de la tarjeta de crédito</t>
  </si>
  <si>
    <t>*SITEF - Receipt of credit cards</t>
  </si>
  <si>
    <t>*Import of non-standard payment statement TISS (Information Exchange in Supplementary Health)</t>
  </si>
  <si>
    <t>*Posting the accounting lot (when accounting is done on another system)</t>
  </si>
  <si>
    <t>*Receipt of accounting lot (third system sends lot to Tasy)</t>
  </si>
  <si>
    <t>Total</t>
  </si>
  <si>
    <t>If it is required Custom estimate, with different number of hours from the standards defined by the Projects area, please request analysis through the emails below and document this approval in the Work Order.</t>
  </si>
  <si>
    <t>En el caso de que sea necesario Estimación personalizada, con número de horas diferentes de los estándares definidos por el área de Proyectos, por favor solicite análisis a través de los e-mails abajo y documentar esta aprobación en la Orden de Servicio.</t>
  </si>
  <si>
    <t>Região Sul ou Sudeste: limitado a 10 unidades;</t>
  </si>
  <si>
    <t>Região Centro-Oeste: Limitado a 2 unidades;</t>
  </si>
  <si>
    <t>Região Nordeste: Limitado a 4 unidades.</t>
  </si>
  <si>
    <t>Algumas considerações/Premissas contempladas no projeto:       </t>
  </si>
  <si>
    <t>Considerando estimativa de horas de implantação por função.    </t>
  </si>
  <si>
    <t>Utilização de uma base com processo padrões (melhores práticas da Philips)     </t>
  </si>
  <si>
    <t>      1. Inicia-se implantação dos módulos por uma apresentação do processo padrão utilizando as melhores práticas (To be). </t>
  </si>
  <si>
    <t>      2. É verificado na apresentação se tem algo que precisa ser ajustado ou algo não apresentado. (Aderência To Be)</t>
  </si>
  <si>
    <t>      3. Caso tenha algo para ajustar ou criar, realiza-se o processo de ajuste e/ou criação e após apresenta aos envolvidos como ficou. (Parametrização e Aderência)</t>
  </si>
  <si>
    <t>         3.1 - Dependendo do tamanho da alteração, precisaremos rever as horas.</t>
  </si>
  <si>
    <t>      4. Após validações faremos os treinamentos.      </t>
  </si>
  <si>
    <t>Os manuais serão padrões do sistema/funcionalidades e não customizado com o processo do cliente.       </t>
  </si>
  <si>
    <t>Sem processo de Mapemaento As IS, apenas apresentação e foco no To Be. </t>
  </si>
  <si>
    <t>Treinamentos apenas para multiplicadores.      </t>
  </si>
  <si>
    <t>Não realização de regras e cadastros junto com os usuários. Caso desejado, iremos ter adição de horas. </t>
  </si>
  <si>
    <t>        1 - Será feito o treinamento.</t>
  </si>
  <si>
    <t>        2 - Será disponibilizado Manual padrão do produto.</t>
  </si>
  <si>
    <t>        3 - Acompanharemos os primeiros registros para eliminação de maiores dúvidas e certificação de que esta sendo feito corretamente.</t>
  </si>
  <si>
    <t>        4 - Após usuário fará sozinho e caso tiver dúvidas, elilmina-las com analisata de Ti, caso o analista não conseguir, o mesmo pode sana-las com o consultor.    </t>
  </si>
  <si>
    <t>·         Na apresentação será verificada a necessidade de ajuste ou se algo não foi apresentado. (Aderência To Be). Caso tenha algo para ajustar ou criar, realiza-se o processo de ajuste e/ou criação. Após ajustes, é apresentado aos envolvidos como ficou. (Parametrização e Aderência). Dependendo do tamanho da alteração, precisaremos rever as horas.</t>
  </si>
  <si>
    <t>·         Não há processo de Mapeamento “As IS”, apenas apresentação e foco no To Be.</t>
  </si>
  <si>
    <t>·         Treinamentos apenas para os usuários multiplicadores.</t>
  </si>
  <si>
    <t>A PHILIPS se compromete, com base no escopo do projeto e nos recursos previstos, que a primeira unidade (modelo) será implementada em até 7 (sete) meses após a assinatura do contrato, exceto se o CLIENTE não cumprir integralmente com suas atividades. Dentre as atividades que eventualmente poderão impedir a conclusão do projeto, consoante a data acima prevista, destacam-se, não se resumindo à:</t>
  </si>
  <si>
    <t>Premissas</t>
  </si>
  <si>
    <t>·         Inicia-se a implantação dos módulos com uma apresentação do processo padrão utilizando as melhores práticas (To Be);</t>
  </si>
  <si>
    <t>·         Modules are deployed with a standard process presentation using best practices (To Be);</t>
  </si>
  <si>
    <t>·         Los módulos se implementan con una presentación de proceso estándar utilizando las mejores prácticas (To Be);</t>
  </si>
  <si>
    <t>·         The presentation will check the need for adjustment or if something has not been presented. (Adherence To Be). If you have something to adjust or create, the adjustment and / or creation process is performed. After adjustments, it is presented to those involved as it was. (Parameterization and Adherence). Depending on the size of the change, we will need to review the hours.</t>
  </si>
  <si>
    <t>·         A PHILIPS fará os treinamentos exclusivamente após a validação.</t>
  </si>
  <si>
    <t>·         PHILIPS will do the training only after validation.</t>
  </si>
  <si>
    <t>·         A PHILIPS, através de seus consultores, fará 2 (dois) treinamentos presencias na sede do CLIENTE, para cada unidade implantada pela PHILIPS (1 unidade modelo + 4 rollouts), para funcionalidades assistenciais relacionadas à hemodiálise (enfermagem e médico). Para as demais funcionalidades a PHILIPS fará os treinamentos aos usuários multiplicadores conforme metodologia desta.</t>
  </si>
  <si>
    <t>·         Os manuais serão padrões do sistema/funcionalidades e não é customizado de acordo com o processo do CLIENTE.</t>
  </si>
  <si>
    <t>·         The manuals will be system / feature standards and not customized according to the CUSTOMER process.</t>
  </si>
  <si>
    <t>·         Los manuales serán estándares de sistema / características y no se personalizarán de acuerdo con el proceso del CLIENTE.</t>
  </si>
  <si>
    <t>·         There is no mapping process "As IS", only presentation and focus on To Be.</t>
  </si>
  <si>
    <t>·         Training only for multiplier users.</t>
  </si>
  <si>
    <t>·         Entrenamiento solo para usuarios multiplicadores.</t>
  </si>
  <si>
    <t>·         Para implementação do SISTEMA, a PHILIPS usará uma base com processos padrões previamente parametrizados;</t>
  </si>
  <si>
    <t>·         For the implementation of the SYSTEM, PHILIPS will use a base with standard processes previously parameterized;</t>
  </si>
  <si>
    <t>·         Para la implementación del SISTEMA, PHILIPS usará una base con procesos estándar previamente parametrizados;</t>
  </si>
  <si>
    <t>·       A Implantação do SISTEMA, parte de escopo previamente parametrizado que é baseado nas melhores práticas de mercado;</t>
  </si>
  <si>
    <t>·       The SISTEMA implementation, part of a previously parameterized scope that is based on the best market practices;</t>
  </si>
  <si>
    <t>·         É obrigação exclusiva do CLIENTE a revisão dos cadastros constantes na base do SISTEMA de forma a adequá-los à sua necessidade.</t>
  </si>
  <si>
    <t>·         It is the CUSTOMER's exclusive obligation to review the entries on the basis of the SYSTEM in order to adapt them to its needs.</t>
  </si>
  <si>
    <t>·         Es obligación exclusiva del CLIENTE revisar las entradas sobre la base del SISTEMA para adaptarlas a sus necesidades.</t>
  </si>
  <si>
    <t>·         O registro de regras e cadastros no SISTEMA com os usuários do CLIENTE não é parte do roll de serviços da PHILIPS para este projeto. Outrossim, se solicitado pelo CLIENTE a realização destes pela PHILIPS, as horas decorrentes desta demanda adicional deverão ser adimplidas pelo CLIENTE;</t>
  </si>
  <si>
    <t>·         The registration of rules and registrations in the SYSTEM with CLIENT users is not part of the PHILIPS service roll for this project. Also, if requested by the CLIENT the realization of these by PHILIPS, the hours resulting from this additional demand must be complied with by the CLIENT;</t>
  </si>
  <si>
    <t>·         El registro de reglas y registros en el SISTEMA con usuarios CLIENTES no es parte de la lista de servicios de PHILIPS para este proyecto. Además, si el CLIENTE solicita la realización de estos por PHILIPS, las horas resultantes de esta demanda adicional deben ser cumplidas por el CLIENTE;</t>
  </si>
  <si>
    <t>·         PHILIPS, through its consultants, will conduct two (2) training sessions at CLIENT headquarters, for each unit implemented by PHILIPS (1 model unit + 4 rollouts), for hemodialysis-related assistance functions (nursing and physician). For the other functionalities PHILIPS will train the multiplier users according to its methodology.</t>
  </si>
  <si>
    <t>·         A unidade modelo que será a primeira implantação realizada pela PHILIPS, deverá estar sediada na cidade de São Paulo / Capital;</t>
  </si>
  <si>
    <t>·         The model unit that will be the first implementation performed by PHILIPS, should be headquartered in the city of São Paulo / Capital;</t>
  </si>
  <si>
    <t>·         As demais 4 unidades que serão implantadas pela PHILIPS o modelo de rollout deverão estar sediadas nas cidades de São Paulo e/ou Rio de Janeiro (Capital e Região Metropolitana);</t>
  </si>
  <si>
    <t>·         The other 4 units that will be implemented by PHILIPS the rollout model should be located in the cities of São Paulo and / or Rio de Janeiro (Capital and Metropolitan Region);</t>
  </si>
  <si>
    <t>·         As 10 unidades do CLIENTE cuja implantação será realizada por este e a PHILIPS fará exclusivamente a homologação do projeto de implantação, estas deverão estar sediadas nas regiões pré-determinadas e observadas as quantidades máximas por região, conforme segue:</t>
  </si>
  <si>
    <t>·         As 10 CLIENT units, the implementation will be carried out by PHILIPS and a homologation of the implementation project will be carried out, according to the rules of use and the specifications according to the maximum amounts, as applicable:</t>
  </si>
  <si>
    <t>South or Southeast Region: limited to 10 units;</t>
  </si>
  <si>
    <t>Central-West Region: Limited to 2 units;</t>
  </si>
  <si>
    <t>Northeastern Region: Limited to 4 units.</t>
  </si>
  <si>
    <t>PHILIPS undertakes, based on the project scope and expected resources, that the first unit (model) will be implemented within 7 (seven) months after signing the contract, unless the CLIENT does not fully comply with its activities. Among the activities that may eventually prevent the completion of the project, according to the above-mentioned date, stand out, not being limited to:</t>
  </si>
  <si>
    <t>a) Infraestrutura inadequada para a implantação.</t>
  </si>
  <si>
    <t>b) Não comparecimento de usuário aos Treinamentos ou a qualquer atividade previamente agendada.</t>
  </si>
  <si>
    <t>c) Necessidade de re-treinamento de usuários ou re-parametrização do sistema por iniciativa do cliente.</t>
  </si>
  <si>
    <t>d) Necessidade de treinamento de novos usuários não previstos antes do início da implantação do módulo.</t>
  </si>
  <si>
    <t>e) Atraso das tarefas por parte dos usuários e consequentemente mais horas do consultor no projeto.</t>
  </si>
  <si>
    <t>f) Não atendimento pleno as obrigações assumidas pelo CLIENTE no presente contrato, em especial, sem se limitar, as cláusulas 7.6, 7.6.1, 8.10 e 8.14.</t>
  </si>
  <si>
    <t xml:space="preserve">g) Não cumprimento, pelo CLIENTE, da metodologia de implantação da PHILIPS, das premissas da estimativa e itens apresentados na reunião de planejamento, registrados em ata; </t>
  </si>
  <si>
    <t>h) Solicitação de novas customizações e/ou alteração nas previamente analisadas pela PHILIPS.</t>
  </si>
  <si>
    <t>i) dos módulos referenciados no item “i” supra. Qualquer alteração posterior isenta a PHILIPS da responsabilidade assumida.</t>
  </si>
  <si>
    <t>k) Garante que caso haja a necessidade de integrações com terceiros, estes serão envolvidos desde o início do projeto.</t>
  </si>
  <si>
    <t>l) Disponibilizar um analista de TI responsável, em tempo integral, para o projeto.</t>
  </si>
  <si>
    <t>m) Disponibilizar um gerente de projeto especifico para o projeto de implantação.</t>
  </si>
  <si>
    <t>n) Organizar um comitê que controle o tempo e definições de processo do CLIENTE. </t>
  </si>
  <si>
    <t>o) Disponibilizar a infraestrutura devidamente validada antes do início do projeto. (Equipamentos, máquinas e TI).</t>
  </si>
  <si>
    <t>p) Realizar a contratação dos empregados, se necessário, para cada área, no tempo previsto para aplicação de treinamento.</t>
  </si>
  <si>
    <t>q) Disponibilizar documentação legal necessária (alvará, habite-se e etc.), desde que exigida por Lei para efetivação do objeto do presente contrato. </t>
  </si>
  <si>
    <t>a) Inadequate infrastructure for deployment.</t>
  </si>
  <si>
    <t>a) Infraestructura inadecuada para el despliegue.</t>
  </si>
  <si>
    <t>b) Non-attendance of the Trainings or any activity previously scheduled.</t>
  </si>
  <si>
    <t>b) No asistencia a los entrenamientos o cualquier actividad previamente programada.</t>
  </si>
  <si>
    <t>c) Need to re-train users or re-parameterize the system at the customer's initiative</t>
  </si>
  <si>
    <t>d) The need for training of new users not foreseen before the beginning of the implementation of the module.</t>
  </si>
  <si>
    <t>d) La necesidad de capacitación de nuevos usuarios no prevista antes del inicio de la implementación del módulo.</t>
  </si>
  <si>
    <t>Premissas da Estimativa</t>
  </si>
  <si>
    <t>Estimation Assumptions</t>
  </si>
  <si>
    <t>Supuestos de Estimación</t>
  </si>
  <si>
    <t>e) Delays of the tasks by the users and consequently more hours of the consultant in the project.</t>
  </si>
  <si>
    <t>e) Retrasos de las tareas por parte de los usuarios y, consecuentemente, más horas del consultor en el proyecto.</t>
  </si>
  <si>
    <t>f) In full compliance with the obligations assumed by the CLIENT in this contract, in particular, without limitation, clauses 7.6, 7.6.1, 8.10 and 8.14.</t>
  </si>
  <si>
    <t>g) Noncompliance by the CLIENT with the PHILIPS implementation methodology, the assumptions of the estimate and items presented at the planning meeting, recorded in the minutes;</t>
  </si>
  <si>
    <t>g) El incumplimiento por parte del CLIENTE de la metodología de implementación de PHILIPS, los supuestos de la estimación y los elementos presentados en la reunión de planificación, registrados en las actas;</t>
  </si>
  <si>
    <t>h) Request for new customizations and / or changes in those previously analyzed by PHILIPS.</t>
  </si>
  <si>
    <t>h) Solicitud de nuevas personalizaciones y / o cambios en los analizados previamente por PHILIPS.</t>
  </si>
  <si>
    <t>i) of the modules referenced in item "i" above. Any subsequent amendment shall exempt PHILIPS from liability.</t>
  </si>
  <si>
    <t>k) Ensures that in case there is a need for integrations with third parties, they will be involved from the beginning of the project.</t>
  </si>
  <si>
    <t>k) Asegura que, en caso de que haya necesidad de integraciones con terceros, se involucren desde el inicio del proyecto.</t>
  </si>
  <si>
    <t>l) Provide a full-time IT analyst responsible for the project.</t>
  </si>
  <si>
    <t>m) Provide a specific project manager for the deployment project.</t>
  </si>
  <si>
    <t>m) Proporcionar un administrador de proyecto específico para el proyecto de implementación.</t>
  </si>
  <si>
    <t>n) Organize a committee that controls the time and process definitions of the CLIENT.</t>
  </si>
  <si>
    <t>n) Organizar un comité que controle las definiciones de tiempo y proceso del CLIENTE.</t>
  </si>
  <si>
    <t>o) Provide the infrastructure validated before the start of the project. (Equipment, machinery and IT).</t>
  </si>
  <si>
    <t>p) Perform the hiring of employees, if necessary, for each area, in the time provided for training application.</t>
  </si>
  <si>
    <t>p) Realizar la contratación de empleados, si es necesario, para cada área, en el tiempo previsto para la solicitud de capacitación.</t>
  </si>
  <si>
    <t>q) Provide the necessary legal documentation (permit, housing and etc.), from that requirement for compliance with the requirements of this contract.</t>
  </si>
  <si>
    <t>q) Proporcionar la documentación legal necesaria (permiso, vivienda y etc.), a partir de ese requisito para el cumplimiento de los requisitos de este contrato.</t>
  </si>
  <si>
    <t>Para o processo de Base processo padrão x Estimativa por fução é utilizado a estratégia de implantação detalhada abaixo.     </t>
  </si>
  <si>
    <t>Some considerations / assumptions contemplated in the project:</t>
  </si>
  <si>
    <t>Algunas consideraciones / supuestos contemplados en el proyecto:</t>
  </si>
  <si>
    <t>Considering estimated deployment hours by function.</t>
  </si>
  <si>
    <t>Considerando las horas estimadas de despliegue por función.</t>
  </si>
  <si>
    <t>Use of a standard process database (Philips best practices)</t>
  </si>
  <si>
    <t>Uso de una base de datos de procesos estándar (mejores prácticas de Philips)</t>
  </si>
  <si>
    <t>For the Standard Process Basis process x Fusion Estimation the deployment strategy detailed below is used.</t>
  </si>
  <si>
    <t xml:space="preserve">     2. It is checked in the presentation if there is something that needs to be adjusted or something not presented. (Adherence To Be)</t>
  </si>
  <si>
    <t xml:space="preserve">     1. Modules are deployed by a standard process presentation using best practices (To be).</t>
  </si>
  <si>
    <t xml:space="preserve">      2. Se verifica en la presentación si hay algo que necesita ser ajustado o algo que no se ha presentado. (Adherencia a ser)</t>
  </si>
  <si>
    <t xml:space="preserve">      1. Los módulos se implementan mediante un proceso de presentación estándar que utiliza las mejores prácticas (To be).</t>
  </si>
  <si>
    <t xml:space="preserve">     3. If you have something to adjust or create, the adjustment and / or creation process is performed and after presenting the participants as it was. (Parameterization and Adherence)</t>
  </si>
  <si>
    <t xml:space="preserve">     4. After validations we will do the trainings.</t>
  </si>
  <si>
    <t xml:space="preserve">        3.1 - Depending on the size of the change, we will need to review the hours.</t>
  </si>
  <si>
    <t xml:space="preserve">      3. Si tiene algo que ajustar o crear, se realiza el proceso de ajuste y / o creación y, después de presentar a los participantes tal como estaban. (Parametrización y Adherencia)</t>
  </si>
  <si>
    <t xml:space="preserve">         3.1 - Dependiendo del tamaño del cambio, tendremos que revisar las horas.</t>
  </si>
  <si>
    <t xml:space="preserve">      4. Después de las validaciones realizaremos los entrenamientos.</t>
  </si>
  <si>
    <t>The manuals will be system / feature defaults and not customized with the client process.</t>
  </si>
  <si>
    <t>No mapping process IS, just presentation and focus on To Be.</t>
  </si>
  <si>
    <t>Failure to make rules and registrations with users. If desired, we will add hours.</t>
  </si>
  <si>
    <t>Training for multipliers only.</t>
  </si>
  <si>
    <t>Entrenamiento solo para multiplicadores.</t>
  </si>
  <si>
    <t xml:space="preserve">       1 - The training will be done.</t>
  </si>
  <si>
    <t xml:space="preserve">       1 - Se realizará el entrenamiento.</t>
  </si>
  <si>
    <t xml:space="preserve">       2 - Standard Product Manual will be available.</t>
  </si>
  <si>
    <t xml:space="preserve">       2 - El Manual del Producto Estándar estará disponible.</t>
  </si>
  <si>
    <t xml:space="preserve">       3 - We will follow the first records to eliminate major doubts and certification that it is being done correctly.</t>
  </si>
  <si>
    <t xml:space="preserve">       4 - After the user will do it alone and if you have doubts, elilmina them with analyata of Ti, in case the analyst can not, he can heal them with the consultant.</t>
  </si>
  <si>
    <t>Consultório Médico (Ambulatório)</t>
  </si>
  <si>
    <t>Physician's office (Ambulatory)</t>
  </si>
  <si>
    <t>Consultório Médico (Ambulatorio)</t>
  </si>
  <si>
    <t xml:space="preserve">Prontuário Eletrônico Paciente (Ambulatório) </t>
  </si>
  <si>
    <t>Electronic Patient Record (Ambulatory)</t>
  </si>
  <si>
    <t>Registro electrónico del paciente (ambulatorio)</t>
  </si>
  <si>
    <t>ocultar</t>
  </si>
  <si>
    <t>Quantos consultórios ambulatoriais?</t>
  </si>
  <si>
    <t>1 a 10 padrão, 11  a 30 + 25%, 31 a 50 + 50%, 51 a 100 + 75%, acima de 100 = 100%</t>
  </si>
  <si>
    <t>UTI</t>
  </si>
  <si>
    <t>Internação</t>
  </si>
  <si>
    <t>Centro Cirurgico</t>
  </si>
  <si>
    <t>Hemodiálises</t>
  </si>
  <si>
    <t>Exames de Imagem</t>
  </si>
  <si>
    <t>Outros (nutrição, banco de sangue, etc.)</t>
  </si>
  <si>
    <t>PEP / CPOE / ADEP</t>
  </si>
  <si>
    <t>Certificação Digital</t>
  </si>
  <si>
    <t>Digital Certification</t>
  </si>
  <si>
    <t>Certificación Digital</t>
  </si>
  <si>
    <t>Orientação para o Vendedor incluir a certificação digital do detalhe de horas</t>
  </si>
  <si>
    <t>Orientação para o Vendedor incluir a função GQA no detalhe de horas</t>
  </si>
  <si>
    <t>Quais são os tipos de serviços existentes na instituição?</t>
  </si>
  <si>
    <t>¿Cuáles son los tipos de servicios existentes en la institución?</t>
  </si>
  <si>
    <t>What types of services exist in the institution?</t>
  </si>
  <si>
    <t>A função Gestão dos Planos Terapêuticos - GPT - será utilizada em qual setor ?</t>
  </si>
  <si>
    <t xml:space="preserve">Resposta sendo Enfermagem e Farmácia adicionar + 100% </t>
  </si>
  <si>
    <t>Laudo de Anatomia Patológica</t>
  </si>
  <si>
    <t>Pathological Anatomy Report</t>
  </si>
  <si>
    <t>Informe de anatomía patológica</t>
  </si>
  <si>
    <t>ROGTI</t>
  </si>
  <si>
    <t>ICU</t>
  </si>
  <si>
    <t>Internment</t>
  </si>
  <si>
    <t>Surgery Center</t>
  </si>
  <si>
    <t>Ready Attendance</t>
  </si>
  <si>
    <t>Image exams</t>
  </si>
  <si>
    <t>Others (nutrition, blood bank, etc.)</t>
  </si>
  <si>
    <t>Internación</t>
  </si>
  <si>
    <t>Otros (nutrición, banco de sangre, etc.)</t>
  </si>
  <si>
    <t>Tasy Prestador: Faita, Everson Luis &lt;everson.faita@philips.com&gt;</t>
  </si>
  <si>
    <t>Tasy OPS e Beyond EMR: Dallabrida, Jose &lt;jose.dallabrida@philips.com&gt;</t>
  </si>
  <si>
    <t>Agência Transfuncional</t>
  </si>
  <si>
    <t>Existe Banco de Sangue ou agencia transfuncional?</t>
  </si>
  <si>
    <t>Is there a Blood Bank or a transfunctional agency?</t>
  </si>
  <si>
    <t>¿Hay un banco de sangre o una agencia transfuncional?</t>
  </si>
  <si>
    <t>Deseja implantar certificação digital para o Prontuário Eletrônico Paciente?</t>
  </si>
  <si>
    <t>Will the Management of Therapeutic Plans function - GPT - be used in which sector?</t>
  </si>
  <si>
    <t>How many outpatient clinics?</t>
  </si>
  <si>
    <t>Do you want to implement digital certification for the Electronic Patient Record?</t>
  </si>
  <si>
    <t>¿Desea implementar la certificación digital para el registro electrónico de pacientes?</t>
  </si>
  <si>
    <t>Caso a opção banco de sangue seja selecionada, +100%</t>
  </si>
  <si>
    <t>Pergunta Vinculada</t>
  </si>
  <si>
    <t>Atenção Primária</t>
  </si>
  <si>
    <t>Primary Care</t>
  </si>
  <si>
    <t>Atención Primaria</t>
  </si>
  <si>
    <t>Clínica Pequena</t>
  </si>
  <si>
    <t>Small Clinic</t>
  </si>
  <si>
    <t>Clínica Grande</t>
  </si>
  <si>
    <t>Large Clinic</t>
  </si>
  <si>
    <t>Pequeña clínica</t>
  </si>
  <si>
    <t>Gran clinica</t>
  </si>
  <si>
    <t>Anatomia Patológica</t>
  </si>
  <si>
    <t>Pathological Anatomy</t>
  </si>
  <si>
    <t>Anatomía Patológica</t>
  </si>
  <si>
    <t>Acréscimo de horas de acordo com os serviços existentes na instituição</t>
  </si>
  <si>
    <t>Acrescimo 20% Plataforma</t>
  </si>
  <si>
    <t>Diogo Benigo, Anderson R. Tridapalli, Gaspar I. Borges, Fernanda Maciel, Everson Luis Faita, Antonio Peixer</t>
  </si>
  <si>
    <t>Por favor, solicite la aprobación del departamento de Proyectos de Philips para la comercialización Cloud (solo disponible para Tasy HTML5), a través del correo electrónico: Burigo, Patricia &lt;patricia.burigo@philips.com&gt;</t>
  </si>
  <si>
    <t>1) Inclusão de horas de implantação para Gestão Populacional.
2) Inclusão de horas para clinicas pequenas e grandes.
3) Inclusão do módulo PEP/ CPOE / ADEP na Planilha Perguntas.
4) Melhorias em traduções.
5) Inclusão da Pergunta para implantação de Certificação Digital na Planilha Perguntas e acrescimo de 120h para implantação da opção.
6) Inclusão da Opção Consultório Médico (Ambulatório) na planilha Módulos.
7)Exclusão do Módulos - Call Center e funções vinculadas.
Planejamento Estratégico e funções vinculadas.
8) Módulo PEP - Cadastro de Protocolos e Cadastros PEP - alterarado para 1 hora em ambos.
9) Inclusão da Pergunta "A função Gestão dos Planos Terapêuticos será utilizada em qual setor?" e opções - se "Enfermagem e Farmácia" adição (+100% de horas)
10) Alterado para 20% de acrescimo HTML5
11) Alterado Função “Laudo de Anatomia patológica”
12) Inclusa Tarja Vermelha na aba resumo:
"Após preenchimento das informações prévias, atualizar o resumo com o botão direito sob a tabela da estimativa".
13) Inclusão da pasta de premissas: "Sugestões de Premissas" 
14) Inclusão de Opção para aquisição de Cloud  "Informações Gerais"</t>
  </si>
  <si>
    <t>Nota: Alterações relacionadas a revisões anteriores do documento não foram capturadas como parte da tabela de histórico de revisão acima e as alterações relacionadas à revisão são destacadas no próprio documento.</t>
  </si>
  <si>
    <t>Oferta Cloud / SaaS / Nuvem</t>
  </si>
  <si>
    <t>Cloud / SaaS Offer</t>
  </si>
  <si>
    <t>Gaspar I. Borges</t>
  </si>
  <si>
    <t xml:space="preserve">1) Alteração na aba Módulos - item "Prontuário Eletrônico" sai da área 'Core do sistema' e passa a pertencer ao área 'Assistencial'.
2) Alteração na aba Detalhe de Horas - Organização linear sequencial seguindo o mesmo padrão da aba Módulos.
</t>
  </si>
  <si>
    <t>Integrations</t>
  </si>
  <si>
    <t>Horas de Consultoria</t>
  </si>
  <si>
    <t>Área</t>
  </si>
  <si>
    <t>CIE9 procedure locator</t>
  </si>
  <si>
    <t>Accidente en el trabajo (DALE-UV)</t>
  </si>
  <si>
    <t>Intercambio de datos con acuerdo</t>
  </si>
  <si>
    <t>iOS - Change Patient Location iPod</t>
  </si>
  <si>
    <t>iOS - Capillary Blood Glucose Control iPod</t>
  </si>
  <si>
    <t>iOS - iPod Supplies and Devices Return</t>
  </si>
  <si>
    <t>Gestión de actualizaciones de SUS</t>
  </si>
  <si>
    <t>Iniciar Sesión TISS Transactions</t>
  </si>
  <si>
    <t>TISS - Reenvío de Cuentas</t>
  </si>
  <si>
    <t>TISS - Account Forwarding</t>
  </si>
  <si>
    <t>TISS - Aviso de hospitalización / alta del beneficiario</t>
  </si>
  <si>
    <t>TISS - Lotes anexos clínicos</t>
  </si>
  <si>
    <t>TISS - Clinical Annex Lots</t>
  </si>
  <si>
    <t>TISS - Notice of Hospitalization / Discharge of the Beneficiary</t>
  </si>
  <si>
    <t>Return to SUS Agreement</t>
  </si>
  <si>
    <t>Vuelva al acuerdo SUS</t>
  </si>
  <si>
    <t>Registro Nacional de Usuarios SUS</t>
  </si>
  <si>
    <t>Gestión unificada del SUS - SUM</t>
  </si>
  <si>
    <t>Risk Rating Manchester</t>
  </si>
  <si>
    <t>Milk Bank Management</t>
  </si>
  <si>
    <t>Nutrition Services Panel</t>
  </si>
  <si>
    <t>Patient Scheduling Web Suite</t>
  </si>
  <si>
    <t>Web Suite Exam Results</t>
  </si>
  <si>
    <t>Calificación de riesgo Manchester</t>
  </si>
  <si>
    <t>Gestión del banco de leche</t>
  </si>
  <si>
    <t>Panel de Servicios de Nutrición</t>
  </si>
  <si>
    <t>Suite de Programación de Pacientes Web</t>
  </si>
  <si>
    <t>Resultados del examen Web Suite</t>
  </si>
  <si>
    <t>HOURS</t>
  </si>
  <si>
    <t>Function</t>
  </si>
  <si>
    <t>Yes</t>
  </si>
  <si>
    <t>No</t>
  </si>
  <si>
    <t>Horas / Hours</t>
  </si>
  <si>
    <t>Rel. Yesulação de Cálculo da Conta de Pa</t>
  </si>
  <si>
    <t>Report Calculation Yesulation of Patient's Account</t>
  </si>
  <si>
    <t xml:space="preserve"> Yesulación de Cálculo de la Cuenta de Pa</t>
  </si>
  <si>
    <t>Insurance Accounts Yesulator</t>
  </si>
  <si>
    <t>iOS - Exames No Laboratoriais</t>
  </si>
  <si>
    <t>Controle de Créditos No Identificados</t>
  </si>
  <si>
    <t>Rel Medicamentos No Padronizados</t>
  </si>
  <si>
    <t>Liberação Medicamentos No Padronizados</t>
  </si>
  <si>
    <t>Digitação de Resultados de Exames No Laboratoriais Externos</t>
  </si>
  <si>
    <t>Rel Exames No Confirmados</t>
  </si>
  <si>
    <t>Rel Contas Paciente No Contabilizadas</t>
  </si>
  <si>
    <t>Phase: Installation</t>
  </si>
  <si>
    <t xml:space="preserve">
Phase: Project Launch</t>
  </si>
  <si>
    <t>Phase: Release and Follow-up</t>
  </si>
  <si>
    <t>Resposta sendo Yes, adiciona 80 horas ao processo de Privacy</t>
  </si>
  <si>
    <t>Enfermagem e Farmácia</t>
  </si>
  <si>
    <t>Caso a resposta seja Yes, +40%</t>
  </si>
  <si>
    <t>Caso a resposta seja Yes, +100%</t>
  </si>
  <si>
    <t>Caso a resposta seja Yes, +30%</t>
  </si>
  <si>
    <t>Resposta sendo Yes, adiciona 32 horas no prontuário eletronico</t>
  </si>
  <si>
    <t>Resposta sendo Yes, adicionado 40 hrs na função Prontuário Eletrônico Paciente</t>
  </si>
  <si>
    <t>Resposta sendo Yes, adicionado 40 hrs na função Suporte a Decisão Clinica</t>
  </si>
  <si>
    <t>OFFSET('Listas (Hide)'!$B$43;1;MATCH('Informações Gerais'!$F$4;'Listas (Hide)'!$B$43:$D$43;0)-1;3)</t>
  </si>
  <si>
    <t>OFFSET('Listas (Hide)'!$B$50;1;MATCH('Informações Gerais'!$F$4;'Listas (Hide)'!$B$50:$D$50;0)-1;2)</t>
  </si>
  <si>
    <t>Workstation</t>
  </si>
  <si>
    <t>Concurrent User</t>
  </si>
  <si>
    <t>Usuario concurrente</t>
  </si>
  <si>
    <t>Estación de Trabajo</t>
  </si>
  <si>
    <t>Both</t>
  </si>
  <si>
    <t>SAAP</t>
  </si>
  <si>
    <t>SAAS</t>
  </si>
  <si>
    <t>OFFSET('Listas (Hide)'!$B$56;1;MATCH('Informações Gerais'!$F$4;'Listas (Hide)'!$B$56:$D$56;0)-1;4)</t>
  </si>
  <si>
    <t>Daily</t>
  </si>
  <si>
    <t>Weekly</t>
  </si>
  <si>
    <t>Fortnightly</t>
  </si>
  <si>
    <t>Monthly</t>
  </si>
  <si>
    <t>Diario</t>
  </si>
  <si>
    <t>Quincenal</t>
  </si>
  <si>
    <t>Mensual</t>
  </si>
  <si>
    <t>Gaspar I. Borges, Evandro Polastri, Anderson R. Tridapalli</t>
  </si>
  <si>
    <t>1) Inclusão da coluna "Observações" na aba Resumo.
2) Inclusão da coluna "Horas de Consultoria" na aba Integrações e automatização de cálculo para inclusão das horas no resumo.
3) Ajuste nas funções (REP - REP-PT - CPOE - Atendimento da Prescrição - Atendimento do lote) alteração de sugestão de inclusão em escopo por tamanho de cliente.
4) Melhorias em traduções.</t>
  </si>
  <si>
    <t>Transfunctional agency</t>
  </si>
  <si>
    <t>Agencia Transfuncional</t>
  </si>
  <si>
    <t>OFFSET('Listas (Hide)'!$B$17;1;MATCH('Informações Gerais'!$F$4;'Listas (Hide)'!$B$17:$D$17;0)-1;2)</t>
  </si>
  <si>
    <t>Nursing</t>
  </si>
  <si>
    <t>Nursing and Pharmacy</t>
  </si>
  <si>
    <t>OFFSET('Listas (Hide)'!$B$72;1;MATCH('Informações Gerais'!$F$4;'Listas (Hide)'!$B$72:$D$72;0)-1;3)</t>
  </si>
  <si>
    <t>Enfermería y Farmacia</t>
  </si>
  <si>
    <t>Project Management</t>
  </si>
  <si>
    <t>Gestión de Proyectos</t>
  </si>
  <si>
    <t>Horas Totales del Proyecto</t>
  </si>
  <si>
    <t>Total Hours of the Project</t>
  </si>
  <si>
    <t>Summary of Hours</t>
  </si>
  <si>
    <t>Resumen de Horas</t>
  </si>
  <si>
    <t>É necessário solicitar a proposta comercial para Protocolo de Manchester 2.0, preenchendo o documento SPM - Solicitação de Protocolo de Manchester através de uma OS</t>
  </si>
  <si>
    <t>Gerenciamento de Projetos</t>
  </si>
  <si>
    <t>It is necessary to request the commercial proposal for Manchester Protocol 2.0 by completing the Manchester Protocol Application Document - SPM through an operating system</t>
  </si>
  <si>
    <t>É necessário atualizar as informações na aba Integrações, solicitar o orçamento via OS ao Pré-vendas.</t>
  </si>
  <si>
    <t>It is necessary to update the information in the Integrations tab, request the budget via OS to Pre-Sales.</t>
  </si>
  <si>
    <t>Es necesario actualizar la información en la pestaña Integraciones, solicitar el presupuesto a través del sistema operativo a pre-venta.</t>
  </si>
  <si>
    <t>Cadastro simplificado de Pessoas</t>
  </si>
  <si>
    <t>Simplified Register of People</t>
  </si>
  <si>
    <t>Registro simplificado de Personas</t>
  </si>
  <si>
    <t>Simulador de Contas de Convênio</t>
  </si>
  <si>
    <t>Simulador de Cuentas de Convenio</t>
  </si>
  <si>
    <t>(   ) Avião   |    (   ) Ônibus Leito   |    (   ) Carro     |     (   ) N/A</t>
  </si>
  <si>
    <t>(   ) Airplane   |    (   ) Bus   |    (   ) Car     |     (   ) N/A</t>
  </si>
  <si>
    <t>(   ) Avión   |    (   ) Autobús   |    (   ) Coche     |     (   ) N/A</t>
  </si>
  <si>
    <t>N/A</t>
  </si>
  <si>
    <t>TWS - Tasy Web Suite</t>
  </si>
  <si>
    <t>TWS</t>
  </si>
  <si>
    <t>1) Inclusão da Pergunta "TWS -Tasy Web Suite";
2) Inclusão de lista suspensa na aba "SP - Proposta" itém "Deslocamento" com opções;
3) Ajuste nas funções (orçamento contabil, infecção hospitalar, nutrição) alteração de sugestão de inclusão em escopo por tamanho de cliente;
4) Inclusão de Mensagens de alerta para a aplicação "TWS - Tasy Web Suite" nas abas "Módulos" e "Perguntas";
5) Melhorias em traduções.</t>
  </si>
  <si>
    <t>PHILIPS</t>
  </si>
  <si>
    <t>Informação</t>
  </si>
  <si>
    <t>Informacion</t>
  </si>
  <si>
    <t>Information</t>
  </si>
  <si>
    <t>Consulting Hours</t>
  </si>
  <si>
    <t>Horario de Consulta</t>
  </si>
  <si>
    <t>Multiplos</t>
  </si>
  <si>
    <t>Multiples</t>
  </si>
  <si>
    <t>Múltiples</t>
  </si>
  <si>
    <t>OFFSET('Listas (Hide)'!$B$79;1;MATCH('Informações Gerais'!$F$4;'Listas (Hide)'!$B$79:$D$79;0)-1;5)</t>
  </si>
  <si>
    <t>***********</t>
  </si>
  <si>
    <r>
      <t>12.</t>
    </r>
    <r>
      <rPr>
        <sz val="7"/>
        <color rgb="FF000000"/>
        <rFont val="Times New Roman"/>
        <family val="1"/>
      </rPr>
      <t xml:space="preserve">   </t>
    </r>
    <r>
      <rPr>
        <sz val="11"/>
        <color rgb="FF000000"/>
        <rFont val="Calibri"/>
        <family val="2"/>
      </rPr>
      <t>Treinamento para time do México, Argentina e colômbia,</t>
    </r>
  </si>
  <si>
    <r>
      <t>14.</t>
    </r>
    <r>
      <rPr>
        <sz val="7"/>
        <color rgb="FF000000"/>
        <rFont val="Times New Roman"/>
        <family val="1"/>
      </rPr>
      <t xml:space="preserve">   </t>
    </r>
    <r>
      <rPr>
        <sz val="11"/>
        <color rgb="FF000000"/>
        <rFont val="Calibri"/>
        <family val="2"/>
      </rPr>
      <t xml:space="preserve">Pedir para o Alberto Aquino validar o texto em espanhol. </t>
    </r>
  </si>
  <si>
    <r>
      <t>1.</t>
    </r>
    <r>
      <rPr>
        <sz val="7"/>
        <color rgb="FF00B050"/>
        <rFont val="Times New Roman"/>
        <family val="1"/>
      </rPr>
      <t xml:space="preserve">      </t>
    </r>
    <r>
      <rPr>
        <sz val="11"/>
        <color rgb="FF00B050"/>
        <rFont val="Calibri"/>
        <family val="2"/>
      </rPr>
      <t>Nomes das tab em inglês</t>
    </r>
  </si>
  <si>
    <r>
      <t>10.</t>
    </r>
    <r>
      <rPr>
        <sz val="7"/>
        <color rgb="FF00B050"/>
        <rFont val="Times New Roman"/>
        <family val="1"/>
      </rPr>
      <t xml:space="preserve">   </t>
    </r>
    <r>
      <rPr>
        <sz val="11"/>
        <color rgb="FF00B050"/>
        <rFont val="Calibri"/>
        <family val="2"/>
      </rPr>
      <t>Integrações – Ajustar conforme a formação padrão do template.</t>
    </r>
  </si>
  <si>
    <t>Resumo</t>
  </si>
  <si>
    <r>
      <t>11.</t>
    </r>
    <r>
      <rPr>
        <sz val="7"/>
        <color rgb="FF00B050"/>
        <rFont val="Times New Roman"/>
        <family val="1"/>
      </rPr>
      <t xml:space="preserve">   </t>
    </r>
    <r>
      <rPr>
        <sz val="11"/>
        <color rgb="FF00B050"/>
        <rFont val="Calibri"/>
        <family val="2"/>
      </rPr>
      <t>Resumo – Parte vermelha e atualização da tabela não está traduzindo</t>
    </r>
  </si>
  <si>
    <r>
      <t>8.</t>
    </r>
    <r>
      <rPr>
        <sz val="7"/>
        <color rgb="FF00B050"/>
        <rFont val="Times New Roman"/>
        <family val="1"/>
      </rPr>
      <t xml:space="preserve">      </t>
    </r>
    <r>
      <rPr>
        <sz val="11"/>
        <color rgb="FF00B050"/>
        <rFont val="Calibri"/>
        <family val="2"/>
      </rPr>
      <t xml:space="preserve">Perguntas – Campo de # de consultores – ou deixar “0” ou deixar “3”. A questão é não induzir o usuário ao erro. </t>
    </r>
  </si>
  <si>
    <r>
      <t>7.</t>
    </r>
    <r>
      <rPr>
        <sz val="7"/>
        <color rgb="FF00B050"/>
        <rFont val="Times New Roman"/>
        <family val="1"/>
      </rPr>
      <t xml:space="preserve">      </t>
    </r>
    <r>
      <rPr>
        <sz val="11"/>
        <color rgb="FF00B050"/>
        <rFont val="Calibri"/>
        <family val="2"/>
      </rPr>
      <t>Perguntas – Mesma comentário do item 4.</t>
    </r>
  </si>
  <si>
    <r>
      <t>4.</t>
    </r>
    <r>
      <rPr>
        <sz val="7"/>
        <color rgb="FF00B050"/>
        <rFont val="Times New Roman"/>
        <family val="1"/>
      </rPr>
      <t xml:space="preserve">      </t>
    </r>
    <r>
      <rPr>
        <sz val="11"/>
        <color rgb="FF00B050"/>
        <rFont val="Calibri"/>
        <family val="2"/>
      </rPr>
      <t>Descrição LETP, tirar o PHILIPS do PHILIPS TASY EMR</t>
    </r>
  </si>
  <si>
    <r>
      <t>6.</t>
    </r>
    <r>
      <rPr>
        <sz val="7"/>
        <color rgb="FF00B050"/>
        <rFont val="Times New Roman"/>
        <family val="1"/>
      </rPr>
      <t xml:space="preserve">      </t>
    </r>
    <r>
      <rPr>
        <sz val="11"/>
        <color rgb="FF00B050"/>
        <rFont val="Calibri"/>
        <family val="2"/>
      </rPr>
      <t>Módulos - Ajusta mensagem de alerta para TWS. Sugiro não deixar passar do limite da tela.</t>
    </r>
  </si>
  <si>
    <t>MERCADOS</t>
  </si>
  <si>
    <t>Colômbia</t>
  </si>
  <si>
    <t>Argentina</t>
  </si>
  <si>
    <t>República Dominicana</t>
  </si>
  <si>
    <t>Alemanha</t>
  </si>
  <si>
    <t>Polonia</t>
  </si>
  <si>
    <t>Polônia</t>
  </si>
  <si>
    <t>Emirados Árabes Unidos</t>
  </si>
  <si>
    <t>Arábia Saudita</t>
  </si>
  <si>
    <t xml:space="preserve">Austrália </t>
  </si>
  <si>
    <t>Outro</t>
  </si>
  <si>
    <t>Brazil</t>
  </si>
  <si>
    <t>Colombia</t>
  </si>
  <si>
    <t>Mexico</t>
  </si>
  <si>
    <t>Dominican Republic</t>
  </si>
  <si>
    <t>Germany</t>
  </si>
  <si>
    <t>Poland</t>
  </si>
  <si>
    <t>United Arab Emirates</t>
  </si>
  <si>
    <t>Saudi Arabia</t>
  </si>
  <si>
    <t>Australia</t>
  </si>
  <si>
    <t>New Zealand</t>
  </si>
  <si>
    <t>Other</t>
  </si>
  <si>
    <t>Alemania</t>
  </si>
  <si>
    <t>Emiratos Árabes Unidos</t>
  </si>
  <si>
    <t>Arabia Saudita</t>
  </si>
  <si>
    <t>Nueva Zelanda</t>
  </si>
  <si>
    <t>Otro</t>
  </si>
  <si>
    <t>Nova Zelândia</t>
  </si>
  <si>
    <t>Identify country in field next to</t>
  </si>
  <si>
    <t>Identificar País no campo ao Lado</t>
  </si>
  <si>
    <t>Identifique el país en el campo</t>
  </si>
  <si>
    <t>Não Preencher</t>
  </si>
  <si>
    <t>Do not fill</t>
  </si>
  <si>
    <t>OFFSET('Listas (Hide)'!$B$96;1;MATCH('General Information'!$F$4;'Listas (Hide)'!$B$96:$D$96;0)-1;12)</t>
  </si>
  <si>
    <t>ONLY APPLIED MODULE FOR BRAZIL MARKET</t>
  </si>
  <si>
    <r>
      <t>5.</t>
    </r>
    <r>
      <rPr>
        <sz val="7"/>
        <color rgb="FF00B050"/>
        <rFont val="Times New Roman"/>
        <family val="1"/>
      </rPr>
      <t xml:space="preserve">      </t>
    </r>
    <r>
      <rPr>
        <sz val="11"/>
        <color rgb="FF00B050"/>
        <rFont val="Calibri"/>
        <family val="2"/>
      </rPr>
      <t>Módulos - Incluir mensagem de erro para Web, IOS e Palm quando for países diferentes de Brasil e selecionado Yes no campo</t>
    </r>
  </si>
  <si>
    <r>
      <t>2.</t>
    </r>
    <r>
      <rPr>
        <sz val="7"/>
        <color rgb="FF00B050"/>
        <rFont val="Times New Roman"/>
        <family val="1"/>
      </rPr>
      <t xml:space="preserve">      </t>
    </r>
    <r>
      <rPr>
        <sz val="11"/>
        <color rgb="FF00B050"/>
        <rFont val="Calibri"/>
        <family val="2"/>
      </rPr>
      <t xml:space="preserve">Mercado – Incluir apenas os mechados validos Brasil, Colômbia, México, Argentina, RD, Alemanha, Polônia, UAE, KSA, Austrália, NZ, Outro (Mencionar o pais no campo latereal). </t>
    </r>
  </si>
  <si>
    <t>IMPORTANTE &gt;&gt;  &gt;&gt;</t>
  </si>
  <si>
    <t>IMPORTANT &gt;&gt;  &gt;&gt;</t>
  </si>
  <si>
    <t>Tasy envía al sistema de SMS los datos de la programación y del paciente y el sistema de SMS envía el SMS al paciente.</t>
  </si>
  <si>
    <t>Otras Integraciones</t>
  </si>
  <si>
    <t>Other Integrations</t>
  </si>
  <si>
    <t>Pré-Requisitos Técnicos</t>
  </si>
  <si>
    <t>Pré-Requisitos Comerciais</t>
  </si>
  <si>
    <t>Requisitos</t>
  </si>
  <si>
    <t>Funções</t>
  </si>
  <si>
    <t>Suporta o TWS?</t>
  </si>
  <si>
    <t>Funções Básicas</t>
  </si>
  <si>
    <t>Infraestrutura</t>
  </si>
  <si>
    <t>Clientes Cloud</t>
  </si>
  <si>
    <t>Contrato com licença descrito na Politica Comercial</t>
  </si>
  <si>
    <t>ESTE MÓDULO/APLICAÇÃO NÃO ESTÁ DISPONÍVEL PARA O PAÍS SELECIONADO</t>
  </si>
  <si>
    <t>Agendamentos</t>
  </si>
  <si>
    <t>01) Administração do Sistema (Java / HTML5);
02) Cadastro Completo de Pessoas (Java / HTML5);
03) Cadastro Simplificado de Pessoas (Provisóriamente apenas HTML5);
04) Administraçãodo Web Suite (HTML5)</t>
  </si>
  <si>
    <t>SIM</t>
  </si>
  <si>
    <t>01) Servidor de aplicação: Oracle Weblogic Application Server versão 12.1.2.0, Tomcat 7 ou superior;
02) Java 8;
03) Banco de Dados Oracle 11C ou Higher</t>
  </si>
  <si>
    <t>A Politica Comercial cita: "Disponível mediante pagamento adicional (Necessário mais recursos do cloud) e avaliação prévia pela Philips</t>
  </si>
  <si>
    <t>Vizualização de Agendamentos do Paciente</t>
  </si>
  <si>
    <t>O Cliente usa: Check-Up</t>
  </si>
  <si>
    <t>1) Agenda Integrada (Java / HTML5);
2) Agenda de Consulta (Java / HTML5)</t>
  </si>
  <si>
    <t>Somente será suportado em Dezembro de 2019</t>
  </si>
  <si>
    <t>Paciente solicita exames</t>
  </si>
  <si>
    <t>01) Agenda Integrada (Java / HTML5);
02) Agenda de exames (Java / HTML5)</t>
  </si>
  <si>
    <t>Paientes para agendar / re-agendar exames</t>
  </si>
  <si>
    <t>Somente será suportado em Janeiro de 2020</t>
  </si>
  <si>
    <t>Visualização de Resultados de Exames</t>
  </si>
  <si>
    <t>Vizualização de Resultados de exames laboratoriais, não laboratoriais (ex. imagens) e resultados de patologias</t>
  </si>
  <si>
    <t>O cliente usa as seguintes funções:
01) Central de Laudos (Java / HTML5);
02) Exames Pendentes (Java / HTML5);
03) Laudo de Anatomia Pàtológica (Java / HTML5)</t>
  </si>
  <si>
    <t>Se o cliente usa integrações para exames de imagens ou laboratoriais?</t>
  </si>
  <si>
    <t>Se o cliente utiliza a função Oftamologia e quer compartilhar os resultados a partir dessa função?</t>
  </si>
  <si>
    <t>Se o cliente utiliza as funções Digitação de Resultados de Exames Não Laboratoriais Externos ou Digitação de Resultados de Exames Laboratoriais Externos  e quer compartilhar resultados realizados nessa função?</t>
  </si>
  <si>
    <t>Se o cliente utiliza a função DIS (Digital Interventional Suite) para laudar procedimentos intervencionistas?</t>
  </si>
  <si>
    <t>Para exames de imagem, po0 cliente quer ter acesso a imagens DICOM?</t>
  </si>
  <si>
    <t>Se o cliente já tem uma interfacE entre Tasy e seu PAC's</t>
  </si>
  <si>
    <t>********</t>
  </si>
  <si>
    <t>O cliente gostaria de utilizar apanas uma das features?</t>
  </si>
  <si>
    <t>O Cliente tem mais de um estabelecimento?</t>
  </si>
  <si>
    <t>O cliente quer disponibilizar o agendamento direto dos exames?</t>
  </si>
  <si>
    <r>
      <t>15.</t>
    </r>
    <r>
      <rPr>
        <sz val="7"/>
        <color rgb="FF00B050"/>
        <rFont val="Times New Roman"/>
        <family val="1"/>
      </rPr>
      <t>   Passarpergunta TWS para SP Propostas</t>
    </r>
  </si>
  <si>
    <r>
      <t>3.</t>
    </r>
    <r>
      <rPr>
        <sz val="7"/>
        <color rgb="FF00B0F0"/>
        <rFont val="Times New Roman"/>
        <family val="1"/>
      </rPr>
      <t xml:space="preserve">      </t>
    </r>
    <r>
      <rPr>
        <sz val="11"/>
        <color rgb="FF00B0F0"/>
        <rFont val="Calibri"/>
        <family val="2"/>
      </rPr>
      <t xml:space="preserve">No meu entendimento Solicitação de proposta não se aplica para vendas diretas, nesse caso, entendo que valeria a penas incluir uma regra para inativar essa tab no caso de venda direta. </t>
    </r>
  </si>
  <si>
    <t>Cloud</t>
  </si>
  <si>
    <t>Lite</t>
  </si>
  <si>
    <t>Professional</t>
  </si>
  <si>
    <t>Advanced</t>
  </si>
  <si>
    <t>OFFSET('Listas (Hide)'!$B$114;1;MATCH('General Information'!$F$4;'Listas (Hide)'!$B$114:$D$114;0)-1;4)</t>
  </si>
  <si>
    <t>FAVOR SELECIONAR MODALIDADE CLOUD</t>
  </si>
  <si>
    <t xml:space="preserve">*Favor realizar a abertura de OS ao time de Pré-Vendas solicitando orçamento para horas das integrações.
**Em caso de oferta Java, HTML5 ou Cloud HTML5 não há possibilidade de integrações via banco de dados. </t>
  </si>
  <si>
    <t>*Please open OS to Presales team requesting budget for integration hours.
**In case of Java, HTML5 or Cloud HTML5 offer there is no possibility of database integrations.</t>
  </si>
  <si>
    <t>* Abra el sistema operativo para que el equipo de preventa solicite el presupuesto para las horas de integración.
**En el caso de oferta Java, HTML5 o Cloud HTML5, no hay posibilidad de integraciones de bases de datos.</t>
  </si>
  <si>
    <r>
      <rPr>
        <b/>
        <sz val="11"/>
        <color rgb="FF000000"/>
        <rFont val="Calibri"/>
        <family val="2"/>
      </rPr>
      <t>TWS - Tasy Web Suite - Favor selecionar o tamanho da oferta na aba "Proposal"</t>
    </r>
    <r>
      <rPr>
        <sz val="11"/>
        <color rgb="FF000000"/>
        <rFont val="Calibri"/>
        <family val="2"/>
      </rPr>
      <t xml:space="preserve">
Este Módulo/Aplicação não pode ser comercializada para clientes DELPHI. 
Recursos atuais: Agendamento de Consultas, Solicitação de Agendamento de Exames, Vizualização de Laudo de Exames Laboratoriais e Não Laboratoriais (Radiologia), Consulta de Agendamentos do Paciente. 
Para maiores detalhes sobre o produto, favor consultar a aba "TWS" da LTEP, os documentos do NPI (New Product Introduction) e/ou treinamentos disponíveis no Philips Learning Center.</t>
    </r>
  </si>
  <si>
    <r>
      <rPr>
        <b/>
        <sz val="11"/>
        <color rgb="FF212121"/>
        <rFont val="Calibri"/>
        <family val="2"/>
        <scheme val="minor"/>
      </rPr>
      <t>TWS - Tasy Web Suite - Please select offer size on "Proposal" tab</t>
    </r>
    <r>
      <rPr>
        <sz val="11"/>
        <color rgb="FF212121"/>
        <rFont val="Calibri"/>
        <family val="2"/>
        <scheme val="minor"/>
      </rPr>
      <t xml:space="preserve">
Current Resources: Appointment Scheduling, Request Exam Schedule, View Laboratory and Non-Laboratory Exam Report (Radiology), Consultation of Patient Schedules.
For more product details, please refer to the LTEP "TWS" tab, New Product Introduction (NPI) documents and / or training available at the Philips Learning Center.</t>
    </r>
  </si>
  <si>
    <t>PLEASE SELECT CLOUD MODE</t>
  </si>
  <si>
    <t>POR FAVOR SELECCIONE MODO CLOUD</t>
  </si>
  <si>
    <t>OFFSET('Listas (Hide)'!$B$87;1;MATCH('Informações Gerais'!$F$4;'Listas (Hide)'!$B$87:$D$87;0)-1;4)</t>
  </si>
  <si>
    <t>Favor solicitar a aprovação do departamento de Projetos da Philips para Comercialização Cloud (somente disponível para Tasy HTML5), através do e-mail: Burigo, Patricia &lt;patricia.burigo@philips.com&gt;. Para maiores dúvidas entrar em contato com Holstein, Juliana &lt;juliana.holstein@philips.com&gt; ou Bernardi, Isael &lt;isael.bernardi@philips.com&gt;</t>
  </si>
  <si>
    <t xml:space="preserve">Please request approval from the Philips Projects Department for Cloud offer (Only available for Tasy HTML5), by email: Burigo, Patricia &lt;patricia.burigo@philips.com&gt;. </t>
  </si>
  <si>
    <t>*Sugestões de Premissas para serem inclusas em contrato</t>
  </si>
  <si>
    <t>*Assumptions Suggestions to be included in contract</t>
  </si>
  <si>
    <t>*Suposiciones Sugerencias para ser incluidas en el contrato</t>
  </si>
  <si>
    <t>Aplicação Tasy WEB</t>
  </si>
  <si>
    <t>Aplicação Tasy Palm</t>
  </si>
  <si>
    <t>Aplicação Tasy iOS</t>
  </si>
  <si>
    <t>Tasy WEB Aplication</t>
  </si>
  <si>
    <t>Tasy Palm Aplication</t>
  </si>
  <si>
    <t>Tasy iOS Aplication</t>
  </si>
  <si>
    <t>Aplicación WEB Tasy</t>
  </si>
  <si>
    <t>Aplicación Palm Tasy</t>
  </si>
  <si>
    <t>Aplicación iOS Tasy</t>
  </si>
  <si>
    <r>
      <t>9.</t>
    </r>
    <r>
      <rPr>
        <sz val="7"/>
        <color rgb="FF00B050"/>
        <rFont val="Times New Roman"/>
        <family val="1"/>
      </rPr>
      <t xml:space="preserve">      </t>
    </r>
    <r>
      <rPr>
        <sz val="11"/>
        <color rgb="FF00B050"/>
        <rFont val="Calibri"/>
        <family val="2"/>
      </rPr>
      <t xml:space="preserve">Detalhe de horas – Ajustar com os módulos que o Charles liberou na política. Idem comentei item 4. </t>
    </r>
  </si>
  <si>
    <r>
      <t>13.</t>
    </r>
    <r>
      <rPr>
        <sz val="7"/>
        <color rgb="FF00B050"/>
        <rFont val="Times New Roman"/>
        <family val="1"/>
      </rPr>
      <t xml:space="preserve">   </t>
    </r>
    <r>
      <rPr>
        <sz val="11"/>
        <color rgb="FF00B050"/>
        <rFont val="Calibri"/>
        <family val="2"/>
      </rPr>
      <t xml:space="preserve">Sugestão de premissa. Entender o que seria e deixar claro o para o usuário. </t>
    </r>
  </si>
  <si>
    <t>Las funciones</t>
  </si>
  <si>
    <t>¿Es compatible con TWS?</t>
  </si>
  <si>
    <t>Prerrequisitos técnicos</t>
  </si>
  <si>
    <t>Prerrequisitos comerciales</t>
  </si>
  <si>
    <t>Horarios</t>
  </si>
  <si>
    <t>Vista previa de resultados de exámenes</t>
  </si>
  <si>
    <t>Requirements</t>
  </si>
  <si>
    <t>Functions</t>
  </si>
  <si>
    <t>Does it support TWS?</t>
  </si>
  <si>
    <t>Technical Prerequisites</t>
  </si>
  <si>
    <t>Business Prerequisites</t>
  </si>
  <si>
    <t>Schedules</t>
  </si>
  <si>
    <t>Exam Results Preview</t>
  </si>
  <si>
    <t>Requisição de agendamento e/ou (re) agendamento da consulta</t>
  </si>
  <si>
    <t>Basic Functions</t>
  </si>
  <si>
    <t>Infrastructure</t>
  </si>
  <si>
    <t>License agreement described in the Commercial Policy</t>
  </si>
  <si>
    <t>Cloud Clients</t>
  </si>
  <si>
    <t>Viewing Patient Schedules</t>
  </si>
  <si>
    <t>Appointment Request and / or (Re) Appointment Schedule</t>
  </si>
  <si>
    <t>Patient requests exams</t>
  </si>
  <si>
    <t>Parents to schedule / reschedule exams</t>
  </si>
  <si>
    <t>Visualization of Laboratory, Non-Laboratory Test Results (eg Images) and Pathology Results</t>
  </si>
  <si>
    <t>For imaging exams, can a customer want access to DICOM images?</t>
  </si>
  <si>
    <t>Would the customer like to use just one of the features?</t>
  </si>
  <si>
    <t>Funciones básicas</t>
  </si>
  <si>
    <t>Infraestructura</t>
  </si>
  <si>
    <t>Acuerdo de licencia descrito en la Política Comercial</t>
  </si>
  <si>
    <t>Clientes en la nube</t>
  </si>
  <si>
    <t>Visualización de horarios de pacientes</t>
  </si>
  <si>
    <t>Solicitud de cita y / o (Re) Programa de citas</t>
  </si>
  <si>
    <t>El paciente solicita exámenes</t>
  </si>
  <si>
    <t>Para los exámenes de imágenes, ¿puede un cliente querer acceder a las imágenes DICOM?</t>
  </si>
  <si>
    <t>¿Le gustaría al cliente usar solo una de las funciones?</t>
  </si>
  <si>
    <t>01) Agenda Integrada (Java / HTML5);
02) Agenda de Consulta (Java / HTML5);
03) Agenda de Exames (Java / HTML5);
04) Gestão da Agenda Cirúrgica (Java / HTML5);
05) Agenda de Quimioterapia (Java / HTML5);</t>
  </si>
  <si>
    <t>Commercial Policy quotes: "Available for additional fee (More cloud resources required) and prior evaluation by Philips</t>
  </si>
  <si>
    <t>Customer Uses: Check-Up</t>
  </si>
  <si>
    <t>Does the Customer have more than one establishment?</t>
  </si>
  <si>
    <t>Does the client want to make direct scheduling of exams available?</t>
  </si>
  <si>
    <t>If the client uses the Ophthalmology function and wants to share the results from this function?</t>
  </si>
  <si>
    <t>If the client uses the External Non-Laboratory Test Results Typing or External Laboratory Test Results Typing functions and wants to share results performed in this function?</t>
  </si>
  <si>
    <t>If the customer uses the DIS (Digital Interventional Suite) function to laud interventionist procedures?</t>
  </si>
  <si>
    <t>If the customer uses integrations for imaging or laboratory?</t>
  </si>
  <si>
    <t>If the customer already has an interface between Tasy and his PAC's</t>
  </si>
  <si>
    <t>01) System Administration (Java / HTML5);
02) Complete Registration of People (Java / HTML5);
03) Simplified Registration of People (Provisionally HTML5 only);
04) Web Suite Administration (HTML5)</t>
  </si>
  <si>
    <t>01) Application server: Oracle Weblogic Application Server version 12.1.2.0, Tomcat 7 or higher;
02) Java 8;
03) Oracle 11C or Higher Database</t>
  </si>
  <si>
    <t xml:space="preserve">01) Integrated Calendar (Java / HTML5);
02) Query Schedule (Java / HTML5);
03) Exam Schedule (Java / HTML5);
04) Surgical Agenda Management (Java / HTML5);
05) Chemotherapy Agenda (Java / HTML5); </t>
  </si>
  <si>
    <t xml:space="preserve">1) Integrated Calendar (Java / HTML5);
2) Query Schedule (Java / HTML5) </t>
  </si>
  <si>
    <t xml:space="preserve">01) Integrated Calendar (Java / HTML5);
02) Exam Schedule (Java / HTML5) </t>
  </si>
  <si>
    <t xml:space="preserve">The client uses the following functions:
01) Report Center (Java / HTML5);
02) Pending Exams (Java / HTML5);
03) Pathological Anatomy Report (Java / HTML5) </t>
  </si>
  <si>
    <t>Si el cliente utiliza integraciones para imágenes o laboratorio?</t>
  </si>
  <si>
    <t xml:space="preserve">01) Administración del sistema (Java / HTML5);
02) Registro completo de personas (Java / HTML5);
03) Registro simplificado de personas (solo HTML5 provisionalmente);
04) Administración de Web Suite (HTML5) </t>
  </si>
  <si>
    <t xml:space="preserve">01) Servidor de aplicaciones: Oracle Weblogic Application Server versión 12.1.2.0, Tomcat 7 o superior;
02) Java 8;
03) Oracle 11C o una base de datos superior </t>
  </si>
  <si>
    <t>Cotizaciones de política comercial: "Disponible por una tarifa adicional (se requieren más recursos en la nube) y evaluación previa por parte de Philips</t>
  </si>
  <si>
    <t>¿El cliente tiene más de un establecimiento?</t>
  </si>
  <si>
    <t>YES</t>
  </si>
  <si>
    <t>SÍ</t>
  </si>
  <si>
    <t>NÃO</t>
  </si>
  <si>
    <t>NO</t>
  </si>
  <si>
    <r>
      <t>1) Tradução dos Nomes das Abas para o idioma "Inglês" 
2) Alteração e padronização da aba "Integrations"
3) Alteração da Pergunta "TWS" para aba "Proposal"
4) Inclusão dos campos "Modalidade" e "Valor" Cloud na aba "Proposal"
5) Inclusão da aba "TWS"
6) Inclusão do desclaimer "</t>
    </r>
    <r>
      <rPr>
        <i/>
        <sz val="11"/>
        <color rgb="FF000000"/>
        <rFont val="Calibri"/>
        <family val="2"/>
      </rPr>
      <t>Em caso de oferta Java, HTML5 ou Cloud HTML5 não há possibilidade de integrações via banco de dados</t>
    </r>
    <r>
      <rPr>
        <sz val="11"/>
        <color rgb="FF000000"/>
        <rFont val="Calibri"/>
        <family val="2"/>
        <charset val="1"/>
      </rPr>
      <t>." na aba "Intagrations". 
7) Inclusão do desclaimer "</t>
    </r>
    <r>
      <rPr>
        <i/>
        <sz val="11"/>
        <color rgb="FF000000"/>
        <rFont val="Calibri"/>
        <family val="2"/>
      </rPr>
      <t>Sugestões de Premissas para serem inclusas em contrato</t>
    </r>
    <r>
      <rPr>
        <sz val="11"/>
        <color rgb="FF000000"/>
        <rFont val="Calibri"/>
        <family val="2"/>
        <charset val="1"/>
      </rPr>
      <t>." na aba "Assumptions Suggestion". 
8) Melhorias em traduções.</t>
    </r>
  </si>
  <si>
    <t xml:space="preserve">Necessário avaliar, pois existem diferentes tipos de integração.
Não
Se as integrações enviam somente um arquivo PDF. </t>
  </si>
  <si>
    <t>Solo se admitirá en diciembre de 2019</t>
  </si>
  <si>
    <t>Solo será compatible en enero de 2020.</t>
  </si>
  <si>
    <t>Will be supported only in December 2019</t>
  </si>
  <si>
    <t>It will only be supported in January 2020.</t>
  </si>
  <si>
    <t>Need to evaluate as there are different types of integration.
Not
If integrations send only one PDF file.</t>
  </si>
  <si>
    <t>Es necesario evaluar ya que existen diferentes tipos de integración.
No
Si las integraciones envían solo un archivo PDF.</t>
  </si>
  <si>
    <t>SIM  para clientes que possuem o Isite com o visualizador "Anywhere"
Para cliente com Carestream com o modulo  "MyVue" somente será suportado em a partir de Dezembro de 2019.
Para outros sistemas de PACS, precisa ser avaliado. O PAC's precisa ter um modulo de visualização externa como o Anywhere do ISite e o MyVue do Carestream. ( Esta análise precisa ser feita antes da venda)</t>
  </si>
  <si>
    <t>YES for Isite customers with the "Anywhere" viewer
For Carestream customer with "MyVue" module will only be supported from December 2019.
For other PACS systems, it needs to be evaluated. PAC's must have an external viewing module such as ISite's Anywhere and Carestream's MyVue. (This analysis needs to be done before sale)</t>
  </si>
  <si>
    <t>Visualización de resultados de pruebas de laboratorio, no de laboratorio (Ej. Imágenes) y resultados de patología</t>
  </si>
  <si>
    <r>
      <rPr>
        <b/>
        <sz val="11"/>
        <color rgb="FF000000"/>
        <rFont val="Calibri"/>
        <family val="2"/>
      </rPr>
      <t xml:space="preserve">Observação: </t>
    </r>
    <r>
      <rPr>
        <sz val="11"/>
        <color rgb="FF000000"/>
        <rFont val="Calibri"/>
        <family val="2"/>
      </rPr>
      <t xml:space="preserve">Atualmente na Política Comercial observamos 3 valores distintos de licenças, direcionados a diferentes tamanhos de instituições, para aplicação do produto. </t>
    </r>
  </si>
  <si>
    <r>
      <rPr>
        <b/>
        <sz val="11"/>
        <color rgb="FF000000"/>
        <rFont val="Calibri"/>
        <family val="2"/>
      </rPr>
      <t xml:space="preserve">Note: </t>
    </r>
    <r>
      <rPr>
        <sz val="11"/>
        <color rgb="FF000000"/>
        <rFont val="Calibri"/>
        <family val="2"/>
      </rPr>
      <t>Currently in Commercial Policy we observe 3 different license values, directed to different sizes of institutions, for product application.</t>
    </r>
  </si>
  <si>
    <r>
      <rPr>
        <b/>
        <sz val="11"/>
        <color rgb="FF000000"/>
        <rFont val="Calibri"/>
        <family val="2"/>
      </rPr>
      <t>Nota:</t>
    </r>
    <r>
      <rPr>
        <sz val="11"/>
        <color rgb="FF000000"/>
        <rFont val="Calibri"/>
        <family val="2"/>
      </rPr>
      <t xml:space="preserve"> Actualmente en la Política Comercial observamos 3 valores de licencia diferentes, dirigidos a diferentes tamaños de instituciones, para la aplicación del producto.</t>
    </r>
  </si>
  <si>
    <t>Se o cliente quer "visualizar resultados de exames" somente (= não visualizar os agendamentos)
Se o cliente quer somente visualizar os agendamentos (=não resultados de exames)</t>
  </si>
  <si>
    <t>If customer wants to "view exam results" only (= not view schedules)
If customer only wants to view schedules (= no exam results)</t>
  </si>
  <si>
    <t>Si el cliente solo desea "ver los resultados del examen" (= no ver las citas)
Si el cliente solo quiere ver horarios (= sin resultados de exámenes)</t>
  </si>
  <si>
    <t>No
(Actualmente no es posible ya que los informes DIS no están disponibles en el Centro de informes)</t>
  </si>
  <si>
    <t>Not
(Currently not possible as DIS reports are not available in Report Center)</t>
  </si>
  <si>
    <t>Não
(Atualmente não será possível, pois os relatórios DIS não estão disponíveis na Central de Laudos)</t>
  </si>
  <si>
    <r>
      <rPr>
        <b/>
        <sz val="11"/>
        <rFont val="Calibri"/>
        <family val="2"/>
      </rPr>
      <t>Não</t>
    </r>
    <r>
      <rPr>
        <sz val="11"/>
        <rFont val="Calibri"/>
        <family val="2"/>
      </rPr>
      <t xml:space="preserve"> 
(Não é suportado exames registrados na função de Oftamologia, somente exames de Oftamologia prescritos pela CPOE e laudados na Central de Exames) </t>
    </r>
  </si>
  <si>
    <r>
      <rPr>
        <b/>
        <sz val="11"/>
        <rFont val="Calibri"/>
        <family val="2"/>
      </rPr>
      <t xml:space="preserve">No 
</t>
    </r>
    <r>
      <rPr>
        <sz val="11"/>
        <rFont val="Calibri"/>
        <family val="2"/>
      </rPr>
      <t>(Ophthalmology exams are not supported, only Ophthalmology exams prescribed by CPOE and laudated at Examination Center)</t>
    </r>
  </si>
  <si>
    <t>Após preenchimento das informações prévias, atualizar o resumo com o botão direito sobre a tabela da estimativa observando os requisitos mínimos para gerar estimativa de implantação (tab General Information: "Funções sugeridas pelo porte do cliente" e "Plataforma"; tab Modules: selecionar os módulos a serem implantados; tab Questions: "Quantidade de Consultores para Implantação")</t>
  </si>
  <si>
    <t>After completing the previous information, update the summary by right-clicking on the estimation table observing the minimum requirements for generating deployment estimation (General Information tab: "Suggested functions by customer size" and "Platform"; Modules tab: Select the modules to deploy; Questions: "Number of Consultants for Deployment")</t>
  </si>
  <si>
    <t>FAVOR PREENCHER A CAMPO DE QUANTIDADE DE CONSULTORES PARA IMPLANTAÇÃO</t>
  </si>
  <si>
    <t>PLEASE FILL IN QUANTITY OF CONSULTANTS FOR IMPLEMENTATION</t>
  </si>
  <si>
    <t>POR FAVOR LLENE LA CANTIDAD DE CONSULTORES PARA LA APLICACIÓN</t>
  </si>
  <si>
    <t>Acresc. 10% Acima de 300 leitos</t>
  </si>
  <si>
    <t>Gigante BR</t>
  </si>
  <si>
    <t>Sistema anterior (a ser substituído)</t>
  </si>
  <si>
    <t>Inscrição Estadual</t>
  </si>
  <si>
    <t>Vigência do Contrato</t>
  </si>
  <si>
    <t>Cálculo OIT</t>
  </si>
  <si>
    <t>Licença</t>
  </si>
  <si>
    <t>Consultoria</t>
  </si>
  <si>
    <t>R&amp;D</t>
  </si>
  <si>
    <t>OIT</t>
  </si>
  <si>
    <t>Taxa</t>
  </si>
  <si>
    <t>Representante Legal do Canal</t>
  </si>
  <si>
    <t>Valores</t>
  </si>
  <si>
    <t xml:space="preserve">Valor </t>
  </si>
  <si>
    <t>Previous System (To be desinstalled)</t>
  </si>
  <si>
    <t>Sistema anterior (para ser reemplazado)</t>
  </si>
  <si>
    <t>Solicitações</t>
  </si>
  <si>
    <t>Proposal Request</t>
  </si>
  <si>
    <t>Contract Request</t>
  </si>
  <si>
    <t>Solicitud de Propuesta</t>
  </si>
  <si>
    <t>Solicitud de Contarto</t>
  </si>
  <si>
    <t>Valor Total Manutenção CDU (Mensal)</t>
  </si>
  <si>
    <t>Valor Total da Manutenção LUT (Mensal)</t>
  </si>
  <si>
    <t>Total Maintenance CDU (Monthly)</t>
  </si>
  <si>
    <t>Total Maintenance LUT (Monthly)</t>
  </si>
  <si>
    <t>Precio Total del Mantenimiento LUT (Mensual)</t>
  </si>
  <si>
    <t>Tipo de Venda</t>
  </si>
  <si>
    <t>Sale Type</t>
  </si>
  <si>
    <t>Tipo de Venta</t>
  </si>
  <si>
    <t>License</t>
  </si>
  <si>
    <t>Licencia</t>
  </si>
  <si>
    <t>Consultance</t>
  </si>
  <si>
    <t>Consultoría</t>
  </si>
  <si>
    <t>Gerencia de Proyecto</t>
  </si>
  <si>
    <t>Tax</t>
  </si>
  <si>
    <t>Tasa</t>
  </si>
  <si>
    <t>Contract Term</t>
  </si>
  <si>
    <t>Vigencia del Contrato</t>
  </si>
  <si>
    <t>Carência na Manutenção (em meses)</t>
  </si>
  <si>
    <t>Lack of Maintenance (In Months)</t>
  </si>
  <si>
    <t>Falta de Mantenimiento (En Meses)</t>
  </si>
  <si>
    <t>Tipo de Solicitação</t>
  </si>
  <si>
    <t>Type of Request</t>
  </si>
  <si>
    <t>Tipo de Solicitud</t>
  </si>
  <si>
    <t>Acrescimo Horas HTML5</t>
  </si>
  <si>
    <t>Acresc. Horas Acima de 300 leitos</t>
  </si>
  <si>
    <t>Channel Legal Representative</t>
  </si>
  <si>
    <t>Not Applicable</t>
  </si>
  <si>
    <t>No se aplica</t>
  </si>
  <si>
    <t>STANDARD HOURS + ADDITIONAL HOURS + PLATFORM + V&amp;V</t>
  </si>
  <si>
    <t>Hours Detail</t>
  </si>
  <si>
    <t>Hours</t>
  </si>
  <si>
    <t>O cliente necessita de integrações com outros sistemas e/ou equipamentos, customizações e/ou migrações?</t>
  </si>
  <si>
    <t>Does the customer need integrations with other systems and / or equipment, customizations and / or migrations?</t>
  </si>
  <si>
    <t>¿Necesita el cliente integraciones con otros sistemas y / o equipos, personalizaciones y / o migraciones?</t>
  </si>
  <si>
    <t>OCULTAR</t>
  </si>
  <si>
    <t>OFFSET('Listas (Hide)'!$B$4;1;MATCH('Informações Gerais'!$F$4;'Listas (Hide)'!$B$4:$D$4;0)-1;6)</t>
  </si>
  <si>
    <t>1) Retirado o aviso de aprovação necessária para projetos em HTML5;
2) Inclusa a SC - Solicitação de Contrato e informações solicitadas pelo KLAS;
3) Inseridos cálculos automáticos da proposta e do OIT;
4) Adicionado racional para inclusão de 110% nas horas caso o projeto seja Grande ou caso tenha integração/customização e/ou migração de dados.</t>
  </si>
  <si>
    <t>Rafael dos Santos Pellens, Gaspar l. Borges, Anderson R. Tridapalli</t>
  </si>
  <si>
    <t>Sugestão de Horas (Vendas)</t>
  </si>
  <si>
    <t>Valor Hora</t>
  </si>
  <si>
    <t>-</t>
  </si>
  <si>
    <t>Valor Hora de Gerenciamento De Projetos</t>
  </si>
  <si>
    <t>Os impostos estão inclusos no valor hora?</t>
  </si>
  <si>
    <t>Rafael dos Santos Pellens</t>
  </si>
  <si>
    <t>1) Incluso aba para sugestão de horas e justificativas para Vendas e PMO na aba "Summary";
2) Incluso campo para descrever a estratégia de implantação na aba "Summary";
3) Incluso camos somatórios para cada sugestão (vendas e PMO) na aba "Summary";
4) Inclusão de somatória das horas e valor hora na aba "Summary";</t>
  </si>
  <si>
    <t>Does it require the Personalization of Reports to the hospital format (Contract, labels, Privacy Notice, etc.)?</t>
  </si>
  <si>
    <t>Requer a personalização de relatórios no formato do hospital (contrato, etiquetas, aviso de privacidade etc.)?</t>
  </si>
  <si>
    <t>Requiere la Personalización de Reportes al formato del hospital (Contrato, etiquetas, Aviso Privacidad, etc)?</t>
  </si>
  <si>
    <t>El hospital realiza el envío de cuentas agrupadas a alguna aseguradora?</t>
  </si>
  <si>
    <t>How many Central Warehouses do you have in the institution?</t>
  </si>
  <si>
    <t>Quantos Armazéns Centrais você possui na instituição?</t>
  </si>
  <si>
    <t>Cuantos Almacenes Centrales tienen en la institución?</t>
  </si>
  <si>
    <t>What is the form of inventory management (PEPS, UEPS, AVERAGE)?</t>
  </si>
  <si>
    <t>Qual é a forma de gerenciamento de inventário (PEPS, UEPS, MÉDIA)?</t>
  </si>
  <si>
    <t xml:space="preserve">Cual es la forma de gestión de Inventarios (PEPS, UEPS, PROMEDIO)?  </t>
  </si>
  <si>
    <t>How many points of sale of External Pharmacy does the institution have?</t>
  </si>
  <si>
    <t>Quantos pontos de venda de Farmácia Externa possui a instituição?</t>
  </si>
  <si>
    <t xml:space="preserve">Cuantos puntos de venta de Farmacia Externa tiene la institución? </t>
  </si>
  <si>
    <t>Do you manage Foreign Currency (USD, EUR, ETC)? In which processes?</t>
  </si>
  <si>
    <t>Você gerencia moeda estrangeira (USD, EUR, ETC)? Em quais processos?</t>
  </si>
  <si>
    <t>Maneja Moneda Extranjera(USD,EUR,ETC)? En cuales Procesos?</t>
  </si>
  <si>
    <t>How many layouts of Electronic Payments do you manage in the institution?</t>
  </si>
  <si>
    <t>Quantos layouts de pagamentos eletrônicos você gerencia na instituição?</t>
  </si>
  <si>
    <t>Cuantos layouts de Pagos Electronicos manejan en la institución?</t>
  </si>
  <si>
    <t>Client wants to build custom reports? How many?</t>
  </si>
  <si>
    <t>O cliente deseja criar relatórios personalizados? Quantos</t>
  </si>
  <si>
    <t xml:space="preserve">Cliente desea que se construya reportes a la medida? Cuantos?  </t>
  </si>
  <si>
    <t>Client wants to build indicators to measure? How many?</t>
  </si>
  <si>
    <t>Cliente quer construir indicadores para medir? Quantos</t>
  </si>
  <si>
    <t xml:space="preserve">Cliente desea que se construya indicadores a la medida? Cuantos?  </t>
  </si>
  <si>
    <t>Nutrition</t>
  </si>
  <si>
    <t>blood bank</t>
  </si>
  <si>
    <t>banco de sangue</t>
  </si>
  <si>
    <t>Pediatrics</t>
  </si>
  <si>
    <t>Pediatria</t>
  </si>
  <si>
    <t xml:space="preserve">Pediatria </t>
  </si>
  <si>
    <t>Obstetrics Gynecology</t>
  </si>
  <si>
    <t>Ginecologia / Obstetrícia</t>
  </si>
  <si>
    <t>Gineco /obstetricia</t>
  </si>
  <si>
    <t>odontology</t>
  </si>
  <si>
    <t>Odontologia</t>
  </si>
  <si>
    <t>Odontología</t>
  </si>
  <si>
    <t>Respiratory Therapy</t>
  </si>
  <si>
    <t>Terapia respiratória</t>
  </si>
  <si>
    <t>Terapia Respiratoria</t>
  </si>
  <si>
    <t>* Integration with CRM for Registration of Agreements</t>
  </si>
  <si>
    <t>* Integração com CRM para registro de contratos</t>
  </si>
  <si>
    <t>* Integración con CRM para Registro de Convenios</t>
  </si>
  <si>
    <t>* Creation of pre-sales packages (third-party CRM - Eg Siebel)</t>
  </si>
  <si>
    <t>* Criação de pacotes de pré-vendas (CRM de terceiros - por exemplo, Siebel)</t>
  </si>
  <si>
    <t>* Creación de pre ventas de paquetes (CRM de terceros - Ej. Siebel)</t>
  </si>
  <si>
    <t>* Registration of persons (HR system, previous systems, insurance system, etc.)</t>
  </si>
  <si>
    <t>* Registro de pessoas (sistema de RH, sistemas anteriores, sistema de seguros, etc.)</t>
  </si>
  <si>
    <t>*Registro de personas (Sistema de RH, sistemas previos, sistema de aseguradoras, etc.)</t>
  </si>
  <si>
    <t>* Sending SMS (Confirmation of Agendas)</t>
  </si>
  <si>
    <t>* Envio de SMS (confirmação de agendas)</t>
  </si>
  <si>
    <t>*Envío de SMS (Confirmación de Agendas)</t>
  </si>
  <si>
    <t> * RIS (Radiological Information System)</t>
  </si>
  <si>
    <t> * RIS (Sistema de Informação Radiológica)</t>
  </si>
  <si>
    <t xml:space="preserve"> *RIS (Radiological Information System)</t>
  </si>
  <si>
    <t>* Drug database (Drug interaction query Ex. Micromedex and Lexicomp)</t>
  </si>
  <si>
    <t>* Banco de dados de medicamentos (consulta de interação de medicamentos Ex. Micromedex e Lexicomp)</t>
  </si>
  <si>
    <t>*Base de datos de medicamentos (Consulta de interacción medicamentosa Ex. Micromedex y Lexicomp)</t>
  </si>
  <si>
    <t>* Pathology Anatomy Awards (import awards from a third-party system)</t>
  </si>
  <si>
    <t>* Prêmios de anatomia patológica (prêmios de importação de um sistema de terceiros)</t>
  </si>
  <si>
    <t>* Laudos de Anatomía Patológica (importar laudos de un sistema terceros)</t>
  </si>
  <si>
    <t>* Creation of items (materials and medications) from a third-party software (eg: SAP / Oracle EBS)</t>
  </si>
  <si>
    <t>* Criação de itens (materiais e medicamentos) a partir de um software de terceiros (por exemplo: SAP / Oracle EBS)</t>
  </si>
  <si>
    <t>* Creación de ítems (materiales y medicamentos) a partir de un software tercero (Ej.: SAP / Oracle EBS)</t>
  </si>
  <si>
    <t>* Import of purchase invoice XMLs</t>
  </si>
  <si>
    <t>* Importação de XMLs da fatura de compra</t>
  </si>
  <si>
    <t>* Importación de XMLs de facturas de compras</t>
  </si>
  <si>
    <t>* SAT Stamp Integration (Invoice Stamp, Cancellation and Payment Complements)</t>
  </si>
  <si>
    <t>* Integração do selo SAT (carimbo da fatura, complementos de cancelamento e pagamento)</t>
  </si>
  <si>
    <t>* Integración Timbrado SAT (Timbrado de Facturas, Cancelación y Complementos de Pago)</t>
  </si>
  <si>
    <t>* Shipping interfaces to Insurers - Census and Account Statements</t>
  </si>
  <si>
    <t>* Interfaces de remessa para seguradoras - Censos e extratos de conta</t>
  </si>
  <si>
    <t>* Interfaces envíos a las Aseguradoras - Censo y Estados de Cuenta</t>
  </si>
  <si>
    <t>* Sending charges from the patient account to third party software (eg SAP)</t>
  </si>
  <si>
    <t>* Envio de cobranças da conta do paciente para software de terceiros (por exemplo, SAP)</t>
  </si>
  <si>
    <t>* Envío de cargos de la cuenta paciente a software tercero (Ej.: SAP)</t>
  </si>
  <si>
    <t>* Preparation of Clinical Summary</t>
  </si>
  <si>
    <t>* Preparação do Resumo Clínico</t>
  </si>
  <si>
    <t>* Elaboración de Resumén Clínico</t>
  </si>
  <si>
    <t>* General Health Register</t>
  </si>
  <si>
    <t>* Registro Geral de Saúde</t>
  </si>
  <si>
    <t>* Padrón General de salud</t>
  </si>
  <si>
    <t>* Hospital Expenses</t>
  </si>
  <si>
    <t>* Despesas hospitalares</t>
  </si>
  <si>
    <t>* Egresos Hospitalarios</t>
  </si>
  <si>
    <t>* Births</t>
  </si>
  <si>
    <t>* Nascimentos</t>
  </si>
  <si>
    <t>* Nacimientos</t>
  </si>
  <si>
    <t>* Fetal deaths</t>
  </si>
  <si>
    <t>* Mortes fetais</t>
  </si>
  <si>
    <t>* Muertes fetales</t>
  </si>
  <si>
    <t>* Nominal information in Chronicles</t>
  </si>
  <si>
    <t>* Informação nominal em Crônicas</t>
  </si>
  <si>
    <t>* Información nominal en Crónicas</t>
  </si>
  <si>
    <t>* General mortality</t>
  </si>
  <si>
    <t>* Mortalidade geral</t>
  </si>
  <si>
    <t>* Mortalidad general</t>
  </si>
  <si>
    <t>* External consultation (We are not certified yet)</t>
  </si>
  <si>
    <t>* Consulta externa (ainda não somos certificados)</t>
  </si>
  <si>
    <t>* Consulta externa (Todavía no estamos certificados)</t>
  </si>
  <si>
    <t>  * RIS (Radiological Information System)</t>
  </si>
  <si>
    <t>  * RIS (Sistema de Informação Radiológica)</t>
  </si>
  <si>
    <t>Información de Equipo de T.I</t>
  </si>
  <si>
    <t>Información de infraestructura de T.I</t>
  </si>
  <si>
    <t>Información de Utilización del sistema Tasy</t>
  </si>
  <si>
    <t>Nota: Información de infraestructura que debe ser enviada está en el documento MO - Requisitos de infraestructura de Tasy en la Consulta de Calidad.</t>
  </si>
  <si>
    <t>Cuantos convenios/aseguradoras tiene la institución?</t>
  </si>
  <si>
    <t>Cuántos sectores utilizarán la administración electrónica de prescripción?</t>
  </si>
  <si>
    <t>Cuántas centrales de atención/autorizacion existen?</t>
  </si>
  <si>
    <t>Controla o pretende controlar el proceso de producción de la comida (gestión de menú y cocina)?</t>
  </si>
  <si>
    <t>Tiene area de Urgencias con diferentes procesos? Ej: Urgencias Adulto, Pediátrico, Obstétrico. Si tiene, cuántos son?</t>
  </si>
  <si>
    <t>Se realiza la importación del extracto del banco/operador de la tarjeta de crédito?</t>
  </si>
  <si>
    <t>Utilizará auto-atención (kioscos de atención)?</t>
  </si>
  <si>
    <t>Cuenta con servicios de oncología?</t>
  </si>
  <si>
    <t>Se realiza la atención de pacientes de Seguro Popular/INSABI?</t>
  </si>
  <si>
    <t>La institución utiliza el protocolo de  Sepsis Ilas II?</t>
  </si>
  <si>
    <t>El cliente requiere medir los indicadores de calidad del protocolo Sepsis?</t>
  </si>
  <si>
    <t>Desea implantar el ítem del Expediente de Oftalmología?</t>
  </si>
  <si>
    <t>RFC</t>
  </si>
  <si>
    <t xml:space="preserve">Nombre Comercial </t>
  </si>
  <si>
    <t>Forma de licenciamiento</t>
  </si>
  <si>
    <t>Los impuestos están incluidos en el valor de la hora de consulta?</t>
  </si>
  <si>
    <t>Traslado del distribuidor</t>
  </si>
  <si>
    <t>Forma de traslado</t>
  </si>
  <si>
    <t>Trayecto</t>
  </si>
  <si>
    <t>Camión</t>
  </si>
  <si>
    <t>Cantidad de consultores para la implantación?</t>
  </si>
  <si>
    <t>Cantidad de horas de Kick-Off de proyecto por recurso</t>
  </si>
  <si>
    <t>Cantidad de horas por proceso de Go-Live por recurso.</t>
  </si>
  <si>
    <t>¿Se utilizará el expediente clínico del paciente en iPAD?</t>
  </si>
  <si>
    <t>¿Se utilizarán las aplicaciones PDA?</t>
  </si>
  <si>
    <t>Seleccione a continuación qué funciones se utilizarán en PDA</t>
  </si>
  <si>
    <t>Dispensación de órdenes médicas por lote/turno</t>
  </si>
  <si>
    <t>Administración de medicamentos junto a la cama paciente</t>
  </si>
  <si>
    <t>Inspección de Recepción en Almacén</t>
  </si>
  <si>
    <t>Signos vitales y monitorización</t>
  </si>
  <si>
    <t>¿Número de Consultores para la implementación?</t>
  </si>
  <si>
    <t>Número de horas de Kick Off de Proyecto por recurso.</t>
  </si>
  <si>
    <t>¿Cantidad de horas para Go-Live?</t>
  </si>
  <si>
    <t>Identificador del cliente</t>
  </si>
  <si>
    <t>Nombre de empresa</t>
  </si>
  <si>
    <t>Valor de hora de consultoría</t>
  </si>
  <si>
    <t>Valor de hora de gestión de proyectos</t>
  </si>
  <si>
    <t>¿Están los impuestos incluidos en el valor de las horas de consultoría?</t>
  </si>
  <si>
    <t>Tipo de traslado</t>
  </si>
  <si>
    <t>Inicio</t>
  </si>
  <si>
    <t>Inicio - 2ª etapa</t>
  </si>
  <si>
    <t>Go Live - 2ª etapa</t>
  </si>
  <si>
    <t>Kick Off de Proyectos</t>
  </si>
  <si>
    <t>Kick off de proyecto</t>
  </si>
  <si>
    <t xml:space="preserve">Detalle de Horas </t>
  </si>
  <si>
    <t>SP - Solicitud de Propuesta</t>
  </si>
  <si>
    <t>Atención</t>
  </si>
  <si>
    <t>Asistencial/Clínico</t>
  </si>
  <si>
    <t>*Cobertura (Consultar cobertura del paciente en el sistema de la aseguradora)</t>
  </si>
  <si>
    <t>*Equipo de monitorización de signos vitales</t>
  </si>
  <si>
    <t>*Reportes/Informes de radiología (envió desde sistema tercero para ECE-Expediente Clínico Electrónico)</t>
  </si>
  <si>
    <t>*Reporte/Informe de análisis clínicos de laboratorio  (importar resultados de laboratorio de sistema tercero (LIS))</t>
  </si>
  <si>
    <t>*Middleware de integración tercero para equipos (que se comunica con las máquinas de análisis)</t>
  </si>
  <si>
    <t>*Central telefónica (registro de información de limpieza)</t>
  </si>
  <si>
    <t>*Portal de compras (Mercado electrónico, Bionexo, Inpart, etc.)</t>
  </si>
  <si>
    <t>*Dispensario electrónico de medicamentos (Ej. Pyxis)</t>
  </si>
  <si>
    <t>*Cuentas por pagar</t>
  </si>
  <si>
    <t>*Cuentas por cobrar</t>
  </si>
  <si>
    <t>*Sistema de RH (póliza contable)</t>
  </si>
  <si>
    <t xml:space="preserve">*Pagos electrónicos </t>
  </si>
  <si>
    <t>*Recepción de tarjetas de crédito</t>
  </si>
  <si>
    <t>*Importación de estado de cuenta de pago fuera del estándar TISS (Intercambio de Información en la Salud Suplementaria)</t>
  </si>
  <si>
    <t>*Envío de póliza contable (cuando la contabilidad se realiza en otro sistema)</t>
  </si>
  <si>
    <t>*Recepción de póliza contable (tercer sistema envía lote a Tasy)</t>
  </si>
  <si>
    <t>Higienización/Limpieza</t>
  </si>
  <si>
    <t>Pago de convenio</t>
  </si>
  <si>
    <t>Expediente Clínico / Mentor</t>
  </si>
  <si>
    <t xml:space="preserve">Traslado  </t>
  </si>
  <si>
    <t>·         En la presentación  se comprobará la necesidad de ajuste o si algo no se ha presentado. (Adherencia To Be). Si tiene algo que ajustar o crear, se realiza el proceso de ajuste y / o creación. Después de los ajustes, se presenta a los involucrados el proceso final. (Parametrización y adherencia). Dependiendo del tamaño del cambio, tendremos que revisar las horas.</t>
  </si>
  <si>
    <t>·         PHILIPS realizará la capacitación solo después de la validación.</t>
  </si>
  <si>
    <t>·         PHILIPS, a través de sus consultores, llevará a cabo  sesiones de capacitación en la sede del CLIENTE, para cada unidad implementada por PHILIPS.  PHILIPS capacitará a los usuarios multiplicadores de acuerdo con su metodología.</t>
  </si>
  <si>
    <t>·         No hay un proceso de mapeo "As is", solo presentación y enfoque "To Be".</t>
  </si>
  <si>
    <t>·       La implementación del SISTEMA, parte de un alcance previamente parametrizado que se basa en las mejores prácticas de mercado;</t>
  </si>
  <si>
    <t xml:space="preserve">·         La unidad modelo,que será la primera implementación realizada por PHILIPS, será seleccionada por el cliente en caso de que aplique. </t>
  </si>
  <si>
    <t>·         Las otras unidades que implementará PHILIPS serán de acuerdo al modelo de implementación propuesto en cada caso</t>
  </si>
  <si>
    <t>·         La implementación será llevada a cabo por PHILIPS y se llevará a cabo una homologación del proyecto de implementación, de acuerdo con las reglas de uso y las especificaciones de acuerdo con los montos máximos, según corresponda:</t>
  </si>
  <si>
    <t>PHILIPS se compromete, según el alcance del proyecto y los recursos esperados, a que la primera unidad (modelo) se implemente dentro el tiempo estipulado en el contrato, a menos que el CLIENTE no cumpla plenamente con sus actividades. Entre las actividades que pueden eventualmente evitar la finalización del proyecto, de acuerdo con la fecha mencionada, se destacan, sin limitarse a:</t>
  </si>
  <si>
    <t>c) Necesidad de re-entrenamiento de usuarios o re-parametrización  del sistema por iniciativa del cliente.</t>
  </si>
  <si>
    <t>f) En pleno cumplimiento de las obligaciones asumidas por el CLIENTE en el contrato</t>
  </si>
  <si>
    <t>i) Cualquier alteración de alcance posterior a la firma eximirá a PHILIPS de la responsabilidad.</t>
  </si>
  <si>
    <t xml:space="preserve">l) Provee un analista de TI de tiempo completo para el proyecto. </t>
  </si>
  <si>
    <t>o) Proporcionar la infraestructura validada antes del inicio del proyecto. (Equipos, hardware e informática).</t>
  </si>
  <si>
    <t>Para el proceso de Base de proceso estándar x Estimación por función, se utiliza la estrategia de implementación que se detalla a continuación.</t>
  </si>
  <si>
    <t>Los manuales serán  predeterminados del sistema/funciones y no se personalizarán con el proceso del cliente.</t>
  </si>
  <si>
    <t>No se hará ningún proceso de mapeo "As Is", solo presentación y enfoque en "To Be".</t>
  </si>
  <si>
    <t>En caso de que se requiera la elaboración de reglas y registros junto con los usuarios es posible añadir horas.</t>
  </si>
  <si>
    <t xml:space="preserve">       3 - Se acompañará durante la realización de los primeros registros para eliminar las dudas importantes y comprobar de que se están haciendo correctamente.</t>
  </si>
  <si>
    <t xml:space="preserve">       4 - Después de que el usuario lo haga solo  si tiene dudas, las revisará con el analista de TI del cliente, en caso de que el analista tenga dificultades, podrá contactar al consultor de Philips.</t>
  </si>
  <si>
    <t>Exámenes de radiología</t>
  </si>
  <si>
    <t>¿En qué sector utilizarán la función de Gestión de Planes Terapéuticos?</t>
  </si>
  <si>
    <t>¿Cuántas consultorios de consulta externa (ambulatorio)?</t>
  </si>
  <si>
    <t>Oferta Cloud / SaaS / Nube</t>
  </si>
  <si>
    <t>Es necesario solicitar la propuesta comercial para Manchester Protocol 2.0 completando el documento de Solicitud de Protocolo de Manchester - SPM a través de una orden de servicio</t>
  </si>
  <si>
    <r>
      <rPr>
        <b/>
        <sz val="11"/>
        <color rgb="FF212121"/>
        <rFont val="Calibri"/>
        <family val="2"/>
        <scheme val="minor"/>
      </rPr>
      <t>TWS - Tasy Web Suite - Seleccione el tamaño de la oferta en la pestaña "Proposal"</t>
    </r>
    <r>
      <rPr>
        <sz val="11"/>
        <color rgb="FF212121"/>
        <rFont val="Calibri"/>
        <family val="2"/>
        <scheme val="minor"/>
      </rPr>
      <t xml:space="preserve">
Recursos actuales: programación de citas, solicitud de programación de exámenes, ver informe de examen de laboratorio y  gabinete (radiología), consulta de programaciones del pacientes.
Para obtener más detalles sobre el producto, consulte la pestaña LTEP "TWS", los documentos de introducción de nuevos productos (NPI) y / o la capacitación disponibles en el Philips Learning Center.</t>
    </r>
  </si>
  <si>
    <t>Después de completar la información anterior, actualice el resumen haciendo clic derecho en la tabla de estimación observando los requisitos mínimos para generar la estimación de implementación (pestaña General Information: "Funciones Sugeridas por tamaño del cliente" y "Plataforma"; pestaña Módulos: seleccione los módulos para implementar; pestaña Preguntas: "Número de consultores para la implementación")</t>
  </si>
  <si>
    <t>No completar</t>
  </si>
  <si>
    <t xml:space="preserve"> MODULO APLICADO SOLO PARA EL MERCADO DE BRASIL</t>
  </si>
  <si>
    <t>Pacientes para programar / reprogramar exámenes</t>
  </si>
  <si>
    <t>01) Agenda integrada (Java / HTML5);
02) Agenda de consulta (Java / HTML5);
03) Agenda de exámenes (Java / HTML5);
04) Gestión de la agenda quirúrgica  (Java / HTML5);
05) Agenda de quimioterapia (Java / HTML5);</t>
  </si>
  <si>
    <t>El cliente usa la función de Check up?</t>
  </si>
  <si>
    <t>1) Agenda integrada (Java / HTML5);
2) Agenda de consultas (Java / HTML5)</t>
  </si>
  <si>
    <t>01) Agenda integrada (Java / HTML5);
02) Agenda de exámenes (Java / HTML5)</t>
  </si>
  <si>
    <t>¿El cliente quiere permitir la programación directa de los exámenes?</t>
  </si>
  <si>
    <t>El cliente utiliza las siguientes funciones:
01) Central de interpretaciones (Java / HTML5);
02) Exámenes pendientes (Java / HTML5);
03) Informe de anatomía patológica (Java / HTML5)</t>
  </si>
  <si>
    <t>Si el cliente utiliza la función de Oftalmología, desea compartir los resultados de esta función?</t>
  </si>
  <si>
    <t>Si el cliente utiliza las funciones de Digitación Externa de Estudios de Gabinete externa o Digitación externa de resultados de  laboratorio, desea compartir los resultados realizados en esta función?</t>
  </si>
  <si>
    <t>Si el cliente utiliza la función DIS (Digital Interventional Suite) para registrar los procedimientos intervencionistas?</t>
  </si>
  <si>
    <t>Si el cliente ya tiene una interfaz entre Tasy y sus PACS</t>
  </si>
  <si>
    <r>
      <rPr>
        <b/>
        <sz val="11"/>
        <rFont val="Calibri"/>
        <family val="2"/>
      </rPr>
      <t xml:space="preserve">No 
</t>
    </r>
    <r>
      <rPr>
        <sz val="11"/>
        <rFont val="Calibri"/>
        <family val="2"/>
      </rPr>
      <t>(los exámenes de oftalmología no son compatibles, solo los exámenes de oftalmología prescritos por CPOE y informes en la Central de Interpretaciones)</t>
    </r>
  </si>
  <si>
    <t>SÍ para los clientes de Isite con el visor "En cualquier lugar"
Para los clientes de Carestream con el módulo "MyVue" solo se admitirá a partir de diciembre de 2019.
Para otros sistemas PACS, debe evaluarse. Los PACS deben tener un módulo de visualización externo como ISite's Anywhere y Carestream's MyVue. (Este análisis debe hacerse antes de la venta)</t>
  </si>
  <si>
    <t>Representante legal del canal de distribución</t>
  </si>
  <si>
    <t>Precio Total del Mantenimiento CDU (Mensual)</t>
  </si>
  <si>
    <t>Horas México</t>
  </si>
  <si>
    <t>Caso utilize, irá agregar mais 24 horas na função gerenciamento de senhas</t>
  </si>
  <si>
    <t>Se for mas 2 agregar 20 hrs por almacen</t>
  </si>
  <si>
    <t>Arriba de 2 puntos de venta, Agregar 20hr para cada punto de venta</t>
  </si>
  <si>
    <t>Agregar 32 hrs para cada banco</t>
  </si>
  <si>
    <t xml:space="preserve">Agregar 24 hrs por reporte </t>
  </si>
  <si>
    <t xml:space="preserve">Qual template de proposta deseja receber? </t>
  </si>
  <si>
    <t>¿Qué template de propuesta quieres recibir?</t>
  </si>
  <si>
    <t>Which proposal template do you want to receive?</t>
  </si>
  <si>
    <t>Proposal</t>
  </si>
  <si>
    <t>Agendas</t>
  </si>
  <si>
    <t>P</t>
  </si>
  <si>
    <t>A</t>
  </si>
  <si>
    <t>Gestión de Banco de Leche</t>
  </si>
  <si>
    <t>Human Milk Bank Management</t>
  </si>
  <si>
    <t>Gestão de Banco de Leite</t>
  </si>
  <si>
    <t>iOS - Chequeo Recomendación iPod</t>
  </si>
  <si>
    <t>iOS - Checagem Recomendação iPod</t>
  </si>
  <si>
    <t>iOS - Chequeo Procedimientos iPod</t>
  </si>
  <si>
    <t>iOS - Validación de Medicamento con Paciente en la Cama</t>
  </si>
  <si>
    <t>I</t>
  </si>
  <si>
    <t>iOS - Componentes</t>
  </si>
  <si>
    <t>iOS - Components</t>
  </si>
  <si>
    <t>C</t>
  </si>
  <si>
    <t>iOS - REP-PT - Recomendaciones</t>
  </si>
  <si>
    <t>iOS - CPOE - Recommendations</t>
  </si>
  <si>
    <t>iOS - REP-PT - Recomendações</t>
  </si>
  <si>
    <t>iOS - REP-PT - Procedimientos</t>
  </si>
  <si>
    <t>iOS - CPOE - Procedures</t>
  </si>
  <si>
    <t>iOS - REP-PT - Procedimentos</t>
  </si>
  <si>
    <t>iOS - REP-PT - Medicamentos</t>
  </si>
  <si>
    <t>iOS - CPOE - medicines</t>
  </si>
  <si>
    <t>iOS - REP-ES - Soluciones</t>
  </si>
  <si>
    <t>iOS - CPOE - Infusions</t>
  </si>
  <si>
    <t>iOS - REP-PT - Soluções</t>
  </si>
  <si>
    <t>iOS - REP-PT - Dietas</t>
  </si>
  <si>
    <t>iOS - CPOE - Diets</t>
  </si>
  <si>
    <t>iOS - Exames Não Laboratoriais</t>
  </si>
  <si>
    <t>Gestión de la Población</t>
  </si>
  <si>
    <t>Population Management</t>
  </si>
  <si>
    <t>Gestão Populacional</t>
  </si>
  <si>
    <t>H</t>
  </si>
  <si>
    <t>Web Suite Resultado de Exámenes</t>
  </si>
  <si>
    <t>Web Suite Exams Results</t>
  </si>
  <si>
    <t>TasyMed</t>
  </si>
  <si>
    <t>W</t>
  </si>
  <si>
    <t>Ajuste de base</t>
  </si>
  <si>
    <t>Base settings</t>
  </si>
  <si>
    <t>O</t>
  </si>
  <si>
    <t>OPS - Generación del SEFIP</t>
  </si>
  <si>
    <t>HPMS - SEFIP Generation</t>
  </si>
  <si>
    <t>OPS - Geração do SEFIP e E-Social</t>
  </si>
  <si>
    <t>HDM - Localizador de Participante</t>
  </si>
  <si>
    <t>HDM - Participant Finder</t>
  </si>
  <si>
    <t>HDM - Collective Care Groups</t>
  </si>
  <si>
    <t>HDM - Localizador de Profesional</t>
  </si>
  <si>
    <t>HDM - Professional Finder</t>
  </si>
  <si>
    <t>HDM - Localizador de Profissional</t>
  </si>
  <si>
    <t>HDM - Localizador de Equipo</t>
  </si>
  <si>
    <t>HDM - Team Finder</t>
  </si>
  <si>
    <t>HDM - Localizador de Equipe</t>
  </si>
  <si>
    <t>HDM - Control de Campañas</t>
  </si>
  <si>
    <t>MultiMED</t>
  </si>
  <si>
    <t>MMED - Central Pos Vendas</t>
  </si>
  <si>
    <t>MMED - After-Sales Center</t>
  </si>
  <si>
    <t>MMED - Central Pós-Vendas</t>
  </si>
  <si>
    <t>MMED - Soporte y Configuraciones</t>
  </si>
  <si>
    <t>MMED - Support and Configurations</t>
  </si>
  <si>
    <t>MMED - Suporte e Configurações</t>
  </si>
  <si>
    <t>MMED - Repaso Médico</t>
  </si>
  <si>
    <t>MMED - Payment transfer to the Physician</t>
  </si>
  <si>
    <t>MMED - Repasse Médico</t>
  </si>
  <si>
    <t>MMED - Reportes</t>
  </si>
  <si>
    <t>MMED - Reports</t>
  </si>
  <si>
    <t>MMED - Relatórios</t>
  </si>
  <si>
    <t>MMED - Recepción</t>
  </si>
  <si>
    <t>MMED - Reception</t>
  </si>
  <si>
    <t>MMED - Recepção</t>
  </si>
  <si>
    <t>MMED - Publicación</t>
  </si>
  <si>
    <t>MMED - Publishing</t>
  </si>
  <si>
    <t>MMED - Publicação</t>
  </si>
  <si>
    <t>MMED - Otros</t>
  </si>
  <si>
    <t>MMED - Others</t>
  </si>
  <si>
    <t>MMED - Outros</t>
  </si>
  <si>
    <t>MMED - Magnéticos</t>
  </si>
  <si>
    <t>MMED - Magnetics</t>
  </si>
  <si>
    <t>MMED - Integraciones</t>
  </si>
  <si>
    <t>MMED - Integrations</t>
  </si>
  <si>
    <t>MMED - Integrações</t>
  </si>
  <si>
    <t>MMED - Infraestructura - Profesionales</t>
  </si>
  <si>
    <t>MMED - Infrastructure - Professionals</t>
  </si>
  <si>
    <t>MMED - Infraestrutura - Profissionais</t>
  </si>
  <si>
    <t>MMED - Infraestructura - Exámenes</t>
  </si>
  <si>
    <t>MMED - Infrastructure - Exams</t>
  </si>
  <si>
    <t>MMED - Infraestrutura - Exames</t>
  </si>
  <si>
    <t>MMED - Infraestructura - Convenios</t>
  </si>
  <si>
    <t>MMED - Infrastructure - Insurances</t>
  </si>
  <si>
    <t>MMED - Infraestrutura - Convênios</t>
  </si>
  <si>
    <t>MMED - Infraestructura - Registrados Auxiliares</t>
  </si>
  <si>
    <t>MMED - Infrastructure - Auxiliary Registries</t>
  </si>
  <si>
    <t>MMED - Infraestrutura - Cadastros Auxiliares</t>
  </si>
  <si>
    <t>MMED - Infraestructura</t>
  </si>
  <si>
    <t>MMED - Infrastructure</t>
  </si>
  <si>
    <t>MMED - Infraestrutura</t>
  </si>
  <si>
    <t>MMED - Gestión de Compras</t>
  </si>
  <si>
    <t>MMED - Purchase Management</t>
  </si>
  <si>
    <t>MMED - Gestão de Compras</t>
  </si>
  <si>
    <t>MMED - Herramientas</t>
  </si>
  <si>
    <t>MMED - Tools</t>
  </si>
  <si>
    <t>MMED - Ferramentas</t>
  </si>
  <si>
    <t>MMED - Facturación</t>
  </si>
  <si>
    <t>MMED - Invoicing</t>
  </si>
  <si>
    <t>MMED - Faturamento</t>
  </si>
  <si>
    <t>MMED - Exportación Archivos</t>
  </si>
  <si>
    <t>MMED - File Export</t>
  </si>
  <si>
    <t>MMED - Exportação Arquivos</t>
  </si>
  <si>
    <t>MMED - Exámenes</t>
  </si>
  <si>
    <t>MMED - Exams</t>
  </si>
  <si>
    <t>MMED - Exames</t>
  </si>
  <si>
    <t>MMED - Emisión Facturas</t>
  </si>
  <si>
    <t>MMED - Invoices Issuing</t>
  </si>
  <si>
    <t>MMED - Emissão Nota Fiscal</t>
  </si>
  <si>
    <t>MMED - Dictado Digital</t>
  </si>
  <si>
    <t>MMED - Digital Dictation</t>
  </si>
  <si>
    <t>MMED - Ditado Digital</t>
  </si>
  <si>
    <t>MMED - Control de Caja</t>
  </si>
  <si>
    <t>MMED - Cash Control</t>
  </si>
  <si>
    <t>MMED - Controle de Caixa</t>
  </si>
  <si>
    <t>MMED - Control Acceso</t>
  </si>
  <si>
    <t>MMED - Access Control</t>
  </si>
  <si>
    <t>MMED - Controle Acesso</t>
  </si>
  <si>
    <t>MMED - Cuentas por pagar y Cuentas por cobrar</t>
  </si>
  <si>
    <t>MMED - Payables and Receivables</t>
  </si>
  <si>
    <t>MMED - Contas a Pagar e Contas a Receber</t>
  </si>
  <si>
    <t>MMED - Cirugía</t>
  </si>
  <si>
    <t>MMED - Surgery</t>
  </si>
  <si>
    <t>MMED - Cirurgia</t>
  </si>
  <si>
    <t>MMED - Central de Interpretaciones</t>
  </si>
  <si>
    <t>MMED - Medical Report Processing</t>
  </si>
  <si>
    <t>MMED - Central de Laudos</t>
  </si>
  <si>
    <t>MMED - Central de Facturación</t>
  </si>
  <si>
    <t>MMED - Billing Center</t>
  </si>
  <si>
    <t>MMED - Central de Faturamento</t>
  </si>
  <si>
    <t>MMED - Central de Ensobrado</t>
  </si>
  <si>
    <t>MMED - Enveloping Center</t>
  </si>
  <si>
    <t>MMED - Central de Envelopamento</t>
  </si>
  <si>
    <t>MMED - Central de Entrega</t>
  </si>
  <si>
    <t>MMED - Delivery Center</t>
  </si>
  <si>
    <t>MMED - Central de Digitación</t>
  </si>
  <si>
    <t>MMED - Typing Center</t>
  </si>
  <si>
    <t>MMED - Central de Digitação</t>
  </si>
  <si>
    <t>MMED - Central Administrativa (Monitor de Procesos)</t>
  </si>
  <si>
    <t>MMED - Administration Center (Process Monitor)</t>
  </si>
  <si>
    <t>MMED - Central Administrativa (Monitor de Processos)</t>
  </si>
  <si>
    <t>MMED - Captura de Imágenes de US</t>
  </si>
  <si>
    <t>MMED - US Image Capture</t>
  </si>
  <si>
    <t>MMED - Captura de Imagens de US</t>
  </si>
  <si>
    <t>MMED - Auditoría</t>
  </si>
  <si>
    <t>MMED - Audit</t>
  </si>
  <si>
    <t>MMED - Auditoria</t>
  </si>
  <si>
    <t>MMED - Atención y Ficha Médica</t>
  </si>
  <si>
    <t>MMED - Encounter and Medical report</t>
  </si>
  <si>
    <t>MMED - Atendimento e Ficha Médica</t>
  </si>
  <si>
    <t>R</t>
  </si>
  <si>
    <t>MMED - Agenda</t>
  </si>
  <si>
    <t>MMED - Schedule</t>
  </si>
  <si>
    <t>Árbol del Planeamiento Estratégico</t>
  </si>
  <si>
    <t>Strategic Planning Tree</t>
  </si>
  <si>
    <t>Arvore do Planejamento Estratégico</t>
  </si>
  <si>
    <t>BSC - Información del Indicador</t>
  </si>
  <si>
    <t>BSC - Indicator information</t>
  </si>
  <si>
    <t>BSC - Informação do Indicador</t>
  </si>
  <si>
    <t>Radioterapia - pendientes</t>
  </si>
  <si>
    <t>Radiotherapy - pending items</t>
  </si>
  <si>
    <t>Radioterapia - pendências</t>
  </si>
  <si>
    <t>Aplicación del Tratamiento por el Técnico</t>
  </si>
  <si>
    <t>Treatment Application by Technician</t>
  </si>
  <si>
    <t>Aplicação do Tratamento pelo Técnico</t>
  </si>
  <si>
    <t>Gestión de Radioterapia - Planificación</t>
  </si>
  <si>
    <t>Radiotherapy Management - Planning</t>
  </si>
  <si>
    <t>Gestão de Radioterapia - Planejamento</t>
  </si>
  <si>
    <t>Estructura de Productos (Materiales/Proced) - Inactiva 07/05/2009</t>
  </si>
  <si>
    <t>Product Structure (Materials/Proced) - Inativa07/05/2009</t>
  </si>
  <si>
    <t>Estrutura de Produtos (Materiais/Proced) - Inativa07/05/2009</t>
  </si>
  <si>
    <t>Cirurgía de Pacientes</t>
  </si>
  <si>
    <t>Surgery of Patients</t>
  </si>
  <si>
    <t>Cirurgia de Pacientes</t>
  </si>
  <si>
    <t>Ejecución de Procedimientos APAC</t>
  </si>
  <si>
    <t>Execution of APAC Procedures</t>
  </si>
  <si>
    <t>Execução de Procedimentos APAC</t>
  </si>
  <si>
    <t>Pacientes en la Visión de la Atención</t>
  </si>
  <si>
    <t>Patients in Encounter View</t>
  </si>
  <si>
    <t>Pacientes na Visão do Atendimento</t>
  </si>
  <si>
    <t>Registro de la Localización de Interpretaciones (Antiguo)</t>
  </si>
  <si>
    <t>Medical Report Location Register (Old)</t>
  </si>
  <si>
    <t>Exámenes de Laboratorio Antiguo</t>
  </si>
  <si>
    <t>Old Laboratory Tests</t>
  </si>
  <si>
    <t>Exames Laboratório Antigo</t>
  </si>
  <si>
    <t>Ejecución de Procedimientos BPA</t>
  </si>
  <si>
    <t>BPA Procedure Execution</t>
  </si>
  <si>
    <t>Execução de Procedimentos BPA</t>
  </si>
  <si>
    <t>Ejecución de Procedimiento AIH</t>
  </si>
  <si>
    <t>AIH Procedure Execution</t>
  </si>
  <si>
    <t>Execução de Procedimento AIH</t>
  </si>
  <si>
    <t>PACS Isite</t>
  </si>
  <si>
    <t>Regras</t>
  </si>
  <si>
    <t>OPS - Rechazos y Casos</t>
  </si>
  <si>
    <t>HPMS - Denials and Incidents</t>
  </si>
  <si>
    <t>OPS - Glosas e Ocorrências</t>
  </si>
  <si>
    <t>OPS - Reglas de Lanzamiento Automático</t>
  </si>
  <si>
    <t>HPMS - Automatic Entry Rules</t>
  </si>
  <si>
    <t>OPS - Regras de Lançamento Automático</t>
  </si>
  <si>
    <t>OPS - Registro de Reglas</t>
  </si>
  <si>
    <t>HPMS - Rule Registry</t>
  </si>
  <si>
    <t>OPS - Cadastro de Regras</t>
  </si>
  <si>
    <t>OPS - Reglas y Criterios de Precio</t>
  </si>
  <si>
    <t>HPMS - Price Rules and Criteria</t>
  </si>
  <si>
    <t>OPS - Regras e Critérios de Preço</t>
  </si>
  <si>
    <t>Portal WEB</t>
  </si>
  <si>
    <t>OPSW - Medicina preventiva</t>
  </si>
  <si>
    <t>OPSW - Preventive Medicine</t>
  </si>
  <si>
    <t>Contratos de Intercâmbio</t>
  </si>
  <si>
    <t>OPS - Operadoras Congéneres</t>
  </si>
  <si>
    <t>HPMS - Akin Operators</t>
  </si>
  <si>
    <t>OPS - Operadoras Congêneres</t>
  </si>
  <si>
    <t>OPS - Movimentação Cadastral de SCA</t>
  </si>
  <si>
    <t>OPS - Movimiento Catastral de Beneficiarios</t>
  </si>
  <si>
    <t>HPMS - Beneficiary Cadastral Movement</t>
  </si>
  <si>
    <t>OPS - Movimentação Cadastral de Beneficiários</t>
  </si>
  <si>
    <t>OPS - Contratos de Intercambio</t>
  </si>
  <si>
    <t>HPMS - Exchange Contracts</t>
  </si>
  <si>
    <t>OPS - Contratos de Intercâmbio</t>
  </si>
  <si>
    <t>OPS - Consulta Datos Beneficiario Intercambio</t>
  </si>
  <si>
    <t>HPMS - Consultation of Exchange Beneficiary Data</t>
  </si>
  <si>
    <t>OPS - Consulta Dados Beneficiário Intercâmbio</t>
  </si>
  <si>
    <t>OPS - Aviso de Cobrança (A520)</t>
  </si>
  <si>
    <t>OPS - Recursos de Glosas de Empresas</t>
  </si>
  <si>
    <t>OPS - Monitoreo Financiero</t>
  </si>
  <si>
    <t>OPS - Monitoramento Financeiro</t>
  </si>
  <si>
    <t>OPS - Módulo de Inadimplência (A510)</t>
  </si>
  <si>
    <t>OPS - Control de Coparticipaciones y Post establecidos</t>
  </si>
  <si>
    <t>HPMS- Control of Co-participations and Post-established</t>
  </si>
  <si>
    <t>OPS - Controle de Coparticipações e Pós-estabelecidos</t>
  </si>
  <si>
    <t>OPS - Facturación</t>
  </si>
  <si>
    <t>HPMS - Billing</t>
  </si>
  <si>
    <t>OPS - Faturamento</t>
  </si>
  <si>
    <t>OPS - Ajustes para Refacturación</t>
  </si>
  <si>
    <t>OPS - Adjustments for Re-invoicing</t>
  </si>
  <si>
    <t>OPS - Ajustes para Refaturamento</t>
  </si>
  <si>
    <t>Produção de Contas Médicas - Intercâmbio</t>
  </si>
  <si>
    <t>Facturación Intercambio de Prepago</t>
  </si>
  <si>
    <t>HPMS - Pre-Payment Exchange Billing</t>
  </si>
  <si>
    <t>OPS - Faturamento Intercâmbio de Pré-Pagamento</t>
  </si>
  <si>
    <t>OPS - Movimentação de Serviços Prestados em Pré-Pagamento</t>
  </si>
  <si>
    <t>HPMS - General Use Statement (A580)</t>
  </si>
  <si>
    <t>OPS - Fatura de Uso Geral (A580)</t>
  </si>
  <si>
    <t>OPS - Prestadores de Intercambio</t>
  </si>
  <si>
    <t>HPMS - Exchange Providers</t>
  </si>
  <si>
    <t>OPS - Prestadores de Intercâmbio</t>
  </si>
  <si>
    <t>OPS - Inconsistencias de Intercambio</t>
  </si>
  <si>
    <t>HPMS - Exchange Inconsistencies</t>
  </si>
  <si>
    <t>OPS - Inconsistências de Intercâmbio</t>
  </si>
  <si>
    <t>OPS - Facturas para Cámara de Compensación (A600)</t>
  </si>
  <si>
    <t>HPMS - Invoices for the Clearing House (A600)</t>
  </si>
  <si>
    <t>OPS - Faturas para Câmara de Compensação (A600)</t>
  </si>
  <si>
    <t>OPS - Contas de Intercâmbio</t>
  </si>
  <si>
    <t>OPS - Control de Contestaciones</t>
  </si>
  <si>
    <t>HPMS - Contestation Control</t>
  </si>
  <si>
    <t>OPS - Controle de Contestações</t>
  </si>
  <si>
    <t>OPS - Consulta Datos Prestador Intercambio</t>
  </si>
  <si>
    <t>HPMS - Consultation of Exchange Provider Data</t>
  </si>
  <si>
    <t>OPS - Consulta Dados Prestador Intercâmbio</t>
  </si>
  <si>
    <t>OPS - Análisis de Discusión de la Contestación y Recurso de Rechazo</t>
  </si>
  <si>
    <t>OPS - Analysis of Discussion of the Contestation and Denial Appeal</t>
  </si>
  <si>
    <t>OPS - Análise de Discussão da Contestação e Recurso de Glosa</t>
  </si>
  <si>
    <t>OPS - Selección de Ítems de la Contestación</t>
  </si>
  <si>
    <t>HPMS - Protestation Items Selection</t>
  </si>
  <si>
    <t>OPS - Seleção de Itens da Contestação e Recurso de Glosa</t>
  </si>
  <si>
    <t>OPS - Cámara de Compensación</t>
  </si>
  <si>
    <t>HPMS - Clearing House</t>
  </si>
  <si>
    <t>OPS - Câmara de Compensação</t>
  </si>
  <si>
    <t>Gestão de Cooperados</t>
  </si>
  <si>
    <t>OPS - Gestión de Cooperados</t>
  </si>
  <si>
    <t>HPMS - Cooperative Members Management</t>
  </si>
  <si>
    <t>OPS - Gestão de Cooperados</t>
  </si>
  <si>
    <t>OPS ¿ Lanzamiento de Cuotas de Cooperados</t>
  </si>
  <si>
    <t>HPMS - Bookkeeping of quotes from the cooperative members</t>
  </si>
  <si>
    <t>OPS - Escriturações de Quotas de Cooperados</t>
  </si>
  <si>
    <t>Relacionamento</t>
  </si>
  <si>
    <t>OPS - Gestión de Contratos Colectivos para Relación</t>
  </si>
  <si>
    <t>HPMS - Management of Collective Contract for Relationship</t>
  </si>
  <si>
    <t>OPS - Gestão de Contratos Coletivos para Relacionamento</t>
  </si>
  <si>
    <t>OPS - Análisis de Cuentas Médicas</t>
  </si>
  <si>
    <t>HPMS - Medical Accounts Analysis</t>
  </si>
  <si>
    <t>Análise de Contas Médicas</t>
  </si>
  <si>
    <t>OPS - Análisis de Cuentas Médicas (Nueva)</t>
  </si>
  <si>
    <t>HPMS - Medical Accounts Analysis (New)</t>
  </si>
  <si>
    <t>OPS - Análise de Contas Médicas (Nova)</t>
  </si>
  <si>
    <t>OPS - Control de los Grupos de Análisis</t>
  </si>
  <si>
    <t>HPMS - Analysis Groups Control</t>
  </si>
  <si>
    <t>OPS - Controle dos Grupos de Análise</t>
  </si>
  <si>
    <t>OPS - Gestión de Análisis de Producción Médica</t>
  </si>
  <si>
    <t>HPMS - Medical Production Analysis Management</t>
  </si>
  <si>
    <t>OPS - Gestão de Análise de Produção Médica</t>
  </si>
  <si>
    <t>OPS - Análisis de Costo Pos establecido</t>
  </si>
  <si>
    <t>HPMS - Post-Established Cost Analysis</t>
  </si>
  <si>
    <t>OPS - Análise de Custo Pós-estabelecido</t>
  </si>
  <si>
    <t>OPS - Panel de Casos</t>
  </si>
  <si>
    <t>HPMS - Occurence Panel</t>
  </si>
  <si>
    <t>OPS - Painel de Ocorrências</t>
  </si>
  <si>
    <t>Atención (Call Center)</t>
  </si>
  <si>
    <t>Atendimento (Call Center)</t>
  </si>
  <si>
    <t>OPS - Gestión de Protocolos de Atención</t>
  </si>
  <si>
    <t>HPMS - Encounter Protocol Management</t>
  </si>
  <si>
    <t>OPS - Gestão de Protocolos de Atendimento</t>
  </si>
  <si>
    <t>Autorizações de Intercâmbio</t>
  </si>
  <si>
    <t>OPS - Control de Usuarios Eventuales</t>
  </si>
  <si>
    <t>HPMS - Occasional Users Control</t>
  </si>
  <si>
    <t>OPS - Controle de Usuários Eventuais</t>
  </si>
  <si>
    <t>OPS - Orden de Servicio Intercambio</t>
  </si>
  <si>
    <t>HPMS - Service Order Exchange</t>
  </si>
  <si>
    <t>OPS - Ordem de Serviço Intercâmbio</t>
  </si>
  <si>
    <t>OPS - Manutención de Procesos Operacionales del Autorizador</t>
  </si>
  <si>
    <t>HPMS - Maintenance of Authorizer Operational Processes</t>
  </si>
  <si>
    <t>OPS - Manutenção de Processos Operacionais do Autorizador</t>
  </si>
  <si>
    <t>OPS - Software de Comunicación Segura (SCS)</t>
  </si>
  <si>
    <t>HPMS - Safe Communication Software (SCS)</t>
  </si>
  <si>
    <t>OPS - Software de Comunicação Segura (SCS)</t>
  </si>
  <si>
    <t>OPS - Autorizaciones Intercambio</t>
  </si>
  <si>
    <t>HPMS - Exchange Authorizations</t>
  </si>
  <si>
    <t>OPS - Autorizações Intercâmbio</t>
  </si>
  <si>
    <t>OPS - Servicio SCS</t>
  </si>
  <si>
    <t>HPMS - SCS Service</t>
  </si>
  <si>
    <t>OPS - Serviço SCS</t>
  </si>
  <si>
    <t>Autorizações</t>
  </si>
  <si>
    <t>OPS - Gestión de Análisis de Autorizaciones</t>
  </si>
  <si>
    <t>HPMS - Management of Authorization Analysis</t>
  </si>
  <si>
    <t>OPS - Gestão de Análise de Autorizações</t>
  </si>
  <si>
    <t>OPS - Beneficiario en Tratamiento</t>
  </si>
  <si>
    <t>HPMS - Beneficiary in Treatment</t>
  </si>
  <si>
    <t>OPS - Beneficiário em Tratamento</t>
  </si>
  <si>
    <t>OPS - Comunicación Externa Web</t>
  </si>
  <si>
    <t>HPMS - Web External Communication</t>
  </si>
  <si>
    <t>OPS - Comunicação Externa Web</t>
  </si>
  <si>
    <t>OPS - Comunicación de Accidente de Trabajo (CAT)</t>
  </si>
  <si>
    <t>HPMS - Work Accident Notice (CAT)</t>
  </si>
  <si>
    <t>OPS - Comunicação de Acidente de Trabalho (CAT)</t>
  </si>
  <si>
    <t>OPS - Solicitudes Elegibilidad TISS</t>
  </si>
  <si>
    <t>HPMS - TISS Eligibility Requests</t>
  </si>
  <si>
    <t>OPS - Solicitações Elegibilidade TISS</t>
  </si>
  <si>
    <t>OPS - Solicitud de Autorización Portal Web</t>
  </si>
  <si>
    <t>HPMS - Authorization Request for Web Portal</t>
  </si>
  <si>
    <t>OPS - Solicitação de Autorização Portal Web</t>
  </si>
  <si>
    <t>OPS - Autorizaciones</t>
  </si>
  <si>
    <t>HPMS - Authorizations</t>
  </si>
  <si>
    <t>OPS - Autorizações</t>
  </si>
  <si>
    <t>OPS - Generación de Requisición/Guía en Lote</t>
  </si>
  <si>
    <t>HPMS - Issuance of Request/Form in lot</t>
  </si>
  <si>
    <t>OPS - Emissão de Requisição/Guia em Lote</t>
  </si>
  <si>
    <t>OPS - Autorización Anexo Guías</t>
  </si>
  <si>
    <t>HPMS (OPS) - Authorization of Addenda to the Forms</t>
  </si>
  <si>
    <t>OPS - Autorização Anexo Guias</t>
  </si>
  <si>
    <t>OPS - Comunicación de Hospitalización o Alta del Beneficiario</t>
  </si>
  <si>
    <t>HPMS - Beneficiary - s Admission or Discharge Communication</t>
  </si>
  <si>
    <t>OPS - Comunicação de Internação ou Alta do Beneficiário</t>
  </si>
  <si>
    <t>OPS - Control de Liberación de Atención Web</t>
  </si>
  <si>
    <t>HPMS - Web Encounter Submission Control</t>
  </si>
  <si>
    <t>OPS - Controle de Liberação de Atendimento Web</t>
  </si>
  <si>
    <t>OPS - Gestión de Alertas e Eventos</t>
  </si>
  <si>
    <t>HPMS - Alerts and Events Management</t>
  </si>
  <si>
    <t>OPS - Gestão de Alertas e Eventos</t>
  </si>
  <si>
    <t>OPS - Buscador de Guía Referencia</t>
  </si>
  <si>
    <t>HPMS - Reference form Search Tool</t>
  </si>
  <si>
    <t>OPS - Localizador de Guia Referência</t>
  </si>
  <si>
    <t>OPS - Análisis de Autorización</t>
  </si>
  <si>
    <t>HPMS - Authorization Analysis</t>
  </si>
  <si>
    <t>OPS - Análise de Autorização</t>
  </si>
  <si>
    <t>OPS - Ejecución de la Requisición para Autorización</t>
  </si>
  <si>
    <t>HPMS - Authorization Requirement Operation</t>
  </si>
  <si>
    <t>OPS - Execução da Requisição para Autorização</t>
  </si>
  <si>
    <t>OPS - Requisiciones para Autorización</t>
  </si>
  <si>
    <t>HPMS - Authorization Request</t>
  </si>
  <si>
    <t>OPS - Requisições para Autorização</t>
  </si>
  <si>
    <t>OPS - Presupuesto</t>
  </si>
  <si>
    <t>HPMS - Budget</t>
  </si>
  <si>
    <t>OPS - Orçamento</t>
  </si>
  <si>
    <t>OPS - Proceso Judicial</t>
  </si>
  <si>
    <t>HPMS - Lawsuit</t>
  </si>
  <si>
    <t>OPS - Processo Judicial</t>
  </si>
  <si>
    <t>Prestadores</t>
  </si>
  <si>
    <t>OPS - Consulta de Precios</t>
  </si>
  <si>
    <t>HPMS - Price Check</t>
  </si>
  <si>
    <t>OPS - Consulta de Preços</t>
  </si>
  <si>
    <t>OPS - Buscador de Grupos de Servicios</t>
  </si>
  <si>
    <t>HPMS - Service Groups Search Tool</t>
  </si>
  <si>
    <t>OPS - Localizador de Grupos de Serviços</t>
  </si>
  <si>
    <t>OPS - Movimiento de Registro  de Prestador (A400)</t>
  </si>
  <si>
    <t>HPMS - Supplier Registry Movement (A400)</t>
  </si>
  <si>
    <t>OPS - Movimentação Cadastral de Prestador (A400)</t>
  </si>
  <si>
    <t>OPS - Cargas</t>
  </si>
  <si>
    <t>HPMS - Loads</t>
  </si>
  <si>
    <t>OPS - Guía Médico</t>
  </si>
  <si>
    <t>HPMS - Medical Guide</t>
  </si>
  <si>
    <t>OPS - Guia Médico</t>
  </si>
  <si>
    <t>OPS - Buscador de Prestadores</t>
  </si>
  <si>
    <t>HPMS -Providers Search Tool</t>
  </si>
  <si>
    <t>OPS - Localizador de Prestadores</t>
  </si>
  <si>
    <t>OPS - Registro de Materiales</t>
  </si>
  <si>
    <t>HPMS - Material Record</t>
  </si>
  <si>
    <t>OPS - Cadastro de Materiais</t>
  </si>
  <si>
    <t>OPS - Prestadores</t>
  </si>
  <si>
    <t>HPMS - Providers</t>
  </si>
  <si>
    <t>OPS - Tablas de Precios</t>
  </si>
  <si>
    <t>HPMS - Price Chart</t>
  </si>
  <si>
    <t>OPS - Tabelas de Preços</t>
  </si>
  <si>
    <t>OPS - Cargas (Nueva)</t>
  </si>
  <si>
    <t>HPMS - Load (New)</t>
  </si>
  <si>
    <t>OPS - Cargas (Nova)</t>
  </si>
  <si>
    <t>OPS - Manutención de Conversiones de Ítems</t>
  </si>
  <si>
    <t>HPMS - Maintenance of Item Conversion</t>
  </si>
  <si>
    <t>OPS - Manutenção de Conversões de Itens</t>
  </si>
  <si>
    <t>OPS - Buscador de Operadoras</t>
  </si>
  <si>
    <t>HPMS - Operator Search Tool</t>
  </si>
  <si>
    <t>OPS - Localizador de Operadoras</t>
  </si>
  <si>
    <t>OPS - Gestión de Paquetes</t>
  </si>
  <si>
    <t>HPMS - Package Management</t>
  </si>
  <si>
    <t>OPS - Gestão de Pacotes</t>
  </si>
  <si>
    <t>OPS - Control de Locales de Atención</t>
  </si>
  <si>
    <t>HPMS - Encounter Location Control</t>
  </si>
  <si>
    <t>OPS - Controle de Locais de Atendimento</t>
  </si>
  <si>
    <t>HPMS - Medical Cooperatives</t>
  </si>
  <si>
    <t>OPS - Cooperativas Médicas</t>
  </si>
  <si>
    <t>OPS - Buscador de Grupos de Prestadores</t>
  </si>
  <si>
    <t>HPMS - Providers Groups Search Tool</t>
  </si>
  <si>
    <t>OPS - Localizador de Grupos de Prestadores</t>
  </si>
  <si>
    <t>Gestión de Insuficiencia Renal</t>
  </si>
  <si>
    <t>Administración de Medicamentos en la Diálisis</t>
  </si>
  <si>
    <t>Medicine Administration in Dialysis</t>
  </si>
  <si>
    <t>Administração de Medicamentos na Diálise</t>
  </si>
  <si>
    <t>Panel de servicios de la nutrición</t>
  </si>
  <si>
    <t>Nutrition service panel</t>
  </si>
  <si>
    <t>Painel de serviços da nutrição</t>
  </si>
  <si>
    <t>Nacimiento</t>
  </si>
  <si>
    <t>Births</t>
  </si>
  <si>
    <t>Nascimentos</t>
  </si>
  <si>
    <t>Evolución Paciente</t>
  </si>
  <si>
    <t>Patient Evolution</t>
  </si>
  <si>
    <t>Evolução Paciente</t>
  </si>
  <si>
    <t>Indicación de Alta</t>
  </si>
  <si>
    <t>Discharge Guidance</t>
  </si>
  <si>
    <t>Orientação de Alta</t>
  </si>
  <si>
    <t>Curación</t>
  </si>
  <si>
    <t>Dressing</t>
  </si>
  <si>
    <t>Curativo</t>
  </si>
  <si>
    <t>Proceso Hermético de Administración de Medicamentos - PHARM</t>
  </si>
  <si>
    <t>Closed Loop Medicine Administration Process - CLMAP</t>
  </si>
  <si>
    <t>Processo Hermético de Administração de Medicamentos - PHARM</t>
  </si>
  <si>
    <t>SNCP - Standardized Nursing Care Plan</t>
  </si>
  <si>
    <t>Carga Brasíndice</t>
  </si>
  <si>
    <t>Brasíndice Load</t>
  </si>
  <si>
    <t>Carga CP</t>
  </si>
  <si>
    <t>Postal code load</t>
  </si>
  <si>
    <t>Carga CEP</t>
  </si>
  <si>
    <t>Carga AMB</t>
  </si>
  <si>
    <t>AMB Load</t>
  </si>
  <si>
    <t>Carga Ciefas</t>
  </si>
  <si>
    <t>Ciefas Load</t>
  </si>
  <si>
    <t>System Administration</t>
  </si>
  <si>
    <t>Diccionario de Datos Philips</t>
  </si>
  <si>
    <t>Teclas Básicas del Sistema</t>
  </si>
  <si>
    <t>System's Basic Keys</t>
  </si>
  <si>
    <t>Teclas Básicas do Sistema</t>
  </si>
  <si>
    <t>Tablas del Sistema</t>
  </si>
  <si>
    <t>System Tables</t>
  </si>
  <si>
    <t>Tabelas do Sistema</t>
  </si>
  <si>
    <t>Parámetros del Sistema</t>
  </si>
  <si>
    <t>System Parameters</t>
  </si>
  <si>
    <t>Parâmetros do Sistema</t>
  </si>
  <si>
    <t>Alteración Tasy</t>
  </si>
  <si>
    <t>Tasy Changes</t>
  </si>
  <si>
    <t>Alteração Tasy</t>
  </si>
  <si>
    <t>Buscar Registro</t>
  </si>
  <si>
    <t>Find Registry</t>
  </si>
  <si>
    <t>Localizar Cadastro</t>
  </si>
  <si>
    <t>Buscar Impresoras del Sistema</t>
  </si>
  <si>
    <t>Find System Printers</t>
  </si>
  <si>
    <t>Localizar Impressoras do Sistema</t>
  </si>
  <si>
    <t>Log Management</t>
  </si>
  <si>
    <t>Registro de Actividad Profesional SUS</t>
  </si>
  <si>
    <t>SUS Professional Activity Registration</t>
  </si>
  <si>
    <t>Cadastro de Atividade Profissional SUS</t>
  </si>
  <si>
    <t>Registro de Precio Procedimiento BPA</t>
  </si>
  <si>
    <t>BPA Procedure Price Registration</t>
  </si>
  <si>
    <t>Cadastro de Preço Procedimento BPA</t>
  </si>
  <si>
    <t>Ejecución de Procedimientos BPA (antigua)</t>
  </si>
  <si>
    <t>BPA Procedure Execution (old)</t>
  </si>
  <si>
    <t>Execução de Procedimentos BPA (antiga)</t>
  </si>
  <si>
    <t>Registro de Grupo de Edad (SUS)</t>
  </si>
  <si>
    <t>Age Group Registration (SUS)</t>
  </si>
  <si>
    <t>Cadastro de Faixa Etária (SUS)</t>
  </si>
  <si>
    <t>Precios Procedimientos AIH</t>
  </si>
  <si>
    <t>AIH Procedure Prices</t>
  </si>
  <si>
    <t>Preços Procedimentos AIH</t>
  </si>
  <si>
    <t>Cadastro de Parâmetros do SUS</t>
  </si>
  <si>
    <t>Carga SUS</t>
  </si>
  <si>
    <t>SUS Load</t>
  </si>
  <si>
    <t>Informe SUS Interno (AIH)</t>
  </si>
  <si>
    <t>SUS Internal Report (AIH)</t>
  </si>
  <si>
    <t>Relatório SUS Interno (AIH)</t>
  </si>
  <si>
    <t>Protocolo SUS</t>
  </si>
  <si>
    <t>SUS Protocol</t>
  </si>
  <si>
    <t>Ejecución de Procedimiento AIH (antigua)</t>
  </si>
  <si>
    <t>AIH Procedure Execution (old)</t>
  </si>
  <si>
    <t>Execução de procedimento AIH (antiga)</t>
  </si>
  <si>
    <t>SUS Buscador de CIE10</t>
  </si>
  <si>
    <t>SUS ICD10 Search Tool</t>
  </si>
  <si>
    <t>SUS Localizador de CID10</t>
  </si>
  <si>
    <t>Unified table of SUS procedures</t>
  </si>
  <si>
    <t>SUS Procedimentos Tabela Unificada</t>
  </si>
  <si>
    <t>Consulta Precios Procedimientos AIH</t>
  </si>
  <si>
    <t>Consult AIH Procedure Prices</t>
  </si>
  <si>
    <t>Consulta Preços Procedimentos AIH</t>
  </si>
  <si>
    <t>National Record of SUS Users</t>
  </si>
  <si>
    <t>National Record of Healthcare Establishments</t>
  </si>
  <si>
    <t>Accounts receivable</t>
  </si>
  <si>
    <t>Rel.</t>
  </si>
  <si>
    <t>Lista por cobrar</t>
  </si>
  <si>
    <t>Bordereau receivable</t>
  </si>
  <si>
    <t>Financial Sheet</t>
  </si>
  <si>
    <t>Collection Agency Submission Management</t>
  </si>
  <si>
    <t>Reporte de Documentos por Cobrar</t>
  </si>
  <si>
    <t>Accounts Receivable Report</t>
  </si>
  <si>
    <t>Relatório de Títulos a Receber</t>
  </si>
  <si>
    <t>OPS - Control de Incumplimiento</t>
  </si>
  <si>
    <t>HPMS - Default Control</t>
  </si>
  <si>
    <t>OPS - Controle de Inadimplência</t>
  </si>
  <si>
    <t>Parámetros de Cuentas por Cobrar</t>
  </si>
  <si>
    <t>Negociación de Cuentas por Cobrar</t>
  </si>
  <si>
    <t>Negotiation of Receivables</t>
  </si>
  <si>
    <t>Gráficos de la Cirugía</t>
  </si>
  <si>
    <t>Surgery Graphs</t>
  </si>
  <si>
    <t>Gráficos da Cirurgia</t>
  </si>
  <si>
    <t>Registro de los Ítems Quirúrgicos</t>
  </si>
  <si>
    <t>Relation of surgeries</t>
  </si>
  <si>
    <t>Ficha Anestésica Electrónica del Paciente - FANEP</t>
  </si>
  <si>
    <t>Sistematización de la Asistencia de Enfermería Quirúrgica - SAEP</t>
  </si>
  <si>
    <t>Preoperative Structured Nursing Care Plan - SAEP</t>
  </si>
  <si>
    <t>Sistematização da Assistência de Enfermagem Peroperatória - SAEP</t>
  </si>
  <si>
    <t>Reporte Mat/Med Consumidos por Cirugía</t>
  </si>
  <si>
    <t>Blood Management</t>
  </si>
  <si>
    <t>Lab Test Consultation</t>
  </si>
  <si>
    <t>Muestra de la Prescripción</t>
  </si>
  <si>
    <t>Prescription Sample</t>
  </si>
  <si>
    <t>Amostra da Prescrição</t>
  </si>
  <si>
    <t>Panel de Llamadas del Laboratorio</t>
  </si>
  <si>
    <t>Lab Call Panel</t>
  </si>
  <si>
    <t>Lab Tests</t>
  </si>
  <si>
    <t>Exames Laboratoriais</t>
  </si>
  <si>
    <t>Gestión del Banco de Muestras Biológicas</t>
  </si>
  <si>
    <t>Biological Sample Bank Management</t>
  </si>
  <si>
    <t>Gestão de Soroteca</t>
  </si>
  <si>
    <t>Parameters</t>
  </si>
  <si>
    <t>Group</t>
  </si>
  <si>
    <t>Medicine</t>
  </si>
  <si>
    <t>Atención Médica</t>
  </si>
  <si>
    <t>Medical Encounter</t>
  </si>
  <si>
    <t>Atendimento Médico</t>
  </si>
  <si>
    <t>Tratamentos</t>
  </si>
  <si>
    <t>Recetario médico</t>
  </si>
  <si>
    <t>Medical prescription</t>
  </si>
  <si>
    <t>Receituário médico</t>
  </si>
  <si>
    <t>Pedido</t>
  </si>
  <si>
    <t>Order</t>
  </si>
  <si>
    <t>Texto Adicional</t>
  </si>
  <si>
    <t>Additional text</t>
  </si>
  <si>
    <t>Certificado Médico</t>
  </si>
  <si>
    <t>Medical certificate</t>
  </si>
  <si>
    <t>Atestado</t>
  </si>
  <si>
    <t>Receta</t>
  </si>
  <si>
    <t>Prescription</t>
  </si>
  <si>
    <t>Receita</t>
  </si>
  <si>
    <t>Rota de Inspeção</t>
  </si>
  <si>
    <t>Buscador de Equipos</t>
  </si>
  <si>
    <t>Equipment Search Tool</t>
  </si>
  <si>
    <t>Localizador de Equipamentos</t>
  </si>
  <si>
    <t>Cadastros da Manutenção</t>
  </si>
  <si>
    <t>Consulta Precio (antigua)</t>
  </si>
  <si>
    <t>Consult Price (old)</t>
  </si>
  <si>
    <t>Consulta Preço (antiga)</t>
  </si>
  <si>
    <t>Consulta a Tabla de Procedimientos</t>
  </si>
  <si>
    <t>Procedure Table Check</t>
  </si>
  <si>
    <t>Consulta à Tabela de Procedimentos</t>
  </si>
  <si>
    <t>Price Charts</t>
  </si>
  <si>
    <t>Insurance Accounts Simulator</t>
  </si>
  <si>
    <t>Consulta la Tabla de Procedimientos (sólo para guardar orden cuadrícula)</t>
  </si>
  <si>
    <t>Consults the Procedure Chart (only for saving grid order)</t>
  </si>
  <si>
    <t>Consulta a Tabela de Procedimentos (somente para salvar ordem grid)</t>
  </si>
  <si>
    <t>Medicine x Brasindice relationship</t>
  </si>
  <si>
    <t>Relacionamento Medicamento X Brasíndice</t>
  </si>
  <si>
    <t>Obtener Procedimiento</t>
  </si>
  <si>
    <t>Find Procedure</t>
  </si>
  <si>
    <t>Obter Procedimento</t>
  </si>
  <si>
    <t>HAIs Indicator Garphs</t>
  </si>
  <si>
    <t>Devices Record</t>
  </si>
  <si>
    <t>HAIs Medicine Control</t>
  </si>
  <si>
    <t>Infection Prevention and Control Management</t>
  </si>
  <si>
    <t>HAIs Incident Form</t>
  </si>
  <si>
    <t>CIH Ficha Ocurrencia</t>
  </si>
  <si>
    <t>CIH Ficha Ocorrência</t>
  </si>
  <si>
    <t>HAIs Management</t>
  </si>
  <si>
    <t>Management Indicators</t>
  </si>
  <si>
    <t>EIS Cuentas pendientes (Nueva)</t>
  </si>
  <si>
    <t>EIS Pending Accounts (New)</t>
  </si>
  <si>
    <t>Resultados por Centro de Control</t>
  </si>
  <si>
    <t>Results by Control Center</t>
  </si>
  <si>
    <t>Resultados por Centro de Controle</t>
  </si>
  <si>
    <t>Registro de Costos</t>
  </si>
  <si>
    <t>Costs Record</t>
  </si>
  <si>
    <t>Cadastro de Custos</t>
  </si>
  <si>
    <t>Precio Productos/Servicios</t>
  </si>
  <si>
    <t>Product/Services Price</t>
  </si>
  <si>
    <t>Preço Produtos/Serviços</t>
  </si>
  <si>
    <t>Costo Estándar</t>
  </si>
  <si>
    <t>Standard Cost</t>
  </si>
  <si>
    <t>Custo Padrão</t>
  </si>
  <si>
    <t>Ficha Técnica</t>
  </si>
  <si>
    <t>Datasheet</t>
  </si>
  <si>
    <t>Costo Presupuestado de los Procedimientos</t>
  </si>
  <si>
    <t>Budgeted Cost of Procedures</t>
  </si>
  <si>
    <t>Custo Orçado dos Procedimentos</t>
  </si>
  <si>
    <t>Tasa de Costo de la Actividad</t>
  </si>
  <si>
    <t>Rate of the Activity Cost</t>
  </si>
  <si>
    <t>Taxa de Custo da Atividade</t>
  </si>
  <si>
    <t>Costo Estándar de los Materiales</t>
  </si>
  <si>
    <t>Standard Cost of Materials</t>
  </si>
  <si>
    <t>Custo Padrão dos Materiais</t>
  </si>
  <si>
    <t>Valor de los Componentes por Tabla</t>
  </si>
  <si>
    <t>Value of Components per Chart</t>
  </si>
  <si>
    <t>Valor dos Componentes por Tabela</t>
  </si>
  <si>
    <t>Valor de los Componentes por Fecha</t>
  </si>
  <si>
    <t>Value of Components per Date</t>
  </si>
  <si>
    <t>Valor dos Componentes por Data</t>
  </si>
  <si>
    <t>Consulta del Presupuesto Distribuido</t>
  </si>
  <si>
    <t>Distributed Budget Consultation</t>
  </si>
  <si>
    <t>Consulta do Orçamento Distribuído</t>
  </si>
  <si>
    <t>Criterios Distribución Presupuesto</t>
  </si>
  <si>
    <t>Budget Distribution Criteria</t>
  </si>
  <si>
    <t>Critérios Distribuição Orçamento</t>
  </si>
  <si>
    <t>Presupuesto de Costos</t>
  </si>
  <si>
    <t>Cost Budget</t>
  </si>
  <si>
    <t>Orçamento de Custos</t>
  </si>
  <si>
    <t>Niveles de Capacidad por Centro Control</t>
  </si>
  <si>
    <t>Levels of Capacity per Control Center</t>
  </si>
  <si>
    <t>Níveis de Capacidade por Centro Controle</t>
  </si>
  <si>
    <t>Accounts payable</t>
  </si>
  <si>
    <t>Pago Electrónico</t>
  </si>
  <si>
    <t>E-payment</t>
  </si>
  <si>
    <t>Consulta de Documentos por Pagar</t>
  </si>
  <si>
    <t>Accounts Payable Search Tool</t>
  </si>
  <si>
    <t>Control de Notas de Crédito (A Pagar)</t>
  </si>
  <si>
    <t>Control of Credit Invoices (Payable)</t>
  </si>
  <si>
    <t>Generación de Impuestos</t>
  </si>
  <si>
    <t>Tax Generation</t>
  </si>
  <si>
    <t>Geração de Tributos</t>
  </si>
  <si>
    <t>Reporte de Documentos por Pagar</t>
  </si>
  <si>
    <t>Accounts Payable Report</t>
  </si>
  <si>
    <t>Relatório de Títulos a Pagar</t>
  </si>
  <si>
    <t>OPS - Transferência Eletrônica de Dados (TED)</t>
  </si>
  <si>
    <t>Accounting</t>
  </si>
  <si>
    <t>OPS - Criterios Contables</t>
  </si>
  <si>
    <t>OPS - Accounting Criteria</t>
  </si>
  <si>
    <t>OPS - Critérios Contábeis</t>
  </si>
  <si>
    <t>Reporte Movimiento Sintético Operación</t>
  </si>
  <si>
    <t>List Facturas por Cuenta contable</t>
  </si>
  <si>
    <t>Rel Contas Paciente não Contabilizadas</t>
  </si>
  <si>
    <t>OPS - Actualización del Movimiento Contable</t>
  </si>
  <si>
    <t>HPMS - Accounting Movement Update</t>
  </si>
  <si>
    <t>OPS - Atualização do Movimento Contábil</t>
  </si>
  <si>
    <t>OPS - Envío de archivo GISS</t>
  </si>
  <si>
    <t>HPMS - TISS file sending</t>
  </si>
  <si>
    <t>OPS - Envio de arquivo GISS</t>
  </si>
  <si>
    <t>Informe interno prescripción</t>
  </si>
  <si>
    <t>Internal prescription report</t>
  </si>
  <si>
    <t>Relatório interno prescrição</t>
  </si>
  <si>
    <t>Prescripción de Rutina</t>
  </si>
  <si>
    <t>Routine Order</t>
  </si>
  <si>
    <t>Prescrição de Rotina</t>
  </si>
  <si>
    <t>Visualización Integrada del ítem - VINI</t>
  </si>
  <si>
    <t>Integrated Item View</t>
  </si>
  <si>
    <t>Visualização Integrada do Item - VINI</t>
  </si>
  <si>
    <t>Resumen de la Prescripción</t>
  </si>
  <si>
    <t>Summary of Order</t>
  </si>
  <si>
    <t>Resumo da Prescrição</t>
  </si>
  <si>
    <t>Pacientes en la Visión Médica</t>
  </si>
  <si>
    <t>Patients in Medical View</t>
  </si>
  <si>
    <t>Pacientes na  Visão Médica</t>
  </si>
  <si>
    <t>Consulta Lote de Prescripción</t>
  </si>
  <si>
    <t>Order Batch Consultation</t>
  </si>
  <si>
    <t>Consulta Lote de Prescrição</t>
  </si>
  <si>
    <t>Inconsistencias Prescripción Electrónica Paciente</t>
  </si>
  <si>
    <t>Electronic Patient Chart Inconsistencies</t>
  </si>
  <si>
    <t>Inconsistências Prescrição Eletrônica Paciente</t>
  </si>
  <si>
    <t>Función de Dilución</t>
  </si>
  <si>
    <t>Dilution Function</t>
  </si>
  <si>
    <t>Função de Diluição</t>
  </si>
  <si>
    <t>Prescripción de Dispositivos</t>
  </si>
  <si>
    <t>Tubes &amp; Lines Order</t>
  </si>
  <si>
    <t>Prescrição de Dispositivos</t>
  </si>
  <si>
    <t>Patient Medical Report</t>
  </si>
  <si>
    <t>Protocolos</t>
  </si>
  <si>
    <t>Protocols</t>
  </si>
  <si>
    <t>Rel Exames Não Confirmados</t>
  </si>
  <si>
    <t>Reporte Exámenes Realizados</t>
  </si>
  <si>
    <t>Digitação de Resultados de Exames Não Laboratoriais Externos</t>
  </si>
  <si>
    <t>Medical Report Location Register</t>
  </si>
  <si>
    <t>Gestión de la Radioterapia</t>
  </si>
  <si>
    <t>Gestão da Radioterapia</t>
  </si>
  <si>
    <t>Obtener frases Protocolo</t>
  </si>
  <si>
    <t>Find Protocol Phrases</t>
  </si>
  <si>
    <t>Obter frases Protocolo</t>
  </si>
  <si>
    <t>AGFA</t>
  </si>
  <si>
    <t>Panel de Llamadas de Exámenes</t>
  </si>
  <si>
    <t>Exams Call Panel</t>
  </si>
  <si>
    <t>Farmacia Ambulatorial</t>
  </si>
  <si>
    <t>Protocolos de Nutrición</t>
  </si>
  <si>
    <t>Nutrition Protocols</t>
  </si>
  <si>
    <t>Protocolos de Nutrição</t>
  </si>
  <si>
    <t>Reporte Medic/Mat Utilizados</t>
  </si>
  <si>
    <t>Rel Medicamentos Não Padronizados</t>
  </si>
  <si>
    <t>Emisión de las Atenciones (Requisición/Prescripción)</t>
  </si>
  <si>
    <t>Encounter Issuance (Request/Order)</t>
  </si>
  <si>
    <t>Liberação Medicamentos Não Padronizados</t>
  </si>
  <si>
    <t>Proceso Electrónico de Manipulación de Órdenes / Fraccionamiento</t>
  </si>
  <si>
    <t>Electronic Process for Handling Orders / Fractionation</t>
  </si>
  <si>
    <t>Processo Eletrônico de Manipulação de Ordens / Fracionamento</t>
  </si>
  <si>
    <t>Electronic Medication Administration Record - Dispensation Management - eMAR-DM</t>
  </si>
  <si>
    <t>Order Management by the Clinical Pharmacy</t>
  </si>
  <si>
    <t>Hist Adm Electrónica de la Prescripción - ADEP</t>
  </si>
  <si>
    <t>History of Electronic Medication Administration Record - eMAR</t>
  </si>
  <si>
    <t>Hist Adm Eletrônica da Prescrição - ADEP</t>
  </si>
  <si>
    <t>Barcode</t>
  </si>
  <si>
    <t>Farmacia comercial</t>
  </si>
  <si>
    <t>Commercial pharmacy</t>
  </si>
  <si>
    <t>Farmácia comercial</t>
  </si>
  <si>
    <t>Orden Compra</t>
  </si>
  <si>
    <t>Purchase Order</t>
  </si>
  <si>
    <t>Ordem Compra</t>
  </si>
  <si>
    <t>Purchase Quotation</t>
  </si>
  <si>
    <t>Consulta Datos de Compra del Ítem</t>
  </si>
  <si>
    <t>Consult Purchase Details of the Item</t>
  </si>
  <si>
    <t>Consulta Dados de Compra do Item</t>
  </si>
  <si>
    <t>Reporte Compras por Proveedor</t>
  </si>
  <si>
    <t>Buscador de Facturas</t>
  </si>
  <si>
    <t>Invoice Search Tool</t>
  </si>
  <si>
    <t>Localizador de Notas Fiscais</t>
  </si>
  <si>
    <t>Care Result Report</t>
  </si>
  <si>
    <t xml:space="preserve"> Simulación de Cálculo de la Cuenta de Pa</t>
  </si>
  <si>
    <t>Report Calculation Simulation of Patient's Account</t>
  </si>
  <si>
    <t>Rel. Simulação de Cálculo da Conta de Pa</t>
  </si>
  <si>
    <t>Patient Account</t>
  </si>
  <si>
    <t>Generar Documento Cobrar</t>
  </si>
  <si>
    <t>Generate account Receivables</t>
  </si>
  <si>
    <t>Gerar Título Receber</t>
  </si>
  <si>
    <t>Cuenta Paciente (Antigua)</t>
  </si>
  <si>
    <t>Patient Account (Old)</t>
  </si>
  <si>
    <t>Conta Paciente (Antiga)</t>
  </si>
  <si>
    <t>Reporte Lotes de los Convenios</t>
  </si>
  <si>
    <t>Insurance Batch Rep</t>
  </si>
  <si>
    <t>Rel Lotes dos Convênios</t>
  </si>
  <si>
    <t>Reporte Materiales sin Precio</t>
  </si>
  <si>
    <t>Reporte Totales de las Cuentas por Convenio</t>
  </si>
  <si>
    <t>Reporte Precio Material por Convenio</t>
  </si>
  <si>
    <t>Orthosis, Prosthesis and Special Material Report</t>
  </si>
  <si>
    <t>Reporte Materiales/Medicamentos por Atención</t>
  </si>
  <si>
    <t>Dispensa de cobranza día</t>
  </si>
  <si>
    <t>Daily charge exemption</t>
  </si>
  <si>
    <t>Dispensa de cobrança diária</t>
  </si>
  <si>
    <t>TISS - Accounts Resubmission</t>
  </si>
  <si>
    <t>Buscar Convenio por el Código</t>
  </si>
  <si>
    <t>Find Insurance by Code</t>
  </si>
  <si>
    <t>Localizar Convênio pelo Código</t>
  </si>
  <si>
    <t>Cierre Parcial de la Cuenta Paciente</t>
  </si>
  <si>
    <t>Partial Closure of Patient Account</t>
  </si>
  <si>
    <t>Fechamento Parcial da Conta Paciente</t>
  </si>
  <si>
    <t>TISS - Inconsistencias</t>
  </si>
  <si>
    <t>TISS - Inconsistencies</t>
  </si>
  <si>
    <t>TISS - Inconsistências</t>
  </si>
  <si>
    <t>Control de Prefacturación</t>
  </si>
  <si>
    <t>Money Deposit Control Report</t>
  </si>
  <si>
    <t>Consistency Patient Information Report</t>
  </si>
  <si>
    <t>Reporte Atenciones por Convenio</t>
  </si>
  <si>
    <t>Reporte Internaciones por Convenio</t>
  </si>
  <si>
    <t>Registro Simplificado de Personas</t>
  </si>
  <si>
    <t>Cadastro Simplificado de Pessoas</t>
  </si>
  <si>
    <t>Reporte Atenciones</t>
  </si>
  <si>
    <t>Diagnosis Report</t>
  </si>
  <si>
    <t>Gestión de Escala de Profesionales</t>
  </si>
  <si>
    <t>Professional Scheduling Management</t>
  </si>
  <si>
    <t>Gestão de Escalação de Profissionais</t>
  </si>
  <si>
    <t>Buscador de Atención</t>
  </si>
  <si>
    <t>Encounter search tool</t>
  </si>
  <si>
    <t>Localizador de Atendimento</t>
  </si>
  <si>
    <t>Reporte Saldo Stock Consignados</t>
  </si>
  <si>
    <t>Reporte Razón del Stock</t>
  </si>
  <si>
    <t>Reporte Movimiento Stock</t>
  </si>
  <si>
    <t>Reporte Saldo de Stock</t>
  </si>
  <si>
    <t>Kit de Materiales</t>
  </si>
  <si>
    <t>Kit of Materials</t>
  </si>
  <si>
    <t>Kit de Materiais</t>
  </si>
  <si>
    <t>Reporte Consumo Mensual por Centro de Costo</t>
  </si>
  <si>
    <t>Monthly Consumption per Cost Center Report</t>
  </si>
  <si>
    <t>Reporte de Inventario</t>
  </si>
  <si>
    <t>Buscar CP</t>
  </si>
  <si>
    <t>Locate the postal code</t>
  </si>
  <si>
    <t>Localizar CEP</t>
  </si>
  <si>
    <t>Avaliações Estruturadas</t>
  </si>
  <si>
    <t>Localizador de Medicamentos Estándar</t>
  </si>
  <si>
    <t>Formulary Medicine Search Tool</t>
  </si>
  <si>
    <t>Localizador de Medicamentos Padrão</t>
  </si>
  <si>
    <t>Buscar Personas</t>
  </si>
  <si>
    <t>Find Person</t>
  </si>
  <si>
    <t>Localizar Pessoas</t>
  </si>
  <si>
    <t>Buscar Personas Externo</t>
  </si>
  <si>
    <t>Find External Persons</t>
  </si>
  <si>
    <t>Localizar Pessoas Externo</t>
  </si>
  <si>
    <t>Buscar Personas Morales</t>
  </si>
  <si>
    <t>Find Legal Entities</t>
  </si>
  <si>
    <t>Localizar Pessoas Jurídicas</t>
  </si>
  <si>
    <t>Geração de Interface Externa</t>
  </si>
  <si>
    <t>Buscar Medicamentos/Materiales</t>
  </si>
  <si>
    <t>Find medicines/Materials</t>
  </si>
  <si>
    <t>Localizar Medicamentos/Materiais</t>
  </si>
  <si>
    <t>Financial Transaction Record</t>
  </si>
  <si>
    <t>Services record</t>
  </si>
  <si>
    <t>Instalação do Produto</t>
  </si>
  <si>
    <t>OPS - Gestão de Dados Atuariais</t>
  </si>
  <si>
    <t>Quality Management</t>
  </si>
  <si>
    <t>Notificaciones</t>
  </si>
  <si>
    <t>Notifications</t>
  </si>
  <si>
    <t>Notificações</t>
  </si>
  <si>
    <t>Payment transfer to third parties</t>
  </si>
  <si>
    <t>Payment Transfer to Third Parties</t>
  </si>
  <si>
    <t>Payment transfer Rules and Criteria</t>
  </si>
  <si>
    <t>Gestión de Autorización (Antigua)</t>
  </si>
  <si>
    <t>Authorization Management (Old)</t>
  </si>
  <si>
    <t>Gerenciamento de Autorização (Antiga)</t>
  </si>
  <si>
    <t>Autorización de Materiales Especiales</t>
  </si>
  <si>
    <t>Autorização de Materiais Especiais</t>
  </si>
  <si>
    <t>Gestión de Autorizaciones SUS</t>
  </si>
  <si>
    <t>Bidding</t>
  </si>
  <si>
    <t>Nota Fiscal</t>
  </si>
  <si>
    <t>Receipt Inspection</t>
  </si>
  <si>
    <t>Control de Inmunizaciones (Antigua)</t>
  </si>
  <si>
    <t>Immunization Control (Old)</t>
  </si>
  <si>
    <t>Controle de Imunizações (Antiga)</t>
  </si>
  <si>
    <t>Kit Requisition</t>
  </si>
  <si>
    <t>Control de los Conjuntos</t>
  </si>
  <si>
    <t>Package Control</t>
  </si>
  <si>
    <t>Controle dos Conjuntos</t>
  </si>
  <si>
    <t>Imágenes</t>
  </si>
  <si>
    <t>Images</t>
  </si>
  <si>
    <t>Imagens</t>
  </si>
  <si>
    <t>Chemotherapy Schedule</t>
  </si>
  <si>
    <t>Resurtimiento Quimioterapia</t>
  </si>
  <si>
    <t>Ressuprimento Quimioterapia</t>
  </si>
  <si>
    <t>Triaje de Riesgo Manchester</t>
  </si>
  <si>
    <t>Manchester Risk Score</t>
  </si>
  <si>
    <t>Buscador de CIE 10</t>
  </si>
  <si>
    <t>ICD 10 Search Tool</t>
  </si>
  <si>
    <t>Localizador de CID 10</t>
  </si>
  <si>
    <t>ECE - Expediente Clínico Electrónico del Paciente</t>
  </si>
  <si>
    <t>PEP - Prontuário Eletrônico do Paciente</t>
  </si>
  <si>
    <t>Pain Management</t>
  </si>
  <si>
    <t>Ingresos y Egresos</t>
  </si>
  <si>
    <t>Intakes &amp; Outputs</t>
  </si>
  <si>
    <t>Ganhos e Perdas</t>
  </si>
  <si>
    <t>Diagnósticos Internos</t>
  </si>
  <si>
    <t>Internal Diagnoses</t>
  </si>
  <si>
    <t>Consulta Glosario</t>
  </si>
  <si>
    <t>Glossary Consultation</t>
  </si>
  <si>
    <t>Consulta Glossário</t>
  </si>
  <si>
    <t>Digitar información con consulta</t>
  </si>
  <si>
    <t>Enter information with consultation</t>
  </si>
  <si>
    <t>Digitar Informação com Consulta</t>
  </si>
  <si>
    <t>Alertas a los Profesionales</t>
  </si>
  <si>
    <t>Professional Notifications</t>
  </si>
  <si>
    <t>Alertas aos Profissionais</t>
  </si>
  <si>
    <t>Alertas de Seguridad</t>
  </si>
  <si>
    <t>Safety Warnings</t>
  </si>
  <si>
    <t>Alertas de Segurança</t>
  </si>
  <si>
    <t>Gestión de Resultados de Exámenes</t>
  </si>
  <si>
    <t>Exam Results Management</t>
  </si>
  <si>
    <t>Gestão de Resultados de Exames</t>
  </si>
  <si>
    <t>CIE Rutina</t>
  </si>
  <si>
    <t>Standard ICD</t>
  </si>
  <si>
    <t>CID Rotina</t>
  </si>
  <si>
    <t>Ophthalmology</t>
  </si>
  <si>
    <t>Gestión de los Planes Terapéuticos</t>
  </si>
  <si>
    <t>Therapeutic Plan Management</t>
  </si>
  <si>
    <t>Health Professional Assistance Systematization</t>
  </si>
  <si>
    <t>Agenda Consulta (Antigua)</t>
  </si>
  <si>
    <t>Consultation Schedule (Old)</t>
  </si>
  <si>
    <t>Agenda Consulta (Antiga)</t>
  </si>
  <si>
    <t>Schedule Call Panel</t>
  </si>
  <si>
    <t>Private</t>
  </si>
  <si>
    <t>Agendas Antiguas</t>
  </si>
  <si>
    <t>Old Schedule Books</t>
  </si>
  <si>
    <t>Agendas Antigas</t>
  </si>
  <si>
    <t>Exam Schedule</t>
  </si>
  <si>
    <t>Controle de Créditos não Identificados</t>
  </si>
  <si>
    <t>comunicação</t>
  </si>
  <si>
    <t>Comunicação Interna</t>
  </si>
  <si>
    <t>Portal Web</t>
  </si>
  <si>
    <t>OPSW - Legajo beneficiario</t>
  </si>
  <si>
    <t>OPSW - Beneficiary dossier</t>
  </si>
  <si>
    <t>OPSW - Dossiê beneficiário</t>
  </si>
  <si>
    <t>OPSW - Reportes</t>
  </si>
  <si>
    <t>OPSW - Reports</t>
  </si>
  <si>
    <t>OPSW - Relatórios</t>
  </si>
  <si>
    <t>OPSW - Digitación de Cuentas Médicas</t>
  </si>
  <si>
    <t>OPSW - Medical bills typing</t>
  </si>
  <si>
    <t>OPSW - Digitação de Contas Médicas</t>
  </si>
  <si>
    <t>OPSW - Comunicación Externa Web</t>
  </si>
  <si>
    <t>OPSW - Web External Communication</t>
  </si>
  <si>
    <t>OPSW - Comunicação Externa Web</t>
  </si>
  <si>
    <t>OPSW - Ejecución de la Requisición para Autorización</t>
  </si>
  <si>
    <t>OPSW - Authorization Requirement Operation</t>
  </si>
  <si>
    <t>OPSW - Execução da Requisição para Autorização</t>
  </si>
  <si>
    <t>OPSW - Buscador de Beneficiarios</t>
  </si>
  <si>
    <t>OPSW - Beneficiary Search Tool</t>
  </si>
  <si>
    <t>OPSW - Localizador de Beneficiários</t>
  </si>
  <si>
    <t>OPSW - Declaración de Salud</t>
  </si>
  <si>
    <t>OPSW - Health Statement</t>
  </si>
  <si>
    <t>OPSW - Declaração de Saúde</t>
  </si>
  <si>
    <t>OPSW - Guía Médica</t>
  </si>
  <si>
    <t>OPSW - Medical form</t>
  </si>
  <si>
    <t>OPSW - Guia Médico</t>
  </si>
  <si>
    <t>OPSW - Comunicación de Accidente de Trabajo (CAT)</t>
  </si>
  <si>
    <t>OPSW - Work Accident Notice (CAT)</t>
  </si>
  <si>
    <t>OPSW - Comunicação de Acidente de Trabalho (CAT)</t>
  </si>
  <si>
    <t>OPSW - Rol de Procedimientos</t>
  </si>
  <si>
    <t>OPSW - Procedure List</t>
  </si>
  <si>
    <t>OPSW - Rol de Procedimentos</t>
  </si>
  <si>
    <t>OPSW - Tarjeta de Identificación</t>
  </si>
  <si>
    <t>OPSW - Identification Card</t>
  </si>
  <si>
    <t>OPSW - Carteira de Identificação</t>
  </si>
  <si>
    <t>OPSW - Mensualidad</t>
  </si>
  <si>
    <t>OPSW - Monthly Payment</t>
  </si>
  <si>
    <t>OPSW - Mensalidade</t>
  </si>
  <si>
    <t>OPSW - Simulador de Precios</t>
  </si>
  <si>
    <t>OPSW - Price Simulator</t>
  </si>
  <si>
    <t>OPSW - Simulador de Preços</t>
  </si>
  <si>
    <t>OPSW - Propuesta de Adhesión Electrónica</t>
  </si>
  <si>
    <t>OPSW - Proposal for Electronic Subscription</t>
  </si>
  <si>
    <t>OPSW - Proposta de Adesão Eletrônica</t>
  </si>
  <si>
    <t>OPSW - Cuentas Médicas</t>
  </si>
  <si>
    <t>OPSW - Medical Accounts</t>
  </si>
  <si>
    <t>OPSW - Contas Médicas</t>
  </si>
  <si>
    <t>OPSW - Beneficiarios</t>
  </si>
  <si>
    <t>OPSW - Beneficiaries</t>
  </si>
  <si>
    <t>OPSW - Beneficiários</t>
  </si>
  <si>
    <t>OPSW - Autorizaciones</t>
  </si>
  <si>
    <t>OPSW - Authorizations</t>
  </si>
  <si>
    <t>OPSW - Autorizações</t>
  </si>
  <si>
    <t>OPSW - Portal Web</t>
  </si>
  <si>
    <t>OPSW - Web Portal</t>
  </si>
  <si>
    <t>OPSW - Prestadores</t>
  </si>
  <si>
    <t>OPSW - Providers</t>
  </si>
  <si>
    <t>OPSW - Gestión de Contratos</t>
  </si>
  <si>
    <t>OPSW - Contract Management</t>
  </si>
  <si>
    <t>OPSW - Gestão de Contratos</t>
  </si>
  <si>
    <t>OPS - Portal Web</t>
  </si>
  <si>
    <t>HPMS - Web Portal</t>
  </si>
  <si>
    <t>OPSW - Gestión de archivos</t>
  </si>
  <si>
    <t>OPSW - File management</t>
  </si>
  <si>
    <t>OPSW - Gestão de arquivos</t>
  </si>
  <si>
    <t>OPSW - Dosier contrato</t>
  </si>
  <si>
    <t>OPSW - Contract report</t>
  </si>
  <si>
    <t>OPSW - Dossiê contrato</t>
  </si>
  <si>
    <t>OPSW - Recurso de Rechazo de Cuenta Médica</t>
  </si>
  <si>
    <t>OPSW - Medical Account Denial Appeal</t>
  </si>
  <si>
    <t>OPSW - Recurso de Glosa de Conta Médica</t>
  </si>
  <si>
    <t>OPSW - Operación Complementaria</t>
  </si>
  <si>
    <t>OPSW - Complementing transaction</t>
  </si>
  <si>
    <t>OPSW - Transação Complementar</t>
  </si>
  <si>
    <t>OPSW - Comunicación de Hospitalización o Alta del Beneficiario</t>
  </si>
  <si>
    <t>OPSW - Admittance Communication or Discharge of Beneficiary</t>
  </si>
  <si>
    <t>OPSW - Comunicação de Internação ou Alta do Beneficiário</t>
  </si>
  <si>
    <t>OPSW - Médicos</t>
  </si>
  <si>
    <t>OPSW - Physicians</t>
  </si>
  <si>
    <t>OPSW - Chat</t>
  </si>
  <si>
    <t>OPSW - Gestión de Cooperados</t>
  </si>
  <si>
    <t>OPSW - Cooperate Management</t>
  </si>
  <si>
    <t>OPSW - Gestão de Cooperados</t>
  </si>
  <si>
    <t>OPSW - Identificación de beneficiario</t>
  </si>
  <si>
    <t>OPSW - Beneficiary Identification</t>
  </si>
  <si>
    <t>OPSW - Identificação de beneficiário</t>
  </si>
  <si>
    <t>OPSW - Requisiciones para Autorización</t>
  </si>
  <si>
    <t>OPSW - Authorization Requirements</t>
  </si>
  <si>
    <t>OPSW - Requisições para Autorização</t>
  </si>
  <si>
    <t>OPSW - Control de Locales de Atención</t>
  </si>
  <si>
    <t>OPSW - Encounter Location Control</t>
  </si>
  <si>
    <t>OPSW - Controle de Locais de Atendimento</t>
  </si>
  <si>
    <t>OPSW - Cuestionario</t>
  </si>
  <si>
    <t>OPSW - Questionnaire</t>
  </si>
  <si>
    <t>OPSW - Questionário</t>
  </si>
  <si>
    <t>OPSW - Solicitudes Pendientes</t>
  </si>
  <si>
    <t>OPSW - Pending Requests</t>
  </si>
  <si>
    <t>OPSW - Solicitações Pendentes</t>
  </si>
  <si>
    <t>Informações ANS</t>
  </si>
  <si>
    <t>OPS - Provisiones Técnicas</t>
  </si>
  <si>
    <t>HPMS - Technical Provision</t>
  </si>
  <si>
    <t>OPS - Provisões Técnicas</t>
  </si>
  <si>
    <t>OPS - Tasa de Salud Suplementaria</t>
  </si>
  <si>
    <t>HPMS - Supplementary Health Fee</t>
  </si>
  <si>
    <t>OPS - Taxa de Saúde Suplementar</t>
  </si>
  <si>
    <t>OPS - DIOPS - Documento de Información Periódicas</t>
  </si>
  <si>
    <t>HPMS - DIOPS - Periodic Information Document</t>
  </si>
  <si>
    <t>OPS - DIOPS - Documento de Informações Periódicas</t>
  </si>
  <si>
    <t>OPS - SIP - Sistema de Información de Productos</t>
  </si>
  <si>
    <t>HPMS - SIP - Product Information System</t>
  </si>
  <si>
    <t>OPS - SIP - Sistema de Informações de Produtos</t>
  </si>
  <si>
    <t>OPS - SIB - Sistema de Información de Beneficiarios</t>
  </si>
  <si>
    <t>HPMS - SIB - Beneficiary Information System</t>
  </si>
  <si>
    <t>OPS - SIB - Sistema de Informação de Beneficiários</t>
  </si>
  <si>
    <t>OPS - SIB ANS - Sistema de Informação de Beneficiários</t>
  </si>
  <si>
    <t>OPS ¿ Monitoreo ANS - Envío de datos para ANS</t>
  </si>
  <si>
    <t>HPMS (OPS) - National Health Agency (ANS) Monitoring - Delivery of data to the ANS</t>
  </si>
  <si>
    <t>OPS - Monitoramento ANS - Envio de dados para ANS</t>
  </si>
  <si>
    <t>OPS - Radar TISS</t>
  </si>
  <si>
    <t>HPMS - TISS Radar</t>
  </si>
  <si>
    <t>OPS - Registro de Planes de Salud (RPS)</t>
  </si>
  <si>
    <t>HPMS (OPS) - Rule of Health Insurances (RPS)</t>
  </si>
  <si>
    <t>OPS - Registro de Planos de Saúde (RPS)</t>
  </si>
  <si>
    <t>OPS - Envío de Información de Registro de Prestadores Médicos (CPM)</t>
  </si>
  <si>
    <t>HPMS - Sending Medical Services Suppliers Registry Information (CPM)</t>
  </si>
  <si>
    <t>OPS - Envio de Informações Cadastrais de Prestadores Médicos (CPM)</t>
  </si>
  <si>
    <t>Mensalidades</t>
  </si>
  <si>
    <t>OPS - Buscador de Pagadores</t>
  </si>
  <si>
    <t>HPMS - Payers Search Tool</t>
  </si>
  <si>
    <t>OPS - Localizador de Pagadores</t>
  </si>
  <si>
    <t>OPS - Lanzamientos Programados</t>
  </si>
  <si>
    <t>HPMS - Programmed Entries</t>
  </si>
  <si>
    <t>OPS - Lançamentos Programados</t>
  </si>
  <si>
    <t>OPS - Valores Pendientes</t>
  </si>
  <si>
    <t>HPMS - Pending Amounts</t>
  </si>
  <si>
    <t>OPS - Valores Pendentes</t>
  </si>
  <si>
    <t>OPS - Control de Notificaciones de Retraso</t>
  </si>
  <si>
    <t>HPMS - Delay Notification Control</t>
  </si>
  <si>
    <t>OPS - Controle de Notificações de Atraso</t>
  </si>
  <si>
    <t>OPS - Mensualidades Portal Web</t>
  </si>
  <si>
    <t>HPMS - Web Portal Monthly Payments</t>
  </si>
  <si>
    <t>OPS - Mensalidades Portal Web</t>
  </si>
  <si>
    <t>OPS - Mensualidad</t>
  </si>
  <si>
    <t>HPMS - Monthly Payment</t>
  </si>
  <si>
    <t>OPS - Mensalidade</t>
  </si>
  <si>
    <t>HPMS - Email Sending Management</t>
  </si>
  <si>
    <t>OPS - Gestão de Envio de E-mails</t>
  </si>
  <si>
    <t>OPS - AME - Archivos de Mensualidad Empresarial</t>
  </si>
  <si>
    <t>HPMS - BMFF - Business Monthly Fee Files</t>
  </si>
  <si>
    <t>OPS - AME - Arquivos de Mensalidade Empresarial</t>
  </si>
  <si>
    <t>OPS - Generación de Boletos</t>
  </si>
  <si>
    <t>HPMS - Generation of Booklets</t>
  </si>
  <si>
    <t>OPS - Geração de Boletos</t>
  </si>
  <si>
    <t>OPS - Cancelación de Recetas</t>
  </si>
  <si>
    <t>HPMS - canceling Prescriptions</t>
  </si>
  <si>
    <t>OPS - Cancelamento de Receitas</t>
  </si>
  <si>
    <t>OPS - Manutención del Registro del Pagador</t>
  </si>
  <si>
    <t>HPMS - Payer's Registry Maintenance</t>
  </si>
  <si>
    <t>OPS - Manutenção do Cadastro do Pagador</t>
  </si>
  <si>
    <t>OPS - Descuento en Hoja</t>
  </si>
  <si>
    <t>HPMS - Discount in payroll</t>
  </si>
  <si>
    <t>OPS - Desconto em Folha</t>
  </si>
  <si>
    <t>Produção de Contas Médicas</t>
  </si>
  <si>
    <t>OPS - Gestión de Cuentas Médicas</t>
  </si>
  <si>
    <t>HPMS - Management of Medical Accounts</t>
  </si>
  <si>
    <t>OPS - Gestão de Contas Médicas</t>
  </si>
  <si>
    <t>OPS - Producción - Digitación de Internaciones</t>
  </si>
  <si>
    <t>HPMS - Production - Admission Typing</t>
  </si>
  <si>
    <t>OPS - Produção - Digitação de Internações</t>
  </si>
  <si>
    <t>OPS - Producción - Digitación de SP/SADT</t>
  </si>
  <si>
    <t>HPMS - Production - SP/SADT Typing</t>
  </si>
  <si>
    <t>OPS - Produção - Digitação de SP/SADT</t>
  </si>
  <si>
    <t>OPS - Producción - Digitación de Consultas</t>
  </si>
  <si>
    <t>HPMS - Production - consultation Typing</t>
  </si>
  <si>
    <t>OPS - Produção - Digitação de Consultas</t>
  </si>
  <si>
    <t>OPS - Control de Reembolsos</t>
  </si>
  <si>
    <t>HPMS - Reimbursement Control</t>
  </si>
  <si>
    <t>OPS - Controle de Reembolsos</t>
  </si>
  <si>
    <t>OPS - Control de Procesos de Resarcimiento</t>
  </si>
  <si>
    <t>HPMS - Control of Reimbursement Processes</t>
  </si>
  <si>
    <t>OPS - Controle de Processos de Ressarcimento</t>
  </si>
  <si>
    <t>HPMS - Provider Payment</t>
  </si>
  <si>
    <t>OPS - Pagamentos de Prestadores</t>
  </si>
  <si>
    <t>HPMS - Production - Medical Accounts Processes</t>
  </si>
  <si>
    <t>OPS - Produção - Processos de Contas Médicas</t>
  </si>
  <si>
    <t>OPS - Control de Pagos por Franquicia</t>
  </si>
  <si>
    <t>HPMS (OPS) - Control of Franchise Payments</t>
  </si>
  <si>
    <t>OPS - Controle de Pagamentos por Franquia</t>
  </si>
  <si>
    <t>OPS - Odontograma</t>
  </si>
  <si>
    <t>HPMS - Odontograph</t>
  </si>
  <si>
    <t>OPS - Producción - Recurso de Rechazo</t>
  </si>
  <si>
    <t>HPMS - Denial Appeal</t>
  </si>
  <si>
    <t>OPS - Produção - Recurso de Glosa</t>
  </si>
  <si>
    <t>OPS - Control de Producción X Facturas</t>
  </si>
  <si>
    <t>HPMS - Production X Invoices Control</t>
  </si>
  <si>
    <t>OPS - Controle de Produção X Nota Fiscal</t>
  </si>
  <si>
    <t>OPS - Control de Producción Médica</t>
  </si>
  <si>
    <t>HPMS - Medical Production Control</t>
  </si>
  <si>
    <t>OPS - Controle de Produção Médica</t>
  </si>
  <si>
    <t>OPS - Registro de Devolución de Guías de Cobro</t>
  </si>
  <si>
    <t>HPMS - Charge Form Return Record</t>
  </si>
  <si>
    <t>OPS - Registro de Devolução de Guias de Cobrança</t>
  </si>
  <si>
    <t>OPS - Control de Eventos y Casos Financieros</t>
  </si>
  <si>
    <t>HPMS - Financial Events and Incidents Control</t>
  </si>
  <si>
    <t>OPS - Controle de Eventos e Ocorrências Financeiras</t>
  </si>
  <si>
    <t>OPS - Pagos de Producción Médica</t>
  </si>
  <si>
    <t>HPMS - Medical Production Payments</t>
  </si>
  <si>
    <t>OPS - Pagamentos de Produção Médica</t>
  </si>
  <si>
    <t>OPS - Análise de Contas Médicas</t>
  </si>
  <si>
    <t>OPS - Producción - Ajuste de Valoración</t>
  </si>
  <si>
    <t>HPMS - Production - Valuation Adjustment</t>
  </si>
  <si>
    <t>OPS - Produção - Ajuste de Valorização</t>
  </si>
  <si>
    <t>Contratos e Beneficiários</t>
  </si>
  <si>
    <t>OPS - Buscador de Tablas de Precios</t>
  </si>
  <si>
    <t>HPMS - Price Chart Search Tool</t>
  </si>
  <si>
    <t>OPS - Localizador de Tabelas de Preços</t>
  </si>
  <si>
    <t>OPS - Bonificaciones</t>
  </si>
  <si>
    <t>HPMS - Bonus</t>
  </si>
  <si>
    <t>OPS - Bonificações</t>
  </si>
  <si>
    <t>OPS - Análisis de Resultados</t>
  </si>
  <si>
    <t>HPMS - Analysis of Results</t>
  </si>
  <si>
    <t>OPS - Análise de Resultados</t>
  </si>
  <si>
    <t>OPS - Revisión de Registros de Personas</t>
  </si>
  <si>
    <t>HPMS - People Registry Review</t>
  </si>
  <si>
    <t>OPS - Revisão de Cadastros de Pessoas</t>
  </si>
  <si>
    <t>OPS - Mensajería Masiva para Correspondencia</t>
  </si>
  <si>
    <t>HPMS - Mailing List</t>
  </si>
  <si>
    <t>OPS - Mala Direta para Correspondência</t>
  </si>
  <si>
    <t>OPS - Control de Cartera de Identificación</t>
  </si>
  <si>
    <t>HPMS - ID Cart Control</t>
  </si>
  <si>
    <t>OPS - Controle de Carteira de Identificação</t>
  </si>
  <si>
    <t>OPS - Buscador de Beneficiarios</t>
  </si>
  <si>
    <t>HPMS - Beneficiary Search Tool</t>
  </si>
  <si>
    <t>OPS - Localizador de Beneficiários</t>
  </si>
  <si>
    <t>OPS - Registro Persona Física</t>
  </si>
  <si>
    <t>HPMS - Person Registration</t>
  </si>
  <si>
    <t>OPS - Cadastro Pessoa Física</t>
  </si>
  <si>
    <t>OPS - Gestión de Contratos</t>
  </si>
  <si>
    <t>HPMS - Contract Management</t>
  </si>
  <si>
    <t>OPS - Gestão de Contratos</t>
  </si>
  <si>
    <t>OPS - Legajo Beneficiario</t>
  </si>
  <si>
    <t>HPMS - Beneficiary Dossier</t>
  </si>
  <si>
    <t>OPS - Dossiê Beneficiário</t>
  </si>
  <si>
    <t>OPS - Reajuste de Precios de Beneficiarios</t>
  </si>
  <si>
    <t>HPMS - Adjustment of Prices for Beneficiaries</t>
  </si>
  <si>
    <t>OPS - Reajuste de Preços de Beneficiários</t>
  </si>
  <si>
    <t>Gestión de rescisión de contrato</t>
  </si>
  <si>
    <t>HPMS - Contract Rescission Management</t>
  </si>
  <si>
    <t>OPS - Gestão de Rescisão de Contrato</t>
  </si>
  <si>
    <t>HPMS - Collective Readjustment Scheduling</t>
  </si>
  <si>
    <t>OPS - Programação de Reajuste Coletivo</t>
  </si>
  <si>
    <t>OPS - Reajuste de Precios de Beneficiarios (Nueva)</t>
  </si>
  <si>
    <t>HPMS - Beneficiary Price Adjustment (New)</t>
  </si>
  <si>
    <t>OPS - Reajuste de Preços de Beneficiários (Nova)</t>
  </si>
  <si>
    <t>OPS - Manutención de Carencias</t>
  </si>
  <si>
    <t>HPMS - Maintenance of Needs</t>
  </si>
  <si>
    <t>OPS - Manutenção de Carências</t>
  </si>
  <si>
    <t>OPS - Buscador de Servicios y Coberturas Adicionales</t>
  </si>
  <si>
    <t>HPMS - Additional Services and Coverage Search Tool</t>
  </si>
  <si>
    <t>OPS - Localizador de Serviços e Coberturas Adicionais</t>
  </si>
  <si>
    <t>OPS - RPC - Reajuste de Planos Coletivos</t>
  </si>
  <si>
    <t>OPS - Manutención de Bonificaciones</t>
  </si>
  <si>
    <t>HPMS - Maintenance of Bonus</t>
  </si>
  <si>
    <t>OPS - Manutenção de Bonificações</t>
  </si>
  <si>
    <t>HPMS - Beneficiary Identification</t>
  </si>
  <si>
    <t>OPS - Identificação de Beneficiários</t>
  </si>
  <si>
    <t>OPS - Relación con el Cliente (PJ)</t>
  </si>
  <si>
    <t>HPMS - Customer Relations (legal entity)</t>
  </si>
  <si>
    <t>OPS - Relacionamento com o Cliente (PJ)</t>
  </si>
  <si>
    <t>OPS - Buscador de Grupos de Contratos</t>
  </si>
  <si>
    <t>HPMS - Contract Groups Search Tool</t>
  </si>
  <si>
    <t>OPS - Localizador de Grupos de Contratos</t>
  </si>
  <si>
    <t>Comercial</t>
  </si>
  <si>
    <t>OPS - Portabilidad</t>
  </si>
  <si>
    <t>HPMS - Portability</t>
  </si>
  <si>
    <t>OPS - Portabilidade</t>
  </si>
  <si>
    <t>OPS - Gestión Comercial</t>
  </si>
  <si>
    <t>HPMS - Commercial Management</t>
  </si>
  <si>
    <t>OPS - Gestão Comercial</t>
  </si>
  <si>
    <t>OPS - Análisis para Adhesión de Beneficiarios</t>
  </si>
  <si>
    <t>HPMS - Analysis for Membership of Beneficiaries</t>
  </si>
  <si>
    <t>OPS - Análise para Adesão de Beneficiários</t>
  </si>
  <si>
    <t>OPS - Control de Pericia Médica</t>
  </si>
  <si>
    <t>HPMS - Medical Expertise Control</t>
  </si>
  <si>
    <t>OPS - Controle de Perícia Médica</t>
  </si>
  <si>
    <t>OPS - Simulador de Precios</t>
  </si>
  <si>
    <t>HPMS - Price Simulator</t>
  </si>
  <si>
    <t>OPS - Simulador de Preços</t>
  </si>
  <si>
    <t>OPS - Propuesta de Adhesión Electrónica</t>
  </si>
  <si>
    <t>HPMS - Proposal for Electronic Subscription</t>
  </si>
  <si>
    <t>OPS - Proposta de Adesão Eletrônica</t>
  </si>
  <si>
    <t>OPS - Declaración de Salud</t>
  </si>
  <si>
    <t>HPMS - Health Statement</t>
  </si>
  <si>
    <t>OPS - Declaração de Saúde</t>
  </si>
  <si>
    <t>OPS - Gestión de Vendedores e Comisiones</t>
  </si>
  <si>
    <t>HPMS - Salespeople and Commission Management</t>
  </si>
  <si>
    <t>OPS - Gestão de Vendedores e Comissões</t>
  </si>
  <si>
    <t>HPMS - Online Proposal Request</t>
  </si>
  <si>
    <t>OPS - Solicitação de Proposta Online</t>
  </si>
  <si>
    <t>OPS - Agravio</t>
  </si>
  <si>
    <t>HPMS - Appeal</t>
  </si>
  <si>
    <t>OPS - Agravo</t>
  </si>
  <si>
    <t>OPS - Control de Comisiones de Venta</t>
  </si>
  <si>
    <t>HPMS - Sales Commission Control</t>
  </si>
  <si>
    <t>OPS - Controle de Comissões de Venda</t>
  </si>
  <si>
    <t>OPS - Enfermedades e Lesiones Preexistentes (DLP)</t>
  </si>
  <si>
    <t>HPMS - Pre-existing Diseases and Injuries (PDI)</t>
  </si>
  <si>
    <t>OPS - Doenças e Lesões Preexistentes (DLP)</t>
  </si>
  <si>
    <t>Produtos</t>
  </si>
  <si>
    <t>OPS - Servicios y Coberturas Adicionales</t>
  </si>
  <si>
    <t>HPMS - Additional Services and Coverage</t>
  </si>
  <si>
    <t>OPS - Serviços e Coberturas Adicionais</t>
  </si>
  <si>
    <t>OPS - Gestión de Operadoras</t>
  </si>
  <si>
    <t>HPMS - Insurance Management</t>
  </si>
  <si>
    <t>OPS - Gestão de Operadoras</t>
  </si>
  <si>
    <t>OPS - Registro de Productos</t>
  </si>
  <si>
    <t>HPMS - Register of Products</t>
  </si>
  <si>
    <t>OPS - Cadastro de Produtos</t>
  </si>
  <si>
    <t>OPS - Buscador de Productos de Salud</t>
  </si>
  <si>
    <t>HPMS - Health Products Search Tool</t>
  </si>
  <si>
    <t>OPS - Localizador de Produtos de Saúde</t>
  </si>
  <si>
    <t>OPS - Manutención de Tablas de Precio</t>
  </si>
  <si>
    <t>HPMS - Maintenance of Price Lists</t>
  </si>
  <si>
    <t>OPS - Manutenção de Tabelas de Preço</t>
  </si>
  <si>
    <t>OPS - Buscador de Grupos de Productos</t>
  </si>
  <si>
    <t>HPMS - Product Groups Search Tool</t>
  </si>
  <si>
    <t>OPS - Localizador de Grupos de Produtos</t>
  </si>
  <si>
    <t>Funciones y tablas pendientes</t>
  </si>
  <si>
    <t>Pending functions and tables</t>
  </si>
  <si>
    <t>Funções e tabelas pendentes</t>
  </si>
  <si>
    <t>Prescripción Médica (Antigua)</t>
  </si>
  <si>
    <t>Medical Prescription (Old)</t>
  </si>
  <si>
    <t>Prescrição Médica (Antiga)</t>
  </si>
  <si>
    <t>Entrada Hospitalización y PS</t>
  </si>
  <si>
    <t>Admission Entry and ED</t>
  </si>
  <si>
    <t>Entrada Internação e PS</t>
  </si>
  <si>
    <t>Ocurrencias en el Turno de Trabajo (Antiguo</t>
  </si>
  <si>
    <t>Incidents in the Work Shift (Old)</t>
  </si>
  <si>
    <t>Ocorrências no Turno de Trabalho (Antigo</t>
  </si>
  <si>
    <t>Entrada Laboratorio</t>
  </si>
  <si>
    <t>Laboratory Entry</t>
  </si>
  <si>
    <t>Entrada Laboratório</t>
  </si>
  <si>
    <t>Documentos a Recibir (Nuevo)</t>
  </si>
  <si>
    <t>Receivables (New)</t>
  </si>
  <si>
    <t>Títulos a Receber (Novo)</t>
  </si>
  <si>
    <t>Cambio de especialidad</t>
  </si>
  <si>
    <t>Specialty change</t>
  </si>
  <si>
    <t>Troca de especialidade</t>
  </si>
  <si>
    <t>Pedidos - Farmacia coml.</t>
  </si>
  <si>
    <t>Orders - Commercial Pharmacy</t>
  </si>
  <si>
    <t>Pedidos - Farmácia coml.</t>
  </si>
  <si>
    <t>Buscador de Mat/Med - Farmacia coml.</t>
  </si>
  <si>
    <t>Search Tool for Mat/Med - Commercial Pharmacy</t>
  </si>
  <si>
    <t>Localizador de Mat/Med - Farmácia coml.</t>
  </si>
  <si>
    <t>Tests Dpto Desarrollo</t>
  </si>
  <si>
    <t>Development Department Tests</t>
  </si>
  <si>
    <t>Testes Depto Desenvolvimento</t>
  </si>
  <si>
    <t>Analizador de Migración</t>
  </si>
  <si>
    <t>Migration Analyzer</t>
  </si>
  <si>
    <t>Analisador de Migração</t>
  </si>
  <si>
    <t>Cambio de establecimiento</t>
  </si>
  <si>
    <t>Establishment Change</t>
  </si>
  <si>
    <t>Troca de estabelecimento</t>
  </si>
  <si>
    <t>Copia de la Prescripción</t>
  </si>
  <si>
    <t>Cópia da Prescrição</t>
  </si>
  <si>
    <t>Procedimiento de Programación de Rutina</t>
  </si>
  <si>
    <t>Routine Scheduling Procedure</t>
  </si>
  <si>
    <t>Procedimento de agendamento de rotina</t>
  </si>
  <si>
    <t>Transferencia de Pacientes</t>
  </si>
  <si>
    <t>Patient Transfer</t>
  </si>
  <si>
    <t>Transferência de Pacientes</t>
  </si>
  <si>
    <t>WPaciente</t>
  </si>
  <si>
    <t>Cupón Fiscal</t>
  </si>
  <si>
    <t>Tax Receipt</t>
  </si>
  <si>
    <t>Cupom Fiscal</t>
  </si>
  <si>
    <t>Buscador de lotes de exámenes externos</t>
  </si>
  <si>
    <t>External exams batches Search Tool</t>
  </si>
  <si>
    <t>Localizador de lotes de exames externos</t>
  </si>
  <si>
    <t>Segmentación de Documentos a Pagar</t>
  </si>
  <si>
    <t>Accounts Payable Splitting</t>
  </si>
  <si>
    <t>Desdobramento de Títulos à Pagar</t>
  </si>
  <si>
    <t>Reproducción Humana</t>
  </si>
  <si>
    <t>Human Reproduction</t>
  </si>
  <si>
    <t>Reprodução Humana</t>
  </si>
  <si>
    <t>Cambiar Estatus Diagnóstico</t>
  </si>
  <si>
    <t>Change Diagnosis Status</t>
  </si>
  <si>
    <t>Mudar Status Diagnóstico</t>
  </si>
  <si>
    <t>Impresión de facturas</t>
  </si>
  <si>
    <t>Invoices Printing</t>
  </si>
  <si>
    <t>Impressão de notas fiscais</t>
  </si>
  <si>
    <t>Informe de Documentos por pagar</t>
  </si>
  <si>
    <t>Accounts payable report</t>
  </si>
  <si>
    <t>Relatório de títulos a pagar</t>
  </si>
  <si>
    <t>Informe del control de personas</t>
  </si>
  <si>
    <t>People control report</t>
  </si>
  <si>
    <t>Relatório do controle de pessoas</t>
  </si>
  <si>
    <t>Informe Resultado Centro de control</t>
  </si>
  <si>
    <t>Control Center Result Report</t>
  </si>
  <si>
    <t>Relatório Resultado Centro de controle</t>
  </si>
  <si>
    <t>Alteración del Convenio de la Atención</t>
  </si>
  <si>
    <t>Changing Encounter Insurance</t>
  </si>
  <si>
    <t>Alteração do Convênio do Atendimento</t>
  </si>
  <si>
    <t>Buscar Medicamento Brasíndice</t>
  </si>
  <si>
    <t>Find BrasIndice medicine</t>
  </si>
  <si>
    <t>Localizar Medicamento Brasíndice</t>
  </si>
  <si>
    <t>Buscar Kit Material</t>
  </si>
  <si>
    <t>Find Material Kit</t>
  </si>
  <si>
    <t>Localizar Kit Material</t>
  </si>
  <si>
    <t>Buscador de Kit de Stock</t>
  </si>
  <si>
    <t>Stock kit search tool</t>
  </si>
  <si>
    <t>Localizador de Kit de Estoque</t>
  </si>
  <si>
    <t>Impresión de Reporte Java</t>
  </si>
  <si>
    <t>Java Report Printing</t>
  </si>
  <si>
    <t>Impressão de Relatório Java</t>
  </si>
  <si>
    <t>Nuevo Dispositivo</t>
  </si>
  <si>
    <t>New Device</t>
  </si>
  <si>
    <t>Novo Dispositivo</t>
  </si>
  <si>
    <t>Control de Recibimientos Indebidos</t>
  </si>
  <si>
    <t>Wrongly Received Amounts Control</t>
  </si>
  <si>
    <t>Controle de Recebimentos Indevidos</t>
  </si>
  <si>
    <t>Impresión de Etiquetas</t>
  </si>
  <si>
    <t>Label Printing</t>
  </si>
  <si>
    <t>Impressão de Etiquetas</t>
  </si>
  <si>
    <t>Parámetros Reporte</t>
  </si>
  <si>
    <t>Parâmetros Relatório</t>
  </si>
  <si>
    <t>Gestión de pedidos - Farmacia coml.</t>
  </si>
  <si>
    <t>Order Management - Commercial Pharmacy</t>
  </si>
  <si>
    <t>Gestão de pedidos - Farmácia coml.</t>
  </si>
  <si>
    <t>Entregas - Farmacia coml.</t>
  </si>
  <si>
    <t>Deliveries - Commercial pharmacy</t>
  </si>
  <si>
    <t>Entregas - Farmácia coml.</t>
  </si>
  <si>
    <t>WDGLPanel</t>
  </si>
  <si>
    <t>Gestión de Marketing - Philips</t>
  </si>
  <si>
    <t>Marketing Management - Philips</t>
  </si>
  <si>
    <t>Gestão de Marketing - Philips</t>
  </si>
  <si>
    <t>Gestión de Posventa - Philips</t>
  </si>
  <si>
    <t>After Sales Management - Philips</t>
  </si>
  <si>
    <t>Gestão de Pós Venda - Philips</t>
  </si>
  <si>
    <t>Gestión de Ventas - Philips</t>
  </si>
  <si>
    <t>Sales Management - Philips</t>
  </si>
  <si>
    <t>Gestão de Vendas - Philips</t>
  </si>
  <si>
    <t>Gestión de Profesionales - Philips</t>
  </si>
  <si>
    <t>Professionals Management - Philips</t>
  </si>
  <si>
    <t>Gestão de Profissionais - Philips</t>
  </si>
  <si>
    <t>Historias de salud de rutina</t>
  </si>
  <si>
    <t>Routine health histories</t>
  </si>
  <si>
    <t>Históricos de saúde de rotina</t>
  </si>
  <si>
    <t>WTeeChart</t>
  </si>
  <si>
    <t>Diccionario de Objetos - Conversión en Idiomas</t>
  </si>
  <si>
    <t>Object Dictionary - Conversion in Languages</t>
  </si>
  <si>
    <t>Dicionário de Objetos - Conversão em Idiomas</t>
  </si>
  <si>
    <t>Buscar Requisición de Material</t>
  </si>
  <si>
    <t>Find Material Requisition</t>
  </si>
  <si>
    <t>Localizar Requisição de Material</t>
  </si>
  <si>
    <t>Solicitudes Estándar</t>
  </si>
  <si>
    <t>Standard Requests</t>
  </si>
  <si>
    <t>Informe cotización</t>
  </si>
  <si>
    <t>Quotation report</t>
  </si>
  <si>
    <t>Relatório cotação</t>
  </si>
  <si>
    <t>Informe de Anticipos</t>
  </si>
  <si>
    <t>Report of Advances</t>
  </si>
  <si>
    <t>Relatório de Adiantamentos</t>
  </si>
  <si>
    <t>Informe de Ingresos y Gastos</t>
  </si>
  <si>
    <t>Revenue and Expenses Report</t>
  </si>
  <si>
    <t>Relatório de Receitas e Despesas</t>
  </si>
  <si>
    <t>WPlayer</t>
  </si>
  <si>
    <t>Buscador de texto</t>
  </si>
  <si>
    <t>Text Search Tool</t>
  </si>
  <si>
    <t>Localizador de texto</t>
  </si>
  <si>
    <t>Confirmación datos convenio</t>
  </si>
  <si>
    <t>Health Insurance Data Confirmation</t>
  </si>
  <si>
    <t>Confirmação dados convênio</t>
  </si>
  <si>
    <t>WExpImp</t>
  </si>
  <si>
    <t>WBarras</t>
  </si>
  <si>
    <t>WEHR</t>
  </si>
  <si>
    <t>Paso de Sector</t>
  </si>
  <si>
    <t>Department Passage</t>
  </si>
  <si>
    <t>Documentación de las integraciones</t>
  </si>
  <si>
    <t>Integration Documentation</t>
  </si>
  <si>
    <t>Documentação das integrações</t>
  </si>
  <si>
    <t>Infor Ocupación Hospitalaria</t>
  </si>
  <si>
    <t>Hospital Occupancy Report</t>
  </si>
  <si>
    <t>Relat Ocupação Hospitalar</t>
  </si>
  <si>
    <t>Consulta de Software</t>
  </si>
  <si>
    <t>Software Consultation</t>
  </si>
  <si>
    <t>Cambiar de clave</t>
  </si>
  <si>
    <t>Change password</t>
  </si>
  <si>
    <t>Trocar de senha</t>
  </si>
  <si>
    <t>Consulta de protocolos</t>
  </si>
  <si>
    <t>Search protocols</t>
  </si>
  <si>
    <t>Montaje de Interpretación de Patología</t>
  </si>
  <si>
    <t>Montagem de laudo de patologia</t>
  </si>
  <si>
    <t>Buscador ítems Registro precio</t>
  </si>
  <si>
    <t>Item Search Tool by Price Record</t>
  </si>
  <si>
    <t>Localizador itens Registo preço</t>
  </si>
  <si>
    <t>ECE Fecha Module</t>
  </si>
  <si>
    <t>Electronic Patient Chart Data Module</t>
  </si>
  <si>
    <t>PEP Data Module</t>
  </si>
  <si>
    <t>Respuesta FAQ</t>
  </si>
  <si>
    <t>FAQ answer</t>
  </si>
  <si>
    <t>Resposta FAQ</t>
  </si>
  <si>
    <t>WJTabbedPane</t>
  </si>
  <si>
    <t>WHandleBar</t>
  </si>
  <si>
    <t>WFiltro</t>
  </si>
  <si>
    <t>WCPanel</t>
  </si>
  <si>
    <t>Exámenes Relacionados al Medicamento</t>
  </si>
  <si>
    <t>Exams Related to the Medicine</t>
  </si>
  <si>
    <t>Exames Relacionados ao Medicamento</t>
  </si>
  <si>
    <t>Tests de la Tecnología</t>
  </si>
  <si>
    <t>Technology Tests</t>
  </si>
  <si>
    <t>Testes da Tecnologia</t>
  </si>
  <si>
    <t>Imágenes Paciente</t>
  </si>
  <si>
    <t>Patient Images</t>
  </si>
  <si>
    <t>Imagens Paciente</t>
  </si>
  <si>
    <t>WDBPanel</t>
  </si>
  <si>
    <t>Datos del Proceso</t>
  </si>
  <si>
    <t>Process Data</t>
  </si>
  <si>
    <t>Dados do Processo</t>
  </si>
  <si>
    <t>Eventos de Aviso</t>
  </si>
  <si>
    <t>Warning events</t>
  </si>
  <si>
    <t>Gestor de HL7</t>
  </si>
  <si>
    <t>HL7 Manager</t>
  </si>
  <si>
    <t>Gerenciador de HL7</t>
  </si>
  <si>
    <t>Gestión de Cuentas por Pagar (Nuevo)</t>
  </si>
  <si>
    <t>Payables (New)</t>
  </si>
  <si>
    <t>Títulos a Pagar (Novo)</t>
  </si>
  <si>
    <t>Movimiento del Paciente (Antigua)</t>
  </si>
  <si>
    <t>Patient Movement (Old)</t>
  </si>
  <si>
    <t>Movimentação do Paciente (Antiga)</t>
  </si>
  <si>
    <t>Expediente</t>
  </si>
  <si>
    <t>Prontuário</t>
  </si>
  <si>
    <t>Comunicación Externa</t>
  </si>
  <si>
    <t>External Communication</t>
  </si>
  <si>
    <t>Comunicação Externa</t>
  </si>
  <si>
    <t>Inactivo</t>
  </si>
  <si>
    <t>Inactive</t>
  </si>
  <si>
    <t>Inativo</t>
  </si>
  <si>
    <t>Datos del Objeto del Proceso</t>
  </si>
  <si>
    <t>Process Object Data</t>
  </si>
  <si>
    <t>Dados do Objeto do Processo</t>
  </si>
  <si>
    <t>Mapeado de Procesos</t>
  </si>
  <si>
    <t>Processes Mapping</t>
  </si>
  <si>
    <t>Mapeamento de Processos</t>
  </si>
  <si>
    <t>Gestión de Fraccionamiento</t>
  </si>
  <si>
    <t>Fraction Management</t>
  </si>
  <si>
    <t>Gestão de Fracionamento</t>
  </si>
  <si>
    <t>Antimicrobianos</t>
  </si>
  <si>
    <t>Antimicrobials</t>
  </si>
  <si>
    <t>Diagrama de Proceso</t>
  </si>
  <si>
    <t>Process Diagram</t>
  </si>
  <si>
    <t>Diagrama de Processo</t>
  </si>
  <si>
    <t>Atención de la Prescripción (Nueva)</t>
  </si>
  <si>
    <t>Order Dispensation (New)</t>
  </si>
  <si>
    <t>Atendimento da Prescrição (Nova)</t>
  </si>
  <si>
    <t>Arquetipo</t>
  </si>
  <si>
    <t>Archetype</t>
  </si>
  <si>
    <t>Arquétipo</t>
  </si>
  <si>
    <t>Oncología de Ambulatorio</t>
  </si>
  <si>
    <t>Outpatient Oncology</t>
  </si>
  <si>
    <t>Oncologia Ambulatorial</t>
  </si>
  <si>
    <t>SUS Interpretaciones de exámenes</t>
  </si>
  <si>
    <t>SUS Patient Report</t>
  </si>
  <si>
    <t>SUS Laudo Paciente</t>
  </si>
  <si>
    <t>Ejecución Prescripción (nueva)</t>
  </si>
  <si>
    <t>Prescription Performance (new)</t>
  </si>
  <si>
    <t>Execução Prescrição (nova)</t>
  </si>
  <si>
    <t>Cadastros gerais</t>
  </si>
  <si>
    <t>Devolución Material Paciente (Nueva)</t>
  </si>
  <si>
    <t>Patient Material Return (New)</t>
  </si>
  <si>
    <t>Devolução Material Paciente (Nova)</t>
  </si>
  <si>
    <t>Administración de la Medicación al Paciente</t>
  </si>
  <si>
    <t>Administration of Medication to the Patient</t>
  </si>
  <si>
    <t>Administração da Medicação ao Paciente</t>
  </si>
  <si>
    <t>Registro de la Localización de Resultados</t>
  </si>
  <si>
    <t>Result Location Record</t>
  </si>
  <si>
    <t>Registro da Localização de Resultados</t>
  </si>
  <si>
    <t>Gestión del Soporte Philips</t>
  </si>
  <si>
    <t>Philips Support Management</t>
  </si>
  <si>
    <t>Gestão do Suporte Philips</t>
  </si>
  <si>
    <t>Calculadora de dosis Terapéutica</t>
  </si>
  <si>
    <t>Therapeutic Dose Calculator</t>
  </si>
  <si>
    <t>Calculadora de Dose Terapêutica</t>
  </si>
  <si>
    <t>Revisión de la Clasificación de la Atención</t>
  </si>
  <si>
    <t>Review Encounter Classification</t>
  </si>
  <si>
    <t>Revisão da Classificação do Atendimento</t>
  </si>
  <si>
    <t>Generar necesidad de vacante</t>
  </si>
  <si>
    <t>Generate bed need</t>
  </si>
  <si>
    <t>Gerar necessidade de vaga</t>
  </si>
  <si>
    <t>Control de Viajes</t>
  </si>
  <si>
    <t>Controle de Viagens</t>
  </si>
  <si>
    <t>PFCS - Telemetría</t>
  </si>
  <si>
    <t>PFCS - Telemetry</t>
  </si>
  <si>
    <t>PFCS - Telemetria</t>
  </si>
  <si>
    <t>Gestión del conocimiento</t>
  </si>
  <si>
    <t>Knowledge management</t>
  </si>
  <si>
    <t>Gestão do conhecimento</t>
  </si>
  <si>
    <t>PFCS - Gestión de Camas</t>
  </si>
  <si>
    <t>PFCS - Bed Management</t>
  </si>
  <si>
    <t>PFCS - Gestão de Leitos</t>
  </si>
  <si>
    <t>PFCS - Centro Quirúrgico</t>
  </si>
  <si>
    <t>PFCS - Surgical Center</t>
  </si>
  <si>
    <t>PFCS - Centro Cirúrgico</t>
  </si>
  <si>
    <t>PFCS - Detalles</t>
  </si>
  <si>
    <t>PFCS - Details</t>
  </si>
  <si>
    <t>PFCS - Detalhes</t>
  </si>
  <si>
    <t>Prescripción de Exámenes y Procedimientos de Rutina</t>
  </si>
  <si>
    <t>Routine Test and Procedure Order</t>
  </si>
  <si>
    <t>Prescrição de Exames e Procedimentos de Rotina</t>
  </si>
  <si>
    <t>Con convenio</t>
  </si>
  <si>
    <t>Insurance holder</t>
  </si>
  <si>
    <t>Conveniado</t>
  </si>
  <si>
    <t>Patient Flow Capacity Suite - PFCS</t>
  </si>
  <si>
    <t>Clinical and Operation Command Center - CLOC</t>
  </si>
  <si>
    <t>Parámetros de la farmacia</t>
  </si>
  <si>
    <t>Pharmacy parameters</t>
  </si>
  <si>
    <t>Parâmetros da farmácia</t>
  </si>
  <si>
    <t>Expediente Clínico Electrónico de Paciente Ambulatorio - ECEA</t>
  </si>
  <si>
    <t>Electronic Outpatient Record</t>
  </si>
  <si>
    <t>Prontuário Eletrônico de Paciente Ambulatorial - PEPA</t>
  </si>
  <si>
    <t>Gestión de Ocupación de la Quimioterapia</t>
  </si>
  <si>
    <t>Chemotherapy Occupation Management</t>
  </si>
  <si>
    <t>Gestão de Ocupação da Quimioterapia</t>
  </si>
  <si>
    <t>Direcciones</t>
  </si>
  <si>
    <t>Addresses</t>
  </si>
  <si>
    <t>Endereços</t>
  </si>
  <si>
    <t>Buscador de Macros</t>
  </si>
  <si>
    <t>Macro Locator</t>
  </si>
  <si>
    <t>Localizador de Macros</t>
  </si>
  <si>
    <t>Arquitectura</t>
  </si>
  <si>
    <t>Architecture</t>
  </si>
  <si>
    <t>Arquitetura</t>
  </si>
  <si>
    <t>Pantalla de Selección</t>
  </si>
  <si>
    <t>Selection Screen</t>
  </si>
  <si>
    <t>Tela de Seleção</t>
  </si>
  <si>
    <t>Control de Transporte de las Muestras</t>
  </si>
  <si>
    <t>Sample Transport Control</t>
  </si>
  <si>
    <t>Controle de Transporte de Amostras</t>
  </si>
  <si>
    <t>Cambio de los Estatus de los Exámenes de Laboratorio</t>
  </si>
  <si>
    <t>Status Passage of Lab Tests</t>
  </si>
  <si>
    <t>Passagem de Status de Exames Laboratoriais</t>
  </si>
  <si>
    <t>Rastreabilidad de la Versión</t>
  </si>
  <si>
    <t>Version Traceability</t>
  </si>
  <si>
    <t>Rastreabilidade de Versão</t>
  </si>
  <si>
    <t>Bangalore Operations DashBoard</t>
  </si>
  <si>
    <t>Reportar Expresión</t>
  </si>
  <si>
    <t>Report Expression</t>
  </si>
  <si>
    <t>Reportar Expressão</t>
  </si>
  <si>
    <t>Validador de Token del Convenio</t>
  </si>
  <si>
    <t>Insurance Token Validator</t>
  </si>
  <si>
    <t>Validador de Token do Convênio</t>
  </si>
  <si>
    <t>PFCS - Visualización Corporativa</t>
  </si>
  <si>
    <t>PFCS - Enterprise View</t>
  </si>
  <si>
    <t>PFCS - Visualização Corporativa</t>
  </si>
  <si>
    <t>OPS - Auditoría Concurrente</t>
  </si>
  <si>
    <t>HPMS - Concurrent Audit</t>
  </si>
  <si>
    <t>OPS - Auditoria Concorrente</t>
  </si>
  <si>
    <t>OPS - Auditoría Concurrente - Registro de reglas</t>
  </si>
  <si>
    <t>HPMS - Concurrent Audit - Rules Registration</t>
  </si>
  <si>
    <t>OPS - Auditoria Concorrente - Cadastro de Regras</t>
  </si>
  <si>
    <t>Gestión de Documentos Electrónicos Philips</t>
  </si>
  <si>
    <t>Philips Electronic Document Management</t>
  </si>
  <si>
    <t>Gestão de Documentos Eletrônicos Philips</t>
  </si>
  <si>
    <t>Pre-registro</t>
  </si>
  <si>
    <t>Pre registration</t>
  </si>
  <si>
    <t>Pré cadastro</t>
  </si>
  <si>
    <t>Firmas digitales pendientes</t>
  </si>
  <si>
    <t>Pending digital signatures</t>
  </si>
  <si>
    <t>Assinaturas digitais pendentes</t>
  </si>
  <si>
    <t>Gestión de Cartas Compromiso</t>
  </si>
  <si>
    <t>Commitment Letter Management</t>
  </si>
  <si>
    <t>Gestão de Cartas Compromisso</t>
  </si>
  <si>
    <t>WShortcut</t>
  </si>
  <si>
    <t>wHumanBody</t>
  </si>
  <si>
    <t>Auditoria Concorrente Web Suite</t>
  </si>
  <si>
    <t>Lista de Atenciones</t>
  </si>
  <si>
    <t>List of Encounters</t>
  </si>
  <si>
    <t>Lista de Atendimentos</t>
  </si>
  <si>
    <t>Control de Privacidad del Paciente</t>
  </si>
  <si>
    <t>Patient Privacy Control</t>
  </si>
  <si>
    <t>Controle de Privacidade do Paciente</t>
  </si>
  <si>
    <t>Aviso de Privacidad y Condiciones de Uso</t>
  </si>
  <si>
    <t>Privacy Notice and Terms of Use</t>
  </si>
  <si>
    <t>Aviso de privacidade e Termos de uso</t>
  </si>
  <si>
    <t>WAdvancedTextEditor</t>
  </si>
  <si>
    <t>Web Suite Estipulante</t>
  </si>
  <si>
    <t>WResultEntry</t>
  </si>
  <si>
    <t>Panel de la Perspectiva Clínica</t>
  </si>
  <si>
    <t>Clinical Panorama Panel</t>
  </si>
  <si>
    <t>Painel do Panorama Clínico</t>
  </si>
  <si>
    <t>PFCS - Urgencias</t>
  </si>
  <si>
    <t>PFCS - Emergency Department</t>
  </si>
  <si>
    <t>PFCS - Pronto Atendimento</t>
  </si>
  <si>
    <t>PFCS - Configuraciones</t>
  </si>
  <si>
    <t>PFCS - Settings</t>
  </si>
  <si>
    <t>PFCS - Configurações</t>
  </si>
  <si>
    <t>Documentación del Producto - Multiplataforma</t>
  </si>
  <si>
    <t>Product Documentation - Multiplatform</t>
  </si>
  <si>
    <t>Documentação do Produto - Multiplataforma</t>
  </si>
  <si>
    <t>Web Suite Financiero HPMS</t>
  </si>
  <si>
    <t>Web Suite HPMS Financial</t>
  </si>
  <si>
    <t>Web Suite Financeiro HPMS</t>
  </si>
  <si>
    <t>Web Suite Control de Accesos HPMS</t>
  </si>
  <si>
    <t>Web Suite HPMS Access Control</t>
  </si>
  <si>
    <t>Web Suite Controle de Acessos HPMS</t>
  </si>
  <si>
    <t>Configuration and Management</t>
  </si>
  <si>
    <t>Plan de Cuidados</t>
  </si>
  <si>
    <t>Care Plan</t>
  </si>
  <si>
    <t>Plano de Cuidado</t>
  </si>
  <si>
    <t>Gestión de Firmas por Lotes</t>
  </si>
  <si>
    <t>Batch Signature Management</t>
  </si>
  <si>
    <t>Gestão de Assinatura em Lote</t>
  </si>
  <si>
    <t>Philips Operational Dashboards</t>
  </si>
  <si>
    <t>Lista de Espera</t>
  </si>
  <si>
    <t>Waiting List</t>
  </si>
  <si>
    <t>Pruebas de Componentes</t>
  </si>
  <si>
    <t>Test of Components</t>
  </si>
  <si>
    <t>Testes de Componentes</t>
  </si>
  <si>
    <t>Registros</t>
  </si>
  <si>
    <t>Registrations</t>
  </si>
  <si>
    <t>Informe de los honorarios del protocolo</t>
  </si>
  <si>
    <t>Relatório de honorários do protocolo</t>
  </si>
  <si>
    <t>Implantación</t>
  </si>
  <si>
    <t>Implementation</t>
  </si>
  <si>
    <t>Implantação</t>
  </si>
  <si>
    <t>Gestor de JSON</t>
  </si>
  <si>
    <t>JSON Management</t>
  </si>
  <si>
    <t>Gerenciador de JSON</t>
  </si>
  <si>
    <t>Generación de las Guías NOM</t>
  </si>
  <si>
    <t>NOM Forms Generation</t>
  </si>
  <si>
    <t>Geração das Guias NOM</t>
  </si>
  <si>
    <t>Validación del episodio</t>
  </si>
  <si>
    <t>Case Validation</t>
  </si>
  <si>
    <t>Validação do episódio</t>
  </si>
  <si>
    <t>Telephone Number</t>
  </si>
  <si>
    <t>Release notes</t>
  </si>
  <si>
    <t>Web Suite Profesional de la Salud</t>
  </si>
  <si>
    <t>Healthcare Professional Web Suite</t>
  </si>
  <si>
    <t>Web Suite Profissional da Saúde</t>
  </si>
  <si>
    <t>Pruebas Web Suite</t>
  </si>
  <si>
    <t>Web Suite test</t>
  </si>
  <si>
    <t>Teste Web Suite</t>
  </si>
  <si>
    <t>Versión del Diccionario</t>
  </si>
  <si>
    <t>Dictionary Versioning</t>
  </si>
  <si>
    <t>Versionamento do dicionário</t>
  </si>
  <si>
    <t>Solicitud de Propuesta En línea Web Suite</t>
  </si>
  <si>
    <t>Web Suite Online Proposal Request</t>
  </si>
  <si>
    <t>Solicitação de Proposta Online Web Suite</t>
  </si>
  <si>
    <t>Beneficiario Web Suite</t>
  </si>
  <si>
    <t>Web Suite Beneficiary</t>
  </si>
  <si>
    <t>Web Suite Beneficiário</t>
  </si>
  <si>
    <t>Guía del usuario</t>
  </si>
  <si>
    <t>User guide</t>
  </si>
  <si>
    <t>Guia do usuário</t>
  </si>
  <si>
    <t>Buscador de Cuenta Paciente</t>
  </si>
  <si>
    <t>Patient Account Search Tool</t>
  </si>
  <si>
    <t>Localizador de Conta Paciente</t>
  </si>
  <si>
    <t>Gobernanza de Desempeño</t>
  </si>
  <si>
    <t>Performance Governance</t>
  </si>
  <si>
    <t>Governança de Performance</t>
  </si>
  <si>
    <t>CleanCode Dashboard</t>
  </si>
  <si>
    <t>Consulta de EHR - Registro Clínico</t>
  </si>
  <si>
    <t>EHR - Clinical Record consultation</t>
  </si>
  <si>
    <t>Consulta de Registros EHR</t>
  </si>
  <si>
    <t>Finders</t>
  </si>
  <si>
    <t>Localizadores</t>
  </si>
  <si>
    <t>Resumen del Caso</t>
  </si>
  <si>
    <t>Registros del Manchester</t>
  </si>
  <si>
    <t>Manchester records</t>
  </si>
  <si>
    <t>Cadastros do Manchester</t>
  </si>
  <si>
    <t>Philips Impact Analyzer</t>
  </si>
  <si>
    <t>Actividades Desarrollo</t>
  </si>
  <si>
    <t>Development Activities</t>
  </si>
  <si>
    <t>Atividades Desenvolvimento</t>
  </si>
  <si>
    <t>Philips Excellence Management</t>
  </si>
  <si>
    <t>Buscador de objetos</t>
  </si>
  <si>
    <t>Object Search tool</t>
  </si>
  <si>
    <t>Localizador de Objetos</t>
  </si>
  <si>
    <t>Documentación del Producto</t>
  </si>
  <si>
    <t>Product Documentation</t>
  </si>
  <si>
    <t>Documentação do Produto</t>
  </si>
  <si>
    <t>Panel de integraciones</t>
  </si>
  <si>
    <t>Integration panel</t>
  </si>
  <si>
    <t>Painel de integrações</t>
  </si>
  <si>
    <t>WVetor</t>
  </si>
  <si>
    <t>Gestión de Asociados Beta</t>
  </si>
  <si>
    <t>Beta Partnership Management</t>
  </si>
  <si>
    <t>Gestão de Parceiros Beta</t>
  </si>
  <si>
    <t>Web Suite Extranet</t>
  </si>
  <si>
    <t>Extranet Web Suite</t>
  </si>
  <si>
    <t>Lista de trabajo</t>
  </si>
  <si>
    <t>Worklist</t>
  </si>
  <si>
    <t>Lista de Trabalho</t>
  </si>
  <si>
    <t>OPS - Controle de Correspondência Digital</t>
  </si>
  <si>
    <t>Revisión de la calidad de desarrollo</t>
  </si>
  <si>
    <t>Development Quality Review</t>
  </si>
  <si>
    <t>HDM - Datos de la programación</t>
  </si>
  <si>
    <t>HDM - Scheduling data</t>
  </si>
  <si>
    <t>HDM - Dados do agendamento</t>
  </si>
  <si>
    <t>Dispositivos Utilizados en el Paciente</t>
  </si>
  <si>
    <t>Devices Used by the Patient</t>
  </si>
  <si>
    <t>Dispositivos utilizados no paciente</t>
  </si>
  <si>
    <t>WLabRes</t>
  </si>
  <si>
    <t>Consulta de la Prescripción</t>
  </si>
  <si>
    <t>Order History</t>
  </si>
  <si>
    <t>Consulta da Prescrição</t>
  </si>
  <si>
    <t>Ítems de protocolo Pre-REP</t>
  </si>
  <si>
    <t>Pre-CPOE protocol items</t>
  </si>
  <si>
    <t>Itens de protocolo Pré-REP</t>
  </si>
  <si>
    <t>SUS PGS</t>
  </si>
  <si>
    <t>WRichEdit</t>
  </si>
  <si>
    <t>Accidente de Trabajo (DALE-UV)</t>
  </si>
  <si>
    <t>Diccionario de dependencias entre cuadros</t>
  </si>
  <si>
    <t>Dictionary of dependencies between tables</t>
  </si>
  <si>
    <t>Dicionário de dependências entre tabelas</t>
  </si>
  <si>
    <t>Gestión de Sepsis</t>
  </si>
  <si>
    <t>Sepsis Management</t>
  </si>
  <si>
    <t>Gestão de sepse</t>
  </si>
  <si>
    <t>Parámetros asistenciales</t>
  </si>
  <si>
    <t>Clinical parameters</t>
  </si>
  <si>
    <t>Parâmetros assistenciais</t>
  </si>
  <si>
    <t>Recepción de títulos</t>
  </si>
  <si>
    <t>Invoice receipt</t>
  </si>
  <si>
    <t>Recebimento de títulos</t>
  </si>
  <si>
    <t>Philips Service Order</t>
  </si>
  <si>
    <t>Presupuesto de Pacientes Web</t>
  </si>
  <si>
    <t>Web Patients Quotation</t>
  </si>
  <si>
    <t>Orçamento de Pacientes Web</t>
  </si>
  <si>
    <t>WCalendario</t>
  </si>
  <si>
    <t>Reporte de Facturas por Cuenta Contable</t>
  </si>
  <si>
    <t>Invoice Report per General Ledger Account</t>
  </si>
  <si>
    <t>Relatórios de Notas por Conta Contábil</t>
  </si>
  <si>
    <t>Relatório Saldo Estoque Consignados</t>
  </si>
  <si>
    <t>Relatório Razão do Estoque</t>
  </si>
  <si>
    <t>Relatório Movimento Sintético Operação</t>
  </si>
  <si>
    <t>Relatório Movimento Estoque</t>
  </si>
  <si>
    <t>Relatório Consumo Mensal por Centro de Custo</t>
  </si>
  <si>
    <t>Función Schematic</t>
  </si>
  <si>
    <t>Schematic Function</t>
  </si>
  <si>
    <t>Função Schematic</t>
  </si>
  <si>
    <t>OPS - Control de cotización</t>
  </si>
  <si>
    <t>HPMS - price control</t>
  </si>
  <si>
    <t>OPS - Controle de cotação</t>
  </si>
  <si>
    <t>Gestión de contraseña - KSA</t>
  </si>
  <si>
    <t>Waiting Number Management - KSA</t>
  </si>
  <si>
    <t>Gerenciamento de Senhas - KSA</t>
  </si>
  <si>
    <t>Central de Entregas</t>
  </si>
  <si>
    <t>Delivery Center</t>
  </si>
  <si>
    <t>WChartsPanel</t>
  </si>
  <si>
    <t>Framework - e2e</t>
  </si>
  <si>
    <t>Color Picker</t>
  </si>
  <si>
    <t>WFormBuilder</t>
  </si>
  <si>
    <t>Technology Management</t>
  </si>
  <si>
    <t>Documentación Schematic</t>
  </si>
  <si>
    <t>Schematic Documentation</t>
  </si>
  <si>
    <t>Documentação Schematic</t>
  </si>
  <si>
    <t>Reporte de valores pendientes</t>
  </si>
  <si>
    <t>Reporte Protocolo Convenio</t>
  </si>
  <si>
    <t>Reporte Protocolo Convenio (Rayo-X)</t>
  </si>
  <si>
    <t>Flex File</t>
  </si>
  <si>
    <t>Flex File Report</t>
  </si>
  <si>
    <t>ErrorHandler</t>
  </si>
  <si>
    <t>ECE ShowCase</t>
  </si>
  <si>
    <t>Electronic Patient Chart ShowCase</t>
  </si>
  <si>
    <t>PEP ShowCase</t>
  </si>
  <si>
    <t>SUS</t>
  </si>
  <si>
    <t>Génesis</t>
  </si>
  <si>
    <t>Genesis</t>
  </si>
  <si>
    <t>Zacatecas</t>
  </si>
  <si>
    <t>Sepsis</t>
  </si>
  <si>
    <t>Sepse</t>
  </si>
  <si>
    <t>Cabecera Tasy</t>
  </si>
  <si>
    <t>Tasy Header</t>
  </si>
  <si>
    <t>Cabeçalho Tasy</t>
  </si>
  <si>
    <t>Gestión de Prioridades</t>
  </si>
  <si>
    <t>Priority Management</t>
  </si>
  <si>
    <t>Gestão de Prioridades</t>
  </si>
  <si>
    <t>Gestión de la Versión</t>
  </si>
  <si>
    <t>Version Management</t>
  </si>
  <si>
    <t>Gestão da Versão</t>
  </si>
  <si>
    <t>Reglamentación de Atenciones</t>
  </si>
  <si>
    <t>Actividades de la Tecnología</t>
  </si>
  <si>
    <t>Technology Activities</t>
  </si>
  <si>
    <t>Atividades da Tecnologia</t>
  </si>
  <si>
    <t>PDA - Desplazamiento Asistido del Paciente</t>
  </si>
  <si>
    <t>PDA - Assisted Patient Movement</t>
  </si>
  <si>
    <t>PDA - Deslocamento Assistido do Paciente</t>
  </si>
  <si>
    <t>Kit Material</t>
  </si>
  <si>
    <t>Material Kit</t>
  </si>
  <si>
    <t>Control de información del build</t>
  </si>
  <si>
    <t>Control of information of the build</t>
  </si>
  <si>
    <t>Controle de informações do build</t>
  </si>
  <si>
    <t>Gestión Ágil</t>
  </si>
  <si>
    <t>Agile Management</t>
  </si>
  <si>
    <t>Gestão Ágil</t>
  </si>
  <si>
    <t>PhilipsLisEntry</t>
  </si>
  <si>
    <t>Gestión de Cajas y Documentos</t>
  </si>
  <si>
    <t>Checkout and Documents Management</t>
  </si>
  <si>
    <t>Gestão de Caixas e Documentos</t>
  </si>
  <si>
    <t>Buscador paciente</t>
  </si>
  <si>
    <t>Patient search tool</t>
  </si>
  <si>
    <t>Localizador paciente</t>
  </si>
  <si>
    <t>Relatório de Inventário</t>
  </si>
  <si>
    <t>Relatório Compras por Fornecedor</t>
  </si>
  <si>
    <t>Reportes de Facturas Digitadas</t>
  </si>
  <si>
    <t>Entered Invoice Reports</t>
  </si>
  <si>
    <t>Relatórios de Notas Digitadas</t>
  </si>
  <si>
    <t>Relatório Saldo de Estoque</t>
  </si>
  <si>
    <t>WEmail</t>
  </si>
  <si>
    <t>WCarga</t>
  </si>
  <si>
    <t>Demo Schematics</t>
  </si>
  <si>
    <t>Gestión de Préstamos y Financiaciones</t>
  </si>
  <si>
    <t>Loan and Financing Management</t>
  </si>
  <si>
    <t>Gestão de Empréstimos e Financiamentos</t>
  </si>
  <si>
    <t>_CLOUD</t>
  </si>
  <si>
    <t>Resumen Electrónico del Paciente</t>
  </si>
  <si>
    <t>Electronic Patient Summary</t>
  </si>
  <si>
    <t>Sumário Eletrônico do Paciente - SUEP</t>
  </si>
  <si>
    <t>Cuestionario OS</t>
  </si>
  <si>
    <t>SO Questionnaire</t>
  </si>
  <si>
    <t>Questionário OS</t>
  </si>
  <si>
    <t>Gestión de Cronograma</t>
  </si>
  <si>
    <t>Schedule Management</t>
  </si>
  <si>
    <t>Gestão de Cronogramas</t>
  </si>
  <si>
    <t>Mapa estratégico</t>
  </si>
  <si>
    <t>Strategy map</t>
  </si>
  <si>
    <t>Control Internacional Philips</t>
  </si>
  <si>
    <t>Philips International Control</t>
  </si>
  <si>
    <t>Controle Internacional Philips</t>
  </si>
  <si>
    <t>Información de la Base del Cliente</t>
  </si>
  <si>
    <t>Information regarding the Customer Basis</t>
  </si>
  <si>
    <t>Informações da Base do Cliente</t>
  </si>
  <si>
    <t>Integración de la nutrición</t>
  </si>
  <si>
    <t>Nutrition integration</t>
  </si>
  <si>
    <t>Integração da nutrição</t>
  </si>
  <si>
    <t>Gestão das OSs Pendentes</t>
  </si>
  <si>
    <t>MultiMED Comunes</t>
  </si>
  <si>
    <t>Common MULTIMED</t>
  </si>
  <si>
    <t>MultiMED Comuns</t>
  </si>
  <si>
    <t>Control de Procesos y Etapas PRP/NPI</t>
  </si>
  <si>
    <t>Control of PRP/NPI Processes and Stages</t>
  </si>
  <si>
    <t>Controle de Processos e Etapas PRP/NPI</t>
  </si>
  <si>
    <t>Document scanning</t>
  </si>
  <si>
    <t>Nonnuli</t>
  </si>
  <si>
    <t>Biobanco</t>
  </si>
  <si>
    <t>Biobank</t>
  </si>
  <si>
    <t>Informe Microorganismos por Unidad</t>
  </si>
  <si>
    <t>Report of Microorganisms by Unit</t>
  </si>
  <si>
    <t>Relatório Micro-organismos por Unidade</t>
  </si>
  <si>
    <t>Informe Culturas realizadas en pacientes con alta</t>
  </si>
  <si>
    <t>Report of Cultures run on discharged patients</t>
  </si>
  <si>
    <t>Relatório Culturas realizadas em pacientes com alta</t>
  </si>
  <si>
    <t>Informe Perfil de Resistencia</t>
  </si>
  <si>
    <t>Resistance Profile Report</t>
  </si>
  <si>
    <t>Relatório Perfil de Resistência</t>
  </si>
  <si>
    <t>Service order control panel</t>
  </si>
  <si>
    <t>Prescripción de los Exámenes y Procedimientos de Rutina (Nueva)</t>
  </si>
  <si>
    <t>Routine Exams and Procedures Order (New)</t>
  </si>
  <si>
    <t>Prescrição dos Exames e Procedimentos de Rotina (Nova)</t>
  </si>
  <si>
    <t>Interacciones medicamentosas</t>
  </si>
  <si>
    <t>Drug interactions</t>
  </si>
  <si>
    <t>Interações medicamentosas</t>
  </si>
  <si>
    <t>Farmácia Comercial - Venta</t>
  </si>
  <si>
    <t>Commercial Pharmacy - Sale</t>
  </si>
  <si>
    <t>Farmácia Comercial - Venda</t>
  </si>
  <si>
    <t>Nota de Crédito</t>
  </si>
  <si>
    <t>Credit note</t>
  </si>
  <si>
    <t>Control del proceso y las etapas PRP/NPI</t>
  </si>
  <si>
    <t>Control of Process and Stages PRP/NPI</t>
  </si>
  <si>
    <t>Controle de Processo e Etapas  PRP/NPI</t>
  </si>
  <si>
    <t>Planificación y Control de Suplementos - PCS</t>
  </si>
  <si>
    <t>Supply Planning and Control - SPC</t>
  </si>
  <si>
    <t>Planejamento e Controle de Suprimentos - PCS</t>
  </si>
  <si>
    <t>Visualizador de alertas</t>
  </si>
  <si>
    <t>Notification display</t>
  </si>
  <si>
    <t>OPS - Fecha Module</t>
  </si>
  <si>
    <t>HPMS - Data Module</t>
  </si>
  <si>
    <t>OPS - Data Module</t>
  </si>
  <si>
    <t>Indicadores R&amp;D</t>
  </si>
  <si>
    <t>R &amp; D Indicators</t>
  </si>
  <si>
    <t>Cambio de Fila de Paciente</t>
  </si>
  <si>
    <t>Change Patient Line</t>
  </si>
  <si>
    <t>Troca de Fila de Paciente</t>
  </si>
  <si>
    <t>Gerenciador de Firma Digital</t>
  </si>
  <si>
    <t>Manager of Digital Signature</t>
  </si>
  <si>
    <t>Gerenciador de Assinatura Digital</t>
  </si>
  <si>
    <t>OPS - Ajustes para Refacturación (INACTIVO - DISPONIBLE PARA UTILIZACIÓN)</t>
  </si>
  <si>
    <t>HPMS (OPS) - Adjustments for Re-Invoicing (INACTIVE - UNAVAILABLE FOR USE)</t>
  </si>
  <si>
    <t>OPS - Ajustes para Refaturamento (INATIVO - DISPONÍVEL PARA UTILIZAÇÃO)</t>
  </si>
  <si>
    <t>Editor de Interpretaciones Integrado</t>
  </si>
  <si>
    <t>Integrated Medical Reports Editor</t>
  </si>
  <si>
    <t>Editor de Laudos Integrado</t>
  </si>
  <si>
    <t>Planeamiento, Monitoreo y Control de Proyectos en Desarrollo</t>
  </si>
  <si>
    <t>Planning, Monitoring and Control of Projects under development</t>
  </si>
  <si>
    <t>Planejamento, Monitoramento e Controle de Projetos em Desenvolvimento</t>
  </si>
  <si>
    <t>Agenda de Actividades</t>
  </si>
  <si>
    <t>Activities Schedule</t>
  </si>
  <si>
    <t>Agenda de Atividades</t>
  </si>
  <si>
    <t>Atención Examen</t>
  </si>
  <si>
    <t>Encounter Examination</t>
  </si>
  <si>
    <t>Atendimento Exame</t>
  </si>
  <si>
    <t>Noticiario Electrónico Tasy</t>
  </si>
  <si>
    <t>Tasy Electronic Communication</t>
  </si>
  <si>
    <t>Noticiário Eletrônico Tasy</t>
  </si>
  <si>
    <t>Consulta de Viaje Amigo</t>
  </si>
  <si>
    <t>Carpool Lookup</t>
  </si>
  <si>
    <t>Consulta de Carona Amiga</t>
  </si>
  <si>
    <t>Receta Estándar</t>
  </si>
  <si>
    <t>Standard Prescription</t>
  </si>
  <si>
    <t>Receita padrão</t>
  </si>
  <si>
    <t>Informe de cuentas pendientes</t>
  </si>
  <si>
    <t>Pending accounts report</t>
  </si>
  <si>
    <t>Relatório de contas pendentes</t>
  </si>
  <si>
    <t>OS 499941 - Test bruna</t>
  </si>
  <si>
    <t>SO 499941 - Bruna Test</t>
  </si>
  <si>
    <t>OS 499941 - Teste bruna</t>
  </si>
  <si>
    <t>Validación de Medicamento con Paciente en la Cama</t>
  </si>
  <si>
    <t>Bedside Check</t>
  </si>
  <si>
    <t>Checagem Beira-leito</t>
  </si>
  <si>
    <t>Informe Factura Marca de agua</t>
  </si>
  <si>
    <t>Invoice Watermark Report</t>
  </si>
  <si>
    <t>Relatório Nota Fiscal Marca d'agua</t>
  </si>
  <si>
    <t>Informe Tasa de I.H. por tipo de cirugía</t>
  </si>
  <si>
    <t>Hospital Infection rate per type of surgery report</t>
  </si>
  <si>
    <t>Relatório Taxa de I.H. por tipo de cirurgia</t>
  </si>
  <si>
    <t>Reporte  de Protocolo Convenio</t>
  </si>
  <si>
    <t>Insurance protocol report</t>
  </si>
  <si>
    <t>Relatório de protocolo convênio</t>
  </si>
  <si>
    <t>Informe de Inconsistencias del Protocolo</t>
  </si>
  <si>
    <t>Protocol Inconsistencies Report</t>
  </si>
  <si>
    <t>Relatório de Inconsistências do Protocolo</t>
  </si>
  <si>
    <t>List Porcentual de infección hospitalaria por clínicas y topografías</t>
  </si>
  <si>
    <t>Report Percentage of hospital infection per clinics and topographies</t>
  </si>
  <si>
    <t>Rel Percentual de infecção hospitalar por clínicas e topografias</t>
  </si>
  <si>
    <t>Buscador de bancos</t>
  </si>
  <si>
    <t>Bank Search Tool</t>
  </si>
  <si>
    <t>Localizador de bancos</t>
  </si>
  <si>
    <t>Interpretación SISMAMA</t>
  </si>
  <si>
    <t>SISMAMA medical report</t>
  </si>
  <si>
    <t>Laudo SISMAMA</t>
  </si>
  <si>
    <t>Alteración Versión</t>
  </si>
  <si>
    <t>Version Change</t>
  </si>
  <si>
    <t>Alteração Versão</t>
  </si>
  <si>
    <t>Registros anteriores de los modelos</t>
  </si>
  <si>
    <t>Previous template records</t>
  </si>
  <si>
    <t>Registros anteriores dos templates</t>
  </si>
  <si>
    <t>PDA - Gestión de la Agenda Quirúrgica</t>
  </si>
  <si>
    <t>PDA - Surgery Schedule Management</t>
  </si>
  <si>
    <t>PDA - Gestão da Agenda Cirúrgica</t>
  </si>
  <si>
    <t>PDA - Gestión de Cirugías</t>
  </si>
  <si>
    <t>PDA - Surgery Management</t>
  </si>
  <si>
    <t>PDA - Gestão de Cirurgias</t>
  </si>
  <si>
    <t>PDA - Validación de medicamento con paciente en la cama</t>
  </si>
  <si>
    <t>PDA - Bedside</t>
  </si>
  <si>
    <t>PDA - Beira Leito</t>
  </si>
  <si>
    <t>PDA - Chequeo Oncológico</t>
  </si>
  <si>
    <t>PDA - Oncology Check</t>
  </si>
  <si>
    <t>PDA - Checagem Oncológica</t>
  </si>
  <si>
    <t>PDA - ADEP - Administración Electrónica de la Prescripción</t>
  </si>
  <si>
    <t>PDA - eMAR - Prescription Electronic Administration</t>
  </si>
  <si>
    <t>PDA - ADEP - Administração Eletrônica da Prescrição</t>
  </si>
  <si>
    <t>PDA - Gestión de Insuficiencia Renal</t>
  </si>
  <si>
    <t>PDA - Kidney Failure Management</t>
  </si>
  <si>
    <t>PDA - Gestão de Insuficiência Renal</t>
  </si>
  <si>
    <t>PDA - Cambio de local del paciente</t>
  </si>
  <si>
    <t>PDA - Patient location change</t>
  </si>
  <si>
    <t>PDA - Troca de local do paciente</t>
  </si>
  <si>
    <t>PDA - Colecta de exámenes</t>
  </si>
  <si>
    <t>PDA - Exam Collection</t>
  </si>
  <si>
    <t>PDA - Coleta de exames</t>
  </si>
  <si>
    <t>Buscador de Conjuntos</t>
  </si>
  <si>
    <t>Assembly Search Tool</t>
  </si>
  <si>
    <t>Localizador de Conjuntos</t>
  </si>
  <si>
    <t>Interpretación SISCOLO</t>
  </si>
  <si>
    <t>SISCOLO report</t>
  </si>
  <si>
    <t>Laudo SISCOLO</t>
  </si>
  <si>
    <t>Profesionales RIS</t>
  </si>
  <si>
    <t>RIS Professionals</t>
  </si>
  <si>
    <t>Profissionais RIS</t>
  </si>
  <si>
    <t>Infraestructura RIS</t>
  </si>
  <si>
    <t>RIS Infrastructure</t>
  </si>
  <si>
    <t>Infraestrutura RIS</t>
  </si>
  <si>
    <t>Soporte RIS</t>
  </si>
  <si>
    <t>RIS Support</t>
  </si>
  <si>
    <t>Suporte RIS</t>
  </si>
  <si>
    <t>Central de Digitación RIS</t>
  </si>
  <si>
    <t>RIS Typing Center</t>
  </si>
  <si>
    <t>Central de Digitação RIS</t>
  </si>
  <si>
    <t>Central Administrativa RIS</t>
  </si>
  <si>
    <t>RIS Administration Center</t>
  </si>
  <si>
    <t>Central de Interpretaciones RIS</t>
  </si>
  <si>
    <t>RIS Report Center</t>
  </si>
  <si>
    <t>Central de Laudos RIS</t>
  </si>
  <si>
    <t>Atención RIS</t>
  </si>
  <si>
    <t>RIS Encounter</t>
  </si>
  <si>
    <t>Atendimento RIS</t>
  </si>
  <si>
    <t>Solicitud de entrenamiento</t>
  </si>
  <si>
    <t>Training Request</t>
  </si>
  <si>
    <t>Solicitação de treinamento</t>
  </si>
  <si>
    <t>Caso de paso de turno</t>
  </si>
  <si>
    <t>Shift-change incident</t>
  </si>
  <si>
    <t>Ocorrência de passagem de turno</t>
  </si>
  <si>
    <t>MMED - Stock</t>
  </si>
  <si>
    <t>MMED - Estoque</t>
  </si>
  <si>
    <t>MMED - Autorizador de Procedimientos</t>
  </si>
  <si>
    <t>MMED - Procedure Authorizer</t>
  </si>
  <si>
    <t>MMED - Autorizador de Procedimentos</t>
  </si>
  <si>
    <t>Informe - Pacientes por fecha de alta</t>
  </si>
  <si>
    <t>Report - Patients by date of discharge</t>
  </si>
  <si>
    <t>Relatório - Pacientes por data de alta</t>
  </si>
  <si>
    <t>Informe - Pacientes por Infección Hospitalaria</t>
  </si>
  <si>
    <t>Report - Patients by Hospital Infection</t>
  </si>
  <si>
    <t>Relatório - Pacientes por Infecção Hospitalar</t>
  </si>
  <si>
    <t>Informe de Cheques</t>
  </si>
  <si>
    <t>Relatório de Cheques</t>
  </si>
  <si>
    <t>PDA - Gestión de servicios de camas</t>
  </si>
  <si>
    <t>PDA - Bed Services Management</t>
  </si>
  <si>
    <t>PDA - Gestão de serviços de leitos</t>
  </si>
  <si>
    <t>Atención Web</t>
  </si>
  <si>
    <t>Web Encounter</t>
  </si>
  <si>
    <t>Atendimento Web</t>
  </si>
  <si>
    <t>GPI - Consulta datos del presupuesto</t>
  </si>
  <si>
    <t>GPI - Budget Data Consultation</t>
  </si>
  <si>
    <t>GPI - Consulta dados do orçamento</t>
  </si>
  <si>
    <t>Inconsistencias de Transacciones Financieras</t>
  </si>
  <si>
    <t>Financial Transaction Inconsistencies</t>
  </si>
  <si>
    <t>Inconsistências de Transações Financeiras</t>
  </si>
  <si>
    <t>Gestor de Migración</t>
  </si>
  <si>
    <t>Migration Manager</t>
  </si>
  <si>
    <t>Gerenciador de Migração</t>
  </si>
  <si>
    <t>Buscador de proyectos</t>
  </si>
  <si>
    <t>Project Search Tool</t>
  </si>
  <si>
    <t>Localizador de projetos</t>
  </si>
  <si>
    <t>Buscar Transacción</t>
  </si>
  <si>
    <t>Find Transaction</t>
  </si>
  <si>
    <t>Localizar Transação</t>
  </si>
  <si>
    <t>Gestión de Pacientes Crónicos</t>
  </si>
  <si>
    <t>Chronic Patient Management</t>
  </si>
  <si>
    <t>Gestão de Pacientes Crônicos</t>
  </si>
  <si>
    <t>Presupuesto Servicio</t>
  </si>
  <si>
    <t>Service Quotation</t>
  </si>
  <si>
    <t>Orçamento Serviço</t>
  </si>
  <si>
    <t>Buscar transacción (CB)</t>
  </si>
  <si>
    <t>Find Transaction (CB)</t>
  </si>
  <si>
    <t>Localizar transação (CB)</t>
  </si>
  <si>
    <t>Registro de Indicaciones al Paciente</t>
  </si>
  <si>
    <t>Patient Guidance Registry</t>
  </si>
  <si>
    <t>Registro de Orientações ao Paciente</t>
  </si>
  <si>
    <t>Informe de Lista de Pago</t>
  </si>
  <si>
    <t>Payment Bordereau Report</t>
  </si>
  <si>
    <t>Relatório de Borderô de Pagamento</t>
  </si>
  <si>
    <t>Informe de Movimiento contable</t>
  </si>
  <si>
    <t>Accounting Movement Report</t>
  </si>
  <si>
    <t>Relatório de Movimento Contábil</t>
  </si>
  <si>
    <t>Obtener Unidad de Atención Libre</t>
  </si>
  <si>
    <t>Find Available Encounter Unit</t>
  </si>
  <si>
    <t>Obter Unidade de Atendimento Livre</t>
  </si>
  <si>
    <t>Parámetros del reporte</t>
  </si>
  <si>
    <t>Report parameters</t>
  </si>
  <si>
    <t>Parâmetros do relatório</t>
  </si>
  <si>
    <t>Buscar Equipo</t>
  </si>
  <si>
    <t>Find Equipment</t>
  </si>
  <si>
    <t>Localizar Equipamento</t>
  </si>
  <si>
    <t>Buscador de Orden de Compra</t>
  </si>
  <si>
    <t>Purchase Order Search Tool</t>
  </si>
  <si>
    <t>Localizador de Ordem de Compra</t>
  </si>
  <si>
    <t>Buscador de Eventos</t>
  </si>
  <si>
    <t>Event Search Tool</t>
  </si>
  <si>
    <t>Localizador de Eventos</t>
  </si>
  <si>
    <t>Inconsistencias de la prescripción</t>
  </si>
  <si>
    <t>Order inconsistencies</t>
  </si>
  <si>
    <t>Inconsistências da prescrição</t>
  </si>
  <si>
    <t>Buscador de Topografías</t>
  </si>
  <si>
    <t>Topography Search Tool</t>
  </si>
  <si>
    <t>Localizador de Topografias</t>
  </si>
  <si>
    <t>Buscador de TNM</t>
  </si>
  <si>
    <t>TNM Search Tool</t>
  </si>
  <si>
    <t>Localizador de TNM</t>
  </si>
  <si>
    <t>Reserva de Cama</t>
  </si>
  <si>
    <t>Bed Reservation</t>
  </si>
  <si>
    <t>Reserva de Leito</t>
  </si>
  <si>
    <t>Exámenes estádar</t>
  </si>
  <si>
    <t>Standard exams</t>
  </si>
  <si>
    <t>Exames padrão</t>
  </si>
  <si>
    <t>Mapa de Trabajo</t>
  </si>
  <si>
    <t>Work Map</t>
  </si>
  <si>
    <t>Mapa de Trabalho</t>
  </si>
  <si>
    <t>Mapa de Trabajo Específico</t>
  </si>
  <si>
    <t>Specific Work Map</t>
  </si>
  <si>
    <t>Mapa de Trabalho Específico</t>
  </si>
  <si>
    <t>Layout Resultado Lab</t>
  </si>
  <si>
    <t>Lab Result Layout</t>
  </si>
  <si>
    <t>Definición de filtro para consulta</t>
  </si>
  <si>
    <t>Filter definition for consultation</t>
  </si>
  <si>
    <t>Definição de filtro para consulta</t>
  </si>
  <si>
    <t>Selección</t>
  </si>
  <si>
    <t>Selection</t>
  </si>
  <si>
    <t>Seleção</t>
  </si>
  <si>
    <t>Medicamentos de rutina</t>
  </si>
  <si>
    <t>Standard medicine</t>
  </si>
  <si>
    <t>Medicamentos de rotina</t>
  </si>
  <si>
    <t>Dispositivos Instalados en el Paciente</t>
  </si>
  <si>
    <t>Devices Placed Into the Patient</t>
  </si>
  <si>
    <t>Dispositivos instalados no paciente</t>
  </si>
  <si>
    <t>Atención Paciente REP</t>
  </si>
  <si>
    <t>Patient CPOE Service</t>
  </si>
  <si>
    <t>Atendimento Paciente REP</t>
  </si>
  <si>
    <t>Inactiva</t>
  </si>
  <si>
    <t>Inativa</t>
  </si>
  <si>
    <t>Mapa de ocupación de quimioterapia</t>
  </si>
  <si>
    <t>Chemotherapy occupancy map</t>
  </si>
  <si>
    <t>Mapa de ocupação da quimioterapia</t>
  </si>
  <si>
    <t>WEncuestaEvaluacion</t>
  </si>
  <si>
    <t>WPesquisaAvaliacao</t>
  </si>
  <si>
    <t>Obtener Sector Atención</t>
  </si>
  <si>
    <t>Get Encounter Department</t>
  </si>
  <si>
    <t>Informe de Estructura de la Cuenta Paciente</t>
  </si>
  <si>
    <t>Patient Account Structure Report</t>
  </si>
  <si>
    <t>Relatório de Estrutura da Conta Paciente</t>
  </si>
  <si>
    <t>Encuesta Philips</t>
  </si>
  <si>
    <t>Philips Survey</t>
  </si>
  <si>
    <t>Enquete Philips</t>
  </si>
  <si>
    <t>Pedidos - Distribuidora</t>
  </si>
  <si>
    <t>Orders - Distributor</t>
  </si>
  <si>
    <t>Gestión para Integración</t>
  </si>
  <si>
    <t>Management for Integration</t>
  </si>
  <si>
    <t>Gerenciamento para Integração</t>
  </si>
  <si>
    <t>WEvaluar</t>
  </si>
  <si>
    <t>WAvaliar</t>
  </si>
  <si>
    <t>WMedida</t>
  </si>
  <si>
    <t>Caja - Farmacia coml.</t>
  </si>
  <si>
    <t>Cash - Coml Pharmacy</t>
  </si>
  <si>
    <t>Caixa - Farmácia coml.</t>
  </si>
  <si>
    <t>Gráficos del Expediente Clínico Electrónico</t>
  </si>
  <si>
    <t>Electronic Patient Chart Graphs</t>
  </si>
  <si>
    <t>Gráficos do Prontuário Eletrônico de Paciente</t>
  </si>
  <si>
    <t>Materiales - Farmacia coml.</t>
  </si>
  <si>
    <t>Materials - Commercial pharmacy</t>
  </si>
  <si>
    <t>Materiais - Farmácia coml.</t>
  </si>
  <si>
    <t>Buscador enfermedad CIE</t>
  </si>
  <si>
    <t>ICD code search tool</t>
  </si>
  <si>
    <t>Localizador doença CID</t>
  </si>
  <si>
    <t>Buscador de Localización</t>
  </si>
  <si>
    <t>Location Search Tool</t>
  </si>
  <si>
    <t>Localizador de Localização</t>
  </si>
  <si>
    <t>Buscador de Orden de Servicio</t>
  </si>
  <si>
    <t>Service Order Search Tool</t>
  </si>
  <si>
    <t>Localizador de Ordem de Serviço</t>
  </si>
  <si>
    <t>Consulta Presupuesto Distribuido</t>
  </si>
  <si>
    <t>Consulta Orçamento Distribuído</t>
  </si>
  <si>
    <t>Informaciones Acerca del Menú</t>
  </si>
  <si>
    <t>Information About the Menu</t>
  </si>
  <si>
    <t>Informações Sobre o Menu</t>
  </si>
  <si>
    <t>Buscador de Emails</t>
  </si>
  <si>
    <t>E-mail Search Tool</t>
  </si>
  <si>
    <t>Localizador de Emails</t>
  </si>
  <si>
    <t>Componente del Sistema</t>
  </si>
  <si>
    <t>System Component</t>
  </si>
  <si>
    <t>Componente do Sistema</t>
  </si>
  <si>
    <t>Informe Resumen Mensual</t>
  </si>
  <si>
    <t>Monthly Summary Report</t>
  </si>
  <si>
    <t>Relatório Resumo Mensal</t>
  </si>
  <si>
    <t>Informe Indicadores de I.H.</t>
  </si>
  <si>
    <t>Hospital Infection Indicators Report</t>
  </si>
  <si>
    <t>Relatório Indicadores de I.H.</t>
  </si>
  <si>
    <t>Informe Control de I.H.</t>
  </si>
  <si>
    <t>Hospital Infection Control Report</t>
  </si>
  <si>
    <t>Relatório Controle de I.H.</t>
  </si>
  <si>
    <t>Central de Compras</t>
  </si>
  <si>
    <t>Purchase Center</t>
  </si>
  <si>
    <t>Pendiente Comercial</t>
  </si>
  <si>
    <t>Business Pending Item</t>
  </si>
  <si>
    <t>Pendência Comercial</t>
  </si>
  <si>
    <t>Inconsistencia de base</t>
  </si>
  <si>
    <t>Base Inconsistency</t>
  </si>
  <si>
    <t>Inconsistência de base</t>
  </si>
  <si>
    <t>Actualización de Versión</t>
  </si>
  <si>
    <t>Version Update</t>
  </si>
  <si>
    <t>Atualização de Versão</t>
  </si>
  <si>
    <t>Configuración de informe</t>
  </si>
  <si>
    <t>Report configuration</t>
  </si>
  <si>
    <t>Configuração de relatório</t>
  </si>
  <si>
    <t>List Póliza</t>
  </si>
  <si>
    <t>Accounting Batch Report</t>
  </si>
  <si>
    <t>Rel Lote contábil</t>
  </si>
  <si>
    <t>Informe Grid EIS</t>
  </si>
  <si>
    <t>EIS Grid Report</t>
  </si>
  <si>
    <t>Relatório Grid EIS</t>
  </si>
  <si>
    <t>Informe requisición</t>
  </si>
  <si>
    <t>Relatório requisição</t>
  </si>
  <si>
    <t>Buscar enfermedades (CIE10)</t>
  </si>
  <si>
    <t>Find diseases (ICD10)</t>
  </si>
  <si>
    <t>.Localizar doenças (CID10)</t>
  </si>
  <si>
    <t>Visión estratégica del ítem</t>
  </si>
  <si>
    <t>Strategic view of the item</t>
  </si>
  <si>
    <t>Visão estratégica do item</t>
  </si>
  <si>
    <t>Información estándar del medicamento</t>
  </si>
  <si>
    <t>Standard information of the medicine</t>
  </si>
  <si>
    <t>Informações padrão do medicamento</t>
  </si>
  <si>
    <t>Lote da hemoterapia</t>
  </si>
  <si>
    <t>Contratos - Farmacia coml.</t>
  </si>
  <si>
    <t>Contracts - Commercial pharmacy</t>
  </si>
  <si>
    <t>Contratos - Farmácia coml.</t>
  </si>
  <si>
    <t>Menú</t>
  </si>
  <si>
    <t>Menu</t>
  </si>
  <si>
    <t>Cardápio</t>
  </si>
  <si>
    <t>AtePac_PO</t>
  </si>
  <si>
    <t>Segmentación Documento</t>
  </si>
  <si>
    <t>Invoice Breakdown</t>
  </si>
  <si>
    <t>Desdobramento Título</t>
  </si>
  <si>
    <t>Diccionario de Objetos</t>
  </si>
  <si>
    <t>Object Dictionary</t>
  </si>
  <si>
    <t>Dicionário de Objetos</t>
  </si>
  <si>
    <t>Gestión del IAN</t>
  </si>
  <si>
    <t>IAN Management</t>
  </si>
  <si>
    <t>Gestão do IAN</t>
  </si>
  <si>
    <t>WCorretor</t>
  </si>
  <si>
    <t>Informe de Contribuyentes</t>
  </si>
  <si>
    <t>Taxpayer Report</t>
  </si>
  <si>
    <t>Relatório de Contribuintes</t>
  </si>
  <si>
    <t>Informe de Contribuciones</t>
  </si>
  <si>
    <t>Contribution Report</t>
  </si>
  <si>
    <t>Relatório de Contribuições</t>
  </si>
  <si>
    <t>Escala Modificada de Ashworth</t>
  </si>
  <si>
    <t>Modified Ashworth Scale</t>
  </si>
  <si>
    <t>Rastreabilidad de Muestras</t>
  </si>
  <si>
    <t>Sample Traceability</t>
  </si>
  <si>
    <t>Rastreabilidade de Amostras</t>
  </si>
  <si>
    <t>WRoperia</t>
  </si>
  <si>
    <t>WLaundry</t>
  </si>
  <si>
    <t>WRouparia</t>
  </si>
  <si>
    <t>Recuperación de Señas</t>
  </si>
  <si>
    <t>Password retrieval</t>
  </si>
  <si>
    <t>Recuperação de Senhas</t>
  </si>
  <si>
    <t>Informe de Flujo de Caja</t>
  </si>
  <si>
    <t>Cash Flow Report</t>
  </si>
  <si>
    <t>Relatório de Fluxo de Caixa</t>
  </si>
  <si>
    <t>Vendedores - Farmacia coml.</t>
  </si>
  <si>
    <t>Salespeople - Commercial Pharmacy</t>
  </si>
  <si>
    <t>Vendedores - Farmácia coml.</t>
  </si>
  <si>
    <t>Evaluación de Riesgo para Tromboembolismo Venoso (TEV)</t>
  </si>
  <si>
    <t>Risk Assessment for Venous Thromboembolism (VTE)</t>
  </si>
  <si>
    <t>Avaliação de risco para tromboembolismo venoso (TEV)</t>
  </si>
  <si>
    <t>Atención Paciente ECE</t>
  </si>
  <si>
    <t>Patient Electronic Patient Chart Service</t>
  </si>
  <si>
    <t>Atendimento Paciente PEP</t>
  </si>
  <si>
    <t>Atención Paciente</t>
  </si>
  <si>
    <t>Patient encounter</t>
  </si>
  <si>
    <t>Atendimento Paciente</t>
  </si>
  <si>
    <t>Blood Management integration management</t>
  </si>
  <si>
    <t>IAN</t>
  </si>
  <si>
    <t>Informe Ocupación Hospitalaria - Paisaje</t>
  </si>
  <si>
    <t>Hospital Occupancy Report - Landscape</t>
  </si>
  <si>
    <t>Relatório Ocupação Hospitalar - Paisagem</t>
  </si>
  <si>
    <t>Consulta Medicamento</t>
  </si>
  <si>
    <t>Medicine Consultation</t>
  </si>
  <si>
    <t>Informe de la Secretaría de la Salud</t>
  </si>
  <si>
    <t>Health Department Report</t>
  </si>
  <si>
    <t>Relatório da Secretaria da Saúde</t>
  </si>
  <si>
    <t>WListView</t>
  </si>
  <si>
    <t>EisGer_R1</t>
  </si>
  <si>
    <t>Inconsistencias de Registro</t>
  </si>
  <si>
    <t>Deed Inconsistencies</t>
  </si>
  <si>
    <t>Inconsistências Escriturais</t>
  </si>
  <si>
    <t>Encontrar Solicitud de Compra</t>
  </si>
  <si>
    <t>Modificaciones en los dispositivos del paciente</t>
  </si>
  <si>
    <t>Patient Device Changes</t>
  </si>
  <si>
    <t>Alterações nos dispositivos do paciente</t>
  </si>
  <si>
    <t>Protocolos de intervención</t>
  </si>
  <si>
    <t>Intervention protocols</t>
  </si>
  <si>
    <t>Protocolos de intervenção</t>
  </si>
  <si>
    <t>Philips SMS</t>
  </si>
  <si>
    <t>Wheb SMS</t>
  </si>
  <si>
    <t>PDA - Inventario Material</t>
  </si>
  <si>
    <t>PDA - Material Inventory</t>
  </si>
  <si>
    <t>PDA - Inventário Material</t>
  </si>
  <si>
    <t>PDA - Montaje de Kits</t>
  </si>
  <si>
    <t>PDA - Kit assembly</t>
  </si>
  <si>
    <t>PDA - Montagem de Kits</t>
  </si>
  <si>
    <t>PDA - Control Transferencias de Stock</t>
  </si>
  <si>
    <t>PDA - Stock Transfer Control</t>
  </si>
  <si>
    <t>PDA - Controle Transferências de Estoque</t>
  </si>
  <si>
    <t>PDA - Inspección Recepción</t>
  </si>
  <si>
    <t>PDA - Receipt Inspection</t>
  </si>
  <si>
    <t>PDA - Inspeção Recebimento</t>
  </si>
  <si>
    <t>PDA - Ejecución Prescripción</t>
  </si>
  <si>
    <t>PDA - Order Processing</t>
  </si>
  <si>
    <t>PDA - Execução Prescrição</t>
  </si>
  <si>
    <t>PDA - Atención de la Requisición</t>
  </si>
  <si>
    <t>PDA - Requisition Processing</t>
  </si>
  <si>
    <t>PDA - Atendimento da Requisição</t>
  </si>
  <si>
    <t>PDA - Atención del Lote de la Prescripción</t>
  </si>
  <si>
    <t>PDA - Order Batch Dispensation</t>
  </si>
  <si>
    <t>PDA - Atendimento do Lote da Prescrição</t>
  </si>
  <si>
    <t>Gestión financiera - Philips</t>
  </si>
  <si>
    <t>Financial management - Philips</t>
  </si>
  <si>
    <t>Gestão Financeira - Philips</t>
  </si>
  <si>
    <t>Gestión Financiera Philips</t>
  </si>
  <si>
    <t>Philips Financial Management</t>
  </si>
  <si>
    <t>Gestão Financeira Philips</t>
  </si>
  <si>
    <t>Resume</t>
  </si>
  <si>
    <t>Gestión de Proyectos Philips</t>
  </si>
  <si>
    <t>Philips Project Management</t>
  </si>
  <si>
    <t>Gestão de Projetos Philips</t>
  </si>
  <si>
    <t>Gestión de Viajes Philips</t>
  </si>
  <si>
    <t>Philips Travel Management</t>
  </si>
  <si>
    <t>Gestão de Viagens Philips</t>
  </si>
  <si>
    <t>Gestión de Canales - Philips</t>
  </si>
  <si>
    <t>Channel Management - Philips</t>
  </si>
  <si>
    <t>Gestão de Canais - Philips</t>
  </si>
  <si>
    <t>Gestión de Productos Philips</t>
  </si>
  <si>
    <t>Philips Products Management</t>
  </si>
  <si>
    <t>Gestão de Produtos Philips</t>
  </si>
  <si>
    <t>Interpretación Paciente SUS (antiguo) NO USAR</t>
  </si>
  <si>
    <t>SUS Patient Report (old) DO NOT USE</t>
  </si>
  <si>
    <t>Laudo Paciente SUS (antigo) NÃO USAR</t>
  </si>
  <si>
    <t>Obtener Frases Protocolo (Antigua)</t>
  </si>
  <si>
    <t>Find Protocol Phrases (Old)</t>
  </si>
  <si>
    <t>Obter frases Protocolo (antiga)</t>
  </si>
  <si>
    <t>Documentación del Diccionario</t>
  </si>
  <si>
    <t>Dictionary Documentation</t>
  </si>
  <si>
    <t>Documentação do Dicionário</t>
  </si>
  <si>
    <t>IE_CLASSIF_PRODUTO</t>
  </si>
  <si>
    <t>IE_SITUACAO</t>
  </si>
  <si>
    <t>0</t>
  </si>
  <si>
    <t>NOMS 024</t>
  </si>
  <si>
    <t xml:space="preserve"> Personalizacao de relatorios à 8 horas por relatorio</t>
  </si>
  <si>
    <t>Em relação ao Care Plan, o cliente irá criar o seu plano de cuidado e cadastrar no Tasy, ou integrará com a Elevier?</t>
  </si>
  <si>
    <t>Plan de Cuidado</t>
  </si>
  <si>
    <t>Se for direto no Tasy são +8 para Cadastros PEP e se for com Elsevier, são + 40</t>
  </si>
  <si>
    <t>Regarding the Care Plan, will the customer create their care plan and register with Tasy, or will they integrate with Elevier?</t>
  </si>
  <si>
    <t>Con respecto al Plan de atención, ¿creará el cliente su plan de atención y se registrará con Tasy, o se integrará con Elevier?</t>
  </si>
  <si>
    <t>Será utilizado o TNM?</t>
  </si>
  <si>
    <t>Will TNM be used?</t>
  </si>
  <si>
    <t>¿Se utilizará TNM?</t>
  </si>
  <si>
    <t xml:space="preserve">Quando utilizar o TNM adicionar 40 horas em Registro Hospitalar do Cancer </t>
  </si>
  <si>
    <t>E itens oncológicos do PEP</t>
  </si>
  <si>
    <t>O cliente utilizará Jornada do Paciente?</t>
  </si>
  <si>
    <t>40 horas se implementar jornada do paciente ( SUEP e protocolos clínicos) e cadastros relacionados</t>
  </si>
  <si>
    <t>Will the customer use Patient Journey?</t>
  </si>
  <si>
    <t>¿El cliente usará el Recorrido del Paciente?</t>
  </si>
  <si>
    <t>Se for acima de 5, agregar 20 horas por Layout.</t>
  </si>
  <si>
    <t xml:space="preserve">Inventarios: Adicionar 16 hrs para qualquer resposta </t>
  </si>
  <si>
    <t>Contas agrupadas: 16 hrs por cada convenio que trabalha com envio de contas agrupadas</t>
  </si>
  <si>
    <t xml:space="preserve">Moeda Estrangeira: Adicionar 8 hr para cada processo. (Exemplo: Tesouraria, Contas a Pagar, Contas a Cobrar, Notas Fiscais). </t>
  </si>
  <si>
    <t>Utilizará o processo de Contabilidade On Line?</t>
  </si>
  <si>
    <t>Will the Online Accounting process be used?</t>
  </si>
  <si>
    <t>¿Se utilizará el proceso de contabilidad online?</t>
  </si>
  <si>
    <t>Acrescentar a função "parâmetro da conta contábil" mais 16 horas de e manter as demais horas das funções e valores do módulo contábil.</t>
  </si>
  <si>
    <t>O cliente irá utilizar a Tele Consulta?</t>
  </si>
  <si>
    <t>1 a 30</t>
  </si>
  <si>
    <t>Sim</t>
  </si>
  <si>
    <t>Se utilizar a Tele Consulta, acrescentar 4 horas na função Agenda de Consultas</t>
  </si>
  <si>
    <t>Will the customer use Tele Consultation?</t>
  </si>
  <si>
    <t>¿El cliente utilizará Tele Consulta?</t>
  </si>
  <si>
    <t>¿Se usará Neocenter?</t>
  </si>
  <si>
    <t>Will Neocenter be used?</t>
  </si>
  <si>
    <t>Será utilizado o Neocenter?</t>
  </si>
  <si>
    <t>Se utilizar o Neo Center, adicionar 40 horasn a CPOE.</t>
  </si>
  <si>
    <t>How many health insurances does the institution serve?</t>
  </si>
  <si>
    <t>¿A cuántos seguros de salud sirve la institución?</t>
  </si>
  <si>
    <t>Moeda</t>
  </si>
  <si>
    <t>Currency</t>
  </si>
  <si>
    <t>Moneda</t>
  </si>
  <si>
    <t>General Information</t>
  </si>
  <si>
    <t>*Em caso de solicitação de contrato, por favor apresentar documentação que comprova os poderes dos signatários.</t>
  </si>
  <si>
    <t>*In case of request for a contract, please provide documentation that proves the powers of the signatories.</t>
  </si>
  <si>
    <t>*En caso de solicitar un contrato, proporcione documentación que demuestre los poderes de los signatarios.</t>
  </si>
  <si>
    <t>1) Inclusão das NPIs: CarePlan, Patient Journey, Tele Consulta, Contabilidade Online, Mapa Ocupação Quimioterapia, TNM, Neo Center,PEPA na aba "Questions" e "Base Funções" quando aplicável. 
2) Inclusão da opção de escolha da "Moeda" em General Information;
3) Inclusão de uma quantidade de horas exclusiva para o México na aba "Base Funções";
4) Redução dos 20% da consultoria em "Base Funções"; 
5) Pequenos outros ajustes de traduções e etc.</t>
  </si>
  <si>
    <t>Descreva, detalhadamente, a estratégia de implantação para este projeto. Ela irá influenciar na análise do PMO
&gt;&gt;&gt;&gt;&gt;PREENCHIMENTO OBRIGATÓRIO PARA RECEBIMENTO DA PROPOSTA.&lt;&lt;&lt;&lt;&lt;</t>
  </si>
  <si>
    <t>Describa, en detalle, la estrategia de implementación para este proyecto. Influirá en el análisis de la PMO
&gt;&gt;&gt;&gt;&gt; TERMINACIÓN OBLIGATORIA PARA RECIBIR LA PROPUESTA. &lt;&lt;&lt;&lt;&lt;</t>
  </si>
  <si>
    <t>Describe, in detail, the implementation strategy for this project. It will influence the analysis of the PMO
&gt;&gt;&gt;&gt;&gt; MANDATORY COMPLETION TO RECEIVE THE PROPOSAL. &lt;&lt;&lt;&lt;&lt;</t>
  </si>
  <si>
    <t>Summary</t>
  </si>
  <si>
    <t>IMPLEMENTATION STRATEGY</t>
  </si>
  <si>
    <t>ESTRATEGIA DE IMPLEMENTACIÓN</t>
  </si>
  <si>
    <t>Sugestão de Horas (PMO)</t>
  </si>
  <si>
    <t>Comentários (PMO)</t>
  </si>
  <si>
    <t>Justificativa (Sales)</t>
  </si>
  <si>
    <t>Hours Suggetion (Sales)</t>
  </si>
  <si>
    <t>Justification (Sales)</t>
  </si>
  <si>
    <t>Hours Suggetion (PMO)</t>
  </si>
  <si>
    <t>Comments (PMO)</t>
  </si>
  <si>
    <t>Sugerencia de Horas (Sales)</t>
  </si>
  <si>
    <t>Sugerencia de Horas (PMO)</t>
  </si>
  <si>
    <t>Justificación (Sales)</t>
  </si>
  <si>
    <t>Comentarios (PMO)</t>
  </si>
  <si>
    <t>EPC / CPOE / EMAR</t>
  </si>
  <si>
    <t>ECE / CPOE / ADEP</t>
  </si>
  <si>
    <t>Questions</t>
  </si>
  <si>
    <t>(MÉXICO) Cuantos layouts de Aseguradoras tienen para envío de Censo y Estados de Cuenta?</t>
  </si>
  <si>
    <t>TOTAL HOURS (STANDARD HOURS + ADDITIONAL HOURS)</t>
  </si>
  <si>
    <t>Contract</t>
  </si>
  <si>
    <t>Não aplicável</t>
  </si>
  <si>
    <t>No Aplicable</t>
  </si>
  <si>
    <t>Valor Hora RnD</t>
  </si>
  <si>
    <t>RnD Hour Value</t>
  </si>
  <si>
    <t>Valor Hora del RnD</t>
  </si>
  <si>
    <t xml:space="preserve">1) Ajuste em "Modules", correções de fórmulas;
2) Ajuste em "Questions", perguntas que são específicas para um mercado, ficam como "Não Aplicáveis" para os outros idiomas;
3) Retirado o adicional de 10% para hospitais de porte grande na aba "Hours Detail";
4) Ajustes pequenos em traduções gerais;
5) Ajuste nas fórmulas de OIT da aba "Proposal";
6) Inclusão do valor hora de RnD na aba "Proposal".
7) Ajustes no porte da instituição em "BASE_FUNÇÕES". Antes, alguns módulos não apareciam mesmo selecionando sim em "Modules" porque não estavam previstos na aba "BASE_FUNÇÕES", agora isso foi solucionado. </t>
  </si>
  <si>
    <t>OPS - Intercâmbio</t>
  </si>
  <si>
    <t>OPS - Contas médicas</t>
  </si>
  <si>
    <t>OPS - Atendimento</t>
  </si>
  <si>
    <t>OPS - Mensalidades</t>
  </si>
  <si>
    <t>OPS - Informações ANS</t>
  </si>
  <si>
    <t>OPS - Rede credenciada</t>
  </si>
  <si>
    <t>OPS - Produtos</t>
  </si>
  <si>
    <t>OPS - Comercial</t>
  </si>
  <si>
    <t>OPS - Cadastro de pessoas</t>
  </si>
  <si>
    <t>OPS - Financeiro</t>
  </si>
  <si>
    <t>OPS - Movimentação Cadastral de SCA (A300)</t>
  </si>
  <si>
    <t>OPS - Faturamento Intercâmbio de Pré-Pagamento (A800)</t>
  </si>
  <si>
    <t>OPS - Contabilidade</t>
  </si>
  <si>
    <t>OPS - Análise de Custo Pós-Estabelecido</t>
  </si>
  <si>
    <t>OPS</t>
  </si>
  <si>
    <t>Phase: Adherence, Parameterization and Training</t>
  </si>
  <si>
    <t>Produto</t>
  </si>
  <si>
    <t>Tasy Prestador</t>
  </si>
  <si>
    <t>OPS (Operadora de Saúde)</t>
  </si>
  <si>
    <t>Ambos (Prestador + OPS)</t>
  </si>
  <si>
    <t>Tasy (Hospitals)</t>
  </si>
  <si>
    <t>Tasy (Healthplan)</t>
  </si>
  <si>
    <t>Both (Hospitals + Healthplan)</t>
  </si>
  <si>
    <t>LTEP - Levantamento Técnico de Estimativa de Projeto TASY EMR
Código do documento: 0060 - Rev 024</t>
  </si>
  <si>
    <t>TAPE - Technical Analysis of Project Estimate TASY EMR
Document ID: 0060 - Rev 024</t>
  </si>
  <si>
    <t>LTEP - Levantamiento Técnico de Estimación de Proyecto TASY EMR
Código del Documento: 0060 - Rev 024</t>
  </si>
  <si>
    <t>MEXICO: Gomes, Everton everton.gomes@philips.com</t>
  </si>
  <si>
    <t>BRASIL: Kalb, Fabiola fabiola.kalb@philips.com e Dallabrida, Jose jose.dallabrida@philips.com - (Encaminhar sempre para ambos)</t>
  </si>
  <si>
    <t>ARGENTINA: Dambrowski, Khalil khalil.dambrowski@philips.com</t>
  </si>
  <si>
    <t>Email of Legal Representative (Channel)</t>
  </si>
  <si>
    <t>Legal Representative Identification Number (Channel)</t>
  </si>
  <si>
    <t>Correo electrónico del representante legal (Canal)</t>
  </si>
  <si>
    <t>RFC del representante legal (Canal)</t>
  </si>
  <si>
    <t>E-mail do Representante Legal (Canal)</t>
  </si>
  <si>
    <t>CPF do Representante Legal (Canal)</t>
  </si>
  <si>
    <t>Inscrição Estadual (Cliente)</t>
  </si>
  <si>
    <t>Representante Legal (Cliente)</t>
  </si>
  <si>
    <t>E-mail do Representante Legal (Cliente)</t>
  </si>
  <si>
    <t>CPF do Representante Legal (Cliente)</t>
  </si>
  <si>
    <t>Legal Representative (Customer)</t>
  </si>
  <si>
    <t>Email of Legal Representative (Customer)</t>
  </si>
  <si>
    <t>Legal Representative Identification Number (Customer)</t>
  </si>
  <si>
    <t>Correo electrónico del representante legal (Cliente)</t>
  </si>
  <si>
    <t>RFC del representante legal (Cliente)</t>
  </si>
  <si>
    <t>FTIN (Channel)</t>
  </si>
  <si>
    <t>RFC (Canal)</t>
  </si>
  <si>
    <t>CNPJ (Canal)</t>
  </si>
  <si>
    <t>Parcelas? (Quantidade)</t>
  </si>
  <si>
    <t>Cuotas Mensuales (Cantidad)</t>
  </si>
  <si>
    <t>Monthly Parcels (Months Amount)</t>
  </si>
  <si>
    <r>
      <t xml:space="preserve">Qual o tempo desejado de implementação? </t>
    </r>
    <r>
      <rPr>
        <b/>
        <sz val="11"/>
        <color rgb="FF000000"/>
        <rFont val="Calibri"/>
        <family val="2"/>
        <scheme val="minor"/>
      </rPr>
      <t>Alinhar com o cliente</t>
    </r>
  </si>
  <si>
    <t>Considerando 160 horas por mês por recurso.</t>
  </si>
  <si>
    <t>Unidade 1 (Matriz)</t>
  </si>
  <si>
    <t>Estimativa Final</t>
  </si>
  <si>
    <t xml:space="preserve"> </t>
  </si>
  <si>
    <t>Módulos de OPS</t>
  </si>
  <si>
    <t>Prestador</t>
  </si>
  <si>
    <t>&lt;- Qtd de meses considerando a qtd de consultores informados (1 trabalha 160)</t>
  </si>
  <si>
    <t>&lt;- Quantidade de horas correspondente a 30% do total da implantação</t>
  </si>
  <si>
    <t>&lt;- Quantidade de horas correspondente a 60% do total da implantação</t>
  </si>
  <si>
    <t>Go-Live (100%)</t>
  </si>
  <si>
    <t>&lt;- Quantidade de horas correspondente a 100% do total da implantação</t>
  </si>
  <si>
    <t>Informações Gerais e Condições de Pgto</t>
  </si>
  <si>
    <t>Proposta:</t>
  </si>
  <si>
    <t>Cliente:</t>
  </si>
  <si>
    <t>CNPJ:</t>
  </si>
  <si>
    <t>Contato:</t>
  </si>
  <si>
    <t>Blumenau</t>
  </si>
  <si>
    <t>Valor</t>
  </si>
  <si>
    <t>Valor Unitário de Licença de Uso Temporário</t>
  </si>
  <si>
    <t>Valor Total Mensal da Licença de Uso Temporário</t>
  </si>
  <si>
    <t xml:space="preserve">CDU </t>
  </si>
  <si>
    <t>Valor Unitário da Cessão de Direito de Uso</t>
  </si>
  <si>
    <t>Valor Total da Cessão de Direito de Uso</t>
  </si>
  <si>
    <t>Valor Mensal do Contrato de Atualização e Suporte</t>
  </si>
  <si>
    <t>Profissional</t>
  </si>
  <si>
    <t>Quantidade</t>
  </si>
  <si>
    <t>Valor Total</t>
  </si>
  <si>
    <t>Consultor de Implantação</t>
  </si>
  <si>
    <t>Gerente de Projetos/Coordenador de Projetos</t>
  </si>
  <si>
    <t>R$</t>
  </si>
  <si>
    <t>Cidade Origem</t>
  </si>
  <si>
    <t>Cidade Destino</t>
  </si>
  <si>
    <t>Forma de deslocamento</t>
  </si>
  <si>
    <t>Navegantes</t>
  </si>
  <si>
    <t>Ônibus Executivo</t>
  </si>
  <si>
    <t>A combinar</t>
  </si>
  <si>
    <t xml:space="preserve">Navegantes </t>
  </si>
  <si>
    <t>Solicitante</t>
  </si>
  <si>
    <t>Solicitação</t>
  </si>
  <si>
    <t>Fernanda</t>
  </si>
  <si>
    <t>Para revisão, o LTEP – 23 não está puxando o módulo de Rouparia, mesmo com o módulo selecionado no “Sim”, somente quando seleciona a opção “Todas as funções”.</t>
  </si>
  <si>
    <t>NPI</t>
  </si>
  <si>
    <t xml:space="preserve">13820 Planejamento Orçamentário. </t>
  </si>
  <si>
    <t>Processo de Launch Dashboard</t>
  </si>
  <si>
    <t>Auditoria Concorrente</t>
  </si>
  <si>
    <t>Status</t>
  </si>
  <si>
    <t>Pendente</t>
  </si>
  <si>
    <t>Proposta - Serviços</t>
  </si>
  <si>
    <t>Proposta - CDU</t>
  </si>
  <si>
    <t>Proposta - LUT</t>
  </si>
  <si>
    <t>Proposta - SaaS (Cloud)</t>
  </si>
  <si>
    <t>Proposta - Adicionais</t>
  </si>
  <si>
    <t>Propostal - SAAP</t>
  </si>
  <si>
    <t>Proposal - LUT / SAAS</t>
  </si>
  <si>
    <t>Proposal - Services</t>
  </si>
  <si>
    <t>Propostal - SaaS (Cloud)</t>
  </si>
  <si>
    <t>Proposal - Additional</t>
  </si>
  <si>
    <t>Propuesta - CDU</t>
  </si>
  <si>
    <t>Propuesta - LUT</t>
  </si>
  <si>
    <t>Propuesta - Servicios</t>
  </si>
  <si>
    <t>Propuesta - SaaS (Cloud)</t>
  </si>
  <si>
    <t>Propuesta-  Adicionales</t>
  </si>
  <si>
    <t xml:space="preserve">Valor Base SaaS (Pacote 20 Usuários) </t>
  </si>
  <si>
    <t>Valor das Licenças Adicionais (Por Licença)</t>
  </si>
  <si>
    <t>Valor Mensal Total SaaS (Cloud)</t>
  </si>
  <si>
    <t>Monthly Price Per User</t>
  </si>
  <si>
    <t>Total Amount (Month)</t>
  </si>
  <si>
    <t>Precio de la Licencia Mensual</t>
  </si>
  <si>
    <t xml:space="preserve">Total Mensual </t>
  </si>
  <si>
    <t>Situação</t>
  </si>
  <si>
    <t>Temos as horas mas não tivemos product news, não foi lançado.</t>
  </si>
  <si>
    <t>Plano de ImplementaçãoConhecendo a função e entendendo o vínculo desta função com o Orçamento Contábil,
entendemos que a função Orçamento Contábil deverá ser vendida em conjunto com esta função, assim, considerando as 40 horas do orçamento, só precisaremos manter 4 horas com esta função - em 1 semana podemos implementar ambos.</t>
  </si>
  <si>
    <t xml:space="preserve">O cliente utilizará o Planejamento Orçamentário? </t>
  </si>
  <si>
    <t>Validar com Dallabrida quais são as funções necessárias para usar o orçamento contábil.</t>
  </si>
  <si>
    <t>Portal do Beneficiário</t>
  </si>
  <si>
    <t>Plano de ImplementaçãoPara implementação do novo processo do Portal do Beneficiário são necessárias 32 horas. Contudo,será necessário a revisão da estimativa de OPS, retirando as funções antigas que eram usadas no Delphi e acrescendo esta nova.Para a migração de OPS (clientes da base instalada), este novo processo pode ser executado pelo cliente, sem a necessidade de alocação de um consultor, considerando-se 16 horas, pois aproveita-se o que o cliente já utilizar na plataforma em Delphi.Observações: Em ambos os casos, seja uma implantação inicial ou uma migração, o consultor somente poderá ser alocado após a conclusãoda infraestrutura necessária para rodar o portal. Relembrando que a instalação da infraestrutura para o Portal do Beneficiário rodar fica a cargo do cliente ou de um parceiro homologado Philips, e não faz parte do escopo de implantação do time de serviços(consultoria), ou seja, as horas acima não comportam o trabalho de infraestrutura.</t>
  </si>
  <si>
    <t>Inserir na parte de proposta e na parte de horas.</t>
  </si>
  <si>
    <t>Plano de implantação: Cronogramas de implantação revisados –24 horas para implementação, sendo:ADM TASY -3horasCadastros Gerais -1 horaNova função "Painel do Panorama Clínico" -20 horasInformações comerciais: Base de demonstração do Pré Vendas atualizada e disponível para demonstrações. LTEP de Vendas e Pós Vendas atualizado. Nenhuma alteração na Política e Proposta Comercial.</t>
  </si>
  <si>
    <t>Utiliza o processo de compras  diretas de OPME?</t>
  </si>
  <si>
    <t>cotação, ordem de compra, aprovação pendente, solicitação de compra</t>
  </si>
  <si>
    <t xml:space="preserve">Utiliza o processo de compras de materiais e medicamentos? </t>
  </si>
  <si>
    <t>Utiliza o processo de controle de estoques?</t>
  </si>
  <si>
    <t>adm estoque, nota fiscal</t>
  </si>
  <si>
    <t>Se utiliza o processo de qualidade?</t>
  </si>
  <si>
    <t>Utiliza o processo de Auditoria Concorrente?</t>
  </si>
  <si>
    <t>Autogestão</t>
  </si>
  <si>
    <t>Cooperativa Médica</t>
  </si>
  <si>
    <t>Medicina de Grupo</t>
  </si>
  <si>
    <t>(acrescer 40 horas), normalmente o envio do primeiro SIP ocorre 4 meses após a virada.</t>
  </si>
  <si>
    <t>(acrescer 80 horas), normalmente o envio do primeiro DIOPS ocorre 4 meses após a virada.</t>
  </si>
  <si>
    <t>(aumentar 20% das horas da cobrança escritural a cada banco adicional)</t>
  </si>
  <si>
    <t>(acrescer 40 horas), normalmente o envio do primeiro monitoramento ocorre 2 meses após a virada.</t>
  </si>
  <si>
    <t>Ger. de Relatório / Avaliações</t>
  </si>
  <si>
    <t>Pessoa jurídica</t>
  </si>
  <si>
    <t>Cargas Externas</t>
  </si>
  <si>
    <t>OPS - Análise de Contas Médicas ( Nova)</t>
  </si>
  <si>
    <t xml:space="preserve">Atendimento (Call Center) </t>
  </si>
  <si>
    <t>OPS - Pagamentos de Produção Médica (Nova)</t>
  </si>
  <si>
    <t>Solictação de Compra</t>
  </si>
  <si>
    <t>Ordem de Compra</t>
  </si>
  <si>
    <t>OPS - Contas de Intercâmbio (A500)</t>
  </si>
  <si>
    <t>OPS - Movimentação de Serviços Prestados em Pré-Pagamento (A700)</t>
  </si>
  <si>
    <t>Vendas Online</t>
  </si>
  <si>
    <t>Colocar módulos e funções padrões no OPS</t>
  </si>
  <si>
    <t>•	Gestão das Prescrições pela Enfermagem
•	Gestão das Prescrições pela Farmácia Clínica
•	SAE – Sistematização da Assistência de Enfermagem
•	Laudo Paciente</t>
  </si>
  <si>
    <t>Validar módulos e validar horas</t>
  </si>
  <si>
    <t>Será uma implantação Rollout?</t>
  </si>
  <si>
    <t>The implementation will be "Rollout"?</t>
  </si>
  <si>
    <t>La implementación sera "Rollout"?</t>
  </si>
  <si>
    <t>Rollout</t>
  </si>
  <si>
    <t>Qual o fator de multiplicação por unidade?</t>
  </si>
  <si>
    <t>What is the multiplying factor by unit?</t>
  </si>
  <si>
    <t>Cuál es el factor de multiplicación por unidad?</t>
  </si>
  <si>
    <t>REGRA: EM caso de implantação Rollout, as premissas padrões de Rollout devem ser inclusas na proposta e no contrato.</t>
  </si>
  <si>
    <t>RULE: In case of Rollout implementation, the standard Rollout premisses must be included in the proposal and in the contract.</t>
  </si>
  <si>
    <t xml:space="preserve">En caso de una implementación Rollout, las premisas estándares de una implementación Rollout, deben estar incluyas em la propuesta y en lo contracto. </t>
  </si>
  <si>
    <t>Ocultar</t>
  </si>
  <si>
    <t>Título</t>
  </si>
  <si>
    <t>Tipo de Sistema</t>
  </si>
  <si>
    <t>Broker</t>
  </si>
  <si>
    <t>Objetivo</t>
  </si>
  <si>
    <t>Empresa</t>
  </si>
  <si>
    <t>Forma de integração</t>
  </si>
  <si>
    <t>Tempo desenv</t>
  </si>
  <si>
    <t>Tempo consultoria</t>
  </si>
  <si>
    <t>Horas Gerencia.</t>
  </si>
  <si>
    <t>Sistema</t>
  </si>
  <si>
    <t>Expert Pathos</t>
  </si>
  <si>
    <t>WSI</t>
  </si>
  <si>
    <t>Receber o laudo efetuado no sistema Expert Pathos da empresa TUXXON. A integração consiste apenas no retorno do laudo em HL7 para o Tasy.</t>
  </si>
  <si>
    <t>TUXXON</t>
  </si>
  <si>
    <t>HL7</t>
  </si>
  <si>
    <t>Integração com assinatura digital</t>
  </si>
  <si>
    <t>Assinatura Digital</t>
  </si>
  <si>
    <t>Assinatura difgital de informações</t>
  </si>
  <si>
    <t>Certificadora Digital</t>
  </si>
  <si>
    <t>WebService</t>
  </si>
  <si>
    <t>Lexicomp e Medi-span</t>
  </si>
  <si>
    <t>Biblioteca de Conhecimento</t>
  </si>
  <si>
    <t>Apresentar as interações entre os medicamentos utilizados pelo paciente,  Medi-Span Clinical Dose Screening &amp; Drug Orders API Medi-Span Clinical Drug Interactions API Medi-Span Clinical Duplicate Therapy API Medi-Span Clinical Drug Disease Contraindicati</t>
  </si>
  <si>
    <t>Wolters kluwer</t>
  </si>
  <si>
    <t>Banco de dados Oracle</t>
  </si>
  <si>
    <t>Elsevier Order Sets</t>
  </si>
  <si>
    <t>Importar e gerenciar os protocolos de prescrição, vindos da  base de dados da Elsevier para dentro do cadastro de protocolos do Tasy. Exibir o conteúdo da Elsevier (Protocolos, Orientações e Alertas) na tela de Protocolos dentro da CPOE.</t>
  </si>
  <si>
    <t>Elsevier</t>
  </si>
  <si>
    <t>HTTP</t>
  </si>
  <si>
    <t>Order Sets</t>
  </si>
  <si>
    <t>Micromedex Oncologia</t>
  </si>
  <si>
    <t xml:space="preserve">Consulta de informações em banco de medicamentos. - Info button do medicamento. - Interação medicamentosa em protocolo oncologico. </t>
  </si>
  <si>
    <t>Micromedex</t>
  </si>
  <si>
    <t>Grifols - Pyxis</t>
  </si>
  <si>
    <t xml:space="preserve">Tasy envia os materiais prescritos e o dispensário eletrônico(Armário) processa e envia os materiais utilizados. </t>
  </si>
  <si>
    <t>Pyxis</t>
  </si>
  <si>
    <t>Dispensário Eletrônico - Supply Point</t>
  </si>
  <si>
    <t>Supply Point</t>
  </si>
  <si>
    <t>SWISSLOG - Farmácia Central</t>
  </si>
  <si>
    <t>SWISSLOG</t>
  </si>
  <si>
    <t>VSsupply - Portal de Compras</t>
  </si>
  <si>
    <t>Integração entre Tasy e Portal de Compras do sistema terceiro VSsupply</t>
  </si>
  <si>
    <t>Visual Software</t>
  </si>
  <si>
    <t>VSsupply</t>
  </si>
  <si>
    <t>Movimentação - Epimed</t>
  </si>
  <si>
    <t>EPIMED</t>
  </si>
  <si>
    <t>Permitir envio de dados das movimentações dos pacientes</t>
  </si>
  <si>
    <t>Epimed</t>
  </si>
  <si>
    <t>Epimed - SAPS3</t>
  </si>
  <si>
    <t>Permitir envio de dados da escala SAPS3 dos pacientes</t>
  </si>
  <si>
    <t>Epimed - Dados Fisiológicos</t>
  </si>
  <si>
    <t>Permitir envio de dados Fisiológicos dos pacientes</t>
  </si>
  <si>
    <t>Epimed - Exames Laboratoriais</t>
  </si>
  <si>
    <t>Permitir envio de dados de exames laboratoriais para o sistema terceiro</t>
  </si>
  <si>
    <t>Epimed - Diagnóstico</t>
  </si>
  <si>
    <t>Permitir envio de dados do diagnóstico dos pacientes.</t>
  </si>
  <si>
    <t>Extrato bancário - Banco Itaú</t>
  </si>
  <si>
    <t>Extrato Bancário</t>
  </si>
  <si>
    <t>Importação de extrato bancário para conciliação com os movimentos financeiros registrados no Tasy.</t>
  </si>
  <si>
    <t>Banco Itaú</t>
  </si>
  <si>
    <t>TXT</t>
  </si>
  <si>
    <t>Extrato bancário - Bradesco</t>
  </si>
  <si>
    <t>Totvs</t>
  </si>
  <si>
    <t>Bradesco</t>
  </si>
  <si>
    <t>Extrato bancário - Banco Santander</t>
  </si>
  <si>
    <t>Banco Santander</t>
  </si>
  <si>
    <t>Extrato bancário - Banco do Brasil</t>
  </si>
  <si>
    <t>Banco do Brasil</t>
  </si>
  <si>
    <t>Extrato bancário - Caixa Econômica</t>
  </si>
  <si>
    <t>Caixa Econômica</t>
  </si>
  <si>
    <t>Bandeira de cartão - Visa</t>
  </si>
  <si>
    <t>Extrato de Cartão</t>
  </si>
  <si>
    <t>Conciliar os extratos de cartão Visa</t>
  </si>
  <si>
    <t>Visa</t>
  </si>
  <si>
    <t>Bandeira de cartão - Amex</t>
  </si>
  <si>
    <t>Conciliar os extratos de cartão Amex</t>
  </si>
  <si>
    <t>Amex</t>
  </si>
  <si>
    <t>Bandeira de cartão - Banese</t>
  </si>
  <si>
    <t>Conciliar os extratos de cartão Banese</t>
  </si>
  <si>
    <t>Banese</t>
  </si>
  <si>
    <t>Bandeira de cartão - Mastercard</t>
  </si>
  <si>
    <t>Conciliar os extratos de cartão Mastercard</t>
  </si>
  <si>
    <t>Mastercard</t>
  </si>
  <si>
    <t>Senior - Folha de pagamento (contábil)</t>
  </si>
  <si>
    <t>Folha de Pagamento</t>
  </si>
  <si>
    <t>Integrar o sistema da Senior (RUBI) com o módulo contábil do Tasy</t>
  </si>
  <si>
    <t>Sênior Sistemas</t>
  </si>
  <si>
    <t>Rubi</t>
  </si>
  <si>
    <t>Laboratório Padrão</t>
  </si>
  <si>
    <t>Integração padrão com sistemas de laboratórios terceiros, que permite o envio da solicitação do exame para o laboratório e o retorno do resultado do exame.</t>
  </si>
  <si>
    <t>LIS</t>
  </si>
  <si>
    <t>Monitores - Dixtal</t>
  </si>
  <si>
    <t>Monitor de Sinais Vitais</t>
  </si>
  <si>
    <t>Receber parâmetros dos monitores Dixtal e registrar no PEP parâmetros vitais do paciente.</t>
  </si>
  <si>
    <t>Dixtal</t>
  </si>
  <si>
    <t>Monitor DX2020</t>
  </si>
  <si>
    <t>Monitores - Philips IntelliVue</t>
  </si>
  <si>
    <t>Possibilitar o registro de sinais vitais do paciente direto do monitor para o PEP</t>
  </si>
  <si>
    <t>Monitor Intelevue</t>
  </si>
  <si>
    <t>Monitores - Infinity - Draeger</t>
  </si>
  <si>
    <t>Coletar informações de monitoramento de sinais vitais dos paciente e gravar no PEP.</t>
  </si>
  <si>
    <t>Draeger</t>
  </si>
  <si>
    <t>Infinity</t>
  </si>
  <si>
    <t>Monitores - Carescape - GE1324</t>
  </si>
  <si>
    <t>GE</t>
  </si>
  <si>
    <t>Carescape</t>
  </si>
  <si>
    <t>Monitores - Efficia - Monitoramento</t>
  </si>
  <si>
    <t>Receber parâmetros dos monitores Efficia e registrar na função PEP os registros de sinais vitais do paciente.</t>
  </si>
  <si>
    <t>Efficia</t>
  </si>
  <si>
    <t>Monitores - Welch Allyn</t>
  </si>
  <si>
    <t>Receber parâmetros dos monitores Welch Allyn e registrar no PEP parâmetros vitais do paciente</t>
  </si>
  <si>
    <t>Welch Allyn</t>
  </si>
  <si>
    <t>VITAL SIGNS MONITOR 300 SERIES</t>
  </si>
  <si>
    <t>Monitores - Mindray</t>
  </si>
  <si>
    <t>Receber parâmetros dos monitores Mindray e registrar no PEP parâmetros vitais do paciente</t>
  </si>
  <si>
    <t>Mindray</t>
  </si>
  <si>
    <t>VS-600</t>
  </si>
  <si>
    <t>Monitores - Bionet</t>
  </si>
  <si>
    <t>Medidor de sinais vitais.</t>
  </si>
  <si>
    <t>Bionet</t>
  </si>
  <si>
    <t>BM1 Bionet</t>
  </si>
  <si>
    <t>Monitores - Mindray - ADT</t>
  </si>
  <si>
    <t>Envio para o monitor sobre internações \ transferências \ altas.</t>
  </si>
  <si>
    <t>Monitores - Prolife</t>
  </si>
  <si>
    <t>Receber parâmetros dos monitores Prolife e registrar no PEP parâmetros vitais do paciente.</t>
  </si>
  <si>
    <t>Prolife</t>
  </si>
  <si>
    <t>Monitores - Nihon Kohden</t>
  </si>
  <si>
    <t>Receber parâmetros dos monitores Nihon Kohden e registrar no PEP parâmetros vitais do paciente.</t>
  </si>
  <si>
    <t>Nihon Kohden</t>
  </si>
  <si>
    <t>Monitor Nihon Kohden</t>
  </si>
  <si>
    <t>Monitores - SureSigns - linha Philips VS (Vsi, VS2+ e VS4) para Triagem</t>
  </si>
  <si>
    <t>Receber parâmetros dos monitores Philips e registrar no PEP parâmetros vitais do paciente.</t>
  </si>
  <si>
    <t>Tasy</t>
  </si>
  <si>
    <t>Nota Fiscal Eletrônica - Prefeitura (Consultar lista de cidades)</t>
  </si>
  <si>
    <t>Nota Fiscal Eletrônica</t>
  </si>
  <si>
    <t>Automatizar o processo de geração, consulta e cancelamento de NFS-e.</t>
  </si>
  <si>
    <t>Prefeitura</t>
  </si>
  <si>
    <t>Sistema da Prefeitura</t>
  </si>
  <si>
    <t>PACS - Padrão Philips</t>
  </si>
  <si>
    <t xml:space="preserve">Integração PACS padrão. Possibilita enviar um Worklist, receber o retorno do laudo. Possibilia a visualização de imagens de exames no PEP. </t>
  </si>
  <si>
    <t>Pagamento em banco - Banco do Brasil</t>
  </si>
  <si>
    <t>Pagamento/Cobrança escritural</t>
  </si>
  <si>
    <t>Geração de arquivo de pagamento escritural conforme layout enviado pelo banco. A implementação dos segmentos é de acordo com a necessidade do cliente</t>
  </si>
  <si>
    <t>Cobrança escritural - Banco Itaú</t>
  </si>
  <si>
    <t>Geração de arquivo de cobrança escritural conforme layout disponibilizado pelo banco.</t>
  </si>
  <si>
    <t>Pagamento em banco - Banco Itaú</t>
  </si>
  <si>
    <t>Cobrança escritural - Banco Real</t>
  </si>
  <si>
    <t>Banco Real</t>
  </si>
  <si>
    <t>Pagamento em banco - Banco Real</t>
  </si>
  <si>
    <t>Cobrança escritural - Banco Santander</t>
  </si>
  <si>
    <t>Pagamento em banco - Banco Santander</t>
  </si>
  <si>
    <t>Pagamento em banco - Bancoob</t>
  </si>
  <si>
    <t>Bancoob</t>
  </si>
  <si>
    <t>Cobrança escritural - Banrisul</t>
  </si>
  <si>
    <t>Banrisul</t>
  </si>
  <si>
    <t>Pagamento em banco - Banco Banrisul</t>
  </si>
  <si>
    <t>Pagamento em banco - Bradesco</t>
  </si>
  <si>
    <t>Cobrança escritural - Bradesco</t>
  </si>
  <si>
    <t>Cobrança escritural - Caixa Econômica</t>
  </si>
  <si>
    <t>Planexo</t>
  </si>
  <si>
    <t>Portal de Compras</t>
  </si>
  <si>
    <t>Realizar o planejamento de compras do Hospital.</t>
  </si>
  <si>
    <t>Bionexo - Portal de compras</t>
  </si>
  <si>
    <t>Integrar as funções Cotação de compras e Ordem de compra do Tasy com a Bionexo.</t>
  </si>
  <si>
    <t>Bionexo</t>
  </si>
  <si>
    <t>Gimba - Portal de compras</t>
  </si>
  <si>
    <t>Integrar as funções Cotação de compras e Ordem de compra do Tasy com o Portal Gimba</t>
  </si>
  <si>
    <t>Gimba</t>
  </si>
  <si>
    <t>Huma - Portal de compras (em webservice)</t>
  </si>
  <si>
    <t>Integrar as funções Cotação de compras e Ordem de compra do Tasy com a HUMA.</t>
  </si>
  <si>
    <t>Huma</t>
  </si>
  <si>
    <t>Mercado Eletrônico - Portal de compras</t>
  </si>
  <si>
    <t>Integrar as funções Solicitação de compras, Ordem de compra e nota fiscal com o Sistema Mercado Eletrônico.</t>
  </si>
  <si>
    <t>Mercado Eletrônico</t>
  </si>
  <si>
    <t>OPMEnexo - Portal de compras</t>
  </si>
  <si>
    <t>Realizar a cotação de materiais de OPME</t>
  </si>
  <si>
    <t>OPMEnexo</t>
  </si>
  <si>
    <t>INPART - Portal de compras</t>
  </si>
  <si>
    <t>INPART</t>
  </si>
  <si>
    <t>Sintese</t>
  </si>
  <si>
    <t>Integrar o sistema de compras (Cotação de compras, Ordem de compras) do Tasy com o sistema Sintese</t>
  </si>
  <si>
    <t>Envio de SMS</t>
  </si>
  <si>
    <t>SMS</t>
  </si>
  <si>
    <t>Integração para o envio de SMS para celular</t>
  </si>
  <si>
    <t>Broker SMS</t>
  </si>
  <si>
    <t>Unitarizadora</t>
  </si>
  <si>
    <t>Unitarizar os medicamentos permitindo embalar estes em quantidades parciais.</t>
  </si>
  <si>
    <t>Uniprint/Opus Pacs</t>
  </si>
  <si>
    <t>TCP/IP</t>
  </si>
  <si>
    <t>Uniprint/Opus Pac</t>
  </si>
  <si>
    <t>1 – Haverá acompanhamento do monitoramento ANS? (acrescer 40 horas), normalmente o envio do primeiro monitoramento ocorre 2 meses após a virada.</t>
  </si>
  <si>
    <t>2 – Haverá acompanhamento para o SIP? (acrescer 40 horas), normalmente o envio do primeiro SIP ocorre 4 meses após a virada.</t>
  </si>
  <si>
    <t>3 – Haverá acompanhamento para o DIOPS e geração livros auxiliares para auditoria? (acrescer 80 horas), normalmente o envio do primeiro DIOPS ocorre 4 meses após a virada.</t>
  </si>
  <si>
    <t>5 – Quantidade de beneficiários? (aumentar 20% das horas do projeto a cada 80.000)</t>
  </si>
  <si>
    <t xml:space="preserve">O cliente já possui recurso próprio ou hospital com Tasy? </t>
  </si>
  <si>
    <t>Se utiliza o processo de painel de chamadas?</t>
  </si>
  <si>
    <t>(aumentar 40% das horas dos módulos call center e senhas a cada local excedente de 1)</t>
  </si>
  <si>
    <t>Incluir funções: Aprovações Pendentes, Solicitação de Compras, Cotação de Compras, Ordem de Compra. 
Foi adicionada uma fórmula no "Hours Detail" especificamente nessas funções para: Se a pergunta é respondida como "Sim" então, lá deve ficar como sim, se não, pega a fórmula do escopo original, como estava antes. Ou seja, é possível o gestor ainda ir lá e retirar a função (o que não faria sentido).</t>
  </si>
  <si>
    <t>Incluir funções:  Administração de Estoque, Nota Fiscal, Requisição de Materiais e Medicamentos, Atendimento da Requisição.
Foi adicionada uma fórmula no "Hours Detail" especificamente nessas funções para: Se a pergunta é respondida como "Sim" então, lá deve ficar como sim, se não, pega a fórmula do escopo original, como estava antes. Ou seja, é possível o gestor ainda ir lá e retirar a função (o que não faria sentido).</t>
  </si>
  <si>
    <t>Incluir função gerenciamento de senhas
Foi adicionada uma fórmula no "Hours Detail" especificamente nessas funções para: Se a pergunta é respondida como "Sim" então, lá deve ficar como sim, se não, pega a fórmula do escopo original, como estava antes. Ou seja, é possível o gestor ainda ir lá e retirar a função (o que não faria sentido).</t>
  </si>
  <si>
    <t>Se não, adicionar prontuário, call center e entrada única. 
Foi adicionada uma fórmula no "Hours Detail" especificamente nessas funções para: Se a pergunta é respondida como "Sim" então, lá deve ficar como sim, se não, pega a fórmula do escopo original, como estava antes. Ou seja, é possível o gestor ainda ir lá e retirar a função (o que não faria sentido).</t>
  </si>
  <si>
    <t>010</t>
  </si>
  <si>
    <t>Total Geral</t>
  </si>
  <si>
    <t>Rótulos de Linha</t>
  </si>
  <si>
    <t>OPS - Execução Cirúrgica</t>
  </si>
  <si>
    <t>OPS - Web</t>
  </si>
  <si>
    <t>OPS - Contratos e beneficiários</t>
  </si>
  <si>
    <t>OPS - Cooperativas médicas</t>
  </si>
  <si>
    <t>Rótulos de Coluna</t>
  </si>
  <si>
    <t>Blumenau,</t>
  </si>
  <si>
    <t>Haverá acompanhamento do monitoramento ANS?</t>
  </si>
  <si>
    <t xml:space="preserve">Haverá acompanhamento para o SIP? </t>
  </si>
  <si>
    <t xml:space="preserve">Haverá acompanhamento para o DIOPS e geração livros auxiliares para auditoria? </t>
  </si>
  <si>
    <t>Autogestão (OPS)</t>
  </si>
  <si>
    <t>Cooperativa Médica (OPS)</t>
  </si>
  <si>
    <t>Medicina de Grupo (OPS)</t>
  </si>
  <si>
    <t>Planejamento Orçamentário</t>
  </si>
  <si>
    <t>Falta código e traduções.</t>
  </si>
  <si>
    <t xml:space="preserve">OPS - Portal do Beneficiário </t>
  </si>
  <si>
    <t>HDM?</t>
  </si>
  <si>
    <t>Cadastros Básicos</t>
  </si>
  <si>
    <t>OPS - Seleção de Itens da Contestação</t>
  </si>
  <si>
    <t>OPS - Geração do SEFIP</t>
  </si>
  <si>
    <t>OPS - AME ( Arquivo de Mensalidade Empresarial)</t>
  </si>
  <si>
    <t xml:space="preserve">OPSW - Mensalidade </t>
  </si>
  <si>
    <t>Borderô Recebimento</t>
  </si>
  <si>
    <t>Cadastros de Indicadores</t>
  </si>
  <si>
    <t>Orçamento</t>
  </si>
  <si>
    <t>Inspeção recebimento</t>
  </si>
  <si>
    <t xml:space="preserve">Será uma proposta no Modelo Trade In? </t>
  </si>
  <si>
    <t>Funções Sugeridas pela modalidade (OPS)</t>
  </si>
  <si>
    <t>Product</t>
  </si>
  <si>
    <t>Producto</t>
  </si>
  <si>
    <t>Protocolo de Manchester</t>
  </si>
  <si>
    <t>TWS - Portal do Paciente</t>
  </si>
  <si>
    <t>Propostas Adicionais</t>
  </si>
  <si>
    <t>Additional Proposals</t>
  </si>
  <si>
    <t>Propuestas Adicionales</t>
  </si>
  <si>
    <t>Include TWS in this proposal?</t>
  </si>
  <si>
    <t>Incluir TWS nesta proposta?</t>
  </si>
  <si>
    <t>¿Incluir TWS en esta propuesta?</t>
  </si>
  <si>
    <t>Porte</t>
  </si>
  <si>
    <t>Size</t>
  </si>
  <si>
    <t>Tamaño</t>
  </si>
  <si>
    <t>Valor do TWS</t>
  </si>
  <si>
    <t>TWS Price</t>
  </si>
  <si>
    <t>Precio del TWS</t>
  </si>
  <si>
    <t>Cidade de Origem</t>
  </si>
  <si>
    <t>Ciudad de Origen</t>
  </si>
  <si>
    <t>City of Origin</t>
  </si>
  <si>
    <t>Destination City</t>
  </si>
  <si>
    <t>Ciudad de Destino</t>
  </si>
  <si>
    <t>Quantidade de prestadores?</t>
  </si>
  <si>
    <t xml:space="preserve">Quantidade de locais de atendimento presenciais? </t>
  </si>
  <si>
    <t>Quantidade de bancos que importam extrato no controle bancário?</t>
  </si>
  <si>
    <t xml:space="preserve">Quantidade de bancos que geram cobrança escritural? </t>
  </si>
  <si>
    <t>Qtd Consultores</t>
  </si>
  <si>
    <t>Qtd Consultants</t>
  </si>
  <si>
    <t>Ctd Consultores</t>
  </si>
  <si>
    <t>OIT SaaS</t>
  </si>
  <si>
    <t>Month</t>
  </si>
  <si>
    <t>Price</t>
  </si>
  <si>
    <t>Months</t>
  </si>
  <si>
    <t>Parametrization (30%)</t>
  </si>
  <si>
    <t>Pilot Test (60%)</t>
  </si>
  <si>
    <t>ATENÇÃO! As integrações abaixo são as integrações padrões que temos atualmente disponíveis. 
Para solicitar integrações que não são padrões, seguir o processo padrão com o Pré-Vendas através da SAI.</t>
  </si>
  <si>
    <t>ATTENTION! The integrations bellow are standard integrations and with pre-estimated hours for Brazil. For other markets, please follow the respective process for integrations.</t>
  </si>
  <si>
    <t xml:space="preserve">¡ATENCIÓN! Las siguientes integraciones son integraciones estándar, con presupuestos predefinidos, disponibles única y exclusivamente para Brasil. Para su mercado, siga el proceso de integración respectivo. </t>
  </si>
  <si>
    <t>Incluir na Proposta?</t>
  </si>
  <si>
    <t>Horas de Desenvolvimento (Integrações)</t>
  </si>
  <si>
    <t>RnD Hours (Integrations)</t>
  </si>
  <si>
    <t>Horas de RnD (Integraciones)</t>
  </si>
  <si>
    <t>*Filtrar aqui como YES e copiar e colar na proposta</t>
  </si>
  <si>
    <t>ESTRATÉGIA DE IMPLANTAÇÃO</t>
  </si>
  <si>
    <t>Total de Unidades na Estratégia de Implantação</t>
  </si>
  <si>
    <t>Total Units in the Implementation Strategy</t>
  </si>
  <si>
    <t>Total de unidades en la estrategia de implementación</t>
  </si>
  <si>
    <t>Planeamiento Presupuestal</t>
  </si>
  <si>
    <t>Budgetplanung</t>
  </si>
  <si>
    <t>Funções exclusivas Unimed</t>
  </si>
  <si>
    <t>Todas as funções que são exclusivas Unimed tem que estrar como No na autogestão e med grupo</t>
  </si>
  <si>
    <t>4Test (Função só p/ Java)
Schematic4Test (Função só p/ HTML5)</t>
  </si>
  <si>
    <t>Soma de Módulo</t>
  </si>
  <si>
    <t xml:space="preserve">Intercâmbio </t>
  </si>
  <si>
    <t>Confirmado com Dallabrida, colocar dessa forma nas horas.</t>
  </si>
  <si>
    <t>As duas últimas OK, as 2 primeiras validar com RnD.</t>
  </si>
  <si>
    <t>OK. Colocamos 20 horas na nova função (painel) e não colocamos as 3 horas de ADM e 1 de cadastros gerais.</t>
  </si>
  <si>
    <t xml:space="preserve">(aumentar 10% das horas dos módulos prestadores, contas médicas e autorizações a cada 2000)
Só na função OPS Prestadores. Aumentar 10% das horas aqui. Pra cada 2000 prestadores, 10% a mais. 
Na função glosas e ocorrências. Aumentar 10% a cada 2000. </t>
  </si>
  <si>
    <t>DS_FUNCAO</t>
  </si>
  <si>
    <t>SITUACAO</t>
  </si>
  <si>
    <t>NR_SEQ_MODULO</t>
  </si>
  <si>
    <t>NM_MODULO</t>
  </si>
  <si>
    <t>NR_SEQ_MOD_IMPL</t>
  </si>
  <si>
    <t>NM_MODULO_IMPLANTAÇÃO</t>
  </si>
  <si>
    <t>Ativa</t>
  </si>
  <si>
    <t>Chamada externa</t>
  </si>
  <si>
    <t>Validação da Instalação do Produto em HTML5</t>
  </si>
  <si>
    <t>Auditoria Concorrente (Web Suite)</t>
  </si>
  <si>
    <t>Portal Acesso Prestador</t>
  </si>
  <si>
    <t>Comercial (Proposta Online)</t>
  </si>
  <si>
    <t xml:space="preserve">Aplicação Portal Proposta Online (TWS) </t>
  </si>
  <si>
    <t xml:space="preserve">Administração Web Suite </t>
  </si>
  <si>
    <t xml:space="preserve">Solicitação de Proposta Online </t>
  </si>
  <si>
    <t>Teste Paralelo</t>
  </si>
  <si>
    <t>Validação dos KPIs da Saúde Complementar IDSS</t>
  </si>
  <si>
    <t>Horas de Consultoria para Integração</t>
  </si>
  <si>
    <t>Acompanhamento - Primeira Entrega DIOPS</t>
  </si>
  <si>
    <t>Acompanhamento</t>
  </si>
  <si>
    <t>?</t>
  </si>
  <si>
    <t>OPERADORA (BRAZIL ONLY)</t>
  </si>
  <si>
    <t>Include Bugdet Planing?</t>
  </si>
  <si>
    <t>incluir la planificación presupuestaria en la propuesta?</t>
  </si>
  <si>
    <t>Código da Função</t>
  </si>
  <si>
    <t>Espanhol Rep. Dom.</t>
  </si>
  <si>
    <t>Espanhol AR</t>
  </si>
  <si>
    <t>Espanhol BO</t>
  </si>
  <si>
    <t>Alemão</t>
  </si>
  <si>
    <t>English AU</t>
  </si>
  <si>
    <t>International</t>
  </si>
  <si>
    <t>Gerencia</t>
  </si>
  <si>
    <t>Work group</t>
  </si>
  <si>
    <t>Descrição da Função</t>
  </si>
  <si>
    <t>Goal</t>
  </si>
  <si>
    <t>Auswahlbildschirm</t>
  </si>
  <si>
    <t>Development Clinical Order</t>
  </si>
  <si>
    <t>Medical order, nursing and pharmacy</t>
  </si>
  <si>
    <t>Statuswechsel der Laboruntersuchungen</t>
  </si>
  <si>
    <t>Development Clinical Diagnosis</t>
  </si>
  <si>
    <t>Bilderfassung</t>
  </si>
  <si>
    <t>Radiology</t>
  </si>
  <si>
    <t>Pending description</t>
  </si>
  <si>
    <t>Dokumentenscanning</t>
  </si>
  <si>
    <t>Objective: Support scanning patient documents (Brazilian localization for MultiMed product);
Main functionalities: support users to scan and store the patient documents;
People who use the function: Radiology Reception department.</t>
  </si>
  <si>
    <t>Integrierter Befundberichtseditor</t>
  </si>
  <si>
    <t>Vorherige Vorlagensätze</t>
  </si>
  <si>
    <t>Development Clinical Records</t>
  </si>
  <si>
    <t xml:space="preserve">Assist. Registros PEP </t>
  </si>
  <si>
    <t>Fahrgemeinschafts-Suche</t>
  </si>
  <si>
    <t>Development Clinical Treatment and Prevention</t>
  </si>
  <si>
    <t>Therapies</t>
  </si>
  <si>
    <t>Development Supply Chain and Taxes</t>
  </si>
  <si>
    <t>Versionsaktualisierung</t>
  </si>
  <si>
    <t>DevOPS CCI</t>
  </si>
  <si>
    <t>Datenbankanpassung</t>
  </si>
  <si>
    <t>Basisinkonsistenz</t>
  </si>
  <si>
    <t>Development Financial and Accounting</t>
  </si>
  <si>
    <t>Hospital maintenance</t>
  </si>
  <si>
    <t>Cloud Operation</t>
  </si>
  <si>
    <t>DMP - Team-Finder</t>
  </si>
  <si>
    <t>DMP - Teilnehmer-Finder</t>
  </si>
  <si>
    <t>DMP - Fachkraft-Finder</t>
  </si>
  <si>
    <t>Blutzellenzähler</t>
  </si>
  <si>
    <t>Objective: Support documenting blood cells count;
Main functionalities: support users to document the amount of blood cells counted; 
People who use the function: Laboratory department.</t>
  </si>
  <si>
    <t>Anexos de la Atención</t>
  </si>
  <si>
    <t>Falldetail-Anhänge</t>
  </si>
  <si>
    <t>Encounter Attachments</t>
  </si>
  <si>
    <t>Development Admission Discharge and Transfer</t>
  </si>
  <si>
    <t>Objective: Support management of patient encounter attachments;
Main functionalities: support users to add and consult patient encounter attachments;
People who use the function: Reception department.</t>
  </si>
  <si>
    <t>Development Billing and Pharmacy</t>
  </si>
  <si>
    <t>Technology</t>
  </si>
  <si>
    <t>Tec Delphi</t>
  </si>
  <si>
    <t>CCI SW Process &amp; Tools</t>
  </si>
  <si>
    <t>SW Tools - Operation</t>
  </si>
  <si>
    <t>Informaciones estándar del medicamento</t>
  </si>
  <si>
    <t>Standardinformationen des Medikaments</t>
  </si>
  <si>
    <t>Procedimento de Agendamento de Rotina</t>
  </si>
  <si>
    <t>Objective: Support documentation of standard measures in medical reports;
Main functionalities: support users to document standard measures in medical reports;
People who use the function: Anatomy Pathology  department.</t>
  </si>
  <si>
    <t>Warnungsereignisse</t>
  </si>
  <si>
    <t>Elektronischer Auftragsmanipulation-/Fraktionierungsprozedur</t>
  </si>
  <si>
    <t>Exames relacionados ao medicamento</t>
  </si>
  <si>
    <t>Exámenes relacionados con el medicamento</t>
  </si>
  <si>
    <t>Mit dem Medikament verbundene Untersuchungen</t>
  </si>
  <si>
    <t>Exams related to the medicine</t>
  </si>
  <si>
    <t>Development Clinical Specialties</t>
  </si>
  <si>
    <t>Assist. Cirúrgico</t>
  </si>
  <si>
    <t>Assist. Pronto Atendimento</t>
  </si>
  <si>
    <t>Verordnungshistorie</t>
  </si>
  <si>
    <t xml:space="preserve">Zusammenfassung der Verordnung </t>
  </si>
  <si>
    <t>Ausarbeitung eines Pathologiebefundberichts</t>
  </si>
  <si>
    <t>Objective: Support performing anatomy pathology medical reports;
Main functionalities: support users performing anatomy pathology medical reports, elaborating the formating and measures to document clinical findings;
People who use the function: Anatomy Patholoy department.</t>
  </si>
  <si>
    <t>Cadastro de pessoas</t>
  </si>
  <si>
    <t>Narkoseprotokoll</t>
  </si>
  <si>
    <t xml:space="preserve">Externe Mitarbeiter suchen </t>
  </si>
  <si>
    <t>Strategic</t>
  </si>
  <si>
    <t>Dispositivos Instalados no Paciente</t>
  </si>
  <si>
    <t>Am Patienten angelegte Katheter und Drainagen</t>
  </si>
  <si>
    <t>Abfrage des Verordnungsstapels</t>
  </si>
  <si>
    <t>Neue Katheter/Drainagen</t>
  </si>
  <si>
    <t>Alterações nos Dispositivos do Paciente</t>
  </si>
  <si>
    <t>Änderungen der am Patienten gelegten Katheter und Drainagen</t>
  </si>
  <si>
    <t>Objective: Support documenting materials and medicines used in surgery via barcode readers;
Main functionalities: support users to document materials and medicines used in surgery by using barcode readers; 
People who use the function: Physicians, Nurses and Pharmacy departments.</t>
  </si>
  <si>
    <t>Alteración de ARS de la Atención</t>
  </si>
  <si>
    <t>Alteración de la Aseguradora de la Atención</t>
  </si>
  <si>
    <t>Änderung der Versicherung des Falldetails</t>
  </si>
  <si>
    <t>Contas a pagar</t>
  </si>
  <si>
    <t>Verzichtet auf tägliche Abrechnung</t>
  </si>
  <si>
    <t>Fat Convênio</t>
  </si>
  <si>
    <t>Ambulanzakte</t>
  </si>
  <si>
    <t>Electronic Outpatient Chart</t>
  </si>
  <si>
    <t>Closed Loop Medication Administration - CLMA</t>
  </si>
  <si>
    <t>Objective: CIE9 procedures search tool (LATAM localization);
Main functionalities: support users to search for CIE9 procedures;
People who use the function: Physicians.</t>
  </si>
  <si>
    <t>ICD Krankheit Suchwerkzeug</t>
  </si>
  <si>
    <t>Solicitações Padrão</t>
  </si>
  <si>
    <t>Voreingestellte Anforderung</t>
  </si>
  <si>
    <t>Objective: Support populating of patient requests to external healthcare service providers;
Main functionalities: support users to populate patient requests to external healthcare service providers in a quick way, without having to manually document them from scretch. Standard texts to document the requests can be configured to facilitate the pick list;
People who use: Physicians, Nurses and other authorized caregivers.</t>
  </si>
  <si>
    <t>Standardmedikament</t>
  </si>
  <si>
    <t>Globaler Terminplan</t>
  </si>
  <si>
    <t>Diagnosestatus ändern</t>
  </si>
  <si>
    <t>Pflegeplan</t>
  </si>
  <si>
    <t xml:space="preserve">Assist. Serviços PEP </t>
  </si>
  <si>
    <t>Objective: Support patients assessment and care plan following standardized protocols; 
Main functionalities: support users to provide patients assessment by following hospital standard protocols with pre-configured aspects, such as nursing diagnoses, interventions, related factors, among other options to be analysed the possible results and viable care plans;
People who use: Nursing departments.</t>
  </si>
  <si>
    <t>Dateneingabe bei Arztgespräch</t>
  </si>
  <si>
    <t>Enter Information With Consultation</t>
  </si>
  <si>
    <t>Pflegeplanung - Einstellungen</t>
  </si>
  <si>
    <t>Documentación de ARS</t>
  </si>
  <si>
    <t>Documentación de la Obra social</t>
  </si>
  <si>
    <t>Documentación de la aseguradora</t>
  </si>
  <si>
    <t>Versicherungsdokumentation</t>
  </si>
  <si>
    <t>Fat Repasse/ Retorno</t>
  </si>
  <si>
    <t>Objective: Consulting the insurance agreements documentation. _x000D_
Main functionalities: allows the users to consult the insurance documentation provided by the Billing department, which can define multiple structures and segmentation to help users to identify insurance policies. _x000D_
People who use the function: Commercial, Reception, Authorization desk and Billing departments.</t>
  </si>
  <si>
    <t>Auswahl</t>
  </si>
  <si>
    <t>Definition für Beratungsgespräch filtern</t>
  </si>
  <si>
    <t>Confirmación datos ARS</t>
  </si>
  <si>
    <t>Sammelverordnung</t>
  </si>
  <si>
    <t>Objective: Collective order search tool;
Main functionalities: support users to search for collective orders;
People who use the function: Physicians, Nurses and other authorized departments.</t>
  </si>
  <si>
    <t>Recebimento do Paciente</t>
  </si>
  <si>
    <t>Items recibidos por el Paciente</t>
  </si>
  <si>
    <t>Vom Patienten empfangene Elemente</t>
  </si>
  <si>
    <t>Items received by the patient</t>
  </si>
  <si>
    <t>Meine Einstellungen</t>
  </si>
  <si>
    <t>Objective: Support management of user properties for general system usage;
Main functionalities: support users to consult and change their system users properties, such as email account, standard text for internal communication, Service Orders history and system emails, as well as language and location preferences, among other options;
People who use the function: All system users.</t>
  </si>
  <si>
    <t>Einrichtungs-Wechsel</t>
  </si>
  <si>
    <t>Tasy Änderungen</t>
  </si>
  <si>
    <t>Spezialänderung/Änderung des Fachgebiets</t>
  </si>
  <si>
    <t>Speciality change</t>
  </si>
  <si>
    <t>Hitliste der ICDs</t>
  </si>
  <si>
    <t>Warnmeldungen an Fachkräfte</t>
  </si>
  <si>
    <t>Alertas de segurança</t>
  </si>
  <si>
    <t>Sicherheitswarnungen</t>
  </si>
  <si>
    <t>Safety warnings</t>
  </si>
  <si>
    <t>Antimikrobiotika</t>
  </si>
  <si>
    <t>CPOE-Inkonsistenzen</t>
  </si>
  <si>
    <t>Servicebudget</t>
  </si>
  <si>
    <t>Verbindlichkeitenbericht</t>
  </si>
  <si>
    <t>Desdobramento de Títulos a Pagar</t>
  </si>
  <si>
    <t>Erstellung von Tribute</t>
  </si>
  <si>
    <t>Ausstehende Beträge</t>
  </si>
  <si>
    <t>Contas a receber</t>
  </si>
  <si>
    <t>Objective: Support consultation of pending accounts receivable values;
Main functionalities: support users to consult pending values from accounts receivable;  
People who use the function: Financial department.</t>
  </si>
  <si>
    <t>Cheque Report</t>
  </si>
  <si>
    <t>Vorschussbericht</t>
  </si>
  <si>
    <t>Debitoren-Bericht</t>
  </si>
  <si>
    <t>Standardsuchtool für Untersuchungen</t>
  </si>
  <si>
    <t>Objective: Standard exams search tool;
Main functionalities: support users to search for exams classified as standard;
People who use the function: Physicians, Nurses, Laboratory, Radiology and other authorized departments.</t>
  </si>
  <si>
    <t>Localizador de Médicos</t>
  </si>
  <si>
    <t>Buscador de Médicos</t>
  </si>
  <si>
    <t>Ärztesuchfunktion</t>
  </si>
  <si>
    <t>Physician Search Tool</t>
  </si>
  <si>
    <t>Doctor Search Tool</t>
  </si>
  <si>
    <t>Suchfunktion für Untersuchungen</t>
  </si>
  <si>
    <t>Purchasing process report</t>
  </si>
  <si>
    <t>Oncology Application</t>
  </si>
  <si>
    <t>Nosokomiale Infektionsrate nach Eingriffsart</t>
  </si>
  <si>
    <t>HAIs - Antibiotics Report</t>
  </si>
  <si>
    <t>Control Centre Result Report</t>
  </si>
  <si>
    <t>Verordnungen von Untersuchungen und Routineleistungen</t>
  </si>
  <si>
    <t>Validador de Token de ARS</t>
  </si>
  <si>
    <t>Versicherungs-Token-Validierer</t>
  </si>
  <si>
    <t>Fat TISS/Autorização</t>
  </si>
  <si>
    <t>Prescrição dos Exames e Procedimentos de Rotina</t>
  </si>
  <si>
    <t>Prescripción de los Exámenes y Procedimientos de Rutina</t>
  </si>
  <si>
    <t>Routine Exams and Procedures Order</t>
  </si>
  <si>
    <t>Stationsdurchlauf</t>
  </si>
  <si>
    <t>Department passage</t>
  </si>
  <si>
    <t>Objective: Support the patient passage documentation at non acommodation departments; 
Main functionalities: support users to document patient movement between non acommodation departments, like Radiology, Operating Room, Procedures Room, etc; enabling charges documentation in the patient account;  
People who use the function: Nursing, Billing and other authorized departments.</t>
  </si>
  <si>
    <t>Inkonsistenzen der Verordnung</t>
  </si>
  <si>
    <t>Orientações ao Usuário</t>
  </si>
  <si>
    <t>Indicaciones al Usuario</t>
  </si>
  <si>
    <t>Benutzerführung</t>
  </si>
  <si>
    <t>User Guidance</t>
  </si>
  <si>
    <t>Suchwerkzeug Serviceauftrag</t>
  </si>
  <si>
    <t>Gerätesuchfunktion</t>
  </si>
  <si>
    <t>Ort der Suchfunktion</t>
  </si>
  <si>
    <t>Geräteverlauf</t>
  </si>
  <si>
    <t>Objective: Equipment history search tool;
Main functionalities: support users to search past events history of the equipment;
People who use the function: Maintenance department.</t>
  </si>
  <si>
    <t>Berichtsparameter</t>
  </si>
  <si>
    <t>Freies Zimmer/Bett suchen</t>
  </si>
  <si>
    <t>Erreignissuchfunktion</t>
  </si>
  <si>
    <t>Obter Frases Protocolo</t>
  </si>
  <si>
    <t>Protokollsätze finden</t>
  </si>
  <si>
    <t>Obter Frases Protocolo (Antiga)</t>
  </si>
  <si>
    <t>Bettreservierung</t>
  </si>
  <si>
    <t>Anforderungsbericht</t>
  </si>
  <si>
    <t>TasyMed - Localizador de itens de faturamento</t>
  </si>
  <si>
    <t>TasyMed - Localizador de ítems de facturación</t>
  </si>
  <si>
    <t>TasyMed - Billing item search tool</t>
  </si>
  <si>
    <t>Relacionamento Medicamento x Brasíndice</t>
  </si>
  <si>
    <t>Localizar Solicitação de Compra</t>
  </si>
  <si>
    <t>Kaufauftragsanforderung finden</t>
  </si>
  <si>
    <t>Objective: Purchase Request search tool;
Main functionalities: support users to search for Purchase Requests;
People who use the function: Warehouse, Pharmacy, Nutrition and other authorized departments.</t>
  </si>
  <si>
    <t>Suchfunktion für Kaufaufträge</t>
  </si>
  <si>
    <t>Materialanforderung suchen</t>
  </si>
  <si>
    <t>Medikamente/Materialien suchen</t>
  </si>
  <si>
    <t>Locate Material Kit</t>
  </si>
  <si>
    <t>Locate Material Tray</t>
  </si>
  <si>
    <t>Juristische Personen suchen</t>
  </si>
  <si>
    <t>Behandlungssuchfunktion</t>
  </si>
  <si>
    <t>Protokollformularbericht</t>
  </si>
  <si>
    <t>Reporte  de Protocolo ARS</t>
  </si>
  <si>
    <t>Forderungen erstellen</t>
  </si>
  <si>
    <t>Generate Accounts Receivable</t>
  </si>
  <si>
    <t>Caso de notas de guardia</t>
  </si>
  <si>
    <t>Gerät suchen</t>
  </si>
  <si>
    <t>Warnungen</t>
  </si>
  <si>
    <t>Objective: Patient alerts pop up tool;
Main functionalities: support users to view safety, health related and administrative warnings and alerts when opening the patient medical records and encounter data;
People who use: Physicians, Nurses, Reception and other authorized departments.</t>
  </si>
  <si>
    <t>Diagramme der Patientenakte</t>
  </si>
  <si>
    <t>Seleção de dietas</t>
  </si>
  <si>
    <t>Selección de dietas</t>
  </si>
  <si>
    <t>Auswahl an Diäten</t>
  </si>
  <si>
    <t>Selection of diets</t>
  </si>
  <si>
    <t>Druck von Rechnungen</t>
  </si>
  <si>
    <t>Transfer von Ausgaben</t>
  </si>
  <si>
    <t>Objective: Transfer the Patient Account expenses between departments, patient accounts and encounters;
Main functionalities: allows the users to select and transfer Patient Account expenses between departments, patient accounts and encounters;
People who use: Billing department.</t>
  </si>
  <si>
    <t>Suchprotokoll</t>
  </si>
  <si>
    <t>Anzahlung finden</t>
  </si>
  <si>
    <t>Objective: Patient Advance Payments search tool;_x000D_
Main functionalities: allows the users to search and consult Patient Advance Payments, which are deducted from the patient account values;_x000D_
People who use: Reception, Billing and Financial departments.</t>
  </si>
  <si>
    <t>Postleitzahl finden</t>
  </si>
  <si>
    <t>Verfahren suchen</t>
  </si>
  <si>
    <t>Obter Setor Atendimento</t>
  </si>
  <si>
    <t>Die Station erhalten</t>
  </si>
  <si>
    <t>Objective: Support retrieving patient encounter department information;
Main functionalities: support users to retrieve the information of patient encounter department in general system functions;
People who use the function: General users.</t>
  </si>
  <si>
    <t>Personen suchen</t>
  </si>
  <si>
    <t>Systemmenü</t>
  </si>
  <si>
    <t>Organisationsstruktur</t>
  </si>
  <si>
    <t>Organisational Structure</t>
  </si>
  <si>
    <t>Função utilizada para realizar o cadastro dos setores e leitos da instituição</t>
  </si>
  <si>
    <t>Function used to register the departments, beds and all relevant business rules of the establishment</t>
  </si>
  <si>
    <t>Ärzteregister</t>
  </si>
  <si>
    <t>Provider Record</t>
  </si>
  <si>
    <t>Função utilizada para registro e manutenção de informações relacionadas a médicos. Suas principais funcionalidades são:
- Permitir o cadastro e manutenção de todas as informações do médico e pessoa física vinculada a ele, inclusive foto, se necessário;
- Permitir o cadastro e manutenção das informações adicionais do médico (especialidades, áreas de atuação, convênios, etc);
- Permitir o cadastro e controle da documentação necessária (registro, certificados, diplomas, etc), além do controle da validade dessa documentação;
- Permitir o acerto de duplicidade, carregando informações de um médico para outro quando necessário;
- Permitir a importação de cadastros de médicos seguindo um layout padrão já existente;
- Definir, cadastrar e controlar programas de pontuação médica;
- Visualizar e registrar avaliações referentes ao médico selecionado.</t>
  </si>
  <si>
    <t>Objective: Support management of physicians identification records; 
Main functionalities: support users to add and provide maintenance of physicians identification and all individual information linked to them, such as specialties, practice areas, health insurance agreements, medical university certificates, including the photo if necessary. Support the correctness of duplicity, loading information from one physician to another when needed to merge records, among other options; 
People who use the function: Information Technology and Chief Medical Information Office departments.</t>
  </si>
  <si>
    <t>Registro Completo de Personas</t>
  </si>
  <si>
    <t>Personenregister</t>
  </si>
  <si>
    <t>Função utilizada para registro e manutenção de todas as informações relacionadas às pessoas (pacientes ou não) existentes no sistema.
Suas principais funcionalidades são:
- Permitir o cadastro e manutenção de todas as informações da pessoa física, além do registro da foto do paciente se necessário;
- Fazer o acerto de duplicidade de cadastros, tanto do cadastro em si, quanto de bairros, cidades e endereços;
- Fazer e consultar avaliações/pesquisas referentes àquela pessoa que está sendo verificada;
- Visualizar a lista de todos os atendimentos da pessoa consultada;</t>
  </si>
  <si>
    <t>This functionality is used to record and maintain all information related to people in the system. _x000D_
Information is not limited to patients._x000D_
Its main features are: _x000D_
- Allow the registration and maintenance of all information of the individual, in addition to the registration of the patient's photo if necessary; _x000D_
- Support with rectification of duplicated records, both of the registration itself, as well as dempgraphic information. _x000D_
- Add and consult assessments / surveys related to the person.</t>
  </si>
  <si>
    <t>Persona Jurídica</t>
  </si>
  <si>
    <t>Juristische Person</t>
  </si>
  <si>
    <t>Function used to record and maintain all information related to legal entities related to and or associated to customer structure.
Its main features are: 
- Allow the registration and maintenance of all information of the legal entity, defining specific information for each establishment if necessary; 
- Allow the classification of legal entities by type; 
- Allow the correctness of duplication of registrations, checking all occurrences and information that will be changed before the transaction takes place; 
- Allow the creation and consultation of assessments related to the legal entity, in addition to the qualification level (when supplier).</t>
  </si>
  <si>
    <t>HPMS - Authorisation Request for Web Portal</t>
  </si>
  <si>
    <t>Development HPMS - Health Plan Management System</t>
  </si>
  <si>
    <t>OPS - Atendimento &amp; Contábil</t>
  </si>
  <si>
    <t>OPS - Administrativo &amp; Receitas</t>
  </si>
  <si>
    <t>Dicionário de Idiomas</t>
  </si>
  <si>
    <t>Diccionario de Idiomas</t>
  </si>
  <si>
    <t>Sprachen-Wörterbuch</t>
  </si>
  <si>
    <t>Language Dictionary</t>
  </si>
  <si>
    <t>CCI Knowledge Management</t>
  </si>
  <si>
    <t>Translation - English</t>
  </si>
  <si>
    <t>Objektwörterbuch</t>
  </si>
  <si>
    <t>Tec Java Desktop</t>
  </si>
  <si>
    <t>Bundesweites Personenverzeichnis</t>
  </si>
  <si>
    <t>Tipos de Habitación</t>
  </si>
  <si>
    <t>Unterkunftsarten</t>
  </si>
  <si>
    <t>The purpose of the function is to register and manage the hospital accommodation types.
As features, the function allows you to enter the code for the daily charge, which can be defined differently by agreement and by type.
It also allows defining the rule for charging daily differences. 
In addition, it is possible to define the daily turnaround time 
The function is generally used by the Billing sector</t>
  </si>
  <si>
    <t>Bearbeitungen</t>
  </si>
  <si>
    <t>Patientenkontostruktur</t>
  </si>
  <si>
    <t>O Objetivo dessa função é definir as regras das estruturas da conta.
Em resumo será definir quais itens fazem parte de qual estrutura.
Ex: Diária de Apartamento faz parte da estrutura de Diárias
      Taxa de Sala cirúrgica faz parte da estrutura de Taxas.
Essas estruturas e definições das regras de quem pertence a qual estrutura é definido nessa função.
A função é utilizada por usuários do setor de Faturamento</t>
  </si>
  <si>
    <t>Objective: Support the definition of rules for account structures for Patient Account report. _x000D_
Main functionalities: support users to define, manage and provide maintenance of Patient Account structures and the associated charges to print out in the Patient Account report. The configuration of structures, rules, formating, etc; can be defined by insurance, in case it is needed to print out different reports by insurance company. _x000D_
People who use the function: Billing department.</t>
  </si>
  <si>
    <t>Ausführung Verordnung</t>
  </si>
  <si>
    <t>Objetivo: Permitir o lançamentos de itens na conta do paciente, sem visualização de valores. 
Principais funcionalidades:
- Permite ajustar qualquer ítem na conta do paciente
- Permite lançamento manual de procedimentos na conta do paciente
- Permite lançamento manual de taxas na conta do paciente
- Permite lançamento manual de matmed na conta do paciente
Os lançamentos podem ser feitos via código de barras também
Usuários do setor de Enfermagem que utilizam a função para realizarem lançamentos nas contas. Esses usuários não precisam ter nenhum conhecimento nas regras 
de faturamento</t>
  </si>
  <si>
    <t>Objective: Support documenting charges in the Patient Account and updating Stock; 
Main functionalities: support users to document and provide maintenance to medical procedures, services, materials and medicines, without requiring a medical order, to update the Patient Account and Stock (both are optional via configuration parameters), commonly used in Emergency Department. The function offers options to add charges manually or via barcode reader, adjust the amount of the patient items, among other options;
People who use the function: Nurses, Pharmacy and other authorized departments.</t>
  </si>
  <si>
    <t>Leistungen</t>
  </si>
  <si>
    <t>Fat Público</t>
  </si>
  <si>
    <t>Objective: Support management of billing procedure codes and their structures; 
Main functionalities: support users to add and provide maintenance of billing procedure codes and their structures (layers: area, specialty, group and procedure);
People who use the function: Billing department.</t>
  </si>
  <si>
    <t>Pago de ARS</t>
  </si>
  <si>
    <t>Pago de Obra social</t>
  </si>
  <si>
    <t>Pago de aseguradora</t>
  </si>
  <si>
    <t>Kostenabwicklung mit Versicherung</t>
  </si>
  <si>
    <t>Objective: manage the insurance payment of patient accounts;
Main functionalities: document and manage banking deposits from insurances and payments of patient accounts, identifying paid, rejected and additional values for each item sent through the insurance protocol, following the contract agreements between hospital and insurance company; 
Users who use the function: Billing / Financial departments.</t>
  </si>
  <si>
    <t>Informes de exámenes</t>
  </si>
  <si>
    <t>Befundbericht Patient</t>
  </si>
  <si>
    <t>Utilizada para realizar o laudo médico dos exames realizados no paciente.
Tem como principais funcionalidades digitar, ouvir e ditar o laudo.
Utilizada por Técnicos e Médicos</t>
  </si>
  <si>
    <t>Vereinfachtes Personenregister</t>
  </si>
  <si>
    <t>Função utilizada para registro e manutenção das informações relacionadas à pessoa física, de uma maneira resumida, para que o atendimento e cadastro seja com maior eficiência e menor tempo.
Suas principais funcionalidades são:
- Permitir o cadastro e manutenção das principais informações da pessoa física, além do registro da foto do paciente se necessário;
- Exibir todas as informações necessárias em uma única tela, sem a necessidade de alteração de abas, a fim de agilizar o cadastramento da pessoa.</t>
  </si>
  <si>
    <t>Function used to record and maintain information related to individuals, in a summarized way, so that the attendance and registration is more efficient and less time consuming
Its main features are: 
- Allow the registration and maintenance of the main information of the individual, in addition to the registration of the patient's photo if necessary; 
- Display all the necessary information on a consolidated manner in order to streamline the person's registration.</t>
  </si>
  <si>
    <t>Abfrage EHR - Klinische Datensätze</t>
  </si>
  <si>
    <t>Ärztliche Diagnose</t>
  </si>
  <si>
    <t>Verordnungs-Bearbeitung</t>
  </si>
  <si>
    <t>Esta ferramenta é utilizada para realizar o atendimento dos materiais e medicamentos prescritos 
Ela tem sua utilização no setor de farmácia da instituição.
- Verificar as prescrições pendentes;
- Realizar o atendimento manual dos materiais e medicamentos;
- Realizar o atendimento por barras dos materiais e medicamentos;
- Verificar os materiais e medicamentos que foram atendidos, não atendidos e suspensos;
- Realizar a visualização e a impressão dos relatórios padrões da função.</t>
  </si>
  <si>
    <t>Factura</t>
  </si>
  <si>
    <t>Rechnung</t>
  </si>
  <si>
    <t>O objetivo dessa função é registrar a entrada dos produtos no estoque, bem como gerar a nota fiscal desses produtos e também a nota fiscal das prestações de serviços.
As principais funcionalidades são:
- Efetuar a entrada dos produtos no estoque.
- Gerar as notas fiscais de compras.
- Gerar as notas fiscais de prestação de serviço.
- Gerar os lotes de fornecedores.
- Enviar as notas para prefeitura / governo.
- Cadastrar os tributos para as notas.</t>
  </si>
  <si>
    <t>Objective: Support management of products and services invoices; 
Main functionalities: support users to document and manage products and services invoices, stock update, as well as to generate the accounts payable to suppier or service provider. The function offers several options to help invoice entry, such as purchase orders, receipt inspection, contracts, transfer to third parties, taxes automatic update according to business rules defined, generation of supplier batches of medicines and materials and labels printing, datamatrix barcode support, among others;
People who use the function: Purchase, Warehouse, Financial and other authorized departments.</t>
  </si>
  <si>
    <t>Retouren von an Patienten ausgegebenen Artikeln</t>
  </si>
  <si>
    <t xml:space="preserve">Esta ferramenta é utilizada para realizar a devolução dos materiais e medicamentos que foram atendidos
Ela tem sua utilização nos setores da farmácia e da enfermagem da instituição.
A Enfermagem gera a devolução dos materiais e medicamentos que não foram administrados no paciente e após envia para o setor da farmácia.
O Setor da farmácia recebe os materiais e medicamentos e realiza a baixa destes.
- Registrar a devolução de materiais e medicamentos;
- Parametrizar os processos da baixa;
- Verificar a devoluções pendentes para realizar a baixa;
</t>
  </si>
  <si>
    <t>Objective: Support management of materials and medicines orders return to stock; 
Main functionalities: support Nursing users to generate the return of materials and medicines that were not administered to the patient and then sends them to the pharmacy department. The pharmacy department receives the materials and medicines and update their balance at the stock location, manually or barcoding; 
People who use the function: Nursing and Pharmacy departments.</t>
  </si>
  <si>
    <t>Krankenhausbelegung</t>
  </si>
  <si>
    <t>Função utilizada para realizar o controle dos leitos, altas e internações da instituição.
	Suas principais funcionalidades são permitir realizar o inicio e fim da higienização, manutenção dos leitos, isolamento dos leitos e também pacientes.</t>
  </si>
  <si>
    <t>Objective: Support management of hospital occupancy;
Main functionalities: support users to consult and manage the hospital occupancy, offering several different options of displaying inpatient data, such as Departments Occupancy, which shows a summary of all departments with occupancy rate, as well as the detailed list of beds and patients by department, patients in alphabetical sequence, patients in discharge, occupancy by accommodation, new inpatient admissions, available beds, graphical view, occupancy map, among other options. This function also offers the possibility of performing some actions, like sanitization process after patient discharges, patient in isolation, bed reservation, patient transfers request, etc; 
People who use the function: Reception, Nurses and Bed Management departments.</t>
  </si>
  <si>
    <t>Rechnungsrücksendung</t>
  </si>
  <si>
    <t>Objective: Support management of invoice returns to supplier;
Main functionalities: support users to generate invoice returns to suppliers in case of delivery non conformities. The function bring the invoice items to be selected to return to supplier;
People who use the function: Purchase, Warehouse, Financial and other authorized departments.</t>
  </si>
  <si>
    <t>Patientenaktenkontrolle</t>
  </si>
  <si>
    <t xml:space="preserve">Utilizada para controle dos prontuários dos pacientes. Permite o cadastro de solicitações dos prontuários e o atendimento dessas solicitações.
</t>
  </si>
  <si>
    <t>Used to support managing patient records. It allows the registration of medical records requests and the fulfillment of these requests.</t>
  </si>
  <si>
    <t>Freigabe non-standard Medikamente</t>
  </si>
  <si>
    <t>Objective: Support management of non-standard medicines orders approval; 
Main functionalities: support users to consult non-standard medicines orders to analyze them and according to customer criterias approve or reject them to be dispensed and administered;
People who use the function: Pharmacy department.</t>
  </si>
  <si>
    <t xml:space="preserve">Transfer zwischen Behandlungen
</t>
  </si>
  <si>
    <t>Objective: Support transfering patient account charges between encounters of the same patient; 
Main functionalities: support users to transfer patient account charges between encounters that belong to the same patient;
People who use the function: Billing and Reception departments.</t>
  </si>
  <si>
    <t>Objective: Support management of Key Performance Indicators trough graphical dashboards;
Main functionalities: support users to consult and manage Key Performance Indicators, providing dashboards builder to be defined according to customer needs; 
People who use the function: Information Technology, C-Level and other authorized departments.</t>
  </si>
  <si>
    <t>Kit material</t>
  </si>
  <si>
    <t>Materialset</t>
  </si>
  <si>
    <t>Material kit</t>
  </si>
  <si>
    <t>Postleitzahlenregistrierung</t>
  </si>
  <si>
    <t>Função utilizada para registro e manutenção dos ceps utilizados no sistema.
Suas principais funcionalidades são:
- Permitir o cadastro e manutenção dos ceps existentes no sistema;
- Permitir a importação de ceps em dbf;
- Permitir a visualização da carga de ceps dos correios (cep internet);</t>
  </si>
  <si>
    <t xml:space="preserve">Objective: Support management of postal codes records. 
Main functionalities: allows the users to add, modify and provide maintenance of the postal codes to keep them up to date, import postal codes catalogs.
People who use the function: Information Technology department. </t>
  </si>
  <si>
    <t>Ausstellen von Laboruntersuchungen</t>
  </si>
  <si>
    <t>Função criada para ser utilizada no Tasy GWT, pois na versão Java trata-se de uma chamada externa.</t>
  </si>
  <si>
    <t>Objective: Support management of settings for Systematization of Nursing Care; 
Main functionalities: support users to add and provide maintenance of settings used at the Systematization of Nursing Care, such as nursing diagnoses, interventions, related factors, among other options;
People who use the function: Information Technology and Nursing departments.</t>
  </si>
  <si>
    <t>Ausstehende verordnete Leistungen</t>
  </si>
  <si>
    <t>Mitarbeiter-Zugriffsverwaltung</t>
  </si>
  <si>
    <t>Objective: To structure the processes of authorizing access to hospital areas;_x000D_
Main functionalities: it allows the users to define and manage steps for authoriztion access processes (e.g.: process for Residents to get access to the Operating Room; steps: Medical University Degree Certificate, Specialty University Declaration of Resident, ID, Medical Council ID, etc);_x000D_
People who use: Clinical areas for better managing the different processes of granting access to professionals.</t>
  </si>
  <si>
    <t>Bestandsbericht</t>
  </si>
  <si>
    <t>Relatório de consumo de materiais e medicamentos</t>
  </si>
  <si>
    <t>Prüfung eines Patientenkontos</t>
  </si>
  <si>
    <t>O objetivo dessa função é auditar os valores pagos do convênio, permitindo um controle dos itens glosados, com definição das glosas aceitas ou re-encaminhadas com justificativas, de forma eletrônica ou através de cartas de reapresentações.
Além disso a função permite baixar o título com os valores de glosa dessa auditoria.
A função é utilizada pelo Financeiro.</t>
  </si>
  <si>
    <t>Patientenkonto</t>
  </si>
  <si>
    <t>A conta paciente é uma função para ser utilizada pelo setor de Faturamento. Mas não impede que outros setores também a utilizem.
O setor de faturamento utiliza a função para fazer ajustes nas contas dos pacientes, tais como:
-Lançamento de materiais/medicamentos que por algum motivo não foram lançados (Diferente do processo de auditoria)
-Lançamento de procedimentos/Honorários/Taxas/Diárias
-Exclusão de itens da conta
-Desdobramento de contas, no caso de acordo para fechamento parcial da conta.
-Troca de convênio da conta
-Alteração de valor em itens (valor negociado sobre para esse paciente por exemplo)
-Geração de descontos, originados de algum acordo entre o paciente e o Hospital no caso de Particular ou algum acordo entre o Hospital e o Convênio
-Geração de pacotes, muito utilizado em todos os hospitais.
-Recálculo de contas, impressão de relatórios de informações da conta
-Faturamento de contas (Fechamento através da mudança de status para definitivo, e inclusão das mesmas em protocolo)
- No caso de particulares são gerados títulos ou notas fiscais direto pelo função conta paciente. No caso de contas de convênios são gerados NF e títulos pela função Protocolo convênio, pois quem pagará será o convênio e não o paciente como no caso de particular.
Outra funcionalidade que também é utilizada, é o controle das etapas da conta paciente.
Na pasta Etapas conta, são cadastradas ou geradas etapas para que o faturamento ou outro setor envolvido possa saber onde está a conta.</t>
  </si>
  <si>
    <t xml:space="preserve">Objective: Manage insurance and self pay (private) patient charges;_x000D_
Main functionalities: documenting and managing insurance and self pay patient accounts and charges. With the features available the users can make adjustments to patients' accounts, adding materials, medicines that for some reason have not been charged during patient treatment, adding procedures, physicians fees, hospital services, daily fees, packages, etc; in multiple patient accounts in case of co-payment or additional insurance company. Discounts, accounts recalculation, closing accounts, patient account report, invoicing and accounts receivable generation as well as including in the insurance protocol are key steps to revenue cycle management;_x000D_
Users who use the function: Billing department and other applicable authorized areas. </t>
  </si>
  <si>
    <t>Gestión de Recursos de Rechazo</t>
  </si>
  <si>
    <t>Widerspruchsmanagement</t>
  </si>
  <si>
    <t xml:space="preserve">Objetivo: Função utilizada para controle dos recursos de glosa de pagamentos dos convênios. Nesta função é possível saber quais os recursos abertos para determinados convênios, quais foram os itens recursados, o valor recursado para cada um e o motivo deste recurso
Utilizado por: Usuários do financeiro, faturamento e setor de glosas
</t>
  </si>
  <si>
    <t>Objective: Manage the item denials identified on the insurance payment. _x000D_
Main functionalities: allows the users to review which items denied by the insurance can be sent again with proper resource documentation in order to get paid. It also allows users to identify which items cannot be sent again and settle the accounts receivable pendencies classifying them as rejections. _x000D_
People who use the function: Financial, and Billing deparments.</t>
  </si>
  <si>
    <t>Objetivo: Realizar cópia de preços entre tabela de serviços.
A função é bem simples e a principal funcionalidade é a própria cópia, criando novos registros com uma nova vigência e um preço novo no qual é aplicado um índice de ajuste.
Setor que utiliza: Faturamento</t>
  </si>
  <si>
    <t>Passwort-Wiederherstellung</t>
  </si>
  <si>
    <t>Versionen-Verwaltung</t>
  </si>
  <si>
    <t>Função responsável por apresentar todas as informações relacionadas a versão, bem como, informações sobre builds.</t>
  </si>
  <si>
    <t>Betten-Service-Verwaltung</t>
  </si>
  <si>
    <t>Função utilizada para realizar o controle de serviços realizados nos leitos, como higienização e manutenção dos leitos.
	Suas principais funcionalidades são poder registrar o inicio e fim dos serviços, e criar serviços especificos para cada ação como transferência e alta.</t>
  </si>
  <si>
    <t>Objective: manage services performed on the beds, such as cleaning and maintenance of the beds. _x000D_
Main functionalities: record the beginning and end of services, and create specific services for each action such as transfer and discharge, which can trigger cleaning and disinfection taks, replacement of consumed items by the last patient, preventive actions, etc._x000D_
People who use the function: Hospital Services departments.</t>
  </si>
  <si>
    <t>Verwendung Materialien/Medikamente: Bericht</t>
  </si>
  <si>
    <t>Objective: Reporting medicines and materials used in Patient Accounts;
Main functionalities: allows the users to use several different filters, including type of value (purchase or sale), and different structures to report medicines and materials used by Patient Accounts;
People who use: Billing and Pharmacy departments.</t>
  </si>
  <si>
    <t>Permite gerir as informações dos títulos a receber/pagar no modelo do protocolo de transações Unimed, A580.
O objetivo do projeto de desenvolver uma funcionalidade onde a Unimed poder gerar e importar os arquivos de A580 de outras Unimeds, gerando o título a pagar em caso de importação, e gerando o arquivo com base nos títulos a receber.</t>
  </si>
  <si>
    <t xml:space="preserve">Fakturierungsaktualisierungen
</t>
  </si>
  <si>
    <t>O objetivo dessa função é permitir realizar alguns ajustes no Faturamento tais como: 
- Disparar a cobrança de diárias em atendimentos que não geraram a diária automaticamente pelo sistema, por algum problema de cadastro por exemplo.
- Transferir as contas que ficaram pendentes do mês anterior para o mês atual.
- Realizar algumas alterações em registros de contas que já estão em protocolo. Ex: Códigos de conversão do convênio, especialidade do médico, conta contábil, entre outros
A função é para o setor faturamento fazer os devidos ajustes</t>
  </si>
  <si>
    <t>The purpose of this function is to enable users to make some adjustments to Billing such as: 
- Triggering the collection of daily rates for calls that did not automatically generate the daily rate through the system, due to a registration problem, for example. 
- Transfer the accounts that were pending from the previous month to the current month. 
- Make some changes to account records that are already in protocol. Ex: Agreement conversion codes, physician's specialty, accounting account, among others 
The function is for the billing sector to make the necessary adjustments</t>
  </si>
  <si>
    <t>Web-Labor</t>
  </si>
  <si>
    <t>Função utilizada para consulta de resultados online, tanto pelo paciente, quando pelos usuários da instituição (médicos, bioquímicos, convênios, etc.).</t>
  </si>
  <si>
    <t>Alteración ARS Procedimiento Ejec.</t>
  </si>
  <si>
    <t>Essa função é pouca utilizada no delphi. No Java a mesma não foi migrada.
O Objetivo dessa função é realizar acertos de procedimentos, onde o convênio do item, ficou diferente do convênio da conta.
Essa função é utilizada por usuários do setor de Faturamento.</t>
  </si>
  <si>
    <t>Protocolo ARS</t>
  </si>
  <si>
    <t>Protocolo Obra Social</t>
  </si>
  <si>
    <t>Protocolo Aseguradora</t>
  </si>
  <si>
    <t>Versicherungsprotokoll</t>
  </si>
  <si>
    <t>Health Fund Protocol</t>
  </si>
  <si>
    <t>The purpose of the function is to control the sending of a set of accounts to the operator, effectively billing them. The concept of protocol used by Tasy, is the same as remittance, batch or invoice. 
In addition, the function has some reports, allows viewing of the accounts of the protocols, as well as their respective items. 
Users who use the function are Billing / Financial</t>
  </si>
  <si>
    <t>Alterar ARS Atención</t>
  </si>
  <si>
    <t>Essa função não foi migrada para o JAVA. Ficou apenas no Delphi, porém não está mais sendo utilizada, pois foi desenvolvido a função Alteração do Convênio do Atendimento, que é uma chamada externa dentro da função Entrada Única de Pacientes.
O Objetivo dessa função seria para trocar o convênio e categoria do atendimento.
A função é para os usuários do setor de Faturamento realizarem ajustes.</t>
  </si>
  <si>
    <t>Interne Mitteilung</t>
  </si>
  <si>
    <t>Tax obligations</t>
  </si>
  <si>
    <t>Função utilizada para troca de mensagens/comunicações entre os usuários conectados no sistema, além do recebimento de alertas ou informações de determinados processos e eventos.
Suas principais funcionalidades são:
- Permitir o envio/resposta/encaminhamento de uma comunicação para determinados usuários, perfis, setores, etc;
- Permitir a utilização de html para montagem da comunicação, permitindo a visualização de formulários ou figuras dentro do próprio campo texto da função;
- Permitir o agendamento de comunicações internas para envio posterior;
- Permitir a visualização dos usuários que já leram determinada comunicação interna;
- Permitir o envio e visualização de arquivos anexos à comunicação;</t>
  </si>
  <si>
    <t>Objective: Support exchanging messages / communications between users connected to the system, in addition to receiving alerts or information about certain processes and events. 
Its main features are: 
- Enable the sending / reply / forwarding of a communication to certain users, profiles, departments, etc; 
- Enable the user to assemble the communication, allowing the viewing of forms or figures within the function's own text field; 
- Enable the scheduling of internal communications for later sending; 
- Enable the visualization of users who have already read a certain internal communication; 
- Enable the sending and viewing of files attached to the communication;
People who use the function: All system users.</t>
  </si>
  <si>
    <t>Überweisung an Dritte</t>
  </si>
  <si>
    <t>Objective: Support users to manage physicians payments and other third party service providers; 
Main functionalities: support the users to add and manage the physicians and third party services to transfer their values to accounts payable, generating their taxes and other applicable discounts.
People who use the function: Financial and Accounts Payable departments</t>
  </si>
  <si>
    <t>Transferregeln und -kriterien</t>
  </si>
  <si>
    <t>Function used for registration and control of the rules that will be considered for the generation of transfer amounts paid to doctors by the institution 
Its main functionality is the registration of rules and the registration of third parties or doctors who will receive these payments 
Used by financial and accounts payable users</t>
  </si>
  <si>
    <t>Pflege</t>
  </si>
  <si>
    <t>Fragebogen</t>
  </si>
  <si>
    <t>Objective: Support management of Questionnaires to use them as Questions and Answers tool;_x000D_
Main functionalities: support users to build and provide maintenance of Questionnaires, their questions, possible answers and additional rules to use them as Questions and Answers tool;_x000D_
People who use the function: Information Technology and other authorized departments.</t>
  </si>
  <si>
    <t>Fragebogen zur Patientenreaktion</t>
  </si>
  <si>
    <t>Objective: Support management of questions answered via Questionnaire models;
Main functionalities: support manage the questions answered via Questionnaire models, identifying the ammount of answers by option available at the Questionnaire model;
People who use the function: Information Technology and other authorized departments.</t>
  </si>
  <si>
    <t>Função utilizada para registro das reuniões de sócios realizada para a distribuição dos lucros.</t>
  </si>
  <si>
    <t>Finance Report</t>
  </si>
  <si>
    <t>Função utilizada para cadastro das regras de distribuição de lucros utilizadas na função 'Dl - Distribuição de lucros'</t>
  </si>
  <si>
    <t xml:space="preserve">Função utilizada para controle das distribuições de lucros entre médicos conforme o tempo de serviço do profissional
</t>
  </si>
  <si>
    <t>Cotización de Pacientes</t>
  </si>
  <si>
    <t>Kostenvoranschläge Patienten</t>
  </si>
  <si>
    <t>Ojetivo: Registro de orçamento para atendimento do paciente ou diretamente para uma pessoa física, de acordo com padrões e regras pré-estabelecidas pela instituição.
O sistema aplica todas as regras comerciais do cadastro de convênio sobre os itens orçados, seguinte o valor real que seria cobrado na conta do paciente.
Utilizado pelos usuários de call center / recepção / comercial / faturamento</t>
  </si>
  <si>
    <t>Objective: Record budget for patient care or directly for an individual, according to standards and rules pre-established by the institution. 
The system applies all the commercial rules of the health insurance register on the budgeted items, following the actual amount that would be charged to the patient's account. 
Used by call center / reception / commercial / billing users</t>
  </si>
  <si>
    <t>OPS - Pago de Prestadores</t>
  </si>
  <si>
    <t>Krankenversicherung - Bezahlungen von Leistungserbringern</t>
  </si>
  <si>
    <t>Nova funcionalidade de pagamento médico, sendo gerado através de evento financeiros, produção médica ou de recurso de glosa.</t>
  </si>
  <si>
    <t>Liste mit den Eingriffen</t>
  </si>
  <si>
    <t xml:space="preserve">Objective: Support on surgeries reporting; 
Main functionalities:support users to report and print out list of surgeries performed;
People who use the function: Operating Room. </t>
  </si>
  <si>
    <t>Bearbeitung der Bestellung</t>
  </si>
  <si>
    <t>As principais funcionalidades dessa função são:
- Atender as requisições de consumo de materiais e medicamentos.
- Atender as requisições de transferências entre locais de estoque dos materiais e medicamentos.
- Consultar as requisições que estão pendentes de atendimento do setor.</t>
  </si>
  <si>
    <t>Objective: Support processing materials and medicines requests for consumption or transfer; 
Main functionalities: support users to process materials and medicines requests, updating  stock, allocating the cost center in case of consumption or transfering the balance to the other stock location. The function offers options for barcoding the items or manual processing, changing to similar item if needed, rejecting, among other options; 
People who use the function: Warehouse, Pharmacy, Nutrition and other stock departments.</t>
  </si>
  <si>
    <t>OPS - Portal</t>
  </si>
  <si>
    <t>O sistema deve permitir que o usuário da operadora de plano de saúde tenha centralizada as informações movimentadas no portal web da operadora (por exemplo, solicitação de inclusão de beneficiário), e consultar dados e parametrizações.</t>
  </si>
  <si>
    <t>Bestandsbilanzbericht</t>
  </si>
  <si>
    <t>Objective: Support on reporting of materials and medicines stock balance; 
Main functionalities: support users to report and print out the materials and medicines stock balance; 
People who use the function: Warehouse, Pharmacy, Financial, Accounting and other authorized departments.</t>
  </si>
  <si>
    <t>Rechnungs-Eingabe-Berichte</t>
  </si>
  <si>
    <t>Objective: Support reporting of processed entry invoices; 
Main functionalities: support users to report and print out the processed entry invoices; 
People who use the function: Warehouse, Pharmacy, Financial, Accounting and other stock departments.</t>
  </si>
  <si>
    <t>O objetivo da função é gerar código de barras para os produtos, bem como imprimir as etiquetas com o código de barras.</t>
  </si>
  <si>
    <t>Einkaufsbericht nach Lieferant</t>
  </si>
  <si>
    <t>Objective: Support reporting purchases by supplier;
Main functionalities: support users on reporting the purchases data by supplier;
People who use the function: Purchase department.</t>
  </si>
  <si>
    <t>Lagerbestand Konsignationsware</t>
  </si>
  <si>
    <t>Objective: Support on reporting of consigned stock monthly transactions; 
Main functionalities: support users to report and print out the consigned stock monthly transactions; 
People who use the function: Warehouse, Pharmacy, Financial, Accounting and other authorized departments.</t>
  </si>
  <si>
    <t>Emissão dos Atendimentos (Requisição/Prescrição)</t>
  </si>
  <si>
    <t>Ausgabe der Falldetails (Bestellung/Verordnung)</t>
  </si>
  <si>
    <t>ICD-10-Abfrage</t>
  </si>
  <si>
    <t>Objective: International Classification of Diseases (10th edition) search tool;
Main functionalities: support users to search for International Classification of Diseases  (10th edition) in order to document patient diagnoses;
People who use the function: Physicians, Nurses and other authorized departments.</t>
  </si>
  <si>
    <t>O objetivo dessa função é consultar as solicitações de compras, bem como a possibilidade de Liberar para a aprovação, e aprovar.</t>
  </si>
  <si>
    <t>Strategische Ansicht des Elements</t>
  </si>
  <si>
    <t xml:space="preserve">Strategic view of the item </t>
  </si>
  <si>
    <t>Scheckeingabe</t>
  </si>
  <si>
    <t>Cheque Entry</t>
  </si>
  <si>
    <t>Função utilizada para registro dos cheques emitidos pela instituição
Utilizada por usuários do financeiro e contas a pagar</t>
  </si>
  <si>
    <t>Obective: record checks data issued by the establishment. 
Main functionalities: record and manage checks data for payments. 
People who use the function: Financial and Accounts Payable Departments.</t>
  </si>
  <si>
    <t>Objective: Support on reporting of stock inventory transactions;
Main functionalities: support users to report and print out the inventory transactions to adjust stock balances; 
People who use the function: Warehouse, Pharmacy, Financial, Accounting and other authorized departments.</t>
  </si>
  <si>
    <t>Utilizado para gerar o consumo do material por barras. Gera apenas o movimento de saída do estoque.</t>
  </si>
  <si>
    <t>Barcode material and drug control function</t>
  </si>
  <si>
    <t>Materialregister</t>
  </si>
  <si>
    <t>As principais funcionalidades dessa função são:
- Cadastrar os itens que são usados de mogo geral no sistema.
- Cadastrar as estruturas dos materiais.
- Cadastrar os códigos de barras.
- Cadastrar os parâmetros relacionados a parte farmaceutica do item, como: Diluição, Reconstituição, doses, via administração, etc.
- Cadastrar os parâmetros relacionados a parte de armazenamento de estoque do item, como: Unidades de medida, localização dentro do estoque, barras, curva ABC, etc.
- Consultar informações de compras.
- Consultar preços.</t>
  </si>
  <si>
    <t>Objective: Support management of materials and medicines catalog; 
Main functionalities: support users to add and provide maintenance to the list of materials and medicines, as well as their structures, to be used accross the system for medical orders, stock management, purchase and invoice process, billing, among other areas. The function offers settings for pharmacy and other processes, such as dilution, reconstitution, therapeutic and standard doses, drug to drug interaction, administration route, administration supplies kits, unit of measure conversion, location within the stock, ABC curve, resupply levels, purchasing settings and logs, stock balances and several other options. It is possible to have pharmacy settings interfaced with external catalogs; 
People who use the function: Warehouse, Pharmacy, Nutrition and other authorized departments.</t>
  </si>
  <si>
    <t>Bericht über Monatsverbrauch nach Kostenstelle</t>
  </si>
  <si>
    <t>Monthly Consumption per Cost Centre Report</t>
  </si>
  <si>
    <t>Objective: Support on reporting of monthly consumption by cost center; 
Main functionalities: support users to report and print out the monthly consumption by cost center; 
People who use the function: Warehouse, Pharmacy, Financial, Accounting and other authorized departments.</t>
  </si>
  <si>
    <t>Generierung des Buchhaltungsstapels</t>
  </si>
  <si>
    <t>Objetivo: Gerar os movimentos contábeis;
Principais Funcionalidades: Permite ao usuário gerar as movimentações contábeis que são criadas através das parametrizações do sistema;
Pessoas que utilizam: Contadores e auxiliares contábeis.</t>
  </si>
  <si>
    <t>Objective: To generate general ledger transactions; 
Main Functionalities: It allows the user to generate the general ledger transactions that are created through the system parameterizations; 
People who use: Accountants and accounting assistants.</t>
  </si>
  <si>
    <t>Accounting record function</t>
  </si>
  <si>
    <t>Esta ferramenta é utilizada para conferir os materiais e medicamentos que foram atendidos.
Ela tem sua utilização no setor de farmácia da instituição.
- realizar a verificação dos materiais através da leitura por código de barras</t>
  </si>
  <si>
    <t>Verfahrenstabellen-Prüfung</t>
  </si>
  <si>
    <t>O objetivo da função é permitir a consulta/localização de procedimentos/procedimentos internos/exames de laboratório.
É utilizada em todo o sistema como uma chamada externa. Toda vez que o usuário for lançar algum procedimento o sistema permite ao usuário pesquisar/localizar o procedimento.</t>
  </si>
  <si>
    <t>Bestandsbewegungs-Bericht</t>
  </si>
  <si>
    <t>Objective: Support on reporting of not consigned stock monthly transactions; 
Main functionalities: support users to report and print out the not consigned stock monthly transactions; 
People who use the function: Warehouse, Pharmacy, Financial, Accounting and other authorized departments.</t>
  </si>
  <si>
    <t>Berichtszusammenfassung der Bewegungen</t>
  </si>
  <si>
    <t>Lagerverwaltung</t>
  </si>
  <si>
    <t>Esta ferramenta é utilizada para gerenciamento dos estoques e locais de armazenagem da instituição. Suas principais funcionalidades são:
- Consultar saldo de estoque dos materiais.
- Geração dos inventários dos materiais de estoque.
- Montagem dos kits.
- Consulta das movimentações de estoque.
- Valorização do estoque.
- Cadastrar a localização dos materiais dentro dos locais de estoque.
- Rastreabilidade dos produtos.</t>
  </si>
  <si>
    <t>This tool is used to manage the institution's stocks and storage locations. Its main features are: 
- Consult the stock balance of materials. 
- Generation of inventories of stock materials. 
- Assembly of kits. 
- Consultation of stock movements. 
- Inventory valuation. 
- Register the location of the materials within the stock locations. 
- Product and batch traceability.
People who use the function: Warehouse, Pharmacy, Nutrition and other stock departments.</t>
  </si>
  <si>
    <t>Lagertransferkontrolle</t>
  </si>
  <si>
    <t>O objetivo é gerenciar as mercadorias que são transferidas de um estabelecimento para o outro estabelecimento.
As principais funcionalidades são:
- Gerar as saídas de um estabelecimento.
- Gerar as entradas do outro estabelecimento.
- Gerar as notas fiscais dessa transferência.</t>
  </si>
  <si>
    <t>Objective: Support management of stock transfers between establishments;
Main functionalities: support users to add and manage transfers between establishments, generating the invoice to send the materials and medicines, as well as the invoice to receive the items in the other facility. The function offers options of purchase orders, standard items of the requesting stock location, approval process submission, among others; 
People who use the function: Warehouse, Pharmacy and Centralized Suply Distribution Center.</t>
  </si>
  <si>
    <t>Elektronische Unterapotheke</t>
  </si>
  <si>
    <t>Atender os materiais e medicamentos que são enviados através de uma integração com equipamento dispensário eletrônico.
- Realizar o atendimento dos materiais e medicamentos;
- Consultar log's dos materiais é medicamentos que foram atendidos nesta função.</t>
  </si>
  <si>
    <t xml:space="preserve">Objective: Support management of Electronic Dispensary interfaces;
Main functionalities: support users to consult and manage Electronic Dispensary interfaces, equipments, logs and received materials;
People who use the function: Information Technology and Pharmacy departments. </t>
  </si>
  <si>
    <t>Befundberichte überwachen</t>
  </si>
  <si>
    <t>Objective: Support monitoring patient exams medical reports results; 
Main functionalities: support users to monitor patient exams medical reports results, documenting follow-up notes related to patient exams progress;
People who use the function: Physicians and Radiology department.</t>
  </si>
  <si>
    <t>Lagerbuchbericht</t>
  </si>
  <si>
    <t>Objective: Support on reporting of not consigned stock monthly transactions by stock operation; 
Main functionalities: support users to report and print out the not consigned stock monthly transactions by stock operation; 
People who use the function: Warehouse, Pharmacy, Financial, Accounting and other authorized departments.</t>
  </si>
  <si>
    <t>Bericht über durchgeführte Untersuchungen</t>
  </si>
  <si>
    <t>Bericht über Falldetails</t>
  </si>
  <si>
    <t>Verwendete Medikamente und Materialien: Bericht</t>
  </si>
  <si>
    <t>Material Reports</t>
  </si>
  <si>
    <t>Bericht über Bestandsbilanz Konsignationswaren</t>
  </si>
  <si>
    <t>Objective: Support reporting of consigned stock balance; 
Main functionalities: support users to report and print out the consigned materials stock balance; 
People who use the function: Warehouse, Pharmacy, Operating Room and other stock departments.</t>
  </si>
  <si>
    <t>Bericht Eingriffs-Statistiken</t>
  </si>
  <si>
    <t>Rechnungsbericht je Sachkonto</t>
  </si>
  <si>
    <t>Objective: Support on reporting of processed entry invoices by General Ledger accounts; 
Main functionalities: support users to report and print out the processed entry invoices by General Ledger accounts; 
People who use the function: Warehouse, Pharmacy, Financial, Accounting and other authorized departments.</t>
  </si>
  <si>
    <t>Medicines per Doctor and Patient</t>
  </si>
  <si>
    <t>Falldetailbericht je Station</t>
  </si>
  <si>
    <t>Registro da Localização do Laudos (Antigo)</t>
  </si>
  <si>
    <t>Bilder des Patienten</t>
  </si>
  <si>
    <t>Procedimientos Requeridos por ARS</t>
  </si>
  <si>
    <t>Essa função não foi migrada para o Java e é pouco utilizada no Delphi. Não temos demanda de ajuste nessa função.
O Objetivo da função é consultar a receita dos atendimentos</t>
  </si>
  <si>
    <t>CIH - Control de Internación Hospitalaria (Nueva)</t>
  </si>
  <si>
    <t>Controle de pessoas</t>
  </si>
  <si>
    <t>Personenübersicht</t>
  </si>
  <si>
    <t>People control</t>
  </si>
  <si>
    <t>Função utilizada para análises e controles específicos para PF ou PJ (geração de etiquetas, seleção de aniversariantes, etc); 
Suas principais funcionalidades são:
- Permitir o registro e seleção de determinadas pessoas físicas ou jurídicas para controles específicos;
- Permitir a criação de grupos específicos de pessoas, a fim de classificá-las de acordo com a necessidade;
- Permitir a geração de títulos à receber para pessoas de determinado grupo, por exemplo, títulos de doação, ou sócios.</t>
  </si>
  <si>
    <t>Objective: Support grouping legal entities and / or natural persons for specific analyzes and reports; 
Main functionalities: support users to add and provide maintenance to groups of legal entities and / or natural persons, in order to classify them according to specific criterias for analyzes, reports and enabling other functions to use these groups to trigger actions;
People who use the function: Financial and other authorized departments.</t>
  </si>
  <si>
    <t>Report on inconsistencies in the purchasing process</t>
  </si>
  <si>
    <t>Material and medication consumption report</t>
  </si>
  <si>
    <t>Bericht über eingegebene Rechnungen</t>
  </si>
  <si>
    <t>Accounting report on inventory movements</t>
  </si>
  <si>
    <t>Reporte Hospitalizaciones por ARS</t>
  </si>
  <si>
    <t>Report of non-standardised medicine</t>
  </si>
  <si>
    <t>Função antiga. Utilizar o EIS Contas Pendentes Nova.</t>
  </si>
  <si>
    <t>Patienten-Kostenvoranschlag Web</t>
  </si>
  <si>
    <t>Krankenversicherung - Verwaltung von Service- und Leistungsprotokollen</t>
  </si>
  <si>
    <t>O sistema deve permitir configurar, gerir e consultar os protocolos de atendimento realizado pela operadora de plano de saúde.</t>
  </si>
  <si>
    <t>O sistema deve permitir realizar reajustes de preços de mensalidade, coparticipação, taxa de inscrição, sobre os beneficiários por individual/familiar ou coletivo, cadastrar regras e realizar consultas.</t>
  </si>
  <si>
    <t>Objective: Support automation of system quality tests; 
Main functionalities: support users to manage automated tests of the system to be configured and processed, in order to guarantee the system quality of new versions implementation; 
People who use the function: Information Technology department.</t>
  </si>
  <si>
    <t>Função antiga. Utilizar a função Indicadores de Gestão, pois já existe o Indicador Resultado Hospital dentro dessa.</t>
  </si>
  <si>
    <t>Result KPI per Hospital</t>
  </si>
  <si>
    <t>Controlled materials report</t>
  </si>
  <si>
    <t>Umsatzbericht</t>
  </si>
  <si>
    <t>Objective: Reporting revenue from Patient Accounts;
Main functionalities: allows the users to use several different filters to report the revenue from Patient Accounts;
People who use: Billing and Financial departments.</t>
  </si>
  <si>
    <t>Paket-Rentabilitätsbericht</t>
  </si>
  <si>
    <t>Verbrauchte Materialien und Medikamente je Eingriff</t>
  </si>
  <si>
    <t>Objective: Reporting medicines and materials used by surgical procedure;
Main functionalities: allows the users to use several different filters, including surgical procedure, to report medicines and materials used by surgical procedure;
People who use: Billing and Pharmacy departments.</t>
  </si>
  <si>
    <t>Financial report on supplier expenses</t>
  </si>
  <si>
    <t>Objective: Reporting the list of medicines and materials without billing price;
Main functionalities: allows the users to use several different filters to report a list of medicines and materials without billing price to charge with the insurances;
People who use: Billing and Pharmacy departments.</t>
  </si>
  <si>
    <t>Chemotherapie-Materialaufstockung</t>
  </si>
  <si>
    <t xml:space="preserve">The purpose of this function is to generate replacement requests for the storage locations of oncological handling booths.
People who use the function: Chemotherapy Pharmacy department.  </t>
  </si>
  <si>
    <t>Transfer von Lagerbestand der Chemotherapie</t>
  </si>
  <si>
    <t xml:space="preserve">The purpose of this function is to generate transfers to the storage locations of the oncological handling booths.
People who use the function: Chemotherapy Pharmacy department.  </t>
  </si>
  <si>
    <t>Reporte Precio Material por ARS</t>
  </si>
  <si>
    <t>Função antiga. Utilizar a função Indicadores de Gestão, pois já existe o Indicador Resultado por Procedimento dentro dessa.</t>
  </si>
  <si>
    <t>Result KPI per procedure</t>
  </si>
  <si>
    <t>Objective: Reporting billing packages profitability;
Main functionalities: allows the users to use several different filters and different structures to report the billing packages profitability;
People who use: Billing and Financial department.</t>
  </si>
  <si>
    <t>Rechnungsabteilungs-Bericht</t>
  </si>
  <si>
    <t>Objective: Reporting billing data by department;
Main functionalities: allows the users to use several different filters and different structures to report billing data;
People who use: Billing department.</t>
  </si>
  <si>
    <t>Umsatzberichtszusammenfassung nach Erlösgruppe</t>
  </si>
  <si>
    <t>Objective: Reporting revenue from Patient Accounts;
Main functionalities: allows the users to use several different filters and different structures, including Revenue Group classification, to report the revenue from Patient Accounts;
People who use: Billing and Financial departments.</t>
  </si>
  <si>
    <t>Arzthonorarsteuerungsbericht</t>
  </si>
  <si>
    <t>Report Control of Doctor's Fees</t>
  </si>
  <si>
    <t>Objective: Reporting Physicians' fees from Patient Accounts;
Main functionalities: allows the users to use several different filters and different structures to report Physicians' fees data from Patient Accounts;
People who use: Physicians, Billing and Financial departments.</t>
  </si>
  <si>
    <t>Reporte Protocolo ARS (Rayo-X)</t>
  </si>
  <si>
    <t>Reporte Protocolo ARS</t>
  </si>
  <si>
    <t>Personalakten</t>
  </si>
  <si>
    <t>Função utilizada para registro e manutenção de informações relacionadas às pessoas (sendo elas funcionários da instituição).
Suas principais funcionalidades são:
- Permitir o cadastro e manutenção de todas as informações da pessoa física, especificamente aos funcionários da instituição;
- Visualizar os históricos de movimentações que o funcionário sofreu desde a criação do registro;
- Visualizar e registrar avaliações referentes ao funcionário selecionado;
- Visualizar os treinamentos que o funcionário fez parte;
- Permitir a manutenção de cadastros específicos, relacionados aos funcionários (como cargo, perfis, etc);
- Visualizar os logs de acesso do funcionário no sistema;
- Registrar e acompanhar feedbacks feitos ao funcionário selecionado.</t>
  </si>
  <si>
    <t>Objective: Support management of information related to employees;
Main functionalities: Support users to document and provide maintenance to information related to employees. The function offers possibility of recording employee assessments, trainings completion, job title, picture, attachments, feedbacks documentation, among other options;
People who use the function: Human Resources and other authorized departments.</t>
  </si>
  <si>
    <t>Umsatzanalyse</t>
  </si>
  <si>
    <t>O Objetivo da função como o nome propriamente diz é realizar uma análise de contas. Extrair informações como (Moda/Mediana/Média) dos itens das contas em determinados períodos.
A função é utilizado por setores administrativos (Comercial/Faturamento)</t>
  </si>
  <si>
    <t>The purpose of the function is to perform an account analysis. Extract information such as (Median / Average) from account items in certain periods to support comparing prices. 
The function is used by administrative sectors (Commercial / Billing)</t>
  </si>
  <si>
    <t>Objective: Reporting performed exams;
Main functionalities: allows the users to use several different filters and different structures to report performed exams data;
People who use: Billing, Laboratory and Radiology department.</t>
  </si>
  <si>
    <t>Objective: Reporting medicines and materials used in Patient Accounts;
Main functionalities: allows the users to use several different filters, including stock location, and different structures to report medicines and materials used by Patient Accounts;
People who use: Billing and Pharmacy departments.</t>
  </si>
  <si>
    <t>Materialien und Medikamente je Falldetail: Bericht</t>
  </si>
  <si>
    <t>Objective: Reporting medicines and materials by patient encounter;
Main functionalities: allows the users to use several different filters and different structures to report medicines and materials  data by patient encounter;
People who use: Billing, Pharmacy and Nursing department.</t>
  </si>
  <si>
    <t>Internal</t>
  </si>
  <si>
    <t>Objective: Support visualization of automation of system quality tests results; 
Main functionalities: support users to consult the results of system 
automated tests, in order to assess the system quality of new versions implementation; 
People who use the function: Information Technology department.</t>
  </si>
  <si>
    <t>Probleme</t>
  </si>
  <si>
    <t>Objective: Support documentation of problems related to quality processes;
Main functionalities: support users to document problems related to quality processes;
People who use the function: Quality department.</t>
  </si>
  <si>
    <t>O sistema deve permitir realizar importação de dados externos para dentro do sistema de gestão da operadora de plano de saúde.</t>
  </si>
  <si>
    <t>Therapie-Verwaltung</t>
  </si>
  <si>
    <t>Objective: Support users to analyse, modify and submit medical orders in a Pharmacy and Nursing perspective;
Main functionalities: allows Pharmacists and Nurses to analyse medical orders, if needed modify therapeutic doses, medicines administration time slots and other parameters in order to guarantee patient safety and clinical excellence;
People who use: Pharmacists and Nurses.</t>
  </si>
  <si>
    <t xml:space="preserve">Schnittstelle </t>
  </si>
  <si>
    <t>Objetivo: Função utilizada para realizar exportações de arquivos em formato texto (.txt), com base no layout.</t>
  </si>
  <si>
    <t>Objective: Support management of text format (txt) interfaces;_x000D_
Main functionalities: allows users to import, export, add and modify text format interfaces and their structures to exchange information with external parties and systems._x000D_
People who use the function: Information Technology department.</t>
  </si>
  <si>
    <t>iOS - Sinais Vitais iPod</t>
  </si>
  <si>
    <t>iOS - Signos vitales iPod</t>
  </si>
  <si>
    <t>iOS - Vital Signs iPod</t>
  </si>
  <si>
    <t>iOS - Ganhos e Perdas iPod</t>
  </si>
  <si>
    <t>iOS - Ingresos y Egresos iPod</t>
  </si>
  <si>
    <t>iOS - Flüssigkeitsbilanz iPod</t>
  </si>
  <si>
    <t>iOS - Intakes &amp; Outputs iPod</t>
  </si>
  <si>
    <t>Berichts-Manager</t>
  </si>
  <si>
    <t>Objective: Support management of system reports and print outs; 
Main functionalities: support users to add, consult, duplicate and provide maintenance to system reports and print outs. The function already offers several system standard reports, as well as the possibility of the customer to customize them, by copying an existing report or creating from scratch. The reports can be configured to users, profiles and linked to functions in order to be used as a print out. In case of management reports, they can be loaded from Report Printing function; 
People who use the function: Information Technology.</t>
  </si>
  <si>
    <t>HPMS - Email Delivery Management</t>
  </si>
  <si>
    <t>Krankenversicherung - E-Mail-Sendeverwaltung</t>
  </si>
  <si>
    <t>O sistema deve permitir configurar, consultar e gerir os envios de relatórios por e-mail para os pagadores de contratos da operadora de plano de saúde.</t>
  </si>
  <si>
    <t>Permite gerir as informações de cobrança e inadimplência de títulos a receber de faturamento (A500) no modelo do protocolo de transações Unimed, A510.
O objetivo do projeto de desenvolver uma funcionalidade onde a Unimed poder enviar as cobranças e inadimplências de outras Unimeds.</t>
  </si>
  <si>
    <t>Função utilizada para gestão dos produtos da Philips bem como identificação se o produto é uma solução para prestadoras ou operadoras e até mesmo ambos. Informando tabelas, relatórios, indicadores de gestão e integrações por produto, classificados por módulos. 
Também é efetuado o cadastro da curva ABC de clientes por gerência.</t>
  </si>
  <si>
    <t>Ausstehende Genehmigungen</t>
  </si>
  <si>
    <t>Objective: Support management of pending approvals;
Main functionalities: support users to approve or reject pending processes, such as purchase requests, orders, quotation, invoices and other approval options, with multiple approval levels and several possibilities of conditions to define the structures to undergo to the approval processes;
People who use the function: Purchase, Financial, Hospital Administration and other authorized departments.</t>
  </si>
  <si>
    <t>Krankenversicherungen - Vertragsrücktrittsmanagement</t>
  </si>
  <si>
    <t>O sistema deve permitir que a operadora de plano de saúde consiga gerir e consultar as rescisões dos contratos.</t>
  </si>
  <si>
    <t>Empfangsinspektion</t>
  </si>
  <si>
    <t xml:space="preserve">O objetivo dessa função é avaliar como que o produto chegou no Hsopital, afim de avaliar se o fornecedor entregou a mercadoria conforme solicitado e em boas condições de uso.
As principais funcionalidades são:
- Registrar a quantidade real de entrega.
- Registrar a data real de entrega.
- Registrar as não conformidades do produto.
- Registrar as devoluções dos produtos não conformes.
- Gerar a nota fiscal de entrada de produtos.
- Gerar a avaliação do fornecedor.
</t>
  </si>
  <si>
    <t>The purpose of this function is to assess how the product arrived at Hospital to assess whether the supplier delivered the goods as requested and in good order. 
The main features are: 
- Record the actual delivery quantity. 
- Record the actual delivery date. 
- Record product non-conformities. 
- Record the returns of non-compliant products. 
- Generate the product receipt invoice. 
- Generate the supplier's evaluation.
People who use the function: Warehouse, Pharmacy, Nutrition and other stock departments.</t>
  </si>
  <si>
    <t>Produktdokumentation</t>
  </si>
  <si>
    <t>iOS - Capillary Glycemia management</t>
  </si>
  <si>
    <t>iOS - Capillary Glycaemia management</t>
  </si>
  <si>
    <t>Gestão de Qualidade Assistencial - GQA</t>
  </si>
  <si>
    <t>Pflegequalitätsmanagement</t>
  </si>
  <si>
    <t>Objective: Support patients clinical data consultation for statistical purpose;
Main functionalities: support users to consult and report patients clinical data for statistics;
People who use: Health Quality department.</t>
  </si>
  <si>
    <t>HPMS - SIB ANS - Beneficiary Information System</t>
  </si>
  <si>
    <t>O sistema deve permitir gerir, exportar e importar os dados dos beneficiários por arquivo XML para troca de informações entre operadora de plano de saúde e ANS.</t>
  </si>
  <si>
    <t>Patientenakte</t>
  </si>
  <si>
    <t>Objective: Support patient clinical documentation; 
Main functionalities: support users on documenting and consulting electronic medical records of patients in a consolidated repository where health, clinical and even administrative information related to patients can be stored. This function is structured in items, such as Health History, Vital Signs, Lab exams, Radiology exams, Diagnosis, Wounds and Dressings, Cancer treatment, among several other options, that can be granted the access acording to user profiles, supporting the custromers to guarantee patient safety and defining departmental processes;
People who use the function: Physicians, Nurses and other authorized departments.</t>
  </si>
  <si>
    <t>Performance Management</t>
  </si>
  <si>
    <t>Log-Verwaltung</t>
  </si>
  <si>
    <t>Objective: Support management of system logs
Main functionalities: support users to consult and manage system rules for saving logs structured by system functions according to customer needs;
People who use the function: Information Technology.</t>
  </si>
  <si>
    <t>Versionamento do Dicionário</t>
  </si>
  <si>
    <t>Pflegepersonal-Regelung</t>
  </si>
  <si>
    <t>Dokumentenprotokoll</t>
  </si>
  <si>
    <t>Function used for document control and traceability; 
Its main features are: 
- Allow the registration of protocols by type, grouping the items / documents within it; 
- Allow the identification of who and when the document was sent, to whom it arrived and where it is at the moment; 
- Allow control of copies, storage and disposal of protocol items.</t>
  </si>
  <si>
    <t>Managementindikatoren</t>
  </si>
  <si>
    <t>Indikatorenverzeichnis</t>
  </si>
  <si>
    <t>Objective: Support building and provide maintenance of indicators (Only applicable in Java);
Main functionalities: allows users to build and provide maintenance of indicators to view them at the Management of Indicators function;
People who use: Information Technology department.</t>
  </si>
  <si>
    <t>Inspektionsroute</t>
  </si>
  <si>
    <t>Objective: Support management of equipment quality inspection;
Main functionalities: support users to document, track and manage the equipment quality inspection routes, list of equipments assessed, activities performed, equipment change, among other options. 
People who use the function: Maintenance department.</t>
  </si>
  <si>
    <t>Wartungs-Dokumentation</t>
  </si>
  <si>
    <t>Função utilizada para visualizar e manter as informações de maneira unificada de todos os cadastros que fazem parte ou estão relacionados ao módulo de manutenção do sistema.
Suas principais funcionalidades são:
- Permitir a definição do nível de visualização (se por empresa, por estabelecimento ou geral) dos cadastros;
- Permitir o cadastro e manutenção das informações de todos os cadastros relacionados ao módulo de manutenção.</t>
  </si>
  <si>
    <t>Function used to view and maintain the information in a unified manner of all entries that are part of or related to the system maintenance module. 
Its main features are: 
- Allow the definition of the visualization level (whether by company, by establishment or general) of the registrations; 
- Allow the registration and maintenance of the information of registrations related to the maintenance module.</t>
  </si>
  <si>
    <t>Serviceauftragsverwaltung</t>
  </si>
  <si>
    <t xml:space="preserve">Função utilizada para visualização de todas as ordens de serviço que são pertinentes ao usuário, independente do tipo, sendo configurável de acordo com a necessidade do mesmo através de várias combinações de filtros;
Suas principais funcionalidades são:
- Permitir a criação e acompanhamento de ordens de serviço, informando o tipo da ordem que será criada;
- Permitir o registro de atividades realizadas do usuário, visualizando por dia o total de tempo gasto em todas as atividades (em ordem de serviço ou não);
- Permitir o cadastro e manutenção de dúvidas frequentes, separadas por tipo e palavras chave para maior agilidade na consulta, bem como definir os usuários ou setores que podem acessar determinados tipos de FAQ.
</t>
  </si>
  <si>
    <t xml:space="preserve">Function used to view service orders that are relevant to the user, regardless of the type, being configurable according to the user's need through various combinations of filters; 
Its main features are: 
- Allow the creation and monitoring of service orders, informing the type of order that will be created; 
- Allow the registration of activities performed by the user, viewing the total time spent on all activities per day (in order of service or not); </t>
  </si>
  <si>
    <t>Serviceauftrag (Neuer)</t>
  </si>
  <si>
    <t>Function used to register and view service orders according to their type; 
Main features: 
- Allow the creation and monitoring of service orders, not only for maintenance, but for requesting services or quality activities (document review, non-compliance actions); 
- Provide the user with a different view for each type of service order, keeping on screen only the information that is really relevant to the selected type; 
- Allow the visualization of contacts, addresses and telephone numbers (technical assistance) of the equipment to which the service order refers.</t>
  </si>
  <si>
    <t>Gerätekontrolle</t>
  </si>
  <si>
    <t>Função utilizada para controle dos equipamentos existentes na instituição
Suas principais funcionalidades são:
- Permitir o cadastro e manutenção das informações de equipamentos existentes na instituição;
- Permitir a classificação dos equipamentos por tipo;
- Permitir a criação e verificação de regras de manutenção preventiva, para geração de ordens de serviço de manutenção preventiva conforme datas/frequência informada;
- Permitir a visualização dos logs de criação destas ordens de serviço preventivas (abertas automaticamente);
- Permitir a restrição e liberação de acesso de determinados equipamentos à determinados usuários;
- Permitir o cadastro de informações padronizadas como Dano e descrição para abertura de ordens de serviço;
- Permitir a consulta de informações relacionadas ao equipamento cadastrado (bens, notas fiscais, orçamentos, etc);
- Permitir o controle e registro de informações relacionadas à calibração do equipamento;
- Permitir o controle de veículos existentes.</t>
  </si>
  <si>
    <t xml:space="preserve">Function used to manage the existing equipment in the institution 
Its main functionalities are: 
- Enable the registration and maintenance of information about existing equipment in the institution; 
- Allow the classification of equipment by type; 
- Allow the creation and verification of preventive maintenance rules, to generate preventive maintenance service orders according to the dates / frequency informed; 
- Allow viewing of the creation logs of these preventive service orders; 
- Allow the restriction and release of access of certain equipment to certain users; 
- Allow the registration of standardized information such as Damage and description for opening service orders; 
- Allow the consultation of information related to the registered equipment (goods, invoices, budgets, etc.); 
- Allow registration of information related to equipment calibration; 
</t>
  </si>
  <si>
    <t>Serviceauftrag</t>
  </si>
  <si>
    <t>Função utilizada para registro e controle das as ordens de serviço.
Suas principais funcionalidades são:
- Permitir a criação e acompanhamento de ordens de serviço, alocação de recursos, detalhamento do serviço, custos, orçamentos e materiais utilizados, etc;
- Permitir o acompanhamento das ordens de serviço enviadas à Philips, visualizando de maneira integrada informações da OS no cliente e na Philips, além do histórico de atividades realizadas pela Philips;
- Permitir o registro de atividades realizadas do usuário, visualizando por dia o total de tempo gasto em todas as atividades (em ordem de serviço ou não);
- Permitir o cadastro e manutenção de dúvidas frequentes, separadas por tipo e palavras chave para maior agilidade na consulta, bem como definir os usuários ou setores que podem acessar determinados tipos de FAQ.
- Permitir a visualização dos contatos, endereços e telefones (assistência técnica) do equipamento ao qual a ordem de serviço se refere;
- Permitir o envio de ordens de serviço à Philips, bem como o recebimento dos retornos e anexos via webservice.</t>
  </si>
  <si>
    <t>Materials report based on Brasindice</t>
  </si>
  <si>
    <t>Reporte Totales de las Cuentas por ARS</t>
  </si>
  <si>
    <t>Accounting Report</t>
  </si>
  <si>
    <t>SO-Fragebogen</t>
  </si>
  <si>
    <t>Rechnungen nach Sachkonto</t>
  </si>
  <si>
    <t>Reporte Atenciones por ARS</t>
  </si>
  <si>
    <t>Zugriffskontrolle</t>
  </si>
  <si>
    <t>Objective: Support management of access to patient data; 
Main functionalities: support users to define patient data protection business rules, as well as consult the access logs of all patient related data. This function was developed to support hospitals to meet legal data protection requirements (GDPR in Europe, LGPD in Brazil) and offers settings for user groups, patient groups, access rules, permissions by user groups, teams, departments and system profiles, as well as content personalization to define rules for viewing tabs, filters, lists, panels, etc;
People who use the function: Information Technology department.</t>
  </si>
  <si>
    <t>Objective: checks received report</t>
  </si>
  <si>
    <t>Verbindlichkeits-Bericht</t>
  </si>
  <si>
    <t>Objective: Support reporting Accounts Payable data;
Main functionalities: support users to report Accounts Payable data, with several different filters, printing structures and fields;
People who use the function: Financial and Accounts Payable departments.</t>
  </si>
  <si>
    <t>Objective: Support reporting Accounts Receivable data;
Main functionalities: support users to report Accounts Receivable data, with several different filters, printing structures and fields;
People who use the function: Financial and Accounts Receivable departments.</t>
  </si>
  <si>
    <t>Funcionalidade para o monitoramento de riscos financeiros que podem gerar prejuízo ou impactar de forma negativa para operadora de plano de saúde.</t>
  </si>
  <si>
    <t>OPS - Recursos de Rechazos de Empresas</t>
  </si>
  <si>
    <t>HPMS - Company Denial Appeals</t>
  </si>
  <si>
    <t>Funcionalidade para a operadora gerir as glosas recebidas sobre sua produção de contas médicas cobradas para uma fundação ou empresa, seguindo o modelo padrão da TISS.</t>
  </si>
  <si>
    <t>Klinisches Panorama</t>
  </si>
  <si>
    <t>Objective: Support management of hospital beds and patients notifications. 
Main functionalities: Clinical panorama offers clear visualization of patient priorities, tasks, alerts and other pertinent clinical information with intuitive icons, allowing the users to quickly launch other functions like Electronic Patient Summary, Electronic Patient Chart and Electronic Medication Administration Records.
This function also has the added benefit of easy bed management through drag and drop functionality, making it easier and faster to manage patient movement with accuracy and traceability
People who use: Phycicians, nursing staff and care proviers.</t>
  </si>
  <si>
    <t>Fall-Zusammenfassung</t>
  </si>
  <si>
    <t>Loc DACH</t>
  </si>
  <si>
    <t>Loc DACH CE</t>
  </si>
  <si>
    <t>Objective: Provide Case Summary information;
Main functionalities: support users to find Case Summary information. 
People who use the function: Physicians, Nurses, Reception and other authorized departments.</t>
  </si>
  <si>
    <t>Gesundheitsversorgung der Bevölkerung</t>
  </si>
  <si>
    <t>Os serviços de saúde devem estar organizados de forma a atender as diversas regiões nacionais, através da sua distribuição a partir de bases populacionais, bem como devem identificar as necessidades de saúde de cada região.
Essa funcionalidade serve para a gestão dos cidadãos, que são atendidos na atenção primária, sendo distribuídas  por residências, microrregiões e regiões.
Nesta funcionalidade é possível realizar a gestão dos seguintes itens: 
   Consultas realizadas e os tipos de serviços de saúde
   Pendências de vacinas, exames e receitas
   Foco de doenças e problemas dos cidadãos
      Condições das residências dos cidadãos: tipo de domicílio, abastecimento de água, energia elétrica, entre outros aspectos.</t>
  </si>
  <si>
    <t>Objective: Support management of population health oriented by physicial addresses;_x000D_
Main functionalities: support users to identify the population localization in order to manage the risk factors and support decision making to determine healthcare actions and support needed;_x000D_
People who use: Primary Care department.</t>
  </si>
  <si>
    <t>OPS - Gestión de Datos Actuariales</t>
  </si>
  <si>
    <t>HPMS - Actuarial Data Management</t>
  </si>
  <si>
    <t>Validação do Episódio</t>
  </si>
  <si>
    <t>Fall-Prüfregeln</t>
  </si>
  <si>
    <t>Krankenversicherung - Zeitplan der Gruppenpreiserhöhung</t>
  </si>
  <si>
    <t>O sistema deve permitir consultar e aplicar reajuste sobre os contratos coletivo empresarial da operadora de plano de saúde.</t>
  </si>
  <si>
    <t>HPMS - Billing Notice (A520)</t>
  </si>
  <si>
    <t>Função desenvolvida exclusivamente para atender ao protocolo de transações Unimed, onde será enviado e recebido o aviso de cobrança de contas de atendimento médico em intercâmbio.</t>
  </si>
  <si>
    <t>Diagnosebezogene Fallgruppe (DRG)</t>
  </si>
  <si>
    <t>Objective: Diagnosis Related Group (DRG) tool; 
Main functionalities: support users to consult Diagnosis Related Group (DRG) data;
People who use the function: Billing and other authorized departments.</t>
  </si>
  <si>
    <t>Cambio de Datos con ARS</t>
  </si>
  <si>
    <t>Versicherungsdatenaustausch</t>
  </si>
  <si>
    <t>Objective: Exchanging data with insurance (German legal standards);
Main functionalities: allows the users to send and receive data from insurances, following legal standards;
People who use: Billing department.</t>
  </si>
  <si>
    <t>Arbeitsunfall (DALE-UV)</t>
  </si>
  <si>
    <t>Objective: Reporting and managing the work accidents notification;
Main functionalities: allows the users to define rules for reporting work accidents, and manage the notifications;
People who use: Administrative departments.</t>
  </si>
  <si>
    <t>OPS - Control de Correspondencia Digital</t>
  </si>
  <si>
    <t>Versicherung - Digitale Korrespondenzkontrolle</t>
  </si>
  <si>
    <t>HPMS - Digital Correspondence Control</t>
  </si>
  <si>
    <t>Unterstützung klinischer Entscheidungen - Mentor</t>
  </si>
  <si>
    <t>Objective: Manage Clinical Decision Support business rules;
Main functionalities: allow the users to configure and manage the Clinical Decision Support business rules for triggering protocols and order sets according to patients events (vital signs, exam results, diagnosis, etc) to treat patients following hospital standards;
People who use: Physicians and other healthcare professionals responsible for driving clinical excellence.</t>
  </si>
  <si>
    <t>Objective: Trigger Clinical Decision Support;_x000D_
Main functionalities: allow the users to get warnings, consult, order or reject Clinical Decision Support events;_x000D_
People who use: Physicians and other healthcare professionals responsible for driving clinical excellence.</t>
  </si>
  <si>
    <t>To-do-Liste</t>
  </si>
  <si>
    <t>Loc BNU - Caldas</t>
  </si>
  <si>
    <t>Loc BNU - Caldas - Management</t>
  </si>
  <si>
    <t>Objective: Support management of pending tasks related to patients;
Main functionalities: support users to add and provide maintenance to pending tasks business rules, in order to add pendencies to users due to lack of system actions. The function a worklist for the users to find their pendencies and guide them to the function needed to perform the activity;
People who use the function: Physicians, Nurses and other authorized departments.</t>
  </si>
  <si>
    <t>Objective: Support management of Clinical Board meetings and patient cases to be discussed; 
Main functionalities: support users to organize meetings, defining the patient cases to be discussed and studied.
People who use the function: Physicians and other authorized departments.</t>
  </si>
  <si>
    <t>Warteliste</t>
  </si>
  <si>
    <t>Objective: Support management of Patients in the Waiting List;
Main functionalities: support users to add and manage the Patients Waiting List to schedule exam, consultations, medical procedures; 
People who use the function:  Scheduling department.</t>
  </si>
  <si>
    <t>Regulationsverwaltung</t>
  </si>
  <si>
    <t>O processo de regulação trata-se do gerenciamento da oferta e demanda por determinado serviço, por meio de fluxos, protocolos assistenciais, centrais de leitos, consultas e exames, como complexos reguladores. Com o objetivo de garantir o melhor aproveitamento e organização dos serviços oferecidos, o acesso ao serviço de saúde, a equidade, a resolubilidade e a humanização, visando atender o maior número de pessoas que precisam do serviço, considerando o grau de
necessidade de cada um.
Essa funcionalidade serve para a gestão desta regulação, sendo possível realizar a gestão dos seguintes itens:
  Acompanhamento das solicitações de serviços
  Históricos dos estágios e das prioridades
  Visualização do encaminhamento para auditoria, lista de espera ou agendamento</t>
  </si>
  <si>
    <t>Objective: Support management of Emergency Ambulance calls regulation;
Main functionalities: support users to record and manage Emergency Ambulance calls, document way of work to provide regulation service, forwarding to the professionals involved to assess the Emergency calls and provide assistance documentation according to the patient risk classification;
People who use: Emergency Ambulance department.</t>
  </si>
  <si>
    <t>Falldetail-Liste</t>
  </si>
  <si>
    <t>Exibe uma relação de atendimentos e informações destinadas para tomada de decisão na recepção do paciente, como tempos de atendimento, agendas e seus horários.</t>
  </si>
  <si>
    <t>Tafel der Dienstleistungen der Ernährung</t>
  </si>
  <si>
    <t>Objective: Support visualization of patient nutrition diets from medical orders;
Main functionalities: support users to consult the list of patient nutrition diets submitted via medical orders and the identification of patients without nutrition plan ordered;
People who use the function: Nutrition department.</t>
  </si>
  <si>
    <t>Web Suite Concurrent Audit</t>
  </si>
  <si>
    <t>Chemotherapie-Belegungs-Verwaltung</t>
  </si>
  <si>
    <t>Oncology Planning</t>
  </si>
  <si>
    <t>Painel que será utilizado para alocar e visualizar pacientes nas acomodações de quimioterapia.</t>
  </si>
  <si>
    <t>Objective: Support outpatient clinical documentation; 
Main functionalities: support users on outpatient clinical documentation. This function is similar to the function Electronic Patient Chart, using the same system tables, but oriented to Outpatients;
People who use the function: Physicians, Nurses and other authorized departments.</t>
  </si>
  <si>
    <t>Apothekenparameter</t>
  </si>
  <si>
    <t>Stapelsignaturverwaltung</t>
  </si>
  <si>
    <t>PDA - Verordnungsstapel-Bearbeitung</t>
  </si>
  <si>
    <t>PDA - Bearbeitung der Anforderung</t>
  </si>
  <si>
    <t>PFCS - Einstellungen</t>
  </si>
  <si>
    <t>CLOC - Clinical Command Center</t>
  </si>
  <si>
    <t>CLOC Machu Picchu</t>
  </si>
  <si>
    <t>PFCS - Notaufnahme</t>
  </si>
  <si>
    <t>Service-Datensatz</t>
  </si>
  <si>
    <t>Objective: Support management of Service options to used to open Service Orders;
Main functionalities: support users to add and manage the list of Services available to be selected at the Service Orders function, when opening a new entry with the option "Service". The function supports to configure pre-defined texts, departments, work and planning group, planned executors, attachments, among other options;
People who use the function: Maintenance, Information Technology and other authorized departments.</t>
  </si>
  <si>
    <t>Übersicht "Klinisches Panorama"</t>
  </si>
  <si>
    <t>PFCS - Bettenverwaltung</t>
  </si>
  <si>
    <t>CLOC El Dorado</t>
  </si>
  <si>
    <t>ZSVA-Management</t>
  </si>
  <si>
    <t>Esta ferramenta é utilizada para realizar o controle das esterelizaçãos dos materiais especiais
Ela tem sua utilização no setor de CME a instituição.
- Realizar os cadastros gerais dos processos da função;
- Administrar/controlar os conjuntos a serem enviados para a esterilização;
- Controlar os ciclos de esterilizações que estão sendo realizados;
- Controlar a quantidade de conjuntos esterilizados e contaminados;
- Realizar o controle de recebimento e envio para esterilizações externas;
- Realizar transferêcias de conjuntos para outros estebelecimentos;
- Controlar o recebimento no expurgo e os ciclos de lavagem;
- Consultar os conjuntos que estão vinculados as cirurgias;
- Realizar a impressão de etiquetas e de relatórtios padrões da função;</t>
  </si>
  <si>
    <t>This tool is used to support users to manage the sterilization of special materials. 
- Administration and management of the sets to be sent for sterilization; 
- Register the sterilization cycles that are being performed; 
- Assess the quantity of sterilized and contaminated sets; 
- Perform the control of receiving and sending for external sterilizations; 
- Make transfers of sets to other establishments; 
- Record the receipt in the purge and the washing cycles; 
- Consult the sets that are linked to the surgeries; 
- Printing labels and standard reports of the function;</t>
  </si>
  <si>
    <t xml:space="preserve">Esta ferramenta é utilizada para cadastrar os itens físicos do CME (Central de materiais especiais)
Ela tem sua utilização no setor de CME a instituição.
Esta função possui as funcionalidades:
- Cadastrar os itens físicos
- Controlar os itens físicos
</t>
  </si>
  <si>
    <t>PFCS - Telemetrie</t>
  </si>
  <si>
    <t>CLOC Atlantis</t>
  </si>
  <si>
    <t>Setanforderung</t>
  </si>
  <si>
    <t>Tray Requisition</t>
  </si>
  <si>
    <t>This tool is used to request the sterilized instruments sets to be used in the various clinical departments. 
It has its use in the surgical and examination departments of the institution. 
- Department requests the sets to be used, including surgical schedules; 
- Manage execution request process; 
- Consult and support process for the returned sets;</t>
  </si>
  <si>
    <t>PFCS - OP-Bereich</t>
  </si>
  <si>
    <t>PFCS - Surgical Centre</t>
  </si>
  <si>
    <t>PFCS - Unternehmens-Sicht</t>
  </si>
  <si>
    <t>PFCS - Covid-19</t>
  </si>
  <si>
    <t>Cadastro de Consentimento</t>
  </si>
  <si>
    <t>Registro de Consentimiento</t>
  </si>
  <si>
    <t>Einwilligungsregistrierung</t>
  </si>
  <si>
    <t>Consent Record</t>
  </si>
  <si>
    <t>Durchführung der Notfallkarte</t>
  </si>
  <si>
    <t xml:space="preserve">Esta ferramenta é utilizada para realizar o lançamento de materiais e medicamentos ao paciente sem atendimento gerado no hospital;
Ela tem sua utilização no setor de emergência da instituição;
- O lançamento de materiais e medicamentos por barras, utilizando um cartão para cada paciente;
- Conultar os materiais e medicamentos lançados sem vinculo com paciente;
- Vincular o atendimento aos materiais e medicamentos que foram lançados no cartão;
- Consultar os materiais e medicamentos que foram lançados no atendimento vinculado.
</t>
  </si>
  <si>
    <t>Objective: Support documenting materials and medicines with barcode readears linked to emergency cards;
Main functionalities: support users to document, with barcode readers, materials and medicines linked to an emergency card, in order to update stock and document all charges. After emergency care and proper identification of patient the funtion offers the option to link the emercency card to the patient encounter;
People who use the function: Nurses, Physicians and Emergency departments.</t>
  </si>
  <si>
    <t>Hämotherapie</t>
  </si>
  <si>
    <t xml:space="preserve">Hemoterapia Utilizada para o gerenciamento de banco de sangues e agências transfusionais. Consiste em cadastrar o doador, realizar triagem, coleta, produção de hemocomponentes,Reserva de hemocomponentes e trasfusão.
</t>
  </si>
  <si>
    <t>Hemotherapy Used for the management of blood banks and transfusion agencies. It consists of registering the donor, carrying out sorting, collection, production of blood components, reserve of blood components and transfusion.</t>
  </si>
  <si>
    <t>Kostenberechnung - Einstellungen</t>
  </si>
  <si>
    <t>Objetivo: Gerar os cadastros básicos para o funcionamento da função 927 - Apuração de Custo;
Principais Funcionalidades: Permite ao usuário realizar todos os cadastros necessários como Centros de resultado, naturezas de gastos, tabelas, para o funcionamento da função 927 - Apuração de Custos;
Pessoas que utilizam: Contadores e gestores de Custos.</t>
  </si>
  <si>
    <t>Objective: To generate the basic records for the cost calculation function; 
Main Functionalities: It allows the user to make all necessary entries such as Result Centers, nature of expenses, tables, for the cost calculation function; 
People who use: Accountants and Cost managers.</t>
  </si>
  <si>
    <t>Bericht über Eingriffe</t>
  </si>
  <si>
    <t>Versicherungsgesellschaft Grafiken</t>
  </si>
  <si>
    <t>HAIs Indicator Graphs</t>
  </si>
  <si>
    <t xml:space="preserve">Gráficos de visualização das infecções hospitalares
</t>
  </si>
  <si>
    <t>Objective: Support graphical visualization for Healthcare-Associated Infections indicators;
Main functionalities: support users to consult graphical indicators related to Healthcare-Associated Infections;
People who use the function: Healthcare-Associated Infections department.</t>
  </si>
  <si>
    <t>Avaliação de Risco para Tromboembolismo Venoso (TEV)</t>
  </si>
  <si>
    <t>Risikobeurteilung für venöse Thromboembolie (VTE)</t>
  </si>
  <si>
    <t>Datenimport</t>
  </si>
  <si>
    <t>Função utilizada para realizar a carga de tabelas de informações externas para o Tasy.
Suas principais funcionalidades são:
- Realizar a carga de tabelas de preços de faturamento (Brasíndice, CBHPM, entre outras);
- Realizar a carga de CEPs com base nas informações disponibilizadas pelos Correios;
- Realizar a carga de informações da tabela TUSS;
- Realizar a carga de informações do CID;
- Entre outras informações externas.
A função é utilizada por colaboradores responsáveis pela importação e manutenção dos dados dentro do sistema.</t>
  </si>
  <si>
    <t xml:space="preserve">Objective: Support loading external data files to populate system catalogs;
Main functionalities: Support users to load data files to populate system catalogs, such as price tables for materials, medicines, services, medical procedures, as well as postal codes, International Classification of Deseases, Excel files for fill system tables, among other options; 
People who use the function: Information Technology, Billing and other authorized departments. </t>
  </si>
  <si>
    <t>Stapel mit externen Untersuchungen</t>
  </si>
  <si>
    <t>Função utilizada para geração de lotes que serão enviados para laboratórios terceiros.
A principal funcionalidade é controlar o envio de pedidos para laboratórios terceiros e realizar a importação dos resultados retornados.</t>
  </si>
  <si>
    <t>Function used to generate batches that will be sent to third party laboratories. 
The main functionality is to support with management and the sending of orders to third-party laboratories and to import the returned results.</t>
  </si>
  <si>
    <t>Laborschnittstelle</t>
  </si>
  <si>
    <t>Função utilizada para realizar o interfaceamento de exames.
A principal funcionalidade é controlar o envio de pedidos para as interfaces terceiras e importar os resultados retornados.</t>
  </si>
  <si>
    <t>Function used for interfacing of exams. 
The main functionality is to manage the exchange of orders to third party interfaces and import the returned results.</t>
  </si>
  <si>
    <t>Labor-Informationsmanagement</t>
  </si>
  <si>
    <t>Função utilizada para realizar no sistema o processo de área técnica do laboratório, desde a entrada da amostra até a inserção/consulta dos resultados.
A principal funcionalidade é controlar as etapas dentro do processo de laboratório.</t>
  </si>
  <si>
    <t>Function used to support the workflow and process of the technical area of the laboratory in the system, from the entry of the sample information, result typing and consultation of the results. 
The main functionality is to manage the steps within the laboratory process.</t>
  </si>
  <si>
    <t>Untersuchungsabfrage</t>
  </si>
  <si>
    <t>Função utilizada para consulta de todos os dados envolvendo a parte laboratorial, desde rastreabilidade de etapas até a consulta do resultado.</t>
  </si>
  <si>
    <t>Function used to consult all data involving the laboratory workflow, from traceability of steps to the query of the result perspective.</t>
  </si>
  <si>
    <t>Daten zu verordneten Proben</t>
  </si>
  <si>
    <t>Untersuchungsstapel</t>
  </si>
  <si>
    <t>Objective: Support grouping laboratory exam requests in batches; 
Main functionalities: support users to group laboratory exam requests in batches to process them together;
People who use the function: Laboratory department.</t>
  </si>
  <si>
    <t>Probenbank-Verwaltung</t>
  </si>
  <si>
    <t>Laboruntersuchungen</t>
  </si>
  <si>
    <t>Pathology</t>
  </si>
  <si>
    <t>Função utilizada para realizar o cadastro dos exames, com seus respectivos analitos e dados vinculados ao exame.</t>
  </si>
  <si>
    <t>Function used to register the exams, with their respective business rules, material options, methods, result formating, data linked to the exam, reference result values, etc.</t>
  </si>
  <si>
    <t>Arzt</t>
  </si>
  <si>
    <t>Doctor</t>
  </si>
  <si>
    <t>Arzneimittel</t>
  </si>
  <si>
    <t>Protokoll</t>
  </si>
  <si>
    <t>Batch</t>
  </si>
  <si>
    <t>Gruppe</t>
  </si>
  <si>
    <t>Labor</t>
  </si>
  <si>
    <t>Tipo exame</t>
  </si>
  <si>
    <t>Untersuchungsart</t>
  </si>
  <si>
    <t>Exam type</t>
  </si>
  <si>
    <t>Versicherung</t>
  </si>
  <si>
    <t>Behandlungen</t>
  </si>
  <si>
    <t>Termindaten</t>
  </si>
  <si>
    <t>Falldetails</t>
  </si>
  <si>
    <t>Textbearbeiter</t>
  </si>
  <si>
    <t>Abrechnung</t>
  </si>
  <si>
    <t>EIS-Zeitplan</t>
  </si>
  <si>
    <t>EIS-Diagnose</t>
  </si>
  <si>
    <t>EIS-Zertifikat</t>
  </si>
  <si>
    <t>Genehmigungen</t>
  </si>
  <si>
    <t>Zeitplan einrichten</t>
  </si>
  <si>
    <t xml:space="preserve">Parameter </t>
  </si>
  <si>
    <t>Eingriff - Tabelle</t>
  </si>
  <si>
    <t xml:space="preserve">Privat </t>
  </si>
  <si>
    <t>Objective: Support mnagement of private schedule, notes, contact information, among other information;
Main functionalities: support users to manage personal / private information, such as schedule, notes, contact information, among other information, and define access rules to other users if needed. General contact information, internal telephone numbers can also  be available for consultation;
People who use the function: All system users.</t>
  </si>
  <si>
    <t>Referenzen</t>
  </si>
  <si>
    <t>Texte</t>
  </si>
  <si>
    <t>Umsatzregister</t>
  </si>
  <si>
    <t>Arbeitsunfähigkeitsbescheinigung</t>
  </si>
  <si>
    <t xml:space="preserve">Medical certificate </t>
  </si>
  <si>
    <t>Texto adicional</t>
  </si>
  <si>
    <t>Zusätzlicher Text</t>
  </si>
  <si>
    <t xml:space="preserve">Pedido </t>
  </si>
  <si>
    <t>Gesuch</t>
  </si>
  <si>
    <t>Rezepte</t>
  </si>
  <si>
    <t>Debitoren-Verwaltung</t>
  </si>
  <si>
    <t>Função utilizada para controle e manutenção dos títulos a receber pela instituição. Tem como principal funcionalidade, registrar títulos, baixar, alterar vencimentos, alterar cedente e registro de tributos dos títulos. Utilizada por usuários do financeiro e contas a receber.</t>
  </si>
  <si>
    <t>Objective: manage and provide maintenance of accounts receivable;
Main functionalities: allows users to manage the accounts receivable generated by insurance protocols, patient accounts, invoices, etc; add manual accounts receivalbe if needed, track expiring dates, original and balance values, manage settlements, modify accounts receivable data, include fines and interest, reporting and several other options.
People who use the function: Financial and Accounts Receivable departments.</t>
  </si>
  <si>
    <t>Eingabe von Vorauszahlungen</t>
  </si>
  <si>
    <t>Função utilizada para controle dos adiantamentos recebidos pela instituição de pacientes ou fornecedores
Tem como principal funcionalidade o cadastro e consulta dos adiantamentos
Utilizada por usuários do setor financeiro e contas a receber</t>
  </si>
  <si>
    <t>Function used to control advance payments received by the institution of patients or suppliers 
Its main functionality is the registration and consultation of advances 
Used by users in the financial sector and accounts receivable</t>
  </si>
  <si>
    <t>Lista por Cobrar</t>
  </si>
  <si>
    <t>Bordero mit Forderungen</t>
  </si>
  <si>
    <t>Função utilizada para controle dos malotes de títulos a receber que foram recebidos pela instituição
Tem como principal funcionalidade, a criação de novos borderôs, inclusão e exclusão dos títulos deste borderô e consulta dos borderôs já existentes
Utilizada por usuários do financeiro e contas a receber</t>
  </si>
  <si>
    <t>Objective: manage batches of accounts receivable to be settled;  
Main functionalities: it allows users to add new batches (bordereau), linking the accounts receivable, setlle the accounts receivable, update bank account balance and consultation of the existing batches; 
People who use the function: Financial and Accounts Receivable departments.</t>
  </si>
  <si>
    <t>Scheckverwaltung</t>
  </si>
  <si>
    <t>Cheque Management</t>
  </si>
  <si>
    <t>Função utilizada para controle dos cheques recebidos pela instituição nos pagamentos de pacientes ou fornecedores
Tem como principal funcionalidade, o registro dos cheques, consulta de cheques existentes e registros dos depósitos realizado
Utilizada por usuários do financeiro e contas a receber</t>
  </si>
  <si>
    <t>Function used to support with the cheques received by the institution in the payment of patients.
Its main functionality is the registration of cheque and its data, consultation of existing cheque and records of deposits made. 
Used by financial and accounts receivable users.</t>
  </si>
  <si>
    <t>Beitragskontrolle</t>
  </si>
  <si>
    <t>Função utilizada para  o controle de contribuições através de alguma instituição. Como contribuições feitas ao Hospital através de contas de energia elétrica.
Função utilizada por usuários do setor financeiro</t>
  </si>
  <si>
    <t>Objective: Manage the contributions received by legal entities and citizens;_x000D_
Main functionalities: allows to add contributions, their values, frequency, link to patient accounts and update the general leadger accounts;_x000D_
People who use: Billing, Financial and Accounting departments.</t>
  </si>
  <si>
    <t>Função utilizada para controle dos adiantamentos recebidos de pacientes ou fornecedores que ainda estão pendentes na instituição
Utilizada por usuários do financeiro e contas a receber</t>
  </si>
  <si>
    <t>function for consulting advances made by patients</t>
  </si>
  <si>
    <t>Finanzabteilung</t>
  </si>
  <si>
    <t xml:space="preserve">Objective: Support management of cashiers and their receivements and payments; 
Main functionalities: support users to manage the hospital cashiers, their daily balances, receivements of invoices and accounts receivable, generated from patient accounts or other service contracts, and paid in cash, cheques and / or credit cards. The function offers options to transfer of balances between the cashiers, as well as payments of supplier invoices, accounts payable or other kind of document, among other options; 
People who use the function: Financial and Cashier departments. </t>
  </si>
  <si>
    <t>Bankmanagement</t>
  </si>
  <si>
    <t>Objective: Support management of banking accounts balances and transactions;
Main functionalities: support users to consult the banking accounts current balances, as well as the past months, types of transactions, their values of credit or debit, transactions documentation, among others. The function offers the possibility of adding transactions to update the banking accounts balances in case they were not documented in another system function, banking transactions statement importation and reconciliation, and more options of banking management related features; 
People who use the function: Financial department.</t>
  </si>
  <si>
    <t>Elektronische Abrechnung</t>
  </si>
  <si>
    <t>Função utilizada para controle de remessas e retornos de títulos a receber que serão enviadas ao banco para recebimento. Tem como principal funcionalidade gerar remessa para banco, emitir boletos, etc.. Utilizada por usuários do financeiro e contas a receber.</t>
  </si>
  <si>
    <t>Objective: manage the remittances and returns of accounts receivables to interface via internet banking with the bank account for collection. _x000D_
Main functionalities: generate remittances to banks, issue payment invoices and receive remittance returns in order to settle the accounts receivable. _x000D_
People who use the function: Financial and Accounts Receivable departments.</t>
  </si>
  <si>
    <t>Regeln für die Automatisierung von Finanztransaktionen</t>
  </si>
  <si>
    <t>Objective: Support management of automatic financial Transaction entry rules;
Main functionalities: support users to build and provide maintenance on automatic entry rules for financial transactions to be generated at Treasury, Accounts Receivable, Electronic Collection, Receivable Bordereau; 
People who use the function: Financial department.</t>
  </si>
  <si>
    <t>Untersuchungs-Kalender</t>
  </si>
  <si>
    <t>Função utilizada para realizar o agendamento de exames.
Suas principais funcionalidades são permitir realizar os agendamentos e o controle das agendas dos equipamentos.</t>
  </si>
  <si>
    <t>Objective: Support management of exams schedules; 
Main functionalities: support users to add and manage exams schedule of equipments and / or examination rooms and their professionals. The function offers multiple settings to define the examination schedules, providing settings for professionals shifts, exams scheduling process, list of procedures released and oother business rules, generation of encounter at patient reception, calendar view, waiting list, among other options.
People who use the function: Scheduling, Radiology and Reception department.</t>
  </si>
  <si>
    <t>Terminkalender</t>
  </si>
  <si>
    <t xml:space="preserve">Função utilizada para realizar o agendamento de consultas.
Suas principais funcionalidades são permitir realizar os agendamentos e o controle das agendas dos médicos.
</t>
  </si>
  <si>
    <t>Objective: Support management of consultation schedules; 
Main functionalities: support users to add and manage appointments schedule of physicians or other kind of caregivers at the consultation office. The function offers multiple settings to define person specific schedules, as well as specialty with multiple professionals, scheduling process, generating encounter at patient reception, calendar view, waiting list, among other options. 
People who use the function: Scheduling and Reception department.</t>
  </si>
  <si>
    <t>Flujo de Caja</t>
  </si>
  <si>
    <t>Função utilizada para visualização dos valores a receber, pagar, que serão pagos ou qualquer outra movimentação financeira que será realizada pela instituição
Tem como principal funcionalidade controle de fluxo orcado, a realizar, realizado e vencido.
Utilizada por gestores do setor financeiro</t>
  </si>
  <si>
    <t>Function used to view the amounts receivable, payable, to be paid or any other financial transaction that will be carried out by the institution. 
Its main function is to control the budget flow, to be carried out, completed and overdue. 
Used by financial sector managers</t>
  </si>
  <si>
    <t>Weiterleitungs-Management an Inkassounternehmen</t>
  </si>
  <si>
    <t>Objective: Manage the documents sent to collection agencies to get payment;_x000D_
Main functionalities: it allows the users to manage the accounts receivable, checks and other documents sent to collection agencies to get paid by expired bills;_x000D_
People who use: Financial department.</t>
  </si>
  <si>
    <t>Verbindlichkeiten</t>
  </si>
  <si>
    <t>Objective: manage accounts payable of the establishment.
Main functionalities: document accounts payable genrated by invoices, physicians payment, contracts, etc; The function is structured to manage expiring dates, original and balance values, general ledger accounts, financial accounts, cost center classification, settlement information, fines, interest, payment approval and several other options. 
People who use the function: Financial and Accounts Payable departments.</t>
  </si>
  <si>
    <t>Kredit- und Finanzierungsmanagement</t>
  </si>
  <si>
    <t>Suche von Verbindlichkeiten</t>
  </si>
  <si>
    <t>Função utilizada para consulta dos títulos a pagar existentes no sistema
Utilizada por usuários do financeiro e contas a pagar</t>
  </si>
  <si>
    <t>Function used to consult information on existing payables due from the system 
Used by finance and accounts payable users</t>
  </si>
  <si>
    <t>Função utilizada para controle dos malotes de títulos a pagar que serão pagos através do banco
Tem como principal funcionalidade, a criação de novos borderôs, inclusão e exclusão dos títulos deste borderô e consulta dos borderôs já existentes
Utilizada por usuários do financeiro e contas a pagar</t>
  </si>
  <si>
    <t>Objective: manage batches of accounts payable for bank (including check) payment; 
Main functionalities: adding new payment batches to link multiple accounts payable, manage approvals, bank account and check payment options and settlement of accounts payable; 
People who use the function: Financial and Accounts Payable departments.</t>
  </si>
  <si>
    <t xml:space="preserve">Pago Electrónico </t>
  </si>
  <si>
    <t>Função utilizada para controle das remessas e retornos de títulos a pagar que serão enviadas ao banco para pagamento
Tem como principal funcionalidade gerar remessa banco, emitir bloquetos.
Utilizada por usuários do financeiro e contas a pagar</t>
  </si>
  <si>
    <t>Objective: Manage remittances and returns of accounts payable to interface with internet banking (localization required for country standards). 
Main functionalities: generate and manage remittances and returns of accounts payable, saving internet banking file according to the business rules defined and settlement of accounts payable.
People who use the function: Financial and Accounts Payable departments.</t>
  </si>
  <si>
    <t>Anzahlung bezahlt</t>
  </si>
  <si>
    <t>Função utilizada para controle dos adiantamentos pagos pela instituição para fornecedores
Tem como principal funcionalidade o cadastro e consulta dos adiantamentos
Utilizada por usuários do setor financeiro e contas a pagar</t>
  </si>
  <si>
    <t xml:space="preserve">Objective: add and manage advance payments; 
Main functionalities: adding advance payments of the establishment to suppliers, employees, or other contracted person, documenting payment method information, original and balance value, etc.
People who use the function: Financial and Accounts Payable department. </t>
  </si>
  <si>
    <t>Forderung Finden</t>
  </si>
  <si>
    <t>Objective: Accounts Receivable search tool;
Main functionalities: allows the users to search and consult Accounts Receivable with several different filters and columns for quick financial data search;
People who use: Reception, Billing and Financial departments.</t>
  </si>
  <si>
    <t>Função utilizada para registrar e administrar as cobranças do estabelecimento de títulos ou cheques de pagamentos não recebidos
Utilizada por usuários do financeiro ou cobrança</t>
  </si>
  <si>
    <t>Objective: record and manage collection of pending bills;_x000D_
Maing functionalities: record and manage collection of pending accounts payable, checks and other documents, documentation of collecting contacts with debtor in order to get the paid._x000D_
People who use the function: Financial or Collection departments.</t>
  </si>
  <si>
    <t>Função utilizada para emissão de cartas de cobrança ao paciente, relatório da conta do paciente e as notas fiscais geradas para a conta do paciente. Utilizada para casos de atendimentos Particulares
Utilizada por usuários do financeiro e setor de cobrança</t>
  </si>
  <si>
    <t>Function for sending billing information to patients</t>
  </si>
  <si>
    <t xml:space="preserve">Chemotherapieplan </t>
  </si>
  <si>
    <t>Função utilizada para realizar os agendamentos dos tratamentos de quimioterapia.
	Suas principais funcionalidades são permitir realizar os agendamentos, e o controle dos locais de aplicação de quimioterapia.</t>
  </si>
  <si>
    <t>Function used to support with scheduling process of chemotherapy treatments. 
Its main features are to support scheduling, and to manage the locations of chemotherapy application</t>
  </si>
  <si>
    <t>Leistungserbringungs-Kalender</t>
  </si>
  <si>
    <t>Função utilizada para realizar o agendamento de serviços.
Suas principais funcionalidades são permitir realizar os agendamentos e controle das salas de serviço.</t>
  </si>
  <si>
    <t>Objective: Support management of services schedules; 
Main functionalities: support users to schedule services, such as ambulance, phisiotherapy, among others according to customer needs; 
People who use the function: Service departments.</t>
  </si>
  <si>
    <t>Verwaltung Ambulante Pflege</t>
  </si>
  <si>
    <t xml:space="preserve">Acompanhar o tratamento do paciente em casa. Consiste em oferecer ao paciente os cuidados necessários (tratamento, reabilitação,prevenção)  por uma equipe de profissionais especializada
</t>
  </si>
  <si>
    <t>Objective: Support the management of Home Care patients;
Main functionalities: support users to manage the Home Care patients treatment, documenting the patient general records, patient schedules, magement of equipments, professional schedules, among other options; 
People who use the function: Home Care department.</t>
  </si>
  <si>
    <t>Objective: Support management of Hemodynamics medical reporting;
Main functionalities: support users to perform medical reporting for Hemodynamics procedures: Catheterization or Cineangiocoronariography, Angioplasty, Congenital and Acquired Deficiencies. The function is structured to support performing the medical report by selecting standard sentences (text) according to the procedure context, in order to increase productivity. In case of Angioplasty, it is possible to track the D2B, which is the Door to Balloon time, which must be very fast to save the patient;
People who use the function: Hemodynamics department.</t>
  </si>
  <si>
    <t>Integrierte Terminplanung</t>
  </si>
  <si>
    <t>Função utilizada para realizar os agendamentos de serviços, consultas, exames e quimioterapia.
Suas principais funcionalidades são permitir realizar os agendamentos e controle das salas. Função específica para utlização em Call Center de agendamentos.</t>
  </si>
  <si>
    <t>Objective: Support management of exams, consultation, service and chemotherapy schedules; 
Main functionalities: support users to add and manage exams, consultation, service and chemotherapy schedules and their professionals. The function offers multiple settings for the schedules,  as well as configuring catalog of items and protocols to facilitate patient schedule, the scheduling process is oriented on showing and suggesting the most convinient time slots to schedule all services the patients need, generation of encounter at patient reception, calendar view and multiple schedules screen, waiting list, among other options.
People who use the function: Scheduling, Radiology, Chemotherapy, Reception and other authorized departments.</t>
  </si>
  <si>
    <t>Terminplan des Chirurgen</t>
  </si>
  <si>
    <t>Objective: Support requesing surgery schedules to patients on behalf of physicians;
Main functionalities: support users to request surgery schedules to patients on behalf of physicians, keeping them as pre-scheduled for the Operating Room department to confirm the surgery. The function offers options to pre set and add guidelines for patients, equipments to check availability, sterilized instruments, orthoses, protheses, special materials, additional services and consents, which can be standardly configured according to surgical procedure requested;
People who use the function: Physicians, Assistants and Scheduling departments.</t>
  </si>
  <si>
    <t>OP-Planung</t>
  </si>
  <si>
    <t>Esta ferramenta possibilita o agendamento e gestão dos paciente cirúrgicos. Permite também alocar os recursos humanos e materiais para a execução dos procedimentos. Através dela é possível montar o mapa de ocupação de salas, profissionais e equipamentos do centro cirúrgico.</t>
  </si>
  <si>
    <t>Objective: Support management of surgical procedures scheduling; 
Main functionalities: support users to schedule, allocate resources and manage the Operating Rooms schedules. The function offers several business rules to structure the Operating Rooms schedules, as well as scheduling surgical procedures to patients and define surgeon, anesthetist and other professionals involved. Additionally, to support resources allocation, there are options to pre set and add equipments to check availability, sterilized instruments, orthoses, protheses, special materials, additional services, guidelines for patients, consents, which can be standardly configured according to surgical procedure scheduled, bed reservation, among other options;
People who use the function: Nurses, Physicians, Scheduling and Operating Room departments.</t>
  </si>
  <si>
    <t>Prontuário Eletrônico Perioperatório - PEPO</t>
  </si>
  <si>
    <t>OP-Patientenakte</t>
  </si>
  <si>
    <t>Objective: Support surgery documentation; 
Main functionalities: support users on surgery documentation. This function is similar to the function Electronic Patient Chart, using the same system tables, but oriented to Surgery Procedures, with specific items related to Operating Room and graphical view of surgery events in a timeline;
People who use the function: Operating Room, Physicians, Nurses and other authorized departments.</t>
  </si>
  <si>
    <t>OP-Dokumentation - Einstellungen</t>
  </si>
  <si>
    <t>Objective: Support management of settings for surgery documentation;
Main functionalities: support users to add and provide maintenance of surgery settings to document the Perioperative Electronic Patient Chart function items. The function offers options to configure and standardize medicines, solutions, materials, anesthesia techniques, vital signs to be shown and documented at surgery chart, surgery events, times and motions, among others;
People who use the function: Information Technology and Operating Room departments.</t>
  </si>
  <si>
    <t>Avaliação Pré-Anestésica Eletrônica - APAE</t>
  </si>
  <si>
    <t>Evaluación Preanestésica Electrónica - EPAE</t>
  </si>
  <si>
    <t>Präoperative Einschätzung</t>
  </si>
  <si>
    <t>Electronic Pre-Anaesthetic Assessment</t>
  </si>
  <si>
    <t>Objective: Support performing patient pre-anesthetic assessment;
Main functionalities: support users to document and consult patient pre-anesthetic assessment. The function offers options for the customer to customize the assessments, as well as documenting physicial examination, additional routine exams, risks, clinical notes, consents, among other options;
People who use the function: Anesthetists.</t>
  </si>
  <si>
    <t>Verwaltung der Terminfindungs-Schritte</t>
  </si>
  <si>
    <t>Objective: Support management of scheduling stages;
Main functionalities: support users to manage the stages within scheduling processes;
People who use the function: Scheduling department.</t>
  </si>
  <si>
    <t>Forderungsausfall-Kontrolle</t>
  </si>
  <si>
    <t>Objective: Manage the losses of accounts receivable;
Main functionalities: allows the users to add accounts receivables to the list of losses according to customer criterias and settle the pendencies as financial losses to after update the general leadger accounts;
People who use: Financial and Accounting departments.</t>
  </si>
  <si>
    <t>Patienten in Warteschlange</t>
  </si>
  <si>
    <t xml:space="preserve">Objective: Support management of patients in waiting list for scheduling;
Main functionalities: support users to add and manage patients in waiting list for scheduling consultations, services and examinations, which can be used at the scheduling functions;
People who use the function: Scheduling department. </t>
  </si>
  <si>
    <t>Kontrolle nosokomialer Infektionen - Medikamentenfreigabe</t>
  </si>
  <si>
    <t>Objective: Support outpatient and inpatient medicines prescriptions submission;
Main functionalities: support users to consult and manage submission of outpatient and inpatient medicines prescriptions, classified as medicines for Healthcare-Associated Infections;
People who use the function: Healthcare-Associated Infections department.</t>
  </si>
  <si>
    <t>Inkonsistenten der Finanztransaktion</t>
  </si>
  <si>
    <t>Chirurgieverwaltung</t>
  </si>
  <si>
    <t>Permite o registro das cirurgias realizadas na instituição, sendo possível informar os procedimentos executados, profissionais envolvidos, data de início e término dos procedimentos, entre outras informações pertinentes a cirurgia do paciente.
Muito utilizada pela equipe de farmácia para montagem e controle dos kits cirúrgicos.
Permite também a cobrança dos procedimentos e materiais e medicamentos utilizados.</t>
  </si>
  <si>
    <t xml:space="preserve">Objective: Support management of administrative processes of surgeries;
Main functionalities: support users on recording of surgeries performed at the institution, making it possible to inform the procedures performed, the professionals involved, the start and end dates of the procedures, among other information relevant to the patient's surgery. 
Widely used by the pharmacy team to assemble and control surgical kits. 
It also allows the collection of procedures and materials and medicines used.
People who use the function: Nurse, Pharmacy and Operating Room. </t>
  </si>
  <si>
    <t>Impfungen - Verwaltung</t>
  </si>
  <si>
    <t>Immunisation Control</t>
  </si>
  <si>
    <t>Utilizada para controle das vacinas aplicadas nos pacientes.
Permite o cadastro de vacinas aplicadas e previstas para o paciente.</t>
  </si>
  <si>
    <t>Used to support vaccination management of patients. 
It allows the registration of vaccines applied and planned for the patient.</t>
  </si>
  <si>
    <t>Regeln für automatische Buchung</t>
  </si>
  <si>
    <t>The purpose of this function is manage business rules for adding services to the patient's account contributing to automation. 
User can define the business rules triggered by patient events to add services to Patient Account in order to help billing automation. 
Ex: During patient care, the system may automatically generate an outpatient consultation in the patient account when the service is classified as Emergency Department. 
Users who use the function: Billing department.</t>
  </si>
  <si>
    <t>Kontrolle Drittanbieter</t>
  </si>
  <si>
    <t>O Objetivo da função é controle as despesas e receitas dos terceiros.
Como principais funcionalidades: 
 - Permite lançar e controlar as despesas e receitas dos terceiros.
 - Permite cadastrar os terceiros
 - Permite cadastrar e manter as operações realizadas com terceiros.
 - Permite criar e manter as contas dos terceiros.
A função é utilizada pelo setor Financeiro</t>
  </si>
  <si>
    <t>The purpose of the function is to control the expenses and income of third parties. 
As main features: 
- It allows to launch and control expenses and revenues of third parties. 
- Allows registration of third parties 
- Allows registration and maintenance of operations carried out with third parties. 
- Allows you to create and maintain third party accounts. 
The function is used by the Financial sector</t>
  </si>
  <si>
    <t>Função não liberada para clientes.</t>
  </si>
  <si>
    <t>Einstellungen Bewertungen</t>
  </si>
  <si>
    <t>Objective: Support management of Structured Forms to use over the system;
Main functionalities: allows users to build, modify, provide maintenance, import, export structured forms, their atributes and settings, to use for assessments according to customer needs. Electronic Patient Chart, Anesthesiology Assessments and other clinical functions can use these forms, but differently from EPC Templates, the assessments attributes belongs only to each structure;
People who use: Information Technology department.</t>
  </si>
  <si>
    <t>Unternehmen/Einrichtung/Konten/Kostenstelle</t>
  </si>
  <si>
    <t>Company/Establishment/Accounts/Cost Centre</t>
  </si>
  <si>
    <t>Objetivo: Cadastro base para criação da empresa e estabelecimentos no Tasy;
Principais Funcionalidades: Permite ao usuário a criação de empresas e estabelecimentos e a regras básicas para funcionamento entre os mesmos. Este cadastro é base para implantação;
Pessoas que utilizam: Contadores.</t>
  </si>
  <si>
    <t>Objective: Basic registration to create the company and establishments in Tasy; 
Main Functionalities: It allows the user to create companies and establishments and the essential rules for operation between them. This register is the basis for implementation; 
People using: Accountants.</t>
  </si>
  <si>
    <t>Ernährung</t>
  </si>
  <si>
    <t xml:space="preserve">Utilizada para controle diário dos cardápios que serão servidos em cada local da nutrição. A principal funcionalidade é permitir o cadastro dos cardápios por serviço e local da nutrição e registro da ordem de produção desses cardápios.
</t>
  </si>
  <si>
    <t>Kaufanforderung</t>
  </si>
  <si>
    <t>Objective: Support requestng products to purchase department.
Main functionalities: 
- Define the items and quantities that need to be purchased. 
- Generate purchase quotes. 
- Consult pending requests. 
- Generate automatic resupply according to stock, consumption, minimum and maximum levels settings, among others.
People who use the function: Warehouse, Pharmacy, Nutrition and other authorized departments.</t>
  </si>
  <si>
    <t>Empfang</t>
  </si>
  <si>
    <t>Preisangebote</t>
  </si>
  <si>
    <t>O objetivo dessa função é acionar os fornecedores para que eles possam oferecer os preços dos produtos. As principais funcionalidades são:
- Cadastrar os itens que o Hospital deseja cotar.
- Cadastrar os fornecedores que o Hospital deseja comprar.
- Receber os preços dos fornecedores.
- Calcular o menor preço para cada item.
- Obter o fornecedor vencedor para cada item.
- Gerar a ordem de compra.
A função também serve para integrações com portais de compras, como por exemplo: Bionexo, Huma.</t>
  </si>
  <si>
    <t>Objective: Support suppliers quotation of product and generate purchase orders;
Main functionalities:: 
- Register the items for which the Hospital require a quote. 
- Register the suppliers that the Hospital may purchase products. 
- Receive prices from suppliers. 
- Calculate the lowest price for each item. 
- Obtain the winning supplier for each item. 
- Generate the purchase order. 
People who use the function: Purchase department.</t>
  </si>
  <si>
    <t>Patientenregistrierung</t>
  </si>
  <si>
    <t>Função utilizada para criar os atendimentos do paciente.
Sua principal funcionalidade é realizar a admissão do paciente na instituição.
Permitir a criação de prescrições referente aos exames e exames de laboratório.
Função específica para utlização nas recepções.</t>
  </si>
  <si>
    <t>Objective: Support management of Patient Encounters; 
Main functionalities: support users to add and manage Patient Encounters, which are opened when the patient arrives at the Hospital Reception to start inpatient or outpatient care. The function offers options to add Patient Encounters in a guided step-by-step (bread crumb system component) screen or via Patient Registration data screens, with the possibility of hidding not relevant fields and / or making them mandatory to the process, carring relevant data from the scheduling functions to avoid typing again, suggesting bed reservations, possibility of documenting exams to be performed, in case of exteral exams request, with several different tabs for additional information, among other options; 
People who use the function: Reception and Billing department.</t>
  </si>
  <si>
    <t>Kaufauftrag</t>
  </si>
  <si>
    <t>O objetivo dessa função é gerar o pedido de compra para o fornecedor, confirmando que a compra será efetuada para o fornecedor determinado na ordem de compra. As principais funcionalidades são:
- Gerar o pedido de compra.
- Comunicar o fornecedor que o pedido será efetuado.
- Cancelar as compras.
- Consultar as compras pendentes.</t>
  </si>
  <si>
    <t>Objective: Support management of supplier purchase orders;
Main functionalities: support users to add, consult and provide maintenance of purchase orders, confirming that the products will be delivered by the supplier determined in the purchase order;
People who use the function: Purchase department.</t>
  </si>
  <si>
    <t xml:space="preserve">Ausschreibung </t>
  </si>
  <si>
    <t>A função tem o objetivo de registrar as compras que são feitas a partir de licitação, utilizada em hospitais públicos que exige licitação para efetuar a compra;</t>
  </si>
  <si>
    <t>Bestellung von Materialien und Medikamenten</t>
  </si>
  <si>
    <t>Objective: Support requests of materials and medicines for department consumption or transfer between stock locations;
Main functionalities: support users to request materials and medicines to warehouse or other stock areas, for department consumption or transfer between stock locations. The function offers options to suggest automatic resupply according to stock balance and consumption, by defining minimum and maximum balance levels to the standard materials and medicines of the stock location;
People who use the function: All authorized departments.</t>
  </si>
  <si>
    <t>Versorgungsverwaltung</t>
  </si>
  <si>
    <t>O objetivo dessa função é visualizar as ordens de compras pendentes de entrega para o dia atual. As principais funcionalidades são:
- Gerar a inspeção de recebimento das ordens de compras.
- Gerar a nota fiscal da ordem de compra.</t>
  </si>
  <si>
    <t>Objective: Support management of purchase orders pending deliveries by day;
Main functionalities: 
- Generate the inspection of receipt of purchase orders. 
- Generate the purchase order invoices.
People who use the function: Warehouse.</t>
  </si>
  <si>
    <t>Registro de ARS, Precios y Normas</t>
  </si>
  <si>
    <t>Registro de Obras Sociales, Precios y Normas</t>
  </si>
  <si>
    <t>Registro de Aseguradoras, Precios y Normas</t>
  </si>
  <si>
    <t>Registrierung von Versicherungen, Preisen und Regeln</t>
  </si>
  <si>
    <t>O Objetivo da função é o cadastro dos convênios no qual o hospital atende, e armazenar todas as regras desses convênios, todas as negociações feitas entre o comercial do hospital e o convênio estarão descritas em  regras nessa função.
Ex: Coberturas / Glosas / Geração de necessidade de autorização
O setores que utilizam essa função geralmente são (Comercial / Faturamento), porém alguns hospital possuem um setor responsável apenas por manter o cadastro.</t>
  </si>
  <si>
    <t>The objective of the function is the registration of the agreements in which the hospital serves, and to store all the rules of these agreements, all the negotiations made between the commercial of the hospital and the agreement will be described in rules in that function. 
Ex: Coverage / Disallowance / Generation of need for authorization 
The sectors that use this function are generally (Commercial / Billing), however some hospitals have a sector responsible only for maintaining the registration.</t>
  </si>
  <si>
    <t>Schichtplaner</t>
  </si>
  <si>
    <t>Buchhaltung</t>
  </si>
  <si>
    <t>Objetivo: Integrar os lançamentos contábeis e gerar os relatórios padrões;
Principais Funcionalidades: Permite ao usuário Integrar os lotes contábeis, realizar ajustes, gerar relatórios padrões como balancete, razão contábil e permite criar demonstrativos contábeis;
Pessoas que utilizam: Contadores e auxiliares contábeis.</t>
  </si>
  <si>
    <t>Objective: Integrate accounting entries and generate standard reports; 
Main Functionalities: Allows the user to integrate accounting lots, make adjustments, generate standard reports such as trial balance, accounting ledger and support with creation of accounting statements; 
People who use: Accountants and accounting assistants.</t>
  </si>
  <si>
    <t>CPOE (alte Funktionalität)</t>
  </si>
  <si>
    <t>Computerised Provider Order Entry - CPOE</t>
  </si>
  <si>
    <t>Objective: Support management of medical orders of patients;
Main functionalities: support users to add and manage the medical orders for patients, such as oral and enteral diets, medicines and infusions, procedures and exams, interventions and recommendations, among other treatment option. To enhance the users experience, the function offers physician favorite items, patient previous orders, medications in use by the patient, standardized order sets, therapeutic dose calculator, configurable options for order frequency, clinical decision support, among other options;
People who use the function: Physicians and other authorized departments.</t>
  </si>
  <si>
    <t>Buchhaltungsbudget</t>
  </si>
  <si>
    <t>Objetivo: Gerar o planejamento orçamentário da Instituição;
Principais Funcionalidades: Permite ao usuário Gerar o planejamento orçamentário através de cenários, métricas ou ainda de forma simplificada;
Pessoas que utilizam: Contadores e auxiliares contábeis.</t>
  </si>
  <si>
    <t>Objective: To generate the Institution's budget planning; 
Main Functionalities: Support the user with budget planning 
People who use: Accountants and accounting assistants</t>
  </si>
  <si>
    <t>Kostenberechnung</t>
  </si>
  <si>
    <t>Objetivo: Apurar o custo por centro de resultado e por procedimento;
Principais Funcionalidades: Permite ao usuário apurar o custo por centro de custo e o custo por procedimento trabalhando com o conceito de fichas técnicas;
Pessoas que utilizam: Contadores e gestores de Custos.</t>
  </si>
  <si>
    <t>Objective: To determine the cost per cost center and per procedure; 
Main Functionalities: It allows the user to calculate the cost per cost center and per procedure, working with the concept of technical files; 
People who use: Accountants and Cost managers.</t>
  </si>
  <si>
    <t>Projektfinanzen</t>
  </si>
  <si>
    <t>O objetivo dessa função é cadastrar os projetos que serão executados no Hospital, bem como os recursos que serão gastos para esse projeto. Como por exemplo: Projeto de reforma do setor de Almoxarifado. Está reservado um recurso de R$: 50.000,00 reais para esse recurso.
As principais funcionalidades são:
- Definir os projetos.
- Definir os recursos para o projeto.
- Consultar as compras vinculadas ao projeto.</t>
  </si>
  <si>
    <t>Objective: Support management of future projects to be executed at the Hospital, as well as the resources, purchases, accounts payable that will be generated for executing the projects. 
Main functionalities:  
- Define the projects. 
- Define the resources for the project. 
- Consult purchases and accounts payable linked to the project.
People who use the function: Financial and Accounting departments.</t>
  </si>
  <si>
    <t>Notfalldienste</t>
  </si>
  <si>
    <t>Objective: Support management of Ambulance Emergency Services (S.O.S.);_x000D_
Main functionalities: support users to document and manage Ambulance Emergency Services (S.O.S.) data;_x000D_
People who use: Physicians, Nurses and other authorized caregivers.</t>
  </si>
  <si>
    <t>Chirurgische Eingriffe - Bericht des Arztes</t>
  </si>
  <si>
    <t>Surgeries - Doctor's Report</t>
  </si>
  <si>
    <t>Objective: Support management of incidents ocurred during Nursing working shifts;
Main functionalities: support users to document and manage the incidents ocurred during Nursing working shifts, not necessarily related to patients;
People who use the function: Nursing department.</t>
  </si>
  <si>
    <t>Notaufnahme</t>
  </si>
  <si>
    <t>Objective: Support management of patients in Emergency Department;
Main functionalities: support users to view the list of patients in the Emergency Departments, as well as starting the care treatment actions, status and timing logs, such as triage, consultation, medical orders submited, medicines administration, exam execution, patient discharge, among others.
People who use the function: Physicians, Nurses and Emergency Department.</t>
  </si>
  <si>
    <t>Ficha de Ocorrência CIH</t>
  </si>
  <si>
    <t>NI Vorfallformular</t>
  </si>
  <si>
    <t xml:space="preserve">Utilizada para realizar o controle e cadastros das infecções hospitalares Permite o cadastro de fichas de ocorrência por atendimento do paciente. Na ficha é possível informar o que foi realizado e utilizado no paciente, como por exemplo, cirurgias, procedimentos, medicamentos, culturas, entre outros.
</t>
  </si>
  <si>
    <t>Support process and registration of hospital infections. Enables the registration of occurrence files for patient care. In the form, it is possible to specify what was performed and used on the patient, such as surgeries, procedures, medications, cultures, among others.</t>
  </si>
  <si>
    <t>Vermögenssteuerung</t>
  </si>
  <si>
    <t>Objetivo: Controlar o imobilizado da empresa e gerar a depreciação;
Principais Funcionalidades: Permite ao usuário ter o controle dos bens imobilizados, criando regras de controle e depreciações mensais;
Pessoas que utilizam: Contadores e auxiliares contábeis.</t>
  </si>
  <si>
    <t>Objective: Control the company's fixed assets and generate depreciation; 
Main Functionalities: It allows the user to have control of fixed assets, creating control rules and monthly depreciation; 
People who use: Accountants and accounting assistants.</t>
  </si>
  <si>
    <t>Papier-Patientenakten-Verwaltung</t>
  </si>
  <si>
    <t xml:space="preserve">Utilizada para controle e gestão dos prontuários dos pacientes. A principal funcionalidade é permitir realizar solicitações e transferências de prontuários entre setores.
</t>
  </si>
  <si>
    <t>Used to control and manage patient records. The main functionality is to allow requests and transfers of medical records between sectors.</t>
  </si>
  <si>
    <t>Untersuchungsverwaltung</t>
  </si>
  <si>
    <t>Utilizada para geranciar os exames dos pacientes no Hospital.
Tem como principais funcionalidade a realização da execução dos exames e alterações de status.
Utilizada por Técnicos e Médicos</t>
  </si>
  <si>
    <t>Objective: Support management of exams ordered; 
Main functionalities: support users to consult and manage patient exams clinical documentation. This function can be used as exams worklist of several different departments, offering multiple filters, which can be saved to find relevant exams according to user departaments, updating exams performed status as well as medical report location and delivering process, interface with PACS (Picture archiving and communication system), load Medical Report Processing function, among other options;  
People who use the function: Physicians, Nurses, Radiology and other authorized departments.</t>
  </si>
  <si>
    <t>Bewertungen</t>
  </si>
  <si>
    <t>Objective: Support the fulfillment of Structured Forms for patients;
Main functionalities: support users to enter Structured Forms for patients, selecting the model available, provinding the information requested, saving and submitting. This function is one way to enter Structured Assessments without opening the Electronic Patient Chart, Anesthesiology Assessments or other clinical functions that can also be used to enter these forms;
People who use: Information Technology department and other authorized departments.</t>
  </si>
  <si>
    <t>Befundbericht der anatomischen Pathologie</t>
  </si>
  <si>
    <t>Utilizada para realizar o laudo médico dos exames de anatomia patológica realizados no paciente.
Tem como principais funcionalidades digitar, ouvir e ditar o laudo.
Utilizada por Técnicos e Médicos</t>
  </si>
  <si>
    <t>Objective: Support management of Histopathology medical reports;
Main functionalities: support users to add and manage Histopathology medical reports according to the medical orders of Anatomy Pathology exams. The function offers settings for standard medical reports, groups of questions with standard texts that can be populated with macros, medical report submission rules, search tools to find medical reports and pending exams for reporting, among other options;
People who use the function: Anatomy Pathology  department.</t>
  </si>
  <si>
    <t>Interne Untersuchungen und Prozeduren</t>
  </si>
  <si>
    <t>Objetivo: Cadastrar apenas os procedimentos que o hospital realiza. Esse cadastrado é importante para a utilização do TUSS, pois o TUSS está vinculado ao procedimento interno.
Um mesmo procedimento interno, dependendo das negociações comerciais pode ter diferentes códigos de faturamento.
Ex: Proc. interno:   Consulta Ambulatorial
- Para convênios que utilizam tabela AMB, o código para fins de faturamento ao lançar na conta esse proc. interno será 10014 (Consulta ambulatorial PS)
- Para convênios que utilizam tabela CBHPM, o código para fins de faturamento ao lançar na conta esse proc. interno será 10101039 (Em pronto socorro)
Utilizado por setores de Faturamento</t>
  </si>
  <si>
    <t>Objective: Support management of hospital internal exams and procedures catalog; 
Main functionalities: support users to add and provide maintenance of hospital internal exams and procedures catalog, as well as their business rules. The function offers the possibility of linking multiple billing procedure codes to manage different insurance agreements and guarantee the right coding. Clinical settings for mandatory information (body side, topography, etc), standard performing department, bed management settings, operating room time, patient orientation, linked pharmacy kits, sterilized instruments sets, special materials, among other options. 
People who use the function: Information Technology, Billing, Nursing, Radiology and other authorized departments.</t>
  </si>
  <si>
    <t>CPOE (sehr alte Funktionalität)</t>
  </si>
  <si>
    <t>Registrierung der Ausschreibung</t>
  </si>
  <si>
    <t>Objective: Bid documentation management (Brazilian bidding standards);
Main functionalities: allows the users to manage bidding processes, documenting relevant data like bidding descriptions, proposal, bidding items, winners, approvals, etc. This function is currently localized for Brazil and requires approval to other markets;
People who use: Bidding manager.</t>
  </si>
  <si>
    <t>Registrierung von Einkäufen</t>
  </si>
  <si>
    <t>Objective: Manage the purchase orders made from a bidding processes (Brazilian bidding standards);
Main functionalities: allows the users to consult bidding processes and manage the purchase orders generated from them, documenting relevant data like original contract values, balance values, bidding items, etc;
People who use: Bidding manager and Purchase department.</t>
  </si>
  <si>
    <t>Terminsuche</t>
  </si>
  <si>
    <t>Função utilizada para realizar consulta dos agendamentos marcados.
Suas principais funcionalidades são permitir a consulta e acesso aos agendamentos marcados.</t>
  </si>
  <si>
    <t>Function used to consult the scheduled appointments. 
Its main features are to allow consultation and access to scheduled appointments.</t>
  </si>
  <si>
    <t>Purchase Centre</t>
  </si>
  <si>
    <t>Consulta Liberación Plan ARS</t>
  </si>
  <si>
    <t>Consulta Liberación Plan Aseguradora</t>
  </si>
  <si>
    <t>Krankenversicherungsfreigabe: Suchen</t>
  </si>
  <si>
    <t>O objetivo dessa função é permitir visualizar os planos liberados para o convênio.
A função é bem simples, apenas lista os planos liberados para o convênio, assim o usuário não precisa acessar a função cadastro de convênios preços e regras para ter essa informação.
Essa função é utilizada pelos usuários do setor Comercial/Recepção/Faturamento</t>
  </si>
  <si>
    <t>Objective: Consulting health plans available by insurance.
Main functionalities: allows the users to consult health plans available by insurance company without having access to insurance rules management.
People who use the function: Commercial, Reception, Authorization desk and Billing department.</t>
  </si>
  <si>
    <t>Autorisierungsmanagement</t>
  </si>
  <si>
    <t>Authorisation Management</t>
  </si>
  <si>
    <t>Objetivo: Função utilizada para controle das autorizações de convênios geradas pelo hospital, para controle das pendências, das autorizações já autorizadas e das negativas dos convênios
Utilizada por: Usuários do faturamento ou recepção</t>
  </si>
  <si>
    <t>Objective: Manage the authorizations of health insurance plans generated by patient events; 
Main functionalities: allows the users to consult insurance authorizations according to their stages, in order to idenfity the ones with pending actions (pending, awaiting approval, awaiting documentation, etc) and request insurance authorization.  
Used by: Billing and Authorization desk departments.</t>
  </si>
  <si>
    <t>Reglementierung</t>
  </si>
  <si>
    <t>Function to manage public health programs in Brazil</t>
  </si>
  <si>
    <t>Persönliche Gegenstände des Patienten</t>
  </si>
  <si>
    <t>Function used to register patients' belongings, allowing easy location as well as organization / handling of belongings. 
The main functionality is to track the patients' belongings in the establishment.</t>
  </si>
  <si>
    <t>Philips Kaufmännische Leitung</t>
  </si>
  <si>
    <t>Função utilizada para gestão de clientes ou possíveis clientes da Philips. Tendo suas visões operacionais, analíticas e gerenciais.
Suas principais funcionalidades são:
- Gestão de futuros Clientes através da solicitação de Lead
- Gestão de Clientes de forma avaliativa, utilizado pelo setor do pós-vendas
- Permite visualizar toda a prospecção da venda consultiva
- Permite visualizar quantidades de contas consideradas quentes, mornas ou frias
- Existe o Funil de vendas onde o gestor de vendas possa verificar como esta o protocolo de seu trabalho referente a de seu canal e de toda a Philips em geral ou por produto oferecido.
- Existe o ForeCast que é uma ferramenta onde se é possível efetuar previsões quantitativas de valores monetário de novos clientes.
- Permite efetuar acordos comerciais e anexos do contrato referente a venda efetuada pelo gestor de vendas.</t>
  </si>
  <si>
    <t>Philips-Projekt-Management</t>
  </si>
  <si>
    <t>Função utilizada para gestão dos projetos de implantação do sistema, implantação modular e/ou consultoria
Suas principais funcionalidades são:
-Gestão do projeto através de cronogramas
-Gestão de quantidade de horas trabalhadas pelo consultor naquele projeto
-Gestão de documentos obrigatórios
-Permite visualizar o andamento dos projetos, assim o coordenador do mesmo possa junto ao cliente tomar ações estratégicas ou operacionais referente ao andamento do projeto</t>
  </si>
  <si>
    <t>Registrierung Befundberichtsstandort</t>
  </si>
  <si>
    <t>Objective: Support delivery and location management of medical reports physical copies;
Main functionalities: support users to document and manage the delivery and location of patient exam medical reports physical copies, such as delivered to patient, physician office, ward, reception or any other place according to customer need, these settings reflect on exams status. This function aims to be used in simple medical reports delivery processes, for advanced delivery steps documentation, the function Report Delivery Management is recommended;
People who use the function: Radiology, Conventional Medical Record Archive and other authorized departments.</t>
  </si>
  <si>
    <t>Abfrage der ICD Morphologie</t>
  </si>
  <si>
    <t>Objective: Support consultation of ICD (International Classification of Diseases) Morphology codes;
Main functionalities: support users to consult the ICD (International Classification of Diseases) Morphology codes from the catalog. ICD Morphology codes are the common root codes the cell type of a given tumor, while an additional digit codes the behavior;
People who use the function: Physicians and other authorized departments.</t>
  </si>
  <si>
    <t>O módulo Check-up destina-se ao gerenciamento das diferentes etapas relacionadas a esse serviço. 
Integrado a outros módulos do Sistema Tasy, todas as informações obtidas durante o check-up são 
consolidadas no Prontuário Eletrônico do Paciente</t>
  </si>
  <si>
    <t>The Check-up module is designed to manage the different steps related to this service. 
Integrated with other modules of the Tasy System, all information obtained during the check-up is consolidated in the Electronic Patient Record</t>
  </si>
  <si>
    <t>Notfall-Verordnung</t>
  </si>
  <si>
    <t>Objective: Support documenting emergency orders using standard kits and / or barcode readers;
Main functionalities: support users to add and submit emergency orders using standard kits for emergency carts and / or barcode readers to document all materials, medicines and procedures performed;
People who use the function: Physicians and Nurses.</t>
  </si>
  <si>
    <t>Generación de Interfaz Externa</t>
  </si>
  <si>
    <t>Erzeugung externer Schnittstellen</t>
  </si>
  <si>
    <t>Objetivo: Função utilizada para realizar importação e exportações de arquivos diversos de integrações entre o Sistema Tasy e outros sistemas</t>
  </si>
  <si>
    <t>Objective: Support accounts receivable and accounts payable files importation; 
Main functionalities: support users to import accounts receivable and accounts payable files according to the interfaces configured;
People who use the function: Information Technology and Financial departments.</t>
  </si>
  <si>
    <t>Übersicht Kostformen x Mahlzeit</t>
  </si>
  <si>
    <t xml:space="preserve">Utilizada para controle das dietas por refeição dos pacientes e acompanhantes. Permite gerar um mapa diário de dietas por refeição para os pacientes e acompanhantes.
</t>
  </si>
  <si>
    <t>Bettenverwaltung</t>
  </si>
  <si>
    <t>Função utilizada para controlar as reservas de leitos.
	Suas principais funcionalidades são permitir registrar um reserva de leito, que pode através de parametrização ser apresentada no momento da internação.</t>
  </si>
  <si>
    <t>Function used to control bed reservations. 
Its main features are to allow registering a bed reservation, which can be presented through parameterization at the time of hospitalization.</t>
  </si>
  <si>
    <t>Künstliche Ernährung - Verwaltung</t>
  </si>
  <si>
    <t xml:space="preserve">Utilizada para a gestão dos serviços de nutrição realizados para os pacientes e locais de nutrição, como por exemplo, um refeitório do hospital. Principais funcionalidades: permitir a geração de serviços e cardápios para os pacientes, o planejamento dos cardápios por local da nutrição e o controle da produção de leites e derivados do setor de lactário.
</t>
  </si>
  <si>
    <t>Used for the management of nutrition services processes for patients. 
Main functionalities: allow the generation of services and menus for patients, the planning of menus by location of nutrition and the control of milk and dairy products.</t>
  </si>
  <si>
    <t>Função utilizada para gestão financeira da Philips
Suas principais funcionalidades são:
- Permite efetuar pagamentos
- Permite efetuar recebimentos
- Gestão de títulos a receber
- Gestão de títulos a pagar
- Gestão financeira de clientes e funcionários
- Controle de adiantamento pago por RAT
- Controle de imobilizados
- Gerar notas fiscais e vincular títulos de recebimento
- Controle do valor em aberto, valor pago, valor vencido por cliente
- Integrado com a função Gestão Comercial Philips</t>
  </si>
  <si>
    <t>SUS-Genehmigungsverwaltung</t>
  </si>
  <si>
    <t>SUS Authorization Management</t>
  </si>
  <si>
    <t>SUS Authorisation Management</t>
  </si>
  <si>
    <t>O objetivo desta função é controlar os laudos de AIH, APAC e BPA, que foram digitados no sistema, permitindo o envio para o convênio e retorno com as autorizações.
A principal funcionalidade é visualizar todos os laudos de AIH, APAC e BPA digitados no sistema, sendo possível consulta-los separadamente conforme os filtros, também é possível cadastrar lotes que servem para separar os laudos e através destes, encaminhar via interface para o órgão governamental responsável por autorizar os procedimentos.
Esta função é destinada ao usuários envolvidos com o faturamento das contas do convênio SUS.</t>
  </si>
  <si>
    <t xml:space="preserve">Objective: Support management of Brazilian National Health System authorizations;
Main functionalities: support users to manage Brazilian National Health System authorizations, such as AIH (Inpatient), APAC (High Complexity) and BPA (Outpatient) in order to send to the government agency responsible for authorizing the procedures;
People who use the function: Reception, Physicians, Nurses and Billing departments. </t>
  </si>
  <si>
    <t>Interne Patientenaktenkontrolle</t>
  </si>
  <si>
    <t xml:space="preserve">Utilizada para controle dos prontuários dos pacientes. Permite o cadastro, solicitações e empréstimos do volume físico do prontuário do paciente.
</t>
  </si>
  <si>
    <t>Objective: Support the management of patient paper file records;_x000D_
Main functionalities: allows the users to manage patient paper file records, offering features to manage their requests from Physicians and other caregivers in case they need to review those files, tracking as a loan of the physical volume of the patient's medical record;_x000D_
People who use the function: Medical Records Archive department and Clinical areas.</t>
  </si>
  <si>
    <t>Dienstplan</t>
  </si>
  <si>
    <t>Função utilizada para registro dos médicos plantonistas, com data de entrada e saída
Suas principais funcionalidades são:
- Permitir o registro da data de entrada e saída do médico plantonista, além de algumas informações sobre o mesmo (especialidade, tipo plantão, etc);
- Permitir a confirmação de entrada e saída dos médicos por biometria;
- Calcular automaticamente o tempo do plantão de acordo com a data de entrada e saída do médico;
- Consulta dos médicos plantonistas.</t>
  </si>
  <si>
    <t>Function used to register on-duty doctors, with date of entry and departure 
Its main features are: 
- Allow the registration of the date of entry and departure of the on-duty doctor, in addition to some information about the same (specialty, on-call type, etc.); 
- Allow confirmation of entry and exit of doctors by biometrics; 
- Automatically calculate the shift time according to the date of entry and exit of the doctor; 
- Consultation of doctors on duty.</t>
  </si>
  <si>
    <t>ICD 10 Suchfunktion</t>
  </si>
  <si>
    <t>Zugriffsverwaltung in Patientenakte</t>
  </si>
  <si>
    <t>Objective: Support management of users access to Electronic Patient Chart records;
Main functionalities: support users to add and manage business rules of Electronic Patient Chart access profiles for system users (e.g.: Access limited to caregivers, Master access of all patients, access granted with justification, among other options) and patients (e.g.: VIP Patient visible only for physician in charge, access granted with justification, no restrictions, among other options), in order to increase patient data privacy. 
People who use the function: Information Technology and Chief Medical Information Office departments.</t>
  </si>
  <si>
    <t>Checagem Beira-Leito</t>
  </si>
  <si>
    <t>Bettseitige Prüfung</t>
  </si>
  <si>
    <t>Protocolo de Pesquisa</t>
  </si>
  <si>
    <t>Protokollrecherche</t>
  </si>
  <si>
    <t>Objective: Support management of insurance protocols for simulation;
Main functionalities: support users to add and provide maintenance of insurance protocols for simulation purpose. This function does not replace the function Insurance Protocol;
People who use the function: Billing department.</t>
  </si>
  <si>
    <t>Verordnungsdurchführung</t>
  </si>
  <si>
    <t>Electronic Medication Administration Record - eMAR</t>
  </si>
  <si>
    <t>O ADEP é a ferramenta utilizada pelo setor de enfermagem para controlar tudo que o paciente precisa receber, com doses e horários certos.
Nela é possível verificar o que o paciente precisa receber separado por horários e/ou turnos, evitando assim esquecimentos e atrasos nas administrações dos itens prescritos.
Também é possível fazer toda a gestão de horários como reaprazamentos, aprazamentos, suspensão de itens e horários, registrar ocorrências da administração, recusas do paciente, etc.
Todos os tipos de itens prescritos podem ser controlados nesta função, inclusive dietas, procedimentos, Intervenções de enfermagem (SAE), etc.
A enfermagem também consegue controlar se o paciente vai ficar sem prescrição, para poder contactar o médico responsável, evitando que o paciente fique sem tratamento. Pode-se registrar evoluções, sinais vitais e demais eventos ocorridos no seu turno.</t>
  </si>
  <si>
    <t>eMAR is the tool used by the nursing and care providers  to manage the medication administration  process for patients with the right dosage and times. 
It is possible to check what the patient needs to receive separated by schedules and / or shifts, thus supporting towards accuraccy and control in the administration of prescribed items. 
This function support management of patient medication schedules such as rescheduling, scheduling, suspension of items and schedules, recording instances of administration, patient refusals and more.
Various types of prescribed items can be controlled in this function, including diets, procedures, nursing interventions and other.
Care professionals are also able to establish whether the patient require additional prescriptions thus ensuring pro-active intervention with relevant doctors. 
Users could also record evolutions, vital signs and other events that occurred on shift.</t>
  </si>
  <si>
    <t>Abfrage zur Deckung</t>
  </si>
  <si>
    <t>O objetivo dessa função é permitir consultar as regras de cobertura dos convênios sem a necessidade de ter liberado o cadastro de convênio. 
Essa consulta trás as informações da regra de plano proced/material do cadastro de convênio.
Essa função é utilizado por usuários que precisam saber de um item tem cobertura / necessidade de autorização ou se não tem cobertura.</t>
  </si>
  <si>
    <t>Objective: Support consultation of the patient insurance coverage;
Main functionlities: support users to consult the patient insurance coverage rules. This function brings the information from the procedures, medicines and materials covered by the patient health plan according to the authorization rules of the insurance company. 
People who use the function: Billing, Reception and Authorization departments.</t>
  </si>
  <si>
    <t>Preisanfrage</t>
  </si>
  <si>
    <t>O objetivo da função Consulta preço é possibilitar consultar o preço dos itens obedecendo as regras do convênio.
Principais funcionalidades:
- Consultar o preço de MatMed 
- Consultar o preço de Procedimentos 
- Consultar o preço de Serviços (Taxas e diárias)
- Consultar o preço de Pacotes.
Essa função é utilizada por usuários do Faturamento / Comercial</t>
  </si>
  <si>
    <t>Objective: Support consultation of insurance prices to patient charges;
Main functionalities: support users to consult insurance prices to patient charges, such as medical procedures, hospital services, daily fees, materials and medicines, among other options. The function offers several different filters to make it possible to consult the price of items in compliance with the insurance agreement and coverage rules;
People who use the function: Billing, Commercial and Contract Administration department.</t>
  </si>
  <si>
    <t>Prüfung von Patientenkonten</t>
  </si>
  <si>
    <t>O Objetivo da função é permitir que a conta seja revisada/auditada. Se o que foi gasto é o que realmente está sendo cobrado.  Os auditores identificam erros de lançamento, fazem a correção registrando os motivos de ajuste e liberam a auditoria atualizando assim a conta paciente.
A função é destinada para auditores sejam eles Internos do Hospital ou até mesmo Auditores do próprio convênio que as vezes realizam a auditoria in loco no próprio Hospital identificando as glosas antes mesmo de chegarem no convênio.</t>
  </si>
  <si>
    <t>Objective: Patient Accounts Auditing of charges to avoid insurance rejections;_x000D_
Main functionalities: allow users to add and manage Patient Account Auditing of charges, supporting users to review them to guarantee what has been used in patients treatment is what is actually being charged and avoiding insurance denials. By identifying billing flaws, the Auditors can make corrections, recording the reasons for adjustments and submiting the auditing to update the patient account. All changes are identified at the Patient Account function._x000D_
People who use the function: Internal and External (insurance company) Auditors.</t>
  </si>
  <si>
    <t>O objetivo desta função é possibilitar a importação de números de cartão nacional SUS para serem utilizados no cadastro de pessoas físicas.
A principal funcionalidade é importar um arquivo de numeração de cartão nacional SUS, que é disponibilizado pelo SUS à instituições que coordenam estes cadastros em determinadas regiões do pais, estes números serão utilizados no cadastro de pessoas físicas e a cada número utilizado, o registro correspondente fica marcado como utilizado nesta função.
Esta função é destinada para funcionários que estão envolvidos no cadastro de pessoas físicas.</t>
  </si>
  <si>
    <t>Public health program in Brazil</t>
  </si>
  <si>
    <t>Função utilizada para alteração da Conta Contábil, Centro de Custo e Conta Financeira de vários títulos ao mesmo tempo
Utilizada por usuários do financeiro, contas a pagar e contas a receber</t>
  </si>
  <si>
    <t>Function for changing financial records</t>
  </si>
  <si>
    <t>Finanztransaktions-Register</t>
  </si>
  <si>
    <t>Função utilizada para cadastro das transações financeiras que serão utilizadas pela instituição
Utilizada por supervisores do setor financeiro ou usuários da TI</t>
  </si>
  <si>
    <t xml:space="preserve">Objective: Support management of Financial Transactions;_x000D_
Main functionalities: support users to add and provide maintenance of Financial Transactions, which is basis for all Financial movements, and their settings for Treasury, Banking Accounts, Financial actions (settle account receivable, payable, etc.) as well as general ledger accounting rules, among other settings. _x000D_
People who use the function: Information Technology and Financial departments._x000D_
_x000D_
</t>
  </si>
  <si>
    <t>EIS Contas Pendentes (Nova)</t>
  </si>
  <si>
    <t xml:space="preserve">Ausstehende EIS-Konten (neu)
</t>
  </si>
  <si>
    <t>Objetivo: Gerenciamento e maximização do faturamento através do controle efetivo das contas em suas etapas de: faturadas e pendentes.
Principais funcionalidades: A função possui diversos filtros permitindo uma flexibilização na busca das informações. 
O Sistema lista todas as contas com base nos filtros.
Setor que utilizada: Faturamento.</t>
  </si>
  <si>
    <t>Objective: Management and maximization of billing through the effective control of accounts in their various stages: billed and pending. 
Main functionalities: The function has several filters allowing flexibility in the search for information. 
The system lists all accounts based on the filters. 
Sector used: Billing.</t>
  </si>
  <si>
    <t>SUS-BPA</t>
  </si>
  <si>
    <t>Gestión SUS Unificado - GSU</t>
  </si>
  <si>
    <t>Unified SUS Management</t>
  </si>
  <si>
    <t>O objetivo desta função é consultar as informações de valores e estruturas dos procedimentos da tabela unificada do SUS.
Ela foi desenvolvida tendo como base o aplicativo SIGPAT do SUS.
A principal funcionalidade é permitir a consulta dos valores dos procedimentos da tabela unificada do SUS. Também permite a consulta de dados cadastrais, regras de compatibilidade entre outras informações de cada procedimento, informações estas que são utilizadas nas inconsistências da conta.
Esta função é destinada ao usuários envolvidos com o faturamento das contas do convênio SUS.</t>
  </si>
  <si>
    <t>Patientenakte-Einstellungen</t>
  </si>
  <si>
    <t>Anrufpanel</t>
  </si>
  <si>
    <t>Objective: Support calling patients through monitor screens at waiting rooms;
Main functionalities: support users to call patients in waiting rooms through monitor screens, displaying the patient name, professional and physical location;
People who use the function: Scheduling and Reception departments.</t>
  </si>
  <si>
    <t>Künstliche Ernährung - Einstellungen</t>
  </si>
  <si>
    <t>Objective: Support management of Clinical Nutrition records;
Main functionalities: allows the users to populate and manage basic Clinical Nutrition records, such as Nutrition Additives and linking related products, supporting the medical orders, human milk and formulas, etc;
People who use: Nutrition department.</t>
  </si>
  <si>
    <t>Protokollregister</t>
  </si>
  <si>
    <t>Glossar-Abfrage</t>
  </si>
  <si>
    <t>Flüssigkeitsbilanz</t>
  </si>
  <si>
    <t>Mitteilungs- und Untersuchungsformular</t>
  </si>
  <si>
    <t>It aims to list the notifications and registration of compulsory diseases, which are also recorded in cases of suspicion or outbreaks.</t>
  </si>
  <si>
    <t>SUS Insurance Return</t>
  </si>
  <si>
    <t>SUS Health Fund Return</t>
  </si>
  <si>
    <t>PGS SUS</t>
  </si>
  <si>
    <t>Função utilizada para consulta da produção do médico (repasses gerados para o médico)
Utilizada por usuários do financeiro e médicos</t>
  </si>
  <si>
    <t>Vertragskontrolle</t>
  </si>
  <si>
    <t>Utilizado para registrar os contratos de compra e prestação de serviços. As principais funcionalidades são:
- Cadastrar as pessoas contratadas, bem como os valores do contrato.
- Gerar título a pagar e a receber do contrato.
- Cadastrar as cláusulas dos contratos.
- Consultar as compras efetuadas a partir dos contratos.</t>
  </si>
  <si>
    <t>Objective: Support the management of product purchase and service provision contracts; 
Main functionalities: support users to add and manage contracts with products suppliers, service providers as well as contract with customers for service provision, multiple options of documentation, contract clauses, professionals involved, expiring dates with rules for internal communication to responsible, contract values, rules for generating accounts payable, receivable, invoices, consulting logs of contract events, additives documentation, etc; 
People who use the function: Purchase, Financial, Legal and Contract Administration department.</t>
  </si>
  <si>
    <t>Krankenversicherung - Produktregister</t>
  </si>
  <si>
    <t xml:space="preserve">HPMS - Register of Products </t>
  </si>
  <si>
    <t>O sistema deve permitir o cadastro e controle dos produtos oferecidos ou mantidos pela operadora de plano de saúde. No cadastro é possível ter vinculo de tabela de preço, acomodação, cobertura, rede de atendimento, anexo e regras.</t>
  </si>
  <si>
    <t>Krankenversicherung - Vertragsverwaltung</t>
  </si>
  <si>
    <t xml:space="preserve">HPMS - Contract Management </t>
  </si>
  <si>
    <t>O sistema deve permitir gerir os contratos de beneficiários de planos de saúde, sendo contrato realizado com pessoa física ou jurídica, e contendo informações financeiras, pessoais, carteirinhas, carência, coparticipação, entre outros.</t>
  </si>
  <si>
    <t>Krankenversicherung - Leistungserbringer</t>
  </si>
  <si>
    <t>O sistema deve permitir cadastrar os prestadores de serviço ou fornecedores que tem vínculo direto ou indireto com o plano de saúde. Neste cadastro deve ter as informações de especialidade, área de atuação, produto, rede de atendimento, informações legais, dados bancários e regras em geral.</t>
  </si>
  <si>
    <t>Krankenversicherung - Genehmigungen</t>
  </si>
  <si>
    <t>HPMS - Authorisations</t>
  </si>
  <si>
    <t>O sistema deve permitir criar e gerir as autorizações das guias de atendimento que ocorrem no processo da operadora de plano de saúde.</t>
  </si>
  <si>
    <t>Krankenversicherung - Monatliche Zahlung</t>
  </si>
  <si>
    <t>O sistema deve possibilitar a geração de mensalidades que serão cobradas dos beneficiários de planos de saúde. Tendo em vista com isso a geração de título financeiro para boleto, e nota fiscal.</t>
  </si>
  <si>
    <t>O sistema deve permitir gerir as comissões, e criar cadastros e regras para os vendedores, equipes e canais de venda.</t>
  </si>
  <si>
    <t>Krankenversicherung - Verwaltung von medizinischen Konten</t>
  </si>
  <si>
    <t>OPS - Custos assistenciais</t>
  </si>
  <si>
    <t>O sistema deve permitir inserir, alterar, excluir, consultar e gerenciar todas as contas de cobrança médica, sendo de forma detalhada, por procedimentos e materiais, ou até mesmo valorizações de pagamento, faturamento, coparticipação e pós estabelecido. 
A ferramenta deve permitir para origem de digitação manual, XML TISS, intercâmbio entre operadoras de planos de saúde ou por carga.</t>
  </si>
  <si>
    <t>Krankenversicherung - Regeln Registrierung</t>
  </si>
  <si>
    <t>O sistema deve permitir que seja criada e centralizada todas as regras, de todos os setores da operadora de plano de saúde.</t>
  </si>
  <si>
    <t>O sistema deve permitir que o usuário consiga consultar e simular preços da operadora de plano de saúde.</t>
  </si>
  <si>
    <t>O sistema deve permitir que a operadora realize cadastros e importações, de materiais e medicamentos utilizados em seus processos.</t>
  </si>
  <si>
    <t>O sistema deve permitir o usuário a localizar, gerenciar e importar os preços de produtos do plano do saúde.</t>
  </si>
  <si>
    <t>O sistema deve permitir realizar as conferencias e consulta de informações do beneficiário de plano de saúde.</t>
  </si>
  <si>
    <t>Krankenversicherung - Dossier des Leistungsempfängers</t>
  </si>
  <si>
    <t>O sistema deve permitir consultar todas as informações relacionadas ao beneficiário com o plano de saúde, sendo dados do contrato, dados de utilização do beneficiário, informações financeiras como reajustes e mensalidades, entre outros.</t>
  </si>
  <si>
    <t>Versicherung - Leistungsempfänger-Suchfunktion</t>
  </si>
  <si>
    <t>O sistema deve possibilitar que o usuário realize a consulta de beneficiários de contratos da operadora de plano de saúde.</t>
  </si>
  <si>
    <t>O sistema deve possibilitar que o usuário realize a consulta de produtos da operadora de plano de saúde.</t>
  </si>
  <si>
    <t>Krankenversicherung - Registrierung der naürlichen Person</t>
  </si>
  <si>
    <t>O sistema deve permitir realizar cadastro de pessoas físicas e seus devidos dados, como familiares, contatos, endereços, entre outras informações para operadora de plano de saúde.</t>
  </si>
  <si>
    <t>O sistema deve possibilitar que o usuário realize a consulta de tabelas de preços dos produtos da operadora de plano de saúde.</t>
  </si>
  <si>
    <t>O sistema deve permitir ao usuário consultar os prestadores e seus respectivos grupos.</t>
  </si>
  <si>
    <t>O sistema deve permitir a operadora de plano de saúde registrar suas informações, contato, responsáveis por setores como TISS e contábil, parametrizações de trabalho, e dados legais (ANS).</t>
  </si>
  <si>
    <t>O sistema deve permitir o controle sobre as ações com as carteiras dos beneficiários do plano de saúde, como vencimento, emissão, devolução, via adicional, consultas, e cadastro de regras.</t>
  </si>
  <si>
    <t>OPS - DIOPS - Documento de Informaciones Periódicas</t>
  </si>
  <si>
    <t>Objetivo: Gerar a declaração do DIOPS;
Principais funcionalidade: Gerar o arquivo xml do DIOPS
Pessoas que utilizam: Contadores
O sistema deve permitir que a operadora de plano de saúde cadastre regras e gere os dados para envio do arquivo XML do DIOPS para a ANS.</t>
  </si>
  <si>
    <t>O sistema deve permitir gerar malotes de relatórios para envio de e-mail.</t>
  </si>
  <si>
    <t>Permitir realizar os reembolsos diretamente aos beneficiários que efetuaram o pagamento de atendimentos fora da rede credenciada.</t>
  </si>
  <si>
    <t>OPS - Guía Médica</t>
  </si>
  <si>
    <t>Permite a visualização das informações de prestadores habilitados para atendimento pela operadora.
O objetivo desta funcionalidade é a exibição das informações dos prestadores habilitados para atendimento aos beneficiários.</t>
  </si>
  <si>
    <t>O sistema deve permitir que a operadora de plano de saúde gere os dados de despesa da operadora conforme regras cadastradas, para posterior envio do arquivo XML para ANS.</t>
  </si>
  <si>
    <t>O sistema deve permitir criar, gerir e avaliar as propostas de adesão de contratos de beneficiários, podendo simular valores (coparticipação por exemplo), incluir regras, CPT, carências, entre outras validações.</t>
  </si>
  <si>
    <t>O sistema deve permitir a realização de simulação de preço (mensalidade) para pessoa física e jurídica.</t>
  </si>
  <si>
    <t>O sistema deve permitir ser registrada informações sobre a declaração de saúde da pessoa que deseja aderir ao plano de saúde, com intuito de registro e possível avaliação para aplicação de carência ou CPT por exemplo.</t>
  </si>
  <si>
    <t>O sistema deve permitir ao usuário acompanhar e controlar as informações relacionadas as informações médicas.</t>
  </si>
  <si>
    <t xml:space="preserve">HPMS - Analysis for Membership of Beneficiaries </t>
  </si>
  <si>
    <t>O objetivo da função é que através de um médico perito, seja possível avaliar pessoas em consulta, analisar declarações de saúde para registro da adesão do beneficiário.</t>
  </si>
  <si>
    <t>Krankenversicherung - Kaufmännische Verwaltung</t>
  </si>
  <si>
    <t xml:space="preserve">HPMS - Commercial Management </t>
  </si>
  <si>
    <t>O sistema deve permitir gerenciar leads e prospects, o rastreamento das vendas, e consultar novos clientes potenciais.</t>
  </si>
  <si>
    <t>O sistema deve permitir o usuário a realizar a análise sobre as contas de cobrança médica que vieram através de importação, ou foram digitadas referente a atendimento pelo SUS, onde a operadora de plano de saúde deverá dar um parecer ou realizar pagamento.</t>
  </si>
  <si>
    <t>O sistema deve permitir que a operadora gere lote com informações de beneficiários, cobertura, abrangência, faixa etária, e sobre regras cadastradas, para gerar da taxa de saúde suplementar que deverá ser paga para ANS.</t>
  </si>
  <si>
    <t xml:space="preserve">O sistema deve permitir registrar a comunicação de acidente de trabalho (CAT) para operadora de plano de saúde.
</t>
  </si>
  <si>
    <t>O sistema deve permitir gerar lote com os pagadores inadimplentes para envio da notificação de atraso, conforme regras cadastradas.</t>
  </si>
  <si>
    <t>Krankenversicherung - Übertragbarkeit</t>
  </si>
  <si>
    <t>O sistema deve permitir incluir, alterar ou excluir solicitações de portabilidade de planos de saúde dos beneficiários da operadora.</t>
  </si>
  <si>
    <t>O sistema deve permitir criar regras para lançamento de registro de forma automática em processos da operadora de plano de saúde, como mensalidade, contas de cobrança médica, autorizações, entre outros.</t>
  </si>
  <si>
    <t>O sistema deve permitir que a operadora consulte quais os pagadores tem títulos financeiros pendentes, notificações e cobranças em aberto.</t>
  </si>
  <si>
    <t>O sistema deve permitir parametrizar as funcionalidades do portal da operadora de plano de saúde.</t>
  </si>
  <si>
    <t>Objetivo: Visualizar informações relativas à provisões que são enviadas no DIOPS;
Principais funcionalidades: Consulta de provisões de títulos, como por exemplo, provisões de títulos com baixa por perdas;
Pessoas que utilizam: equipe do setor financeiro da operadora
O sistema deve possibilitar a visualização de informações relativas à provisões que são enviadas no DIOPS, provisões de títulos, como por exemplo, provisões de títulos com baixa por perdas.</t>
  </si>
  <si>
    <t>O sistema deve permitir cadastrar e gerir lançamentos para mensalidade, podendo ser acréscimo ou desconto, e realizar importação de movimentação.</t>
  </si>
  <si>
    <t>Permitir o cadastro e importação das cooperativas médicas e criação de regras para as cooperativas.
Havia a necessidade de se ter o cadastro das cooperativas e da criação de regras utilizadas para utilização na troca de informações de intercâmbio e conversões.
O objetivo desta funcionalidade é prover as informações referentes as cooperativas médicas e permitir a importação das cooperativas.</t>
  </si>
  <si>
    <t>HPMS - Electronic Data Transfer (EDT)</t>
  </si>
  <si>
    <t>O sistema deve permitir gerar arquivos de vários processos da operadora de plano de saúde, sendo mensalidade, contas de cobrança médica, dados gerenciais, entre outros.</t>
  </si>
  <si>
    <t>Call Centre</t>
  </si>
  <si>
    <t>O sistema deve permitir realizar o registro dos atendimentos do Call Center.</t>
  </si>
  <si>
    <t>Krankenversicherung - Leistungen und zusätzliche Abdeckungen</t>
  </si>
  <si>
    <t>O sistema deve permitir incluir, modificar, excluir, gerenciar e manter registros de produtos e serviços adicionais.</t>
  </si>
  <si>
    <t>O sistema deve permitir cadastrar regra para geração de bonificação financeira (desconto) em mensalidade do beneficiário de plano de saúde.</t>
  </si>
  <si>
    <t>O sistema deve permitir verificar as pendencias referente a pessoa física ou pessoa jurídica, apresentando as informações de atendimentos, autorizações, boletins de ocorrência, mensalidades, notificações, entre outros.</t>
  </si>
  <si>
    <t>Krankenversicherung - Abzug in der Gehaltsliste</t>
  </si>
  <si>
    <t>O sistema deve permitir gerar arquivo de títulos de mensalidade através de regras da operadora de plano de saúde para envio ao recursos humanos, e depois realizar a importação do arquivo de retorno dos valores.</t>
  </si>
  <si>
    <t>O sistema deve permitir criar lotes de revisão dos cadastro de pessoas para ajustes, com intenção de ter os dados corretos, facilitando envio do SIB.</t>
  </si>
  <si>
    <t>O sistema deve possibilitar que o usuário realize a consulta de pagadores de contratos da operadora de plano de saúde.</t>
  </si>
  <si>
    <t>Krankenversicherung - Verwaltung der Genehmigungsanalysen</t>
  </si>
  <si>
    <t>HPMS - Management of Authorisation Analysis</t>
  </si>
  <si>
    <t>O sistema deve permitir analisar as solicitações de guias que apresentaram alguma inconsistência ao serem solicitadas pelo prestador ou pela operadora de plano de saúde.</t>
  </si>
  <si>
    <t>Krankenversicherung - Genehmigungsanforderung</t>
  </si>
  <si>
    <t>HPMS - Authorisation Request</t>
  </si>
  <si>
    <t>O sistema deve permitir que para o prestador solicitante requisitar para a operadora de plano de saúde, a liberação de guias para os beneficiários que estão sendo atendidos, após aprovada a requisição o beneficiário pode realizar a sua execução no mesmo prestador ou em outro prestador, gerando uma guia.</t>
  </si>
  <si>
    <t>OPS - Identificación de Beneficiarios</t>
  </si>
  <si>
    <t>Krankenversicherung - Leistungsempfänger-Identifizierung</t>
  </si>
  <si>
    <t>O sistema deve permitir consultar, cadastrar e/ou identificar beneficiários.de plano de saúde.</t>
  </si>
  <si>
    <t>Call-Verwaltung (Call Center)</t>
  </si>
  <si>
    <t>Encounter Management (Call Centre)</t>
  </si>
  <si>
    <t>O sistema deve permitir gerir os atendimentos de Call Center, tendo o atendimento centralizado, cadastro de operadores e regras, facilitando a consulta ou levantamento de informações.</t>
  </si>
  <si>
    <t xml:space="preserve">Objective: Support management of receiving calls in Call Center services;
Main functionalities: allows users to record incoming calls, having centralized service, operator registration, facilitating consultation or information gathering.
People who use the function: Call Center department. </t>
  </si>
  <si>
    <t>Permite controlar os títulos a receber e títulos a pagar, gerados por intercâmbio entre Unimeds, com base em calendário definido.
Algumas Unimeds possuem formas diferentes de controle sobre os títulos gerados por intercâmbio, desta forma pode ser cadastrado um calendário com alguns períodos, padronizando a geração dos vencimentos destes títulos.
Este projeto tem como objetivo agilizar o processo com o controle dos títulos a receber e a pagar gerados por intercâmbio entre Unimeds.</t>
  </si>
  <si>
    <t>O sistema deve permitir gerir os contratos de beneficiários de intercâmbio, sendo contrato realizado com pessoa jurídica, e contendo informações financeiras, pessoais, carteirinhas, carência, coparticipação, entre outros.</t>
  </si>
  <si>
    <t xml:space="preserve">HPMS - Management of Collective Contract for Relationship </t>
  </si>
  <si>
    <t>Permite cadastrar um grupo de relacionamento com o cliente, com todos os contratos de uma determinada empresa, facilitando a manutenção dos mesmos.
Este projeto foi desenvolvido para facilitar o relacionamento entre a operadora e o cliente, tendo uma visão geral das informações e com o acesso pelo portal web.</t>
  </si>
  <si>
    <t>Krankenversicherung - Verwaltung von Genossenschaftsmitgliedern</t>
  </si>
  <si>
    <t>Permite o cadastro dos cooperados vinculados a cooperativa.
Havia a necessidade de se ter o cadastro dos cooperados, e de suas informações de especialidades, documentação, escrituração de quotas e documentação de afastamento e ausência.
O objetivo desta funcionalidade é permitir o controle dos cooperados da cooperativa.</t>
  </si>
  <si>
    <t>Krankenversicherung - Ergebnisbeurteilung</t>
  </si>
  <si>
    <t>Permite visualizar as informações financeiras de resultados agrupadas, e conforme dimensões de períodos e informações contratuais, de forma a permitir uma análise assertiva da saúde financeira da organização.
Esta funcionalidade tem como objetivo auxiliar no processo gerencial de análise dos resultados.</t>
  </si>
  <si>
    <t>O sistema deve permitir registrar os usuários eventuais de planos de saúde. Estes usuários eventuais são beneficiários de outra operadora de plano de saúde, mas que estão realizando atendimento na operadora que não são beneficiários locais, mas que pertence a mesma rede de atendimento.</t>
  </si>
  <si>
    <t>Krankenversicherung - Individuelles Entgelt nach Umfang der Leistungserbringungen</t>
  </si>
  <si>
    <t>Permite a geração dos valores de pagamento para os prestadores.
Esta ferramenta permite a geração das informações de valores para pagamento ou cobrança aos prestadores agrupados por eventos podendo ser gerados títulos a pagar a receber ou apropriar valores negativos em próximo pagamento.
O objetivo desta funcionalidade é manter o controle dos valores pagos/cobrados dos prestadores.</t>
  </si>
  <si>
    <t>Krankenversicherung - Kontrolle von Vorkommnissen und finanziellen Zwischenfällen</t>
  </si>
  <si>
    <t>Permite a definição de regras para eventos de produção médica, recurso de glosa e financeiros que devem ser gerados para pagamento dos prestadores.
Havia a necessidade de configurar os eventos para incidência nos valores de produção médica e geração de valores de ocorrências financeiras que o prestador tenha, para geração destes valores agrupados pelos eventos no pagamento de produção médica.
O objetivo desta funcionalidade é permitir a configuração dos eventos incidentes no pagamentos de produção médica.</t>
  </si>
  <si>
    <t>O sistema deve permitir gerir as análises de contas de cobrança médica, podendo ser de pagamento, faturamento, ou intercâmbio. A ferramenta permite cadastrar regras referente ao processo.</t>
  </si>
  <si>
    <t>O sistema deve permitir controlar as contas de cobrança médica, possibilitando visualizar falhas de geração de análise e processamento paralelo, também centralizando as funcionalidades de digitação de contas para acesso, gestão de contas médicas e a análise de conta médica.</t>
  </si>
  <si>
    <t>Krankenversicherung - Leistungsempfänger-Registerbewegungen</t>
  </si>
  <si>
    <t>Permite enviar e receber a movimentação cadastral de usuários repassados da Unimed de Origem (detentora do contrato) para a Unimed Destino (onde o usuário mora).
O projeto foi desenvolvido para o sistema atender as necessidade das unimeds, de acordo com o manual do PTU (Protocolo de Transações Unimed).</t>
  </si>
  <si>
    <t>O sistema deve possibilitar que o usuário realize a consulta de serviços e coberturas adicionais da operadora de plano de saúde.</t>
  </si>
  <si>
    <t>O sistema deve permitir localizar as carências para que o usuário realize as manutenções nas regras vinculadas.</t>
  </si>
  <si>
    <t>OPSW - Authorisation Requirements</t>
  </si>
  <si>
    <t>Verwaltung der Verordnungsdurchführung</t>
  </si>
  <si>
    <t>Objective: Support identifying patient medical orders administration status;
Main functionalities: support users to identify, through summarized panel, the patient medical orders status, classified in columns by type, with the amount of pending, delayed and future events;
People who use the function: Nursing and other authorized departments.</t>
  </si>
  <si>
    <t>HPMS - Authorisation Requirement Operation</t>
  </si>
  <si>
    <t>O sistema deve permitir que para o prestador executor, por exemplo laboratório, gerar a guia para o beneficiário a partir de uma requisição já autorizada para a operadora de plano de saúde.</t>
  </si>
  <si>
    <t>HPMS - SCA Registration Movement</t>
  </si>
  <si>
    <t>Permite gerar arquivo com a movimentação cadastral de usuários de produtos da Unimed de Origem (detentora do contrato) para a Empresa Destino (PEA, seguros, transporte aéreo médico, farmácia, etc..).
O projeto foi desenvolvido para o sistema atender as necessidade das unimeds, de acordo com o manual do PTU (Protocolo de Transações Unimed).</t>
  </si>
  <si>
    <t>OPS - Cuentas de Intercambio</t>
  </si>
  <si>
    <t>Krankenversicherung - Austauschkonten</t>
  </si>
  <si>
    <t>HPMS - Exchange Accounts</t>
  </si>
  <si>
    <t>Possibilita a importação dos arquivos de intercâmbio A500 do modelo PTU, que tem pôr objetivo receber as notas de uma fatura de uma Unimed Prestadora (onde o usuário foi atendido).
Esta ferramenta facilita as cobranças referentes as contas de intercâmbio entre as Unimeds, desta forma, integrando o Tasy no processo de transações de arquivos do modelo PTU.
Desenvolvida para facilitar as cobranças de contas de intercâmbio entre as Unimeds.</t>
  </si>
  <si>
    <t>O sistema deve permitir realizar cadastro e regras para agravo, que é uma taxa cobrada na mensalidade do beneficiário de plano de saúde.</t>
  </si>
  <si>
    <t>Permite enviar uma lista de documentos para serem compensadas em câmaras federativas de qualquer nível, no modelo PTU do arquivo A600.
O objetivo do projeto é permitir a geração de lote com os documentos  para serem compensadas em câmaras por meio de um arquivo de transação de informações no modelo PTU, o A600.</t>
  </si>
  <si>
    <t>Krankenversicherung - Preisregeln und Kriterien</t>
  </si>
  <si>
    <t>O sistema deve permitir cadastrar regras de valorização para prestadores, reembolso, fatura (pós-estabelecido), coparticipação, intercâmbio, autorizações, franquia, cobrança prevista e para orçamento.</t>
  </si>
  <si>
    <t>OPSW - Authorisation Requirement Operation</t>
  </si>
  <si>
    <t xml:space="preserve">Temperaturkontrolle in den Abteilungen
</t>
  </si>
  <si>
    <t>Função utilizada para registro e acompanhamento de temperatura e umidade em setores que estas informações devem ser controladas.
Suas principais funcionalidades são:
- Permitir a identificação do setor que está sendo monitorado, bem como o registro de temperatura, umidade, hora/pessoa de medição;
- Permitir o registro dos itens verificados dentro do setor e suas respectivas informações (temperatura, umidade, data e hora de medição);
- Permitir o acompanhamento por meio de gráficos e grid (por período, setor e item) da evolução dos registros de temperatura;
- Permitir o registro de ocorrências que sejam pertinentes ao setor selecionado, bem como a obrigação das mesmas se necessário;
- Permitir o acompanhamento via comunicação interna quando um valor de temperatura ou umidade estiver fora da faixa permitida.</t>
  </si>
  <si>
    <t>Objective: Support monitoring temperature and humidity in departments that these criterias must be controlled. 
Main functionalities: 
- Allows users to identify departments being monitored, as well as recording temperature measured by the professionals, humidity, date, time and user for reporting. 
- Allows the registration of medicines measured within the departments and their respective information (temperature, humidity, date and time of measurement);
- Allows monitoring in chart and grid views (by period, sector and item) of the evolution of temperature records; 
- Allow the registration of occurrences that are relevant to the department; 
- Allow monitoring via internal communication when a temperature or humidity value is outside range;
People who use the function: Pharmacy, Nurseing and Stock departments.</t>
  </si>
  <si>
    <t>Wäscherei</t>
  </si>
  <si>
    <t>The purpose of this function is to register the hospital's linen items, as well as transfers from one department to another. 
The main features are: 
- Register the linen items as well as the bar code of each linen item. 
- Generate transfer movements between departments. 
- Traceability of linen items. 
- Lifetime control. 
- Check-in and check-out for the laundry.</t>
  </si>
  <si>
    <t>Vorfallformular-Registrierung</t>
  </si>
  <si>
    <t>Objective: Support documentation of relevant clinical data to identify Healthcare-Associated Infections;
Main functionalities: support users to document patient incident forms to capture most relevant clinical data, such as surgeries, procedures, medications, culture samples, among other options, to help identify Healthcare-Associated Infections in patients. This form can be configured to be opened automatically to patients if needed;
People who use the function: Healthcare-Associated Infections department.</t>
  </si>
  <si>
    <t>Permite o cadastro das operadoras congeneres.
Havia a necessidade de se ter o cadastro das operadoras congeneres para realização do intercâmbio de beneficiários para outras operadoras que não são cooperativas.
O objetivo desta funcionalidade é prover as informações referentes as operadoras congêneres.</t>
  </si>
  <si>
    <t>Krankenversicherung - Kostenübernahme-Ablehnungen und Vorkommnisse</t>
  </si>
  <si>
    <t>O sistema deve permitir criar consistências (glosas e ocorrências) para os processos de autorizações e contas de cobrança médica, com intenção de ter o recebimento correto de informações para avaliação de auditores, e para utilização financeira e legal.</t>
  </si>
  <si>
    <t>O sistema deve permitir cadastrar pré-existências com as doenças que fazem parte, e vincular CPT e agravo.</t>
  </si>
  <si>
    <t>O sistema deve permitir o usuário a digitar contas de cobrança médica no modelo de guia TISS de consultas.</t>
  </si>
  <si>
    <t>O sistema deve permitir o usuário a digitar contas de cobrança médica no modelo de guia TISS de SP/SADT (Serviço profissional / Serviço auxiliar de diagnóstico e terapia).</t>
  </si>
  <si>
    <t>O sistema deve permitir o usuário a digitar contas de cobrança médica no modelo de guia TISS de Internações.</t>
  </si>
  <si>
    <t>HPMS - Movement of Services Provided in Prepayment</t>
  </si>
  <si>
    <t>Permite a geração e envio dos serviços prestados em pré-pagamento de uma Unimed Prestadora (para a qual o beneficiário foi repassado em pré-pagamento) para a Unimed Origem (detentora do contrato).
O objetivo do projeto era criar uma função para que possa ser enviado e recebido o arquivo A700 tendo as informações  dos serviços prestados em pré-pagamento.</t>
  </si>
  <si>
    <t>Possibilita enviar a relação de beneficiários e seus respectivos valores de uma fatura/demonstrativo de 	uma Unimed Prestadora (onde o usuário é atendido), ou receber de uma Unimed Origem (detentora do contrato).
Este projeto foi desenvolvido para permitir a geração e agrupamento das informações  de relação de beneficiários e seus respectivos valores de faturas/demonstrativos, para o envio e recebimento do arquivo A800.</t>
  </si>
  <si>
    <t>HPMS - Accounting Criteria</t>
  </si>
  <si>
    <t>Objetivo: Cadastrar as regras para a contabilização;
Principais funcionalidades: Realizar o cadastro das regras para posterior contabilização nos lotes contábeis;
Pessoas que utilizam a função: Contadores e auxiliares.</t>
  </si>
  <si>
    <t>O sistema deve permitir cadastrar regras e gerar recálculos sobre contas de cobrança médica, auto gerado e plantonistas.</t>
  </si>
  <si>
    <t>O sistema deve permitir a consulta e manutenção das tabelas de preço dos produtos da operadora de plano de saúde.</t>
  </si>
  <si>
    <t>O sistema deve permitir cadastrar as configurações de utilização do software de comunicação segura (SCS), utilizado para autorizações da operadora de plano de saúde.</t>
  </si>
  <si>
    <t>O sistema deve permitir que os auditores da operadora de plano de saúde realizem análise das características e valores financeiros do atendimento médico para possível recusa ou pagamento de valores.</t>
  </si>
  <si>
    <t>O sistema deve permitir ao usuário a consultar os dados de beneficiários de intercâmbio entre operadoras de planos de saúde.</t>
  </si>
  <si>
    <t>O sistema deve permitir ao usuário a consultar os dados de prestadores de intercâmbio entre operadoras de planos de saúde.</t>
  </si>
  <si>
    <t xml:space="preserve">HPMS - Maintenance of Bonus </t>
  </si>
  <si>
    <t>O sistema deve permitir o usuário a localizar as bonificações para as mensalidades de beneficiários, e realizar manutenção em regras e bonificações.</t>
  </si>
  <si>
    <t>Krankenversicherung - Paketverwaltung</t>
  </si>
  <si>
    <t>O sistema deve permitir gerenciar os pacotes negociados entre o plano de saúde e o profissional de saúde, podendo criar regras, avaliações financeiras, conversões e importando arquivos de pacotes utilizados.</t>
  </si>
  <si>
    <t>O sistema deve permitir gerenciar as guias de atendimento médico que são físicas (de papel).</t>
  </si>
  <si>
    <t>Permite a geração do arquivo A400, que é o arquivo que tem por objetivo enviar a movimentação cadastral de prestadores.
O objetivo do projeto era criar uma função para o envio do movimento cadastral de prestadores da base do cliente, cadastro que esta na função OPS - Prestadores.</t>
  </si>
  <si>
    <t>O sistema deve permitir consultar e gerar a Provisão para Perdas Sobre Créditos da operadora de plano de saúde.</t>
  </si>
  <si>
    <t>O sistema deve permitir cadastrar os auditores da operadora de plano de saúde, que irão realizar as análises de contas de cobrança médica, e sobre as autorizações.</t>
  </si>
  <si>
    <t>Objetivo: Gerar o arquivo SEFIP;
Principais funcionalidades: Gerar o arquivo txt do SEFIP
Pessoas que utilizam: equipe do setor financeiro da operadora</t>
  </si>
  <si>
    <t>O sistema deve permitir consultar e cadastrar comunicação interna que é apresentada no portal da operadora de plano de saúde, para prestadores, beneficiários ou estipulantes/contratos.</t>
  </si>
  <si>
    <t>O sistema deve permitir criar regras sobre tratamentos de beneficiários, adicionar históricos, e consultar as requisições de tratamento.</t>
  </si>
  <si>
    <t>Krankenversicherung - Kontrolle der Anfechtungen</t>
  </si>
  <si>
    <t>Permite gerir as informações das contas e itens contestadas nas análises de intercâmbio do arquivo A500,  e com base nestas informações, gerar o arquivo de questionamento A550 no modelo PTU, e também poder importar o este arquivo de outras Unimeds. Com isso gerar e importar os arquivos de A560 (nota de débito), com os valores a receber ou a pagar referente a contestação realizada.
O objetivo do projeto de desenvolver uma funcionalidade onde a Unimed poder gerar os arquivos de A550 sobre as contas e itens contestados que vieram no arquivo de contas de intercâmbio, e permitir a 	importação dos arquivos A550 enviado por outras Unimeds. Com base nos valores resultados pela contestação, importar ou gerar o arquivo A560.</t>
  </si>
  <si>
    <t>O sistema deve permitir localizar grupos de serviços com os procedimentos registrados.</t>
  </si>
  <si>
    <t>Krankenversicherung - Justizprozess</t>
  </si>
  <si>
    <t>O sistema deve permitir que o usuário realize cadastro dos processos judiciais da operadora de plano de saúde, e com isso criar regras e validações.</t>
  </si>
  <si>
    <t>HPMS - CPA - Collective Plan Adjustment</t>
  </si>
  <si>
    <t xml:space="preserve">O sistema deve permitir gerar os dados de reajustes sobre os planos coletivos empresariais para envio do arquivo para ANS.
</t>
  </si>
  <si>
    <t>O sistema deve permitir gerar lotes de comissões para vendedores, sobre regras de comissão, e lançamentos adicionais.</t>
  </si>
  <si>
    <t>O sistema deve permitir selecionar os procedimentos e materiais de contas de cobrança médica da fatura (a pagar ou receber) para poder contestar os valores.</t>
  </si>
  <si>
    <t>Krankenversicherung - Kontrolle der Service-Orte</t>
  </si>
  <si>
    <t>O sistema deve permitir cadastrar os locais de atendimento, e ter os vínculos dos prestadores de serviço, de acesso web e das máquinas destes prestadores que acessaram portal web da operadora de plano de saúde.</t>
  </si>
  <si>
    <t xml:space="preserve">O sistema deve possibilitar que o usuário realize a consulta de grupos de produtos de plano de saúde.
</t>
  </si>
  <si>
    <t>O sistema deve permitir o usuário a localizar os grupos de contratos de beneficiários de planos de saúde.</t>
  </si>
  <si>
    <t>O sistema deve permitir consultar as informações do cliente pessoa jurídica, centralizando dados de contratos, beneficiários, produtos, financeiro, entre outros.</t>
  </si>
  <si>
    <t>O sistema deve permitir que os auditores da operadora de plano de saúde realizem análise das características e valores financeiros do atendimento médico para cobrança de valor de pós-estabelecido.</t>
  </si>
  <si>
    <t>O sistema deve permitir que o plano de saúde consiga realizar análise através de auditores, sobre discussões de intercâmbio e recurso de glosas de prestadores.</t>
  </si>
  <si>
    <t>Krankenhaus-Abfallentsorgung</t>
  </si>
  <si>
    <t>Função utilizada para registro e controle dos resíduos e lixo coletados nos setores;
Suas principais funcionalidades são:
- Permitir o registro da data, setor em que o lixo foi coletado, bem como os itens e volume/peso dos mesmos;
- Permitir a criação/resposta de um checklist para o processo;</t>
  </si>
  <si>
    <t>Objective: Support documentation of waste and garbage disposed;
Main functionalities: support users to document the waste and garbage disposed, identifing the materials, weight, answering structured assessments according to customer needs, among other options;
People who use the function: Cleaning and Disinfection departments.</t>
  </si>
  <si>
    <t>Sitzungen und Sitzungsprotokolle</t>
  </si>
  <si>
    <t>Objective: Support management of Meetings and their Minutes; 
Main functionalities: support users to manage meetings documentation, offering tools to define date, time, topics, participants, meeting minutes, actions, generate Service Orders from the actions, among other options;
People who use the function: All authorized departments.</t>
  </si>
  <si>
    <t>O sistema deve permitir que o usuário gere orçamentos financeiros sobre o processo de autorizações.</t>
  </si>
  <si>
    <t>O sistema deve permitir a geração e envio de dados de tributação para prefeitura local.</t>
  </si>
  <si>
    <t>O sistema deve permitir o usuário a localizar pagadores de plano de saúde e realizar a manutenção de informações.</t>
  </si>
  <si>
    <t>Multiparameter-Kurve</t>
  </si>
  <si>
    <t xml:space="preserve">Representar numa tela de computador todos os parâmetros assistenciais (sinais vitais, balanço, fluxo de drogas, entre outros) de um paciente internado numa UTI, por exemplo, é um enorme desafio por  2 motivos: são folhas (planilhas) enormes (dobram-se 2 ou 3 vezes) e são instrumentos muito fortes de trabalho para os profissionais médicos e de enfermagem (tanto na tomada de decisão, como pela dinâmica de circulação das pranchetas nas unidades).  </t>
  </si>
  <si>
    <t>Representing / display the patient care parameters (vital signs, balance, drug flow, among others) Acces and display of context related consolidated data at point of care is instrumenal to the work for medical and nursing professionals.</t>
  </si>
  <si>
    <t>Krankenversicherung - Umsatz</t>
  </si>
  <si>
    <t>Permite geração e envio das informações de contas de beneficiários pertencentes a outras cooperativas.
O objetivo desta funcionalidade é permitir a configuração de regras para geração das informações e envio de arquivo para a outra cooperativa.</t>
  </si>
  <si>
    <t>O sistema deve permitir cadastrar regras de alertas, que podem ser por SMS, e-mail ou comunicação interna, que aplicará para vários processos da operadora de plano de saúde.</t>
  </si>
  <si>
    <t>O sistema deve possibilitar que o usuário realize a consulta de guias de referência de plano de saúde.</t>
  </si>
  <si>
    <t>O sistema deve possibilitar que o usuário realize a consulta de operadoras cadastrado pela operadora de plano de saúde.</t>
  </si>
  <si>
    <t>HPMS - Authorisation Analysis</t>
  </si>
  <si>
    <t>O sistema deve permitir que a operadora de plano de saúde com seus auditores realize análise sobre as guias de autorização de atendimento, podendo liberar ou negar a guia.</t>
  </si>
  <si>
    <t>O sistema deve permitir que o usuário tenha o controle das liberações de atendimento pelo portal web da operadora, e consultar ordens de serviço relacionada ao assunto.</t>
  </si>
  <si>
    <t>O sistema deve permitir cadastrar regras de conversão de itens (procedimentos e materiais) para envio ou recebimento de dados da operadora de plano de saúde.</t>
  </si>
  <si>
    <t>HPMS - Maintenance of Authoriser Operational Processes</t>
  </si>
  <si>
    <t>O sistema deve permitir gerir os processos de autorização de intercâmbio online, podendo reenviar as autorizações com falha.</t>
  </si>
  <si>
    <t>Krankenversicherung - Analyse medizinischer Konten (neu)</t>
  </si>
  <si>
    <t>O sistema deve permitir que os auditores (médicos, enfermeiros, administrativo, entre outros) consigam efetuar análise sobre as contas de cobrança médica, sendo pagamento, faturamento, e intercâmbio, podendo liberar ou negar valores adicionando pareceres.</t>
  </si>
  <si>
    <t>O sistema deve alertar o usuário se houver inconsistências na geração do A500 (Arquivo de Protocolo do Unimed) ou TISS.</t>
  </si>
  <si>
    <t>Tem como objetivo atualizar as contas contábeis dos movimentos da operadora pois havia a dificuldade com as atualizações de contas contábeis das movimentações de mensalidade, conta médica, reembolso, onde era necessário atualizar as contas em várias funções e pesquisar os movimentos que não se encaixaram em regra manualmente.
Desenvolvida para facilitar o trabalho do usuário da operadora que é responsável pela contabilidade. Os principais pontos da funcionalidade são:
1º Permitir atualizar todas as contas contábeis para um determinado lote contábil, com um clique.
2º Auxiliar o usuário na identificação de problemas em cadastros de regras contábeis, que impedem a contabilização de um movimento.</t>
  </si>
  <si>
    <t>HPMS - cancelling Prescriptions</t>
  </si>
  <si>
    <t>O sistema deve permitir que seja possível realizar processo de ajustes nas contas de cobrança médica em faturas canceladas para que sejam faturadas novamente.</t>
  </si>
  <si>
    <t>O sistema deve permitir o envio de informações cadastrais de prestadores médicos para envio de arquivo da operadora de plano de saúde.</t>
  </si>
  <si>
    <t>OPS - Comunicación de Internación o Alta del Beneficiario</t>
  </si>
  <si>
    <t xml:space="preserve">O sistema deve permitir visualizar as comunicações de internação e de alta do beneficiário de plano de saúde, e gerar guia caso necessário.
</t>
  </si>
  <si>
    <t>O sistema deve permitir gerir as notas fiscais vinculadas aos protocolos de cobrança médica dos prestadores que tiveram pagamento.</t>
  </si>
  <si>
    <t>OPSW - Comunicación de Internación o Alta del Beneficiario</t>
  </si>
  <si>
    <t>HPMS - Form Attachment Authorization</t>
  </si>
  <si>
    <t>HPMS - Form Attachment Authorisation</t>
  </si>
  <si>
    <t>O sistema deve permitir realizar consulta de lotes de anexos das guias utilizadas na importação do TISS.</t>
  </si>
  <si>
    <t>HPMS - Health Plan Record</t>
  </si>
  <si>
    <t>O sistema deve permitir que a operadora gere as informações de prestadores e produtos para ser enviado os arquivos de inclusão, vinculação, alteração e exclusão para ANS com base em regras.</t>
  </si>
  <si>
    <t>Versicherung - Produktion - Widerspruch</t>
  </si>
  <si>
    <t>HPMS - Production - Denial Appeal</t>
  </si>
  <si>
    <t>O sistema deve permitir que a operadora de plano de saúde receba os recursos de glosa dos prestadores, e com isso realizar a avaliações com intuito de realizar o pagamento ou manter a negativa (glosa).</t>
  </si>
  <si>
    <t>O sistema deve permitir que a operadora de plano de saúde gere suas informações (despesas, prestadores, estrutura, entre outros) para envio do arquivo do radar TISS para ANS.</t>
  </si>
  <si>
    <t>O sistema deve permitir ao usuário que tenha controle para liberação, ajustes e reajustes de valores financeiros de cobrança de coparticipação e pós-estabelecido.</t>
  </si>
  <si>
    <t>Krankenversicherung - Betriebsabläufe - Mit medizinischen Rechnungen verbundene Prozesse</t>
  </si>
  <si>
    <t>O sistema deve permitir que o usuário parametrize quais as contas de cobrança médica que passaram por um processamento, sendo, consistência, valorização, ocorrências combinadas, geração de pós-estabelecido, entre outros.</t>
  </si>
  <si>
    <t>O sistema deve permitir a parametrização para geração de boletos para envio por carta ou e-mail.</t>
  </si>
  <si>
    <t>O sistema deve permitir que o usuário crie lote para emissão de requisições sobre as regras cadastradas.</t>
  </si>
  <si>
    <t>HPMS - ANS Monitoring - Data delivery to ANS</t>
  </si>
  <si>
    <t>O sistema deve permitir a operadora de plano de saúde gerar e receber os dados sobre sua movimentação de contas de atendimento médico (pagamento, faturamento, coparticipação) em arquivo XML para envio para ANS.</t>
  </si>
  <si>
    <t>Krankenversicherung - Buchhaltung von Genossenschaftsquoten</t>
  </si>
  <si>
    <t>Está funcionalidade tem o objetivo de gerenciar as quotas (acréscimo e decréscimo de valores) dos cooperados da operadora de plano de saúde, do tipo cooperativa.</t>
  </si>
  <si>
    <t>HPMS - Payment Control by Franchise</t>
  </si>
  <si>
    <t>O sistema deve permitir que a operadora de plano de saúde cadastre regras acordadas de franquia para prestadores, com intuito de pagamento de produção fixa.</t>
  </si>
  <si>
    <t>Krankenversicherung - Unternehmensmonatsbeitragsdateien</t>
  </si>
  <si>
    <t>Função desenvolvida para gerar arquivos de desconto em folha para envio a empresas contratantes de plano de saúde.</t>
  </si>
  <si>
    <t>Krankenversicherung - Austausch-Leistungserbringer</t>
  </si>
  <si>
    <t>O sistema deve permitir cadastrar, consultar e importar os dados de prestadores utilizados no processo de intercâmbio da operadora de plano de saúde.</t>
  </si>
  <si>
    <t>O sistema deve permitir consultar as informações odontológicas dos beneficiários da operadora de plano de saúde.</t>
  </si>
  <si>
    <t>O sistema deve possibilitar realizar o processo de pedido de autorização pela operadora de plano de saúde do beneficiário solicitando autorização para outra operadora, com intuito de ser atendimento com prestador de outra rede de atendimento.</t>
  </si>
  <si>
    <t>Krankenversicherung - Anforderung von Online-Vorschlag</t>
  </si>
  <si>
    <t>OPS - Ejecución Quirúrgica</t>
  </si>
  <si>
    <t>Versicherungsgesellschaft - Chirurgiedurchführung</t>
  </si>
  <si>
    <t>HPMS - Surgical Execution</t>
  </si>
  <si>
    <t xml:space="preserve">Objective: Support management of medicines catalog;
Main functionalities: support users to add and provide maintenance of medicines catalog and their business rules, for pharmacy dispensing, medical orders, clinical pharmacy documentation, drug to drug interaction, therapeutic doses, among other options;
People who use the function: Pharmacy department.
</t>
  </si>
  <si>
    <t>Kommerzielle Apotheke - Verkauf</t>
  </si>
  <si>
    <t>Transkriptionsverwaltung</t>
  </si>
  <si>
    <t>Objective: Support management of medical orders transcriptions documentation to trigger CPOE function;
Main functionalities: support users to add and consult medical orders transcriptions documentation, storing the scanned medical order files and submitting the transcription to trigger CPOE function and provide the transcribed patient medical orders;
People who use the function: Nursing and other authorized clinical departments.</t>
  </si>
  <si>
    <t>Verwaltung für Integration - Orthopädische Artikel</t>
  </si>
  <si>
    <t>Management for OPSM integration</t>
  </si>
  <si>
    <t>Management for prosthesis and chargeable items integration</t>
  </si>
  <si>
    <t>Gerenciar a integração com sistemas externos
- Verificar os logs da integração;
- Consultar os materiais que foram enviados pelo sistema externo;
- Consultar a nota fiscal e ordem de compra geradas;
- Realizar o atendimento dos materiais que foram recebidos pelo sistema externo;</t>
  </si>
  <si>
    <t>Objective: Support management of integrations for Supply areas related to Orhoses, Protheses and Special Materials required for surgeries;
Main objectives: support users to manage integrations for Supply areas related to Orhoses, Protheses and Special Materials required for surgeries. The function offers options to check the integration logs, consult the materials that were sent by the external system, consult the generated invoice and purchase order, carry out the materials transactions that were received by the external system;
People who use the function: Information Technology and Warehouse departments.</t>
  </si>
  <si>
    <t>Integrationsmanagement</t>
  </si>
  <si>
    <t>Cadastrar integrações padrão, conversões (de/para) e sistemas integrantes.</t>
  </si>
  <si>
    <t>Objective: Support management of integrations for Supply areas; 
Main functionalities: support users to manage Standard integrations for Supply areas, data conversion, purchase integration, integration logs, among other options. 
People who use the function: Information Technology and Warehouse departments.</t>
  </si>
  <si>
    <t>Essa função tem o objetivo de gerenciar a integração das solicitações de compras com outros sistemas.
Por exemplo: Gerenciar a integração com o Mercado Eletrônico.</t>
  </si>
  <si>
    <t>Gerenciamento dos Parâmetros de Suprimentos</t>
  </si>
  <si>
    <t>Verwaltung der Vorratsparameter</t>
  </si>
  <si>
    <t>Essa função tem o objetivo de definir as parametrizações e regras de negócio do módulo de compras e estoque. As principais funcionalidades são:
- Definir os parâmetros para integrações.
- Definir os parâmetros para geração de notas fiscais.
- Definir os parâmetros para ressuprimento de compras.
- Definir os parâmetros para valorização de estoque.
- Definir os parâmetros para contabilização de estoque.</t>
  </si>
  <si>
    <t>Objective: Support management of parameters and business rules of the purchasing and stock modules; 
Main functionalities: support users to provide maintenance to parameters and business rules of the purchasing and stock modules, such as interface with external purchase systems, invoices generation, resupply process, stock valuation, inventory accounting, among other options;
People who use the function: Information Technology, Purchase and Warehouse departments.</t>
  </si>
  <si>
    <t xml:space="preserve">Verwaltung von Ausgangs-E-Mails der Kaufabteilung </t>
  </si>
  <si>
    <t>O objetivo dessa função é gerenciar os e-mais que são enviados referente ao módulo de compras. As principais funcionalidades são:
- Cadastrar as regras de envio de e-mail de todas as funcionalidades de compras e estoque.
- Consultar o remetente e o destinário de cada mensagem.</t>
  </si>
  <si>
    <t>Objective: Support management of rules for sending automatic emails upon on purchase and stock events;
Main functionalities: support users to add and provide maintenance of rules for sending automatic emails based on purchase and stock system events. The function offers system events to trigger the emails to be sent as well as the email content with macros and consultation screen to identify the senders and recipients of each message;
People who use the function: Information Technology, Purchase and Warehouse departments.</t>
  </si>
  <si>
    <t>Simulador de Cuentas de la ARS</t>
  </si>
  <si>
    <t>Simulador de Cuentas de Aseguradora</t>
  </si>
  <si>
    <t xml:space="preserve">Kostenträgerkonto-Simulator
</t>
  </si>
  <si>
    <t>Objective: simulate patient accounts using the price rule of other insurances. _x000D_
Main functionalities: allows the users to simulate patient accounts with price rules from other insurances and define different simulation percentage indexes by account structure (e.g.: medicines, hospital services, physicians fees, etc.), consult, analyze and compare the prices of current insurance with the simulation, detailed by item, structure, etc. _x000D_
People who use the function: Billing / Commercial department.</t>
  </si>
  <si>
    <t xml:space="preserve">Schmerzmanagement </t>
  </si>
  <si>
    <t>Objective: Suppot users to identify patients included in Pain management groups;
Main functionalities: support users to identify patients that have been included in in Pain management groups, as well as consolidated patient pain related clinical data, such as pain measures, pain medicines, analgesia monitoring, among other options;
People who use the function: Physicians and Nurses.</t>
  </si>
  <si>
    <t xml:space="preserve">Objetivo: Função utilizada para consulta de arquivos XML do padrão TISS gerados pelo Hospital.
Utilizado por: Usuários da TI
</t>
  </si>
  <si>
    <t xml:space="preserve">Objetivo: Função utilizada para controle das integrações TISS realizadas pelo Hospital.
Utilizada por: Usuários da TI
</t>
  </si>
  <si>
    <t>Calculadora de Dosis Terapéutica</t>
  </si>
  <si>
    <t>Rechner für die Therapeutische Dosis</t>
  </si>
  <si>
    <t>Objective: Support documenting professional resume;
Main functionalities: support users to document the professionals resume;
People who use the function: Information Technology.</t>
  </si>
  <si>
    <t>Receita Padrão</t>
  </si>
  <si>
    <t>Standard-Rezept</t>
  </si>
  <si>
    <t>Probenmanagement</t>
  </si>
  <si>
    <t>Objective: Support management of Patient Samples;
Main functionalities: allows users to add and manage the patients samples extracted for diagnostic procedures;
People who use: All Clinical departments.</t>
  </si>
  <si>
    <t>Integrations-Dokumentation</t>
  </si>
  <si>
    <t>Atención al Cliente</t>
  </si>
  <si>
    <t>Vorfallbericht</t>
  </si>
  <si>
    <t>Função utilizada para registro de ocorrências, sugestões ou reclamações dos pacientes;
Suas principais funcionalidades são:
- Permitir o registro de sugestões, reclamações, e toda a documentação e equipe de análise da mesma;
- Permitir a visualização dos registros pendentes para determinado usuário;
- Permitir a elaboração e visualização de pesquisas de satisfação;
- Permitir a visualização dos resultados destas pesquisas em gráficos;
- Permitir o cadastro de boletins informativos;
- Permitir a consulta dos ramais internos;</t>
  </si>
  <si>
    <t>Function used to record occurrences, suggestions or complaints from patients; 
Its main features are: 
- Allow the recording of suggestions, complaints, and all documentation and analysis team of the same; 
- Allow viewing of pending records for a given user; 
- Allow the elaboration and visualization of satisfaction surveys; 
- Allow visualization of the results of these researches in graphs; 
- Allow the registration of newsletters; 
- Allow consultation of internal extensions;</t>
  </si>
  <si>
    <t xml:space="preserve">Electronic Patient Chart Data Module </t>
  </si>
  <si>
    <t>Menü</t>
  </si>
  <si>
    <t>Technologie-Aktivitäten</t>
  </si>
  <si>
    <t>Tec HTML5 #FFTW</t>
  </si>
  <si>
    <t>Função interna criada pela Tecnologia para gerenciamento das atividades internas.</t>
  </si>
  <si>
    <t>Modifizierte Ashworth-Skala</t>
  </si>
  <si>
    <t>Vorschläge - Verwaltung</t>
  </si>
  <si>
    <t>Função utilizada para controle de sugestões recebidas pelos pacientes ou pessoas da própria instituição.
Suas principais funcionalidades são:
- Permitir o registro e análise das sugestões apresentadas pelos pacientes ou pessoas da própria instituição;
- Permitir a geração de um boletim de ocorrência a partir de uma sugestão/crítica;
- Permitir o envio de comunicações internas às pessoas envolvidas com a sugestão;
- Permitir o registro e envio de respostas e históricos às sugestões apresentadas.</t>
  </si>
  <si>
    <t xml:space="preserve">Function used to control suggestions received by patients or people from the institution itself. 
Its main features are: 
- Allow the registration and analysis of suggestions made by patients or people from the institution itself; 
- Allow the generation of a incident report based on a suggestion / criticism; 
- Allow the sending of internal communications to the people involved with the suggestion; 
- Allow the recording and sending of responses and histories to the suggestions presented.
People who use the function: Customer Service Experience and other authorized departments. </t>
  </si>
  <si>
    <t>Panel internación</t>
  </si>
  <si>
    <t>Patientenkurzakte</t>
  </si>
  <si>
    <t>Objective: Support the visualization of most relevant patient clinical data within graphical cards with drag and drop cababilities to have a personalized view;
Main functionalities: support users to easily assess the most relevant patient clinical data in a summarized view, vital signs and lab results progress in time, with drag and drop capabilities to sort cards, providing personalized models by users and profiles. The cards of data can be expanded and offer options to jump directly to Electronic Patient Chart file in case of more detailed information and updating clinical documentation;
People who use the function: Physicians, Nurses and other authorized departments.</t>
  </si>
  <si>
    <t>Ausfall-Situation</t>
  </si>
  <si>
    <t>Manchester Triage Risikobewertung</t>
  </si>
  <si>
    <t>Objective: Support management of patients triage according to Manchester Risk Classification protocol (require Manchester copyright licenses); 
Main functionalities: support users to perform emergency patients triage, following the international protocol Manchester Risk Classification;
People who use the function: Nurses and Emergency Department.</t>
  </si>
  <si>
    <t>Stammtabellen Einstellungen</t>
  </si>
  <si>
    <t xml:space="preserve">Objective: Support management of system core tables settings; 
Main functionalities: support users to add, consult and provide maintenance to system core tables settings, according to users access rights. The function offers a filter to find the system core tables settings available to the users, which can be configured for the user profiles, at the System Administration and with the right level of access, the users can update them according to their needs; 
People who use the function: Information Technology and Key Users of all departments. </t>
  </si>
  <si>
    <t>Registrierung suchen</t>
  </si>
  <si>
    <t>Drucken von Berichten</t>
  </si>
  <si>
    <t>Objective: Support printing reports released to the user profiles;
Main functionalities: support users to consult, save and print reports released to the user profiles and / or reports released to specific users;
People who use the function: All system users.</t>
  </si>
  <si>
    <t>Autorización ARS</t>
  </si>
  <si>
    <t>Autorización Obra social</t>
  </si>
  <si>
    <t>Autorización Aseguradora</t>
  </si>
  <si>
    <t>Versicherungs-Genehmigung</t>
  </si>
  <si>
    <t>Insurance Authorisation</t>
  </si>
  <si>
    <t>O objetivo da função é controlar a autorização de itens junto ao  convênio.
A função é utilizada pelo setor Faturamento / Centro de Guias</t>
  </si>
  <si>
    <t xml:space="preserve">Objective: Support management of insurance authorizations;
Main functionalities: support users to add and manage insurance authorizations for consultations, exams, special materials, surgeries and other medical procedures, which can be configured to be generated automatically. The function offers options to send authorization to the insurance via report or XML file (localization may be required), update stages to identify the authorization status, document the procedures and materials with their prices, among several different options;
People who use the function: Reception, Scheduling, Authorization and Billing departments. </t>
  </si>
  <si>
    <t>Passwort ändern</t>
  </si>
  <si>
    <t>Genehmigung von speziellen Materialien</t>
  </si>
  <si>
    <t>Authorisation of Special Materials</t>
  </si>
  <si>
    <t>O Objetivo é realizar cotação e autorização de OPME para os Materiais utilizados na cirurgia.
A função é utilizada pelo setor Faturamento / Central de guias / Compras</t>
  </si>
  <si>
    <t>Objective: Support management of special materials quotation for insurance authorization; 
Main functionalities: support users to add and manage the orthosis, prothesis and special materials prices quotation with suppliers to request insurance authorization. The function offers multiple options of obtaining the materials prices, such as insurance price rules, manual quotation directly in the function or using the function Purchase Quotation;
People who use the function: Billing, Authorization and Purchase departments.</t>
  </si>
  <si>
    <t>Bilder</t>
  </si>
  <si>
    <t>Buscar convenio por el código</t>
  </si>
  <si>
    <t>Buscar ARS por Código</t>
  </si>
  <si>
    <t>Buscar Obra social por el código</t>
  </si>
  <si>
    <t>Buscar aseguradora por el código</t>
  </si>
  <si>
    <t>Krankenversicherung über Nummer finden</t>
  </si>
  <si>
    <t>Bereitschaftsdienst- und Rufbereitschaftsplan</t>
  </si>
  <si>
    <t>On-duty and On-call Schedule</t>
  </si>
  <si>
    <t>Função utilizada para registro e acompanhamento das escalas e pessoas que fazem parte destas escalas de plantões ou sobreavisos.
Suas principais funcionalidades são:
- Permitir o registro e classificação das escalas por níveis;
- Permitir a geração de uma escala por período;
- Permitir a informação de uma equipe de pessoas vinculadas à escala;
- Permitir o registro das ausências de profissionais e os motivos de cada ausência;
- Permitir a visualização de toda a escala do dia ou período, identificando os profissionais que estão alocados na mesma.</t>
  </si>
  <si>
    <t>Function used to record and monitor work shifts and people who are part of these shifts or on-call duties. 
Its main features are: 
- Allow the registration and classification of work shifts by levels; 
- Allow the generation of a work shifts by period; 
- Allow the information of a team of people linked to the work shifts; 
- Allow the recording of professional absences and the reasons for each absence; 
- Allow the visualization of the entire work shifts of the day or period, identifying the professionals who are allocated to it.</t>
  </si>
  <si>
    <t>Ophthalmologie</t>
  </si>
  <si>
    <t>Objective: Support ophtalmology clinical documentation; 
Main functionalities: support users on ophtalmology clinical documentation. This function is similar to the function Electronic Patient Chart, using the same system tables, but oriented to Ophtalmology Consultations and Procedures;
People who use the function: Ophtalmology Physicians, Nurses and other authorized departments.</t>
  </si>
  <si>
    <t>Sammel- und Verteilungsstelle IK</t>
  </si>
  <si>
    <t>AHCS</t>
  </si>
  <si>
    <t xml:space="preserve">A função é bem simples, e o objetivo principal é cadastrar o CNES para os estabelecimento de saúde.
Os usuários do Faturamento/comercial são responsáveis pelo cadastro
</t>
  </si>
  <si>
    <t>Objective: Support management of Healthcare Establishments identification; 
Main functionalities: support users to add and provide maintenance of National Record of Healthcare Establishments, which comes from Brazilian government database. The function offers options to link the legal entities to the the Healthcare Establishments, as well as recording catalog of services and list of equipments;
People who use the function: Billing department.</t>
  </si>
  <si>
    <t>Abrechnungsstelle</t>
  </si>
  <si>
    <t>Billing Centre</t>
  </si>
  <si>
    <t>Objective: Support billing of Radiology patient accounts (Brazilian localization for MultiMed product);
Main functionalities: support users on billing process for Radiologic procedures;
People who use the function: Radiology Billing department.</t>
  </si>
  <si>
    <t>Überweisungskontrolle</t>
  </si>
  <si>
    <t>Objective: Support management of Radiology patient accounts batches (Brazilian localization for MultiMed product);
Main functionalities: support users on generating batches of patient accounts for Radiologic procedures;
People who use the function: Radiology Billing department.</t>
  </si>
  <si>
    <t>Benachrichtigungen</t>
  </si>
  <si>
    <t>Gestión de las Reglas de ARS</t>
  </si>
  <si>
    <t>Kostenträger-Regelmanagement</t>
  </si>
  <si>
    <t>Objective: Support the management of insurance basic rules and list insurances available by establishment;_x000D_
Main functionalities: allows the users to search insurances and list them according to the availability by establishment and provide the option to modify basic insurance rules;_x000D_
People who use: Billing department.</t>
  </si>
  <si>
    <t>Kartenverwaltung</t>
  </si>
  <si>
    <t>Função utilizada para controle dos recebimentos de cartão de crédito ou débito da instituição
Tem como principal funcionalidade, o registro de novas movimentações, consulta e conciliação de extratos de cartões
Utilizada por usuários do financeiro e contas a receber</t>
  </si>
  <si>
    <t>Function used to control credit or debit card receipts of the institution 
Its main functionality is the registration of new transactions , consultation and reconciliation of card statements 
Used by financial and accounts receivable users</t>
  </si>
  <si>
    <t>Strahlentherapie-Verwaltung</t>
  </si>
  <si>
    <t xml:space="preserve">Utilizada para controle de tratamentos oncológicos.
</t>
  </si>
  <si>
    <t xml:space="preserve">Objective: Support management of Radiotherapy department process;
Main functionalities: support users to document and manage Radiotherapy department process, as well as patient clinical documentation. The function offers settings for equipments, types of treatment, acessories, body positions, among other options, in order to support the customer process for documenting steps of patients radiotherapy treatment, according to the medical orders;
People who use the function: Radiotherapy department.
</t>
  </si>
  <si>
    <t>Strahlentherapie-Verwaltung - Planung</t>
  </si>
  <si>
    <t>Strahlentherapie - Unerledigtes</t>
  </si>
  <si>
    <t>Steuer nachverfolgen</t>
  </si>
  <si>
    <t>Objetivo: Acompanhar a geração dos tributos por período;
Principais Funcionalidades: Permite ao usuário consultar os tributos gerados por funcionalidade no Tasy ex: (Função nota fiscal, repasse, contas a pagar);
Pessoas que utilizam: Contadores e auxiliares contábeis.</t>
  </si>
  <si>
    <t>Objective: Support users to consolidate and follow-up Taxes data (Brazilian standards);
Main functionalities: support users to consolidate and follow-up Taxes data for Real Profit, Presumed Profit as well as the Taxes business rules according local standards.
People who use: Accounting and Tax Management departments.</t>
  </si>
  <si>
    <t>Preistabellen</t>
  </si>
  <si>
    <t>Objective: Support management of price lists of procedures, services, medicines and materials;
Main functionalities: support userser to add and provide maintenance of price lists of procedures, services, medicines and materials, which are linked to insurance company records in order to calculate price of the Patient Account charges. The function offers price settings for medical procedures, hospital services, materials and medicines that can be updated from invoices, uploaded or manually defined, localization specific standards, price asdjustment in case of insurance agreements renegociation, among other options;
People who use the function: Billing and Contract Administration departments.</t>
  </si>
  <si>
    <t>Patientenbewegungen</t>
  </si>
  <si>
    <t>Função utilizada para realizar o controle das movimentações dos atendimentos. 
	Suas principais funcionalidades são realizar transferências de setor, passagens de setor e alta do atendimento.</t>
  </si>
  <si>
    <t>Objective: Support movements of patients process; 
Main functionalities: support users to carry out department transfers, non acommodation departments passages, patient discharge, death certificate, among other options;
People who use the function: Reception, Nursing, Billing and other authorized departments.</t>
  </si>
  <si>
    <t>Verabreichungsmanagement der elektronischen Medikation</t>
  </si>
  <si>
    <t>Tendo como objetivo oferecer às organizações de saúde maior controle dos processos relacionados a dispensação dos medicamentos pela Farmácia.
O GEDIPA intermedia o processo entre a prescrição médica e a administração eletrônica da prescrição (ADEP), permitindo o controle de processos configuráveis pela organização, como separação, higienização, preparação, dispensação e entrega dos medicamentos.
Por meio da geração de um processo para cada paciente, medicamento e horário, o sistema contribui para o controle dos 5 certos (medicamento certo, paciente certo, hora certa, dose certa, via certa), garantindo maior segurança ao paciente.</t>
  </si>
  <si>
    <t>Objective: Support increasing patient safety by managing operational activities of medicines dispensation;
Main functionalities: support users to define, manage and document the Pharmacy dispensation operational activities that take place between medical order submission and medicines administration, such as  separation, cleaning, preparation, dispensing and delivery of medicines. By generating a process for each patient, medication and schedule, the system contributes toward the management mechanism in terms of guaranteeing the right medication, to the right patient, at the right time, with the right dose, via the right administration route, among other checking points, ensuring greater patient safety. This function is used to consult and manage all the processes created and load Closed Loop Medicine Administration Process - CLMAP function, in order to update the processes documentation;
People who use the function: Pharmacy and Nursing department.</t>
  </si>
  <si>
    <t>Patientenverlegung</t>
  </si>
  <si>
    <t>Telefonverwaltung</t>
  </si>
  <si>
    <t>Chemotherapie</t>
  </si>
  <si>
    <t>Objective: Support the workflow related to the care of patients undergoing to chemotherapy treatment, linket to the Electronic Patient Chart;
Main functionalities: support users to manage chemotherapy schedule service, taking into account the dates foreseen in the treatment cycles. 
Manage all stages of care, from the arrival of the patient, through the administration of medication (linked to the chemotherapy pharmacy), registration of complications and patient release. 
Management cabin supplies stock, taking into account the management of lots of entry into the cabin. 
Support the management through the stages of drug preparation linked to the medical orders of each patient. 
It is possible, for each prepared medical order, to identify the physician, pharmacist, handler and assistant. 
After completing the preparation process, the medication for each patient is released for administration, making it possible to print labels to identify each medication. 
It provides the pharmacist with a complete view of all orders in their preparation stages, such as, prescribed, in preparation, dispensed, returned, etc. The entire process has integration with patient care, billing and authorization system.
People who use the function: Nurses, Pharmacists and Chemotherapy departments.</t>
  </si>
  <si>
    <t>Registro Hospitalario de Cáncer</t>
  </si>
  <si>
    <t>Onko-Register</t>
  </si>
  <si>
    <t>Support documenting and manage information about patients diagnosed with cancer in the institution, as well as tumor clinical data.</t>
  </si>
  <si>
    <t>Philips Support-Management</t>
  </si>
  <si>
    <t>Berichtskonfiguration</t>
  </si>
  <si>
    <t>Interne Diagnosen</t>
  </si>
  <si>
    <t>Firma Digital</t>
  </si>
  <si>
    <t>Digitale Signatur</t>
  </si>
  <si>
    <t>Digital Signature</t>
  </si>
  <si>
    <t>TISS - Clinical Attachment Batches</t>
  </si>
  <si>
    <t>TISS - Beneficiary Hospitalization / Discharge Notice</t>
  </si>
  <si>
    <t>TISS - Comunicación de Internación / Alta del Beneficiario</t>
  </si>
  <si>
    <t>TISS - Beneficiary Hospitalisation / Discharge Notice</t>
  </si>
  <si>
    <t xml:space="preserve">Qualitätsmanagement </t>
  </si>
  <si>
    <t>Função utilizada para gerenciamento dos processos/documentos da qualidade
Suas principais funcionalidades são:
- Permitir o registro e controle dos documentos da qualidade, revisões, permissões, etc;
- Permitir o registro e controle das não conformidades, causas, ações, setores envolvidos, etc;
- Permitir o registro e controle das informações dos eventos do paciente, bem como o registro das questões e análise sobre o evento;
- Permitir o cadastro e gerenciamento de alertas diversos;
- Permitir o registro e execução das auditorias realizadas, bem como as notas e não conformidades apontadas;
- Permitir o registro e controle de atas e reuniões;
- Permitir o registro e controle de treinamentos realizados dos documentos/normas da qualidade;
- Permitir a visualização das ações da qualidade, sejam elas corretivas, preventivas ou de não conformidade.</t>
  </si>
  <si>
    <t>Function used to manage quality processes / documents 
Its main features are: 
- Allow the registration and control of quality documents, reviews and permissions
- Allow the registration and control of non-conformities, causes, actions and sectors involved; 
- Allow the registration and control of patient event information, as well as the registration of questions and analysis about the event; 
- Allow registration and management of various alerts; 
- Allow the capturing and execution of the audits performed, as well as the notes and non-conformities pointed out; 
- Allow the capturing and control of minutes and meetings; 
- Allow the registration and control of training conducted on quality documents / standards; 
- Allow the visualization of quality actions, whether corrective, preventive or non-conforming.</t>
  </si>
  <si>
    <t>Management der Softwarequalität</t>
  </si>
  <si>
    <t>Função utilizada para registro e controle da qualidade do sistema (desde a elaboração do plano de testes à execução do mesmo).
Suas principais funcionalidades são:
- Permitir o cadastro dos planos e casos de testes para execução;
- Permitir a execução e documentação dos testes realizados;
- Permitir a criação de um plano de testes a partir de um projeto GPI, função ou versão específica;
- Permitir a análise e aprovação de anexos/documentações de ordens de serviço para envio à Philips;
- Permitir o cadastro das aplicações/softwares, módulos e definição das pessoas responsáveis por cada módulo.</t>
  </si>
  <si>
    <t>Objective: Support management of software testing processes;
Main functionalities: support users to document and manage software testing processes to assess the quality of the systems. The function offers settings to define software aplications, modules and functions to be tested, as well as the Testing process plan and execution, among other options;
People who use the function: Information Technology department.</t>
  </si>
  <si>
    <t>Qualitätsmanagement: Suchen</t>
  </si>
  <si>
    <t>Função utilizada para consulta de informações pertinentes ao sistema de qualidade da instituição.
Suas principais funcionalidades são:
- A consulta de documentos ligados ao sistema de gestão da qualidade;
- Consultar e cadastrar informações pertinentes a treinamentos de colaboradores;
- Consultar e cadastrar informações de ATA's de reuniões.
A função pode ser utilizada por todos os colaboradores da instituição, para consulta dos documentos e documentação de ATA's, e por equipes específicas, responsáveis pelos treinamentos.</t>
  </si>
  <si>
    <t>Objective: Support consultating relevant information to the institution's quality management system. 
Main functionalities: support users to consult relevant information to the institution's quality management system, such as Documented Procedures, Work Instructions, Processes Templates, Job Descriptions, Employee Trainings Completion tracking, meeting minutes, among others;
People who use the function: All system users according to quality management system access rules.</t>
  </si>
  <si>
    <t>Produktbewertungsmanagement</t>
  </si>
  <si>
    <t>A função tem como objetivo gerar uma avaliação dos produtos que são fabricados dentro do próprio hospital.
As principais funcionalidade são:
- Cadastrar as etapas para a avaliação.
- Registrar o resultado de cada etapa.
- Cadastrar imagem do produto fabricado.</t>
  </si>
  <si>
    <t>Objective: Support management of products evaluation;
Main functionalities:  support users to add and manage relevant information to assess purchased products quality. The function offers options of department documentation, identifying the steps of the assessment, image upload, and structured assessment, which can be configured according the customer needs at Structured Assessments Settings function;
People who use the function: Purchase department.</t>
  </si>
  <si>
    <t>Patientenakten-Ausgabe</t>
  </si>
  <si>
    <t>Objective: Select Patient Clinical Records for Print out;
Main functionalities: allows the users, upon on Patient request, to select Clinical Records to print out.
People who use: Patient Administration System staff.</t>
  </si>
  <si>
    <t>Berichtparameter</t>
  </si>
  <si>
    <t>Impressão de etiquetas</t>
  </si>
  <si>
    <t>Etikettendruck</t>
  </si>
  <si>
    <t>Label printing</t>
  </si>
  <si>
    <t>Tests der Entwicklungsabteilung</t>
  </si>
  <si>
    <t xml:space="preserve">Função utilizada para que o paciente possa acessar seus atestados e receitas. </t>
  </si>
  <si>
    <t>Menschliche Reproduktion</t>
  </si>
  <si>
    <t>Steuerliche Kontrolle</t>
  </si>
  <si>
    <t>Objetivo: Gerar os arquivos das obrigações acessórias;
Principais Funcionalidades: Permite ao usuário Gerar os arquivos DMED, EFD, DACON, DARF, DIRF para o envio ao controle fiscal (Receita federal);
Pessoas que utilizam: Contadores e Gestores Fiscais.</t>
  </si>
  <si>
    <t>Objective: Support generating payment files of taxes (Brazilian standards)
Main Functionalities: support users to generate taxes payment files for  submission to fiscal auditing (Brazilian government); 
People who use: Accounting and Tax Management departments.</t>
  </si>
  <si>
    <t>Finanz-Schließung</t>
  </si>
  <si>
    <t>Função utilizada para controle dos lançamentos financeiro gerados no mês, impedindo que determinado recebimento ou pagamento seja registrado em determinado mês caso o mês esteja fechado no financeiro
Utilizada por usuários do financeiro</t>
  </si>
  <si>
    <t>Objective: Support financial transactions closure in past months; 
Main functionalities: support users to select past months of the year to have their accounts payable and accounts receivable transactions blocked or closed within the closed month, in order to avoid any modification without approval;
People who use the function: Financial and Accounting departments.</t>
  </si>
  <si>
    <t>Finanzformular</t>
  </si>
  <si>
    <t xml:space="preserve">Função utilizada para consulta das informações financeira de determinada pessoa (física ou jurídica), como títulos, adiantamentos, cheques, contas do paciente, repasses e títulos a pagar.
Utilizada por usuários do financeiro </t>
  </si>
  <si>
    <t>Objective: Support financial situation analysis of legal entities and natural persons against the establishment; 
Main functionalities: support users to consult and assess the financial situation against the establishment of legal entities and natural persons, enabling an overview of several financial aspecs, like pending accounts receivable, advance payments, cheques, patient accounts, etc;  
People who use the function: Billing, Financial and other authorized departments.</t>
  </si>
  <si>
    <t>Finanzdatensätze</t>
  </si>
  <si>
    <t>Função utilizada para controle dos cadastros gerais do sistema utilizados pela área financeira
Utilizada por supervisores e usuários da TI</t>
  </si>
  <si>
    <t>Objective: Support management of Financial core table settings and business rules;
Main functionalities: support users to add and provide maintenance Financial core table settings and business rules, like banking accounts, accounts payable, accounts receivable settings;
People who use the function: Financial department.</t>
  </si>
  <si>
    <t>Forderungsverhandlung</t>
  </si>
  <si>
    <t xml:space="preserve">Função utilizada para controle das negociações feitas entre a instituição e o paciente dos títulos pendentes do paciente
Tem como principal funcionalidade o parcelamento deste pagamento para geração de novos títulos e emissão de boletos.
Utilizada por usuários do financeiro e contas a receber </t>
  </si>
  <si>
    <t>Objective: Manage the negotiation of accounts receivable generated from patient accounts, contracts or invoices;
Main functionalities: allows the user to manage the negotiation, by defining new payments, adding interest and fine values, discount, check and credit card payments, etc; for expired accounts accounts receivable;
People who use: Billing and Financial departments.</t>
  </si>
  <si>
    <t>Kontrolle von nicht identifizierten Gutschriften</t>
  </si>
  <si>
    <t>O objetivo da função é cadastrar os valores recebidos do convênio que não estão identificados no extrato bancário.
Ex: O Hospital recebeu um crédito, porém não sabe de quem é esse crédito.
A função é utilizada pelo setor Financeiro</t>
  </si>
  <si>
    <t>Objective: Support documenting the receivements not identified in the bank statement report;
Main functionalities: support users to document the receivements not identified in the bank statement until the banking reconciliation day, in order to later identify, by linking accounts receivable, cheques, bordereau or advance payment, which can be used to settle the pendencies;
People who use the function: Financial department.</t>
  </si>
  <si>
    <t>Debitorenparameter</t>
  </si>
  <si>
    <t>Function used to parameterize accounts receivable 
Used by financial sector supervisors and IT users</t>
  </si>
  <si>
    <t>Philips-Datenwörterbuch</t>
  </si>
  <si>
    <t>Systemverwaltung</t>
  </si>
  <si>
    <t>Função utilizada para gestão do sistema
Suas principais funcionalidades são:
-Controlar acesso de usuário por perfil/estabelecimento/usuário
-Cadastrar usuários
-Cadastrar perfis
-Vincular funções, tabelas e relatórios  para determinados perfis
-Atualização da versão
-Gestão de usuário</t>
  </si>
  <si>
    <t>Objective: Support the system management; 
Main functionalities: 
- Manage users parameters settings with flexible rules by profile, establishments, users, etc; 
- Add and provide maintenance to system users and defining profiles, establisments,  departments, among other options;
- Add and provide maintenance to system profiles, defining access rules to functions, tables, reports, medical record items, etc; 
- Manage usage configurations, defining screen access rules for tabs visualization, right click options, tables, atribute rules for hiding or making mandatory, etc;
People who use the function: Information Technology department.</t>
  </si>
  <si>
    <t>Informações Sobre a Função</t>
  </si>
  <si>
    <t>Información Sobre la Función</t>
  </si>
  <si>
    <t>Informationen zur Funktion</t>
  </si>
  <si>
    <t>Function Information</t>
  </si>
  <si>
    <t>Arzneimittelwechselwirkungen zeigen</t>
  </si>
  <si>
    <t>Objective: Support adding routine medicines and procedures on ordering cancer treatment; 
Main functionalities: support users to add routine medicines and procedures at the Cancer treatment item of Electronic Patient Chart. The routine items data comes from the function Protocol Record, according the business rules defined;
People who use the function: Physicians and other authorized departments.</t>
  </si>
  <si>
    <t>Strategische Planung</t>
  </si>
  <si>
    <t>Reiseverwaltung Philips</t>
  </si>
  <si>
    <t>Função utilizada para gestão das viagens efetuadas e o custo que a viagem teve.
Suas principais funcionalidades são:
- Acompanhamento do custo que a viagem teve
- Visualização do que foi gasto em viagem
- Vínculo com o projeto para o qual esta realizando a viagem
- Solicitação de adiantamento caso necessário.
- Controle de despesas para que mais tarde possa ser efetuado o repasse ao viajante ou o desconto</t>
  </si>
  <si>
    <t>Reiseverwaltung</t>
  </si>
  <si>
    <t>Schulung</t>
  </si>
  <si>
    <t>Verwaltung der orthopädischen Artikel</t>
  </si>
  <si>
    <t xml:space="preserve">Prosthesis and chargeable items Boxes Management </t>
  </si>
  <si>
    <t>Realizar o controle das caixas de OPME (Ortese e Protese materiais especiais)
- Cadastrar as caixas de OPME com os seus respectivos itens;
- Cadastrar os eventos das caixas OPME;
- Controlar as caixas conforme os itens e os eventos.</t>
  </si>
  <si>
    <t>Objective: Support management of Ortheses, Protheses and Special Materials boxes; 
Main functionalities: support users to add and manage the boxes of Ortheses, Protheses and Special Materials received from the suppliers to be used in surgeries. The function offers options to configure events, which can be used for documenting the transactions of the boxes and their respective items;
People who use the function: Operating Room, Nursing, Warehouse and Pharmacy departments.</t>
  </si>
  <si>
    <t>Transplantationsmanagement</t>
  </si>
  <si>
    <t xml:space="preserve">Gerenciamento do transplante de órgãos e tecidos Consiste no cadastro de órgãos, controle de doadores e receptores,compatibilidade, entre outras.
</t>
  </si>
  <si>
    <t>Objective: Support management of Organ and Tissue Transplant documentation; 
Main functionalities: support users to manage Organs and Tissues Transplant settings, in order to document the donation process, such as organs, compatibility, medicines, laboratory and imaging tests, among other options, as well as the transplantation recipient with related clinical data;
People who use the function: Physicians, Nurses, Transplantation committee and other authorized departments.</t>
  </si>
  <si>
    <t>Bewertung von Fachleuten</t>
  </si>
  <si>
    <t>Objective: Support documenting assessments of hospital professionals;
Main functionalities: support users to document hospital professionals assessments, which can be configured according to the customer needs. The function offers option to link the assessments to patient encounters, as well as questions classified as General, Physician and Nurse professionals;
People who use the function: Customer Service Experience department.</t>
  </si>
  <si>
    <t>Ergebniskonsultation</t>
  </si>
  <si>
    <t>Objective: Laboratory exam results search tool;
Main functionalities: support users to consult Laboratory exam results of patients; 
People who use the function: Laboratory and all Clinical departments.</t>
  </si>
  <si>
    <t>Niereninsuffizienzmanagement</t>
  </si>
  <si>
    <t xml:space="preserve">Acompanhar o tratamento do paciente em casa. Consiste em oferecer ao paciente os cuidados necessários (tratamento, reabilitação,prevenção)  por uma equipe de profissionais especializada.
</t>
  </si>
  <si>
    <t>Objective: Support management of dialysis procedures;
Main functionalities: support users to manage the hemodialysis and peritoneal dialysis procedures workflow of patients, since the patient identification, reception, clinical documentation, dialyzer mangement, among other options to support kidney failare treatment process;
People who use the function: Dialysis department.</t>
  </si>
  <si>
    <t>Verordnungsverwaltung durch Krankenhausapotheke</t>
  </si>
  <si>
    <t>Manage the prescriptions issued by the Pharmacy Clinic</t>
  </si>
  <si>
    <t>Eintrag externer Befunde (nicht Labor)</t>
  </si>
  <si>
    <t>External Imaging/Diagnostic Service Results Entry</t>
  </si>
  <si>
    <t>Objective: Support non-laboratory exam results documentation from external sources (no interface features);
Main functionalities: support users to document patient non-laboratory exam results, such as Radiology, Pathologic Anatomy, etc; from external sources in text mode or image upload without using interface features. In case of interface with laboratory systems, the application Tasy Interface Engine can be used;
People who use the function: Physicians and Nurses.</t>
  </si>
  <si>
    <t>Dateneingabe externe Laborbefunde</t>
  </si>
  <si>
    <t>Objective: Support laboratory exam results documentation from external sources (no interface features);
Main functionalities: support users to document patient laboratory exam results from external sources in text mode or image upload without using interface features. In case of interface with laboratory systems, the application Tasy Interface Engine can be used;
People who use the function: Physicians and Nurses.</t>
  </si>
  <si>
    <t>Verordnungsmanagement durch Pflegeteam</t>
  </si>
  <si>
    <t>A gestão de enfermagem é a ferramenta que a enfermagem usa para fazer uma revisão da prescrição médica, podendo ajustar ou definir os aprazamentos das medicações, alterar diluições, rediluições e reconstituições dos medicamentos.
Também é possível tratar questões de dispensação, orientando a farmácia de que determinados itens prescritos não são necessários dispensar por exemplo.
Pode-se fazer a substituição de medicamentos prescritos e que não tenham em estoque por exemplo.</t>
  </si>
  <si>
    <t>Register der Katheter und Drainagen</t>
  </si>
  <si>
    <t>Objective: Support management of clinical settings for patient devices;
Main functionalities: support users to add and provide maintenance of patient devices, like Infusion Pumps, Catheters, Drains, etc; and their clinical settings for documentation at the Electronic Patient Chart;
People who use the function: Information Technology, Chief medical informatics officer and other authorized departments.</t>
  </si>
  <si>
    <t>Paketverwaltung</t>
  </si>
  <si>
    <t>Objetivo: Análise da rentabilidade dos pacotes nas mais diversas óticas, dando subsídios para novas negociações com os convênios.
Principal funcionalidade: Permite visualizar o valor aberto e fechado(Pacote) das contas que tem o pacote, bem como dos itens que fazem parte do mesmo.
Usuários que utilizam: Comercial / Faturamento</t>
  </si>
  <si>
    <t>Objective: Analysis of the profitability of billing procedures packages from diverse perspectives, providing support for new negotiations with insurance company; _x000D_
Main functionality: It allows viewing the full patient account price (without billing package) to compare with the billing procedure package, as well as the items included, providing relevant information to assess profitability of billing packages and help users on insurance agreements negotiation; _x000D_
Users who use: Commercial and Billing departments.</t>
  </si>
  <si>
    <t>KISS-Management</t>
  </si>
  <si>
    <t>Objective: Support consulting clinical data and indicators to identify Healthcare-Associated Infections;
Main functionalities: support users to consult clinical data and view indicators for surgeries, invasiveness and defined daily dose, in order to help identification of Healthcare-Associated Infections in patients; 
People who use the function: Healthcare-Associated Infections department.</t>
  </si>
  <si>
    <t>Register der internen Strukturen</t>
  </si>
  <si>
    <t>Essa função tem o objetivo de cadastrar a estrutura para organização dos procedimentos e materiais.</t>
  </si>
  <si>
    <t>Objective: Support management of internal structures for grouping procedures, materials and medicines;
Main functionalities: support users to add and provide maintenance of internal grouping structures fo procedures, materials and medicines, in order to use them withing system business rules, commonly used for Billing area; 
People who use the function: Information Technology, Billing and other authorized departments.</t>
  </si>
  <si>
    <t>Função utilizada para gestão de de indicadores e iniciativas estratégicas para acompanhamento do resultado esperado conforme o planejamento e mapa estratégico
Suas principais funcionalidades são:
- Criação do Mapa estratégico
- Criação de indicadores para o objetivo
- Permite a gestão através de gráficos dos indicadores.
- Permite informar o indicador manualmente ou através de informações do sistema
- Criação de Iniciativas para alcançar o objetivo</t>
  </si>
  <si>
    <t xml:space="preserve">Function used for the management of indicators and strategic initiatives to monitor the expected result according to the planning and strategic map 
Its main features are: 
- Creation of the strategic map 
- Creation of indicators for the objective 
- Support management team through graphical view of the indicators. 
- Allows you to inform the indicator manually or through system information 
- Creation of Initiatives to achieve the objective
People who use the function: Hospital Administration and other authorized departments. </t>
  </si>
  <si>
    <t>Verwaltung der Mahlzeitenreservierungen</t>
  </si>
  <si>
    <t xml:space="preserve">Utilizada para o controle das reservas de refeições para os funcionários. Permite o cadastro das reservas disponíveis por serviço e restaurante, o registro de reserva de refeições feita pelos funcionários e o atendimento destas reservas.
</t>
  </si>
  <si>
    <t>Objective: Support meal reservations for employees and other authorized people; 
Main functionalities: support users to request to Nutrition department the meal reservations at restaurant made by employees and other authorized people. This function only applies for non patients, as the patients meals reservation follows the medical orders process;
People who use the function: All authorized system users.</t>
  </si>
  <si>
    <t>Projekt- und Investmentmanagement</t>
  </si>
  <si>
    <t>Objetivo: Gerenciar projetos da instituição;
Principais Funcionalidades: Permite ao usuário controlar projetos através de cronogramas, orçamentos, análise de viabilidade, equipes;
Pessoas que utilizam: Administradores da instituição e equipe staff.</t>
  </si>
  <si>
    <t>Objective: Support management of investment projects data; 
Main Functionalities: support users to manage data related to investment projects through schedules, budgets, feasibility analysis, teams, among other options; 
People who use the function: Hospital Administrators, Chief Executive Office and other authorized departments.</t>
  </si>
  <si>
    <t>Abrechnungsparameter</t>
  </si>
  <si>
    <t>Objective: Core table settings for billing routines; 
Main Functionalities: Allows the users to configure basic settings and parameters to define standard way of work and billing rules.
People who use: Billing department.</t>
  </si>
  <si>
    <t>Verordnungsstapel-Bearbeitung</t>
  </si>
  <si>
    <t>Esta ferramenta é utilizada para realizar o atendimento dos materiais e medicamentos prescritos por horário.
Ela tem sua utilização no setor de farmácia da instituição.
- Verificar as prescrições pendentes por horários;
- Realizar o atendimento manual dos materiais e medicamentos por horário; 
- Realizar o atendimento por barras dos materiais e medicamentos por horário;
- Verificar os materiais e medicamentos que foram atendidos, não atendidos e suspensos por horário;
- Realizar a visualização e a impressão dos relatórios padrões da função.</t>
  </si>
  <si>
    <t>Objective: Support management of materials and medicines ordered to patients, breaking them into work shifts; 
Main functionalities: support users to consult the pending medical orders, structured in dispensation batches according to working shifts, providing tools for manual or barcoded processing of materials and medicines, identifying the missed and suspended items, printing of reports, among other options;
People who use the function: Pharmacy department.</t>
  </si>
  <si>
    <t>Verwaltung der Ausgabestapel</t>
  </si>
  <si>
    <t>Esta ferramenta é utilizada para realizar o controle dos lotes das prescrição por horário
Ela tem sua utilização nos setores da farmácia e da enfermagem da instituição.
- Realizar a dispensação, entrega e o recebimento no setores;
- Consultar as lotes de prescrições que foram enviados as setores;
- Consultar através de um Painel os lotes de prescrição para serem atendidos e enviados aos setores;</t>
  </si>
  <si>
    <t xml:space="preserve">Objective: Support management of medical orders batches by time. 
Main functionalities: allows users to carry out dispensing, delivery and receipt in the department, consult the batches sent to the departments, consult the order batches to be processed and sent to the departments;
People who use the function: Pharmacy and Nursing departments. </t>
  </si>
  <si>
    <t>Ausstellen des Verordnungsstapels</t>
  </si>
  <si>
    <t>Warnungs- und Vorkommnisverwaltung</t>
  </si>
  <si>
    <t xml:space="preserve">Utilizada para a gestão de alertas disparados por eventos realizados no sistema. Permite o cadastro de alertas por evento e a consulta dos alertas gerados, enviados, entre outros.
</t>
  </si>
  <si>
    <t>Objective: Support management of patient and system events to trigger messages; 
Min functionalities: allows users to build and provide maintenance of alerts triggered by patient and system events, consultation of alerts generated, sent, among others options;
People who use the function: Information Technology department.</t>
  </si>
  <si>
    <t>BSC - Indikatorinformationen</t>
  </si>
  <si>
    <t>Schulungsverwaltung</t>
  </si>
  <si>
    <t>Objective: Support management of training schedule and events;
Main functionalities: support users to schedule and manage the training execution, as well as atendees presence, participation certificates, among other options;
People who use the function: Training department.</t>
  </si>
  <si>
    <t>Verwaltung von Unerledigtem der Patientenrechnung</t>
  </si>
  <si>
    <t>Objetivo: Gerenciar as pendências das contas de paciente, agilizando e dando segurança ao processo de faturamento.
No processo de faturamento de contas pacientes é comum que aconteçam situações diferentes que impactem na finalização de algumas contas. Essas situações chamamos de pendências. Devido ao volume de Pendências identificadas, o controle pode ser prejudicado, impactando nos valores de faturamento da instituição.
Como objetivo da função: Ter um controle efetivo dessas situações.
Utilizado por diversos. Na maioria o Faturamento.</t>
  </si>
  <si>
    <t>Objective: Manage pending patient accounts, streamlining the billing process. 
In the billing process for patient accounts varios factors could impact the finalization of some accounts. These situations are called pending issues. Due to the volume of Pending issues identified, control may be impaired, impacting the institution's billing amounts. 
As objective of the function: To have an effective control of these situations. 
Used by several. Mostly Billing.</t>
  </si>
  <si>
    <t>Infektionskontroll-Management</t>
  </si>
  <si>
    <t xml:space="preserve">Utilizada para consulta de informações referentes ao controle de infecção hospitalar. Permite filtrar e consultar informações das fichas de ocorrência, cirurgias, antimicrobianos, cultura, entre outros.
</t>
  </si>
  <si>
    <t>Objective: Support management of Healthcare-Associated Infections incident forms data;
Main functionalities: support users to manage all clinical data captured in the function Incident Form Register, as well as Compulsory Notification, Reportable diseases, patient tracking, among other options;
People who use the function: Healthcare-Associated Infections department.</t>
  </si>
  <si>
    <t>Professionelles Leistungsmanagement</t>
  </si>
  <si>
    <t>Objective: Support users to consult and perform pending procedures of patients;
Main functionalities: support usrs to configure professional teams, allowcate the teams and professionals, consult pending procedures, like physiotherapy, etc; to perform them, updating the patient account;
People who use: Physiotherapists and other clinical professionals that need to perform procedures according to medical orders.</t>
  </si>
  <si>
    <t>EHR - Registro Clínico</t>
  </si>
  <si>
    <t>EHR - Klinische Datensätze</t>
  </si>
  <si>
    <t>EHR - Clinical Record</t>
  </si>
  <si>
    <t>Abrechnungsanalyse nach Arzt</t>
  </si>
  <si>
    <t>Billing per Doctor Analysis</t>
  </si>
  <si>
    <t>A função foi desenvolvida em parceria com o Hospital Sírio Libanês, específicamente seguindo o seu contexto.
O objetivo dessa função é listar os dados ref. ao faturamento por médico (Valor bruto/líquido/margem bruta/líquida/custo, entre outras informações).
Essa função é mais Gerencial.</t>
  </si>
  <si>
    <t>The purpose of this function is to list the ref data, billing by doctor (Gross / net / gross / net / cost, among other information). 
This role is more Managerial.</t>
  </si>
  <si>
    <t>FAQ-Antwort</t>
  </si>
  <si>
    <t>Buchhaltungsparameter</t>
  </si>
  <si>
    <t>Objective: Base register for accounting routine and budget; 
Main Functionalities: It allows the user to create mechanisms and accounting rules for  general ledger transaction batches. It is also the base register for the budget function; 
People who use: Accountants and Accounting assistants.</t>
  </si>
  <si>
    <t>Consulta Documentación ARS</t>
  </si>
  <si>
    <t>Consulta Documentación Obra social</t>
  </si>
  <si>
    <t>Consulta Documentación Aseguradora</t>
  </si>
  <si>
    <t>Abfrage der Versicherungsdokumentation</t>
  </si>
  <si>
    <t>O Objetivo da função e funcionalidade principal é permitir consultar a documentação do convênio sem a necessidade de ter que acessar a função cadastro de convênios para obter essa informação.
A funcionalidade é utilizada por usuários do Comercial / Recepção / Faturamento</t>
  </si>
  <si>
    <t>Vorabrechnungs-Kontrolle</t>
  </si>
  <si>
    <t>Objective: Calculate Billing values in advance for accounting projections;
Main functionalities: allows the users to calculate in advance the monthly billing ir order for enabling accounting projections;
People who use: Billing and Accounting departments.</t>
  </si>
  <si>
    <t>Verwaltungsanfragen und -maßnahmen</t>
  </si>
  <si>
    <t>Objetivo: Permitir realizar a gestão das solicitações de providências administrativas (SPA). Ex: o paciente precisa de uma restituição, então cadastra-se uma SPA, para o setor analisar, segue um processo de hierarquia de aprovação, até que seja liberado a restituição ao paciente.
Utilizada pelos usuários do setor Financeiro / Faturamento</t>
  </si>
  <si>
    <t>Objective: Administrative management of requests from patients;
Main functionalities: allows the users to document patient requests and manage the approvals, commonly used to request discount or negotiationg of debts;
People who use: Financial department.</t>
  </si>
  <si>
    <t>Flexibler Dateibericht</t>
  </si>
  <si>
    <t>Buchhaltungs-Abstimmung</t>
  </si>
  <si>
    <t>Function for the accounting process</t>
  </si>
  <si>
    <t>Consulta de Persona Física/Persona Jurídica</t>
  </si>
  <si>
    <t xml:space="preserve">Beratung für natürliche/juristische Person
</t>
  </si>
  <si>
    <t>Função utilizada para localização e consulta de pessoas físicas e jurídicas.
Suas principais funcionalidades são:
- Realizar a consulta de pessoas físicas cadastradas no sistema;
- Realizar a consulta de pessoas jurídicas cadastradas no sistema.
A função pode ser utilizada por todos os colaboradores, para consulta dos dados pertinentes as suas funções.</t>
  </si>
  <si>
    <t>Function used to search and consult natural and legal entities. 
Its main features are: 
- Carry out consultation with natural persons registered in the system; 
- Consult the legal entities registered in the system. 
The function can be used by all employees, to consult the data relevant to their functions.</t>
  </si>
  <si>
    <t>Gutschrift</t>
  </si>
  <si>
    <t>Suchfunktion für Abschlussrechnungen</t>
  </si>
  <si>
    <t>Rechnungsscheck/Rechnung prüfen</t>
  </si>
  <si>
    <t>Function for querying invoices</t>
  </si>
  <si>
    <t>Budget Planning</t>
  </si>
  <si>
    <t>Gerätereihenfolge</t>
  </si>
  <si>
    <t>Geração do arquivo de Controle de Internação Hospitalar e Ambulatorial, conforme previsto pela portaria 1.171 do Ministério da Saúde.
Utilizado pelo setor de faturamento.</t>
  </si>
  <si>
    <t>Objective: Reporting Ambulatory and Inpatients to Brazilian Ministry of Health, as provided for by Decree 1,171. 
People who use the function: Billing department.</t>
  </si>
  <si>
    <t xml:space="preserve">Dienstplanverwaltung  - Anästhesisten
</t>
  </si>
  <si>
    <t>Anaesthetist Work Schedule Management</t>
  </si>
  <si>
    <t>Objective: Support management of work shift schedules of Anesthetists;
Main functionalities: support users to schedule and provide maintenance to work shifts schedules of Anesthetists;
People who use the function: Anesthetists and Operating Room department.</t>
  </si>
  <si>
    <t>OP-Pflegeplanung</t>
  </si>
  <si>
    <t>Preoperative Structured Nursing Care Plan</t>
  </si>
  <si>
    <t>Preoperative Structured Nursing Care Plan - PNSC</t>
  </si>
  <si>
    <t>Besucherkontrolle</t>
  </si>
  <si>
    <t>Função utilizada para controlar o acesso de visitantes, acompanhantes e visitantes de setores.
	Suas principais funcionalidades são permitir registrar a entrada e saída dos visitantes e acompanhantes.</t>
  </si>
  <si>
    <t>Objective: Support management of visitors and companions documentation;
Main functionalities: support users to document and manage patients companions and vistiors as well as visitors to hospital departments. The function offers the possibility of adding picture to individuals, badge identification number to the visitors records as well as printing identification label, among other options. The function also support to have an overview of all visitors and companions structured by department, room and bed;
People who use the function: Reception department.</t>
  </si>
  <si>
    <t>Função para análise dos lançamentos contábeis</t>
  </si>
  <si>
    <t>Kommerzielles Management</t>
  </si>
  <si>
    <t>Objective: Philips internal tool for Management of Contracts (not available for customers);
Main functionalities: allows users to manage the customer contracts;
People who use: Philips Sales Support.</t>
  </si>
  <si>
    <t>Integrierte Ansicht der elektronischen Verordnungen</t>
  </si>
  <si>
    <t>Zeitplan-Management</t>
  </si>
  <si>
    <t>Função para consulta das informações das bases dos clientes na base Philips</t>
  </si>
  <si>
    <t>Item Gesamtübersicht</t>
  </si>
  <si>
    <t>Erstellung externer Resultate</t>
  </si>
  <si>
    <t>Objective: Support laboratory exams interface with external systems and equipments; 
Main functionalities: support users to generate laboratory exams batches to interface their results with external systems and equipments;
People who use the function: Laboratory department.</t>
  </si>
  <si>
    <t>Probenrückverfolgbarkeit</t>
  </si>
  <si>
    <t>Genehmigung der Zahlungen</t>
  </si>
  <si>
    <t>Função utilizada para controle da aprovação de pagamentos que devem ser realizadas pela instituição
Tem como principal funcionalidade, aprovar, reprovar e consultar os pagamentos pendentes, aprovados ou reprovados na instituição
Utilizada por supervisores e gestores do setor financeiro</t>
  </si>
  <si>
    <t>Function used to control the approval of payments that must be made by the institution 
Its main function is to approve, disapprove and consult pending payments, approved or disapproved in the institution 
Used by supervisors and managers in the financial sector</t>
  </si>
  <si>
    <t>Função Desenvolvida por solicitação do Daniel de Souza, com objetivo de termos um acompanhamento via Tasy sobre os desenvolvimento mensal dos objetivo do PPM</t>
  </si>
  <si>
    <t>Login</t>
  </si>
  <si>
    <t>Inicio de sesión</t>
  </si>
  <si>
    <t>Anmelden</t>
  </si>
  <si>
    <t>TasyMed - Sprechzimmer des Arztes</t>
  </si>
  <si>
    <t>TasyMed - Doctor's Office</t>
  </si>
  <si>
    <t>Standardsuchtool für Medikamente</t>
  </si>
  <si>
    <t>Bestand</t>
  </si>
  <si>
    <t xml:space="preserve">Anrufpanel für Terminplanung </t>
  </si>
  <si>
    <t>Objective: Support calling patients through monitor screens at waiting rooms;
Main functionalities: support users to call patients in waiting rooms through monitor screens;
People who use the function: Scheduling and Reception departments.</t>
  </si>
  <si>
    <t>REP - Cálculo de Dose / Velocidade de Infusão</t>
  </si>
  <si>
    <t>REP - Cálculo de Dosis / Velocidad de Infusión</t>
  </si>
  <si>
    <t>CPOE - Dose Calculation / Infusion Speed</t>
  </si>
  <si>
    <t>Notaufnahme-Tafel</t>
  </si>
  <si>
    <t>Objective: Support Emergency Department data display and manage patient calls;
Main functionalities: support the Emergency Department data display and manage the patient calls via monitor at the reception, triage waiting room, consultation waiting room, etc; 
People who use the function: Emergency Department.</t>
  </si>
  <si>
    <t>Abfrage der Patientenuntersuchungen</t>
  </si>
  <si>
    <t>Objective: Patient exams search tool;
Main functionalities: support users to search for patient exams; 
People who use the function: Laboratory and all Clinical departments.</t>
  </si>
  <si>
    <t>Technologie-Tests</t>
  </si>
  <si>
    <t>Notaufnahme-Triage</t>
  </si>
  <si>
    <t>Painel de Chamadas de Exames</t>
  </si>
  <si>
    <t>Anrufpanel für Untersuchungen</t>
  </si>
  <si>
    <t>Objective: Support calling patients for examination in waiting rooms in monitor screens;_x000D_
Main functionalities: support using monitor screens with patient identification graphicaly highlighted and using sounds to call patients to exam rooms. _x000D_
People who use the function: Exam departments.</t>
  </si>
  <si>
    <t>Stationsübersicht</t>
  </si>
  <si>
    <t>Função utilizada para permitir uma melhor gestão dos grupos e locais dos setores de Pronto atendimento.
A principal funcionalidade é permitir uma fácil visualização dos pacientes nos locais do setor de PA.</t>
  </si>
  <si>
    <t>Objective: Support management of non acommodation departments;
Main functionalities: support management of non acommodation department locations, like Emergency Department, Radiology, etc; allowing users to move patients between locations in a dashboard view, updated in a pre-configured period;
People who use the function: Nursing, Radiology and other similar departments.</t>
  </si>
  <si>
    <t>Medikamentenherstellung</t>
  </si>
  <si>
    <t>Objective: Support management of medicines production;
Main functionalities: support users to perform medicines production (combination of more than one medicine), updating the stock and generating supplier batch, expiring date, as well as medicines tracebility;
People who use the function: Pharmacy department.</t>
  </si>
  <si>
    <t>Web-Patientenbeurteilung</t>
  </si>
  <si>
    <t>Função utilizada para que o paciente possa preencher avaliações on-line. 
As avaliações disponíveis para preenchimento são pré-definidas pela instituição, ao marcar a opção "Apresentar web", no registro da avaliação vinculada ao prontuário do paciente.</t>
  </si>
  <si>
    <t>Funcionalidade WEB que permite ao paciente consultar seus boletins de ocorrência, além de efetuar a abertura de novos.</t>
  </si>
  <si>
    <t>Berichtzustellungsverwaltung</t>
  </si>
  <si>
    <t>Utilizada para controlar o processo da entrega dos laudos.
Tem como principais funcionalidades a geração de envelopes e malotes.</t>
  </si>
  <si>
    <t>Objective: Support delivery and location management of medical reports physical copies;
Main functionalities: support users to document and manage the delivery and location of patient exam medical reports physical copies, offering options for generating envelopes, grouping them in batches, with barcode reader features, delivering to patient and updating the exams status, among other options. This function aims to be used in advanced medical reports delivery processes to document the steps, for simple delivery and location management, the function Medical Report Location Register is recommended;
People who use the function: Radiology, Conventional Medical Record Archive and other authorized departments.</t>
  </si>
  <si>
    <t>Painel de Chamadas do Laboratório</t>
  </si>
  <si>
    <t>Laboranforderung</t>
  </si>
  <si>
    <t>Objective: Support calling patients through monitors for laboratory examinationgs;
Main functionalities: support users to call patients through monitors placed in waiting rooms for laboratory examinations;
People who use the function: Laobratory department.</t>
  </si>
  <si>
    <t>Nationales Verzeichnis der SUS-Benutzer</t>
  </si>
  <si>
    <t xml:space="preserve">A função é bem simples, e o objetivo principal é cadastrar o CNS (Cartão Nacional do SUS) para os usuários do SUS.
Os usuários do Faturamento/comercial são responsáveis pelo cadastro
</t>
  </si>
  <si>
    <t>Objective: Support patients identification of Brazilian National Health System;
Main functionalities: support users to record and consult patients identification within the Brazilian National Health System;
People who use the function: Reception and Billing departments.</t>
  </si>
  <si>
    <t>Controle de Notas de Crédito (A Pagar)</t>
  </si>
  <si>
    <t>Management der Gutschriften (zahlbar)</t>
  </si>
  <si>
    <t>Função utilizada para controle das notas de crédito que a instituição possui com os convênios
Utilizada por usuários do financeiro e contas a receber</t>
  </si>
  <si>
    <t>Objective: Manage credit invoices from insurances._x000D_
Main functionalities: add and manage credit invoices issued by insurance companies for patient accounts late rejections (insurance rejection analysis after payment term). The credit invoices can be linked to insurance payments in order to adjust the balance values. _x000D_
People who use the function: Financial and Accounts Receivable departments.</t>
  </si>
  <si>
    <t>Kontakt-Katalog</t>
  </si>
  <si>
    <t>Contact Catalogue</t>
  </si>
  <si>
    <t>Registrierung der Abrechnung</t>
  </si>
  <si>
    <t>Objective: Operation function to manage the collection process of unpaid bills;_x000D_
Main functionalities: to document the operation of collection of expired bills, usually made by phone call with the debtors, and it also allows the definition of targets for the team;_x000D_
People who use: Financial department.</t>
  </si>
  <si>
    <t>Identifizierte Einzahlungskontrolle</t>
  </si>
  <si>
    <t>Objective: Support the identification of deposits in banking accounts; 
Main functionalities: support users to document deposits and identify them by linking to accounts receivable, cheques, among other options;
People who use the function: Financial department.</t>
  </si>
  <si>
    <t>Kontenabstimmung</t>
  </si>
  <si>
    <t>Objective: Support the reconciliation of accounts payable with accounts receivable;
Main functionalities: support users to reconcile accounts payable with accounts receivable, commonly of the same legal entity or natural person, in order to equilize balances. 
People who use the function: Financial department.</t>
  </si>
  <si>
    <t>Função utilizada para que médico possa visualizar os pacientes agendados para ele.</t>
  </si>
  <si>
    <t>Função utilizada para que o paciente possa agendar on-line suas consultas e exames.
Suas principais funcionalidades são permitir a busca de horários para agendamento de exames e consultas e visualização dos agendamentos já marcados pelo paciente.</t>
  </si>
  <si>
    <t>Historiales de salud de rutina</t>
  </si>
  <si>
    <t>Routine - Grund-/Vorerkrankungen</t>
  </si>
  <si>
    <t>Routine health history</t>
  </si>
  <si>
    <t>Rehabilitations-Patienten-Management</t>
  </si>
  <si>
    <t xml:space="preserve">Reintegrar a pessoa no mercado de trabalho. Ex: A pessoa sofre um acidente e perde uma perna ou um braço,  esta pessoa terá que aprender uma nova profissão para voltar ao mercado de trabalho.
</t>
  </si>
  <si>
    <t>Objective: Support management of patients in Rehabilitation stage;
Main functionalities: support users to identify and manage the list of patients in Rehabilitation stage; 
People who use the function: Rehabilitation department.</t>
  </si>
  <si>
    <t>SAPS - Sistematização da Assistência do Profissional de Saúde</t>
  </si>
  <si>
    <t>Interdisziplinärer Pflegeplan</t>
  </si>
  <si>
    <t>Health Professional Assistance Systematisation</t>
  </si>
  <si>
    <t>Objective: Support patient anamnesis by following systemic templates;
Main functionalities: allows users to provide patient anamnesis by following hospital standard templates with pre-configured aspects to be analysed to provide the possible results and treatment plans;
People who use: Nursing and other Caregivers departments.</t>
  </si>
  <si>
    <t>PDA - Beira-leito</t>
  </si>
  <si>
    <t>Web-Suite-Verwaltung</t>
  </si>
  <si>
    <t>Objective: Support management of Tasy Web Suite portal;
Main functionalities: support users to manage users records, logs, general settings and parameters for Tasy Web Suite portal;
People who use the function: Information Technology department.</t>
  </si>
  <si>
    <t>Web Suite Agendamentos do Paciente</t>
  </si>
  <si>
    <t>Web Suite Programaciones del Paciente</t>
  </si>
  <si>
    <t>Web-Suite-Terminvereinbarungen des Patienten</t>
  </si>
  <si>
    <t>Web Suite Patient Schedulings</t>
  </si>
  <si>
    <t>Objective: Support patients to schedule appointments in Tasy Web Suite portal;
Main functionalities: support patients to schedule appointments in Tasy Web Suite portal, identifying the available time slots for the patient to choose;
People who use the function: Patients.</t>
  </si>
  <si>
    <t>Web-Suite-Untersuchungs-Ergebnisse</t>
  </si>
  <si>
    <t>Objective: Support patients to visualize exam results in Tasy Web Suite portal;
Main functionalities: support patients to visualize exam results in Tasy Web Suite portal, as well as saving PDF files of the medical reports;
People who use the function: Patients..</t>
  </si>
  <si>
    <t>Steuerlich</t>
  </si>
  <si>
    <t>Objetivo: Gerar os livros fiscais;
Principais Funcionalidades: Permite ao usuário Gerar relatórios como livros fiscais (Lalur), Cartas de correções;
Pessoas que utilizam: Contadores e gestores fiscais.</t>
  </si>
  <si>
    <t>Objective: Support users to generate Tax books to send to government (Brazilian standards); 
Main Functionalities: support users to manage the Taxes business rules, generating the Tax books reports and files to send to government, as well as the Correction Letters; 
People using:  Accounting and Tax Management departments.</t>
  </si>
  <si>
    <t>Materialregister-Verwaltung</t>
  </si>
  <si>
    <t>Wasserkontrolle</t>
  </si>
  <si>
    <t>Objective: Support documenting water analysis tests performed;
Main functionalities: support users to document the analysis tests performed by the laboratory department on the quality of water used at the hospital;
People who use the function: Laboratory, Cleaning and Disinfection departments.</t>
  </si>
  <si>
    <t>Humanmilchbank-Verwaltung</t>
  </si>
  <si>
    <t>Objective: Support management of Human Milk bank;
Main functionalities: suppor users to manage the bank of Human Milk, which is used to nurture new borns and babies. The function supports since the donation of milk, pasteuriztion, stock, batches, guidelines, among other options; 
People who use the function: Human Milk bank department.</t>
  </si>
  <si>
    <t>Versionshinweise</t>
  </si>
  <si>
    <t>Timbrado de Facturas</t>
  </si>
  <si>
    <t>Verfolgung der elektronischen Rechnung</t>
  </si>
  <si>
    <t>Objective: Support users to consult and manage the e-Invoice files to interface with government (Brazilian standards)
Main functionalities: support user to consult and manage the list of e-Invoice, as well as generating the XML files to send to the local or federal government; 
People who use the function: Financial, Billing, Tax Management and other authorized departments.</t>
  </si>
  <si>
    <t xml:space="preserve">Tax Receipt </t>
  </si>
  <si>
    <t>Leistungserbringungen je Bereitschaftsdienst</t>
  </si>
  <si>
    <t>Objective: Support identification and simulation of production payment by shift;
Main functionalities: support users to add shifts of Physicians or other kind of service provider classified as Third Party, in order to forecast and simulate services that will be paid within the period selected;
People who use the function: Third Party Physicians or other kind o service provider and Financial department.</t>
  </si>
  <si>
    <t>Verteilung des Bankertrags</t>
  </si>
  <si>
    <t>Objective: Support management of invoice distribution to multiple banking account;
Main functionalities: support users to add and provide maintenance to business rules for defining the banking accounts that will be used to generate the bank payments from the accounts receivable module, according to criterias configured, like minimum and maximum values; 
People who use the function: Financial department.</t>
  </si>
  <si>
    <t>Objective: Support management of health fitness program;
Main functionalities: support users to manage health fitness program records for patients;
People who use the function: Health Fitness department.</t>
  </si>
  <si>
    <t>Arztbrief</t>
  </si>
  <si>
    <t>Objective: Support management of patient Medical Letters;
Main functionalities: support users to document and manage patients Medical Letters, which are populated with several different Electronic Patient Chart items, such as Diagnoses, Clinical Notes, Lab test results, Radiology exam reports, among other items. The function offers options of different templates for preliminary and definitive document, as well as approval process.;
People who use the function: Physicians, Nurses and other authorized departments.</t>
  </si>
  <si>
    <t>Verwaltung zukünftiger Falldetails</t>
  </si>
  <si>
    <t xml:space="preserve">Utilizada para cadastro de atendimentos futuros para os pacientes. Tem como principal objetivo fazer o pré atendimento do paciente antes mesmo que o ele possua um atendimento. Permite o cadastro de informações como prescrição e laudo SUS, que futuramente serão vinculados ao atendimento.
</t>
  </si>
  <si>
    <t>Used to register future appointments for patients. Its main objective is to do the pre-encounter of the patient even before he has a service performed. Support users in the registration of information such as medical orders and other relevant information, which in the future will be linked to the actual encounter.</t>
  </si>
  <si>
    <t>Audit der Brazilian Society of Health Informatics</t>
  </si>
  <si>
    <t>Objective: Support SBIS (Brazilian Society of Health Informatics) auditting process;
Main functionalities: support users to provide information required during SBIS (Brazilian Society of Health Informatics) auditting process;
People who use the function: Information Technology.</t>
  </si>
  <si>
    <t>Apotheke</t>
  </si>
  <si>
    <t xml:space="preserve">Utilizada para a dispensação de medicamentos ao paciente. Consiste em cadastrar a receita, separar os medicamentos e entregar ao paciente. Possui também o controle para a entrega da medicação em casa.
</t>
  </si>
  <si>
    <t xml:space="preserve">Objective: Support management of outpatient prescriptions of medicines;
Main functionalities: support users on dispensing medications to the patients to take at home. The function consists on Physicians prescribing the medicines the patients need to take at home after inpatient discharge or outpatient consultation, so the Outpatient Pharmacy receives the prescription for separating the medications and delivering them to the patients; 
People who use the function: Pharmacy department. </t>
  </si>
  <si>
    <t>Labordateien erzeugen</t>
  </si>
  <si>
    <t>Objective: Support the management of blood product request batches
Main functionalities: support users to manage the batches of blood product requests to send to external Hemotherapy Centers;
People who use the function: Hemotherapy department.</t>
  </si>
  <si>
    <t>Rechtschreibprüfung</t>
  </si>
  <si>
    <t>Fundbüro-Kontrolle</t>
  </si>
  <si>
    <t xml:space="preserve">Função utilizada para realizar o controle/organização dos bens perdidos dos pacientes, por exemplo, algum pertence que foi esquecido no quarto.
A principal funcionalidade é controlar os itens achados e perdidos na instituição.
</t>
  </si>
  <si>
    <t>Function used for manageent of patient lost and found belongings.
The main functionality is to record the items found and lost in the institution.</t>
  </si>
  <si>
    <t>Wartenummernverwaltung</t>
  </si>
  <si>
    <t>Gerencia as senhas para atendimentos de pacientes na instituição.
Suas principais funções são: 
- Gerar senhas
  Utilizado por atendentes da instituição, ou pelos próprios pacientes.
- Chamar as senhas conforme prioridade estratégica definida pela instituição
  Utilizado por recepcionistas, enfermeiras e médicos
- Mostrar as senhas do paciente em um painel
  O painel é exibido nas salas de espera, ficando visível aos pacientes e atendentes.</t>
  </si>
  <si>
    <t>Manages waiting lines for patient care at the institution. 
Its main functions are: 
- Generate waiting line numbers 
Used by the institution's attendants, or by the patients themselves. 
- Call the numbers according to the strategic priority defined by the institution 
Used by receptionists, nurses and doctors 
- Show the patient waiting number on a panel 
The panel is displayed in the waiting rooms, being visible to patients and attendants.</t>
  </si>
  <si>
    <t>Produktionsplanung Orthopädische Artikel</t>
  </si>
  <si>
    <t>Objective: Support management of Orthoses, Protheses and Special Materials manufacturing;
Main functionalities: support users to document and manage the Orthoses, Protheses and Special Materials manufacturing requests, as well as the production process. The function offers options to consult schedules which requested OPM manufacture and document all components used in the production process;
People who use the function: Scheduling and Patient Rehabilitation department.</t>
  </si>
  <si>
    <t>Anästhesiedokumentation</t>
  </si>
  <si>
    <t>Patient Anaesthetic Form</t>
  </si>
  <si>
    <t>Objective: Support surgery anesthesia documentation; 
Main functionalities: support users on surgery anethesia documentation. This function is similar to the function Electronic Patient Chart, using the same system tables, but oriented to Surgery Anesthetic Procedures, with specific items related to Anesthisa and graphical view of surgery events in a timeline;
People who use the function: Anesthetists, Nurses and other authorized departments.</t>
  </si>
  <si>
    <t>Registrierung der Patientenrichtlinien</t>
  </si>
  <si>
    <t>Ausstellen von Patientenspeiseplänen</t>
  </si>
  <si>
    <t>Digitar Informação com Consulta (Nova)</t>
  </si>
  <si>
    <t>Dateneingabe bei Arztgespräch (Neu)</t>
  </si>
  <si>
    <t>Enter Information With Consultation (New)</t>
  </si>
  <si>
    <t>Integrationsmanagement Hämotherapie</t>
  </si>
  <si>
    <t>Ausstellung von Laboranfragen</t>
  </si>
  <si>
    <t>Objective: Support antibiograms results typing;
Main functionalities: support users to type antibiograms results, identifying the microorganisms found in the examination and antibiotics suggestions for patients treatment;
People who use the function: Laboratory department.</t>
  </si>
  <si>
    <t>Krankentransport-Verwaltung</t>
  </si>
  <si>
    <t xml:space="preserve">Objective: Support documentation management of patient transportation;
Main functionalities: support users to add and manage patient transfer requests, which can be made by the inpatient departments staff, identifying source and destinantion departments, special transportation conditions and equipments, as well as relevant notes to the personnel to perform the patients transfers; 
People who use the function: Nurses and Carriers. </t>
  </si>
  <si>
    <t>Checklisten</t>
  </si>
  <si>
    <t>Objective: Support answering and managing patient checklists;
Main functionalities: support users to answer and consult patient checklists, as well as defining their settings. The patient checklists fields format are configured at the function Structured Assessements;
People who use the function: Physicians, Nurses and other authorized departments.</t>
  </si>
  <si>
    <t>Laborverwaltung Neonatal-Triage</t>
  </si>
  <si>
    <t>Função utilizada para realizar no sistema os processos de lote de entrada, secretaria, área técnica do laboratório, e busca ativa.
A principal funcionalidade é controlar as etapas dentro do processo de laboratório e controle para busca de pacientes reconvocados.</t>
  </si>
  <si>
    <t>Função utilizada para controle das ocorrências registradas no processo de busca ativa do lote de entrada.</t>
  </si>
  <si>
    <t>Laborparameter</t>
  </si>
  <si>
    <t>Objective: General settings for Laboratory module;
Main functionalities: support users to define general settings for Laboratory module;
People who use the function: Laboratory and Information Technology departments.</t>
  </si>
  <si>
    <t>Organisation chart</t>
  </si>
  <si>
    <t>Objective: Support management of organization departments structure;
Main functionalities: support users to set up and provide maintenance of the organization departments structure, defining their rooms, beds, stock locations, cost centers and several other key business rules settings;
People who use the function: Information Technology and other authorized departments.</t>
  </si>
  <si>
    <t>Eventualfallmanagement bei Integrationen</t>
  </si>
  <si>
    <t>Objective: Support identification of Laboratory interfaces in contingency mode;
Main functionalities: support users to identify the Laboratory interfaces with external systems and equipments, which are operating in contingency mode;
People who use the function: Laboratory and Information Technology departments.</t>
  </si>
  <si>
    <t>DMP - Einstellungen</t>
  </si>
  <si>
    <t>Função para manutenção dos cadastros do módulo que envolvem mais de uma função onde são utilizados.</t>
  </si>
  <si>
    <t>Objective: Support management of core table settings for Health Disease Management;
Main functionalities: support users to add and manage core table settings for Health Disease Management module;
People who use the function: Information Technology and Health Disease Management departments.</t>
  </si>
  <si>
    <t>DMP - Kampagnensteuerung</t>
  </si>
  <si>
    <t>Função para gerenciamento das campanhas de Medicina Preventiva, onde é mantido o cadastro das mesmas, participantes e equipes envolvidas.</t>
  </si>
  <si>
    <t>Objective: Support management of health campaings (Health Disease Management);
Main functionalities: support users to add and manage health promotion campaigns, teams, actions and participants;
People who use the function: Health Disease Management department.</t>
  </si>
  <si>
    <t>DMP - Programme</t>
  </si>
  <si>
    <t>Função para gerenciamento dos programas de Medicina Preventiva, onde é mantido o cadastro dos mesmos, equipes envolvidas, grupos de atendimento.
Através desta função é possível controlar os dados a serem repassados para a ANS com o cadastro completo do programa.</t>
  </si>
  <si>
    <t>Objective: Support Health Disease Management programs;
Main functionalities: support users to add and manage the Health Disease Management programs, populating data according to the National Health Agency requirements, consulting participants, teams, defining related exams, among other options; 
People who use the function: Health Disease Management department.</t>
  </si>
  <si>
    <t>DMP - Team- und Rollenmanagement</t>
  </si>
  <si>
    <t>Função utilizada para gerenciar as equipes e funcionários que atuam no na Medicina Preventiva.</t>
  </si>
  <si>
    <t>Objective: Support management of professionals teams and their roles;
Main functionalities: support users to add and manage the different team sof Health Disease Management, their professionals, roles, shift schedules, among other options;
People who use the function: Health Disease Management department.</t>
  </si>
  <si>
    <t>DMP - Gruppentreffen</t>
  </si>
  <si>
    <t>Função para gerenciar os grupos e turmas de atendimento coletivo da Medicina Preventiva.</t>
  </si>
  <si>
    <t>Objective: Support management of activities groups of people (Health Disease Management);
Main functionalities: support users to add and manage groups of people, structing them, defining teams, participants, schedules, etc;  to perform common activities to improve people's health;
People who use the function: Health Disease Management department.</t>
  </si>
  <si>
    <t>DMP - Einladung</t>
  </si>
  <si>
    <t>Função onde serão centralizadas as inclusões de participantes em programas ou campanhas e grupos de controle. Ou seja, as indicações, demandas espontâneas e pesquisa de população irão vir para esta funcionalidade.</t>
  </si>
  <si>
    <t>Objective: Support management of individuals catchment for Health Disease Management programs;
Main functionalities: support users to identify individuals for catchment, classify them in groups for risk management, programs and other options for health prevention;  
People who use the function: Health Disease Management department.</t>
  </si>
  <si>
    <t>DMP - Zielgruppensuche</t>
  </si>
  <si>
    <t>Função para cadastro das regras de geração do cubo e geração da população alvo através destas.</t>
  </si>
  <si>
    <t>Objective: Support target population management for Health Disease Management programs;
Main functionalities: support users to manage business rules to search for people within the database, that meet specific characteristics (gender, age, diagnosis, problems list, procedures, etc.) to transfer their records to the HDM - Invitation function for catchment of individuals for Preventive Medicine programs;
People who use the function: Health Disease Management department.</t>
  </si>
  <si>
    <t>DMP - Teilnehmerkontrolle</t>
  </si>
  <si>
    <t>Função para acompanhar o participante da Medicina Preventiva quanto a sua participação ou não em atividades pertinentes.</t>
  </si>
  <si>
    <t>Objective: Support consultation of individuals included in Preventive Medicine programs (Health Disease Management);
Main functionalities: support the consultation and identification of individuals included in Preventive Medicine programs for Health Disease Management;
People who use the function: Health Disease Management department.</t>
  </si>
  <si>
    <t>DMP - Termindaten</t>
  </si>
  <si>
    <t>Função para controle das configurações da agenda e manutenção dos agendamentos gerados</t>
  </si>
  <si>
    <t>Objective: Support Health Disease Management Scheduling;
Main functionalities: support users to schedule services and activities to individuals included in Health Disease Management programs; 
People who use the function: Health Disease Management department.</t>
  </si>
  <si>
    <t>DMP- Begleitung des Betreuungsplans</t>
  </si>
  <si>
    <t>Função para consultar os planos de atendimento presencial previsto e que ainda não possuem agendamento vinculado.</t>
  </si>
  <si>
    <t>Objective: Support management of future encounters by participants (Health Disease Management);
Main functionalities: support users to add and consult future encounters data to multiple participants; 
People who use the function: Health Disease Management department.</t>
  </si>
  <si>
    <t>DMP - Falldetail</t>
  </si>
  <si>
    <t>Objective: Support management of encounters by group (Health Disease Management);
Main functionalities: support users to add and consult encounters data to multiple participants or pre configured groups; 
People who use the function: Health Disease Management department.</t>
  </si>
  <si>
    <t>DMP - Telemonitoring</t>
  </si>
  <si>
    <t>Objective: Support management of daily telephone calls (Health Disease Management);_x000D_
Main functionalities: support users to add and manage telephone calls targets rules, which are displayed in the main screen to monitor progress. This function has a button to start the Call Center process (Call Center function);_x000D_
People who use the function: Health Disease Management department.</t>
  </si>
  <si>
    <t>DMP - Daten der Terminvereinbarung</t>
  </si>
  <si>
    <t>Esta função foi criada para ser utilizada em HTML5, substituindo o CadAgendamentoWDLG utilizado na função HTML - Agenda, para conseguirmos aplicar as regras de design, garantindo melhor a qualidade do produto HTML5.
Esta chamada é utilizada na função HDM - Agenda.</t>
  </si>
  <si>
    <t>Função utilizada para definir configurações ou parâmetros gerais para o módulo de Medicina Preventiva.
Nesta função apenas estarão as configurações e parametrizações que são válidas para todo o estabelecimento.
Ficam excluídos desta função: cadastros, parâmetros que são exclusivos de uma única função do módulo.</t>
  </si>
  <si>
    <t>Objective: Support management general settings for Health Disease Management;
Main functionalities: support users to add and manage general settings and business rules for Health Disease Management module;
People who use the function: Information Technology and Health Disease Management departments.</t>
  </si>
  <si>
    <t>Objective: Support the exams results typing and approval;
Main functionalities: support users to type and approve laboratory exams results, according to the lab exams settings, reference values and result formating;
People who use the function: Laboratory department.</t>
  </si>
  <si>
    <t>Função utilizada para impressão de mapa de trabalho de exames laboratoriais em grade, agrupando um determinado número de prescrições a um determinado grupo de impressão de exames e realizando a impressão do mapa de forma automática.</t>
  </si>
  <si>
    <t>Objective: Support printing work map of pending exams;
Main functionalities: support userss to print the work map list of pending exams for the Laboratory staff run the tests. This function can be used to re-print the lab work maps in case of issues with the original printed during the standard process;
People who use the function: Laboratory department.</t>
  </si>
  <si>
    <t>Objective: Support identification of exams processing timing;
Main functionalities: support users to consult the amount and percentage of exams delivered on time as well as the time bewteen steps; 
People who use the function: Laboratory department.</t>
  </si>
  <si>
    <t>Patientenfragebogen</t>
  </si>
  <si>
    <t xml:space="preserve">Objective: Support Questionnaire answers for Patients;
Main functionalities: support users to enter Questionnaires answers from patients; 
People who use the function: Customer Service department. </t>
  </si>
  <si>
    <t>Regulação de Atendimentos</t>
  </si>
  <si>
    <t>Regelung der Falldetails</t>
  </si>
  <si>
    <t>Objective: Support management of Emergency Ambulance encounters regulation;
Main functionalities: support users to record and manage Emergency Ambulance encounters and provide assistance documentation according to the patient risk classification;
People who use: Emergency Ambulance department.</t>
  </si>
  <si>
    <t>Objective: Reporting patients encounters data;
Main functionalities: support users to report patients encounters data using several filters and structure options to be printed out or exported to XLS files; 
People who use the function: Reception and other authorized departments.</t>
  </si>
  <si>
    <t>Objective: Reporting patients encounters by departments;_x000D_
Main functionalities: support users to report patients encounters data by department, offering multiple filters and structure options to be printed out; _x000D_
People who use the function: Reception and other authorized departments.</t>
  </si>
  <si>
    <t>EICI/ iCap &amp; Suporte ""on site""</t>
  </si>
  <si>
    <t>MMED - Administration Centre (Process Monitor)</t>
  </si>
  <si>
    <t>MMED - Typing Centre</t>
  </si>
  <si>
    <t>MMED - Delivery Centre</t>
  </si>
  <si>
    <t>MMED - Enveloping Centre</t>
  </si>
  <si>
    <t>MMED - Abrechnungsstelle</t>
  </si>
  <si>
    <t>MMED - Billing Centre</t>
  </si>
  <si>
    <t>MMED - Medizinische Berichtsbearbeitung</t>
  </si>
  <si>
    <t>MMED - Infraestructura - ARS</t>
  </si>
  <si>
    <t>MMED - After-Sales Centre</t>
  </si>
  <si>
    <t>RIS Report Centre</t>
  </si>
  <si>
    <t>RIS Administration Centre</t>
  </si>
  <si>
    <t>RIS Typing Centre</t>
  </si>
  <si>
    <t>Strahlentherapie Anruf-Panel</t>
  </si>
  <si>
    <t>Objective: Support calling patients through monitor screens at Radiotherapy waiting rooms;
Main functionalities: support users to call patients at Radiotherapy waiting rooms through monitor screens, displaying the patient name and equipment; 
People who use the function: Reception and Radiotherapy departments.</t>
  </si>
  <si>
    <t>Medizinische Berichtsbearbeitung</t>
  </si>
  <si>
    <t>Objective: Support processing Radiology Medical Reports;
Main functionalities: support users on processing Radiology Medical Reports, offering features for voice recording, typing, forwarding for approval, approving (single or double signing), among other options;
People who use the function: Radiology department.</t>
  </si>
  <si>
    <t>Arztformular</t>
  </si>
  <si>
    <t>Objective: Support fullfilment of medical forms (Brazilian localization for MultiMed product);
Main functionalities: support users to fullfil the medical forms of Radiologic patients;
People who use the function: Radiology Medical department.</t>
  </si>
  <si>
    <t>Infrastruktur Befundbericht</t>
  </si>
  <si>
    <t>Objective: Support management of business rules for Radiology Medical Reporting;
Main functionalities: support users to add and provide maintenance of Radiology Medical Reporting business rules, offering rules for defining multiple medical report templates, headers and footers, standard sentences, macros, among other options;
People who use the function: Information Technology and Radiology departments.</t>
  </si>
  <si>
    <t>Verwaltung offener Serviceaufträge</t>
  </si>
  <si>
    <t xml:space="preserve">Objective: Support identification of pending Service Orders;
Main functionalities: support users to consult pending Service Orders through graphical dashboard cards for analysis, Service Orders in process, among other reporting options;
People who use the function: Philips Research and Development department. </t>
  </si>
  <si>
    <t>Patientenzeile ändern</t>
  </si>
  <si>
    <t>Untersuchungsprüfungen der Verordnung</t>
  </si>
  <si>
    <t>Objective: Support awareness management of exams ordered ;
Main functionalities: support users to manage the medical department awareness of exams ordered, offering the possibility of documenting the review process time and updating review status of exams ordered;  
People who use the function: Reception, Physicians and Nurses.</t>
  </si>
  <si>
    <t>Objective: Support management of Electronic Patient Chart main settings;
Main functionalities: support users to add and provide maintenance to several different options of settings relevant for Electronic Patient Chart way of work;
People who use: Information Technology, Chief Medical Information Office and other authorized departments.</t>
  </si>
  <si>
    <t>Objective: Support management of Clinical Protocols;
Main functionalities: Support users to structure, add and provide maintenance of Clinical Protocols and their settings (standard medicines, infusions, exams, standard documentation, etc.), to use them as Order Sets in CPOE, Emergency Protocols, Surgery Protocols, Clinical Decision Protocols, Chemotherapy Protocols, etc;
People who use: Information Technology, Chief Medical Information Office and other authorized departments.</t>
  </si>
  <si>
    <t>Verificação e Validação</t>
  </si>
  <si>
    <t>Automation Team V&amp;V</t>
  </si>
  <si>
    <t>Objective: Support validation of Interfaces with periferics, email and text messages;
Main functionalities: support users to validate the interfaces with periferics (barcode readers, printers, Webcam, scanner), email and text messages (SMS);
People who use the function: Information Technology department.</t>
  </si>
  <si>
    <t>Lieferungszentrale</t>
  </si>
  <si>
    <t>Delivery Centre</t>
  </si>
  <si>
    <t>Klinische Parameter</t>
  </si>
  <si>
    <t>Gestão de Sepse</t>
  </si>
  <si>
    <t>Sepsismanagement</t>
  </si>
  <si>
    <t>Em parceria com o ILAS (Instituto Latino-Americano de Sepsis), é criado essa funcionalidade de extração de dados de pacientes com sepsis (suspeita ou confirmada) em hospitais que usem o sistema Tasy.</t>
  </si>
  <si>
    <t>Dispositivos Utilizados no Paciente</t>
  </si>
  <si>
    <t>Katheter und Drainagen</t>
  </si>
  <si>
    <t>Schulungen - Philips</t>
  </si>
  <si>
    <t>Objective: Support management of schematics components for system development;
Main functionalities: support users to manage schematics components for system development;
People who use the function: Philips R&amp;D.</t>
  </si>
  <si>
    <t>Medizincontrolling</t>
  </si>
  <si>
    <t>Objective: Support the management of Patient Cases;
Main functionalities: support users to define rules for enabling the Patient Case structure in the system, consult Patient Cases created and their data.  
People who use the function: Billing department.</t>
  </si>
  <si>
    <t>Facturación Paciente</t>
  </si>
  <si>
    <t>Patientenabrechnung</t>
  </si>
  <si>
    <t>Loc AUS</t>
  </si>
  <si>
    <t>Loc SATH</t>
  </si>
  <si>
    <t>Objective: Simplified Patient Account billing (Brazilian customer specific requirement);
Main functionalities: allows the users to use only the basic features to perform Patient Account billing for outpatient exams and procedures. Full Patient Account billing is done by Patient Account function;
People who use: Billing department.</t>
  </si>
  <si>
    <t>Refer to function ID 13410</t>
  </si>
  <si>
    <t>Vorregistrierung</t>
  </si>
  <si>
    <t>Escopo</t>
  </si>
  <si>
    <t>Caso seja necessária Estimativa personalizada, com número de horas diferentes dos padrões definidos pela área de Projetos, é necessária a abertura de uma Task no Sales Force, direcionada para o Suporte a Vendas, conforme PlayBook disponibilizado para a equipe comercial.</t>
  </si>
  <si>
    <t>If it is required Custom estimate, with different number of hours from the standards defined by the Projects area, please request analysis through a task in Sales Force to the Sales Support team, according to the PlayBook sent to the commercial team.</t>
  </si>
  <si>
    <t xml:space="preserve">Si se requiere una estimación personalizada, con un número diferente de horas de las estándares definidos por el área de Proyectos, solicite un análisis a través de una tarea en Sales Force para la equipo de Soporte a Ventas de acuerdo con el Playbook enviado para la equipo comercial. </t>
  </si>
  <si>
    <t>Necessário aprovação para Rollouts com fator abaixo de 50%</t>
  </si>
  <si>
    <t>Approval needed if the Rollout factor is below 50%</t>
  </si>
  <si>
    <t>Necesario aprobación si el factor de Rollout es menor que 50%</t>
  </si>
  <si>
    <t>1) Inclusão do produto OPS. 
2) Inclusão da aba "OIT Saas" que serve para calcular automaticamente o OIT do SaaS, levando em consideração o escalonamento.
3) Inclusão da aba "Rollout" que tenta automatizar projetos que utilizarão a metodologia Rollout.
4) Inclusão da aba "Backoffice" que copia e cola informações gerais da LTEP para automatizar o preenchimento da proposta.
5) Exclusão de diversas funções que já não são mais utilizadas na aba "BASE_FUNÇÕES"
6) Revisão na aba "Questions", de forma geral, para diversas perguntas, só temos horas adicionais quando temos uma resposta acima de 1 (porque em teoria, se a resposta for 1, já temos as horas da funções previstas". Além disso, foram retiradas perguntas consideradas desnecessárias.
7) Inclusão dos NPIs: Planejamento Orçamentário, Launch Dashboard, Auditoria Concorrente
8) Revisão na aba proposal, melhorando a parte de SAAS e demais cenários. Revisão também na parte do cálculo de OIT.
10) Inclusão das modalides de Operadora;
11) Deletada a parte de integrações antiga e incluída a aba de integrações nova, com as integrações previstas;
12) Inclusão do RnD (integrações) no escopo da LTEP;
13) Revisão na aba "Questions" para que a quantiade de consultores seja gerada de acordo com o tempo de projeto desejado.
14) Adicionada a parte de escopo negativo, porém, ainda não será liberada até que tenhamos a descrição de todos os módulos em PT.</t>
  </si>
  <si>
    <t>Cidade de Destino</t>
  </si>
  <si>
    <t>Valor por Parcela</t>
  </si>
  <si>
    <t>Valor por Cuota</t>
  </si>
  <si>
    <t>Monthly Installment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</si>
</sst>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R$&quot;* #,##0.00_-;\-&quot;R$&quot;* #,##0.00_-;_-&quot;R$&quot;* &quot;-&quot;??_-;_-@_-"/>
    <numFmt numFmtId="165" formatCode="0.000000"/>
    <numFmt numFmtId="166" formatCode="[$-F800]dddd\,\ mmmm\ dd\,\ yyyy"/>
  </numFmts>
  <fonts count="116">
    <font>
      <sz val="11"/>
      <color rgb="FF000000"/>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Verdana"/>
      <family val="2"/>
    </font>
    <font>
      <b/>
      <sz val="11"/>
      <color theme="0"/>
      <name val="Calibri"/>
      <family val="2"/>
      <scheme val="minor"/>
    </font>
    <font>
      <sz val="11"/>
      <color rgb="FFFF0000"/>
      <name val="Calibri"/>
      <family val="2"/>
      <scheme val="minor"/>
    </font>
    <font>
      <sz val="9"/>
      <color indexed="81"/>
      <name val="Tahoma"/>
      <family val="2"/>
    </font>
    <font>
      <b/>
      <sz val="9"/>
      <color indexed="81"/>
      <name val="Tahoma"/>
      <family val="2"/>
    </font>
    <font>
      <sz val="11"/>
      <color rgb="FF9C5700"/>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1"/>
      <name val="Calibri"/>
      <family val="2"/>
      <scheme val="minor"/>
    </font>
    <font>
      <b/>
      <sz val="11"/>
      <name val="Calibri"/>
      <family val="2"/>
      <scheme val="minor"/>
    </font>
    <font>
      <b/>
      <u/>
      <sz val="11"/>
      <name val="Calibri"/>
      <family val="2"/>
      <scheme val="minor"/>
    </font>
    <font>
      <u/>
      <sz val="11"/>
      <name val="Calibri"/>
      <family val="2"/>
      <scheme val="minor"/>
    </font>
    <font>
      <b/>
      <sz val="16"/>
      <color theme="1"/>
      <name val="Calibri"/>
      <family val="2"/>
      <scheme val="minor"/>
    </font>
    <font>
      <b/>
      <sz val="14"/>
      <name val="Calibri"/>
      <family val="2"/>
      <scheme val="minor"/>
    </font>
    <font>
      <b/>
      <sz val="14"/>
      <color theme="1"/>
      <name val="Calibri"/>
      <family val="2"/>
      <scheme val="minor"/>
    </font>
    <font>
      <b/>
      <u/>
      <sz val="11"/>
      <color theme="0"/>
      <name val="Calibri"/>
      <family val="2"/>
      <scheme val="minor"/>
    </font>
    <font>
      <sz val="11"/>
      <color rgb="FF000000"/>
      <name val="Calibri"/>
      <family val="2"/>
    </font>
    <font>
      <sz val="11"/>
      <color theme="0"/>
      <name val="Calibri"/>
      <family val="2"/>
    </font>
    <font>
      <sz val="11"/>
      <color rgb="FF9C5700"/>
      <name val="Calibri"/>
      <family val="2"/>
    </font>
    <font>
      <sz val="11"/>
      <color rgb="FF000000"/>
      <name val="Calibri"/>
      <family val="2"/>
      <charset val="1"/>
    </font>
    <font>
      <b/>
      <sz val="11"/>
      <color rgb="FF000000"/>
      <name val="Calibri"/>
      <family val="2"/>
      <charset val="1"/>
    </font>
    <font>
      <sz val="11"/>
      <color theme="1"/>
      <name val="Calibri"/>
      <family val="2"/>
    </font>
    <font>
      <b/>
      <sz val="11"/>
      <color theme="0"/>
      <name val="Calibri"/>
      <family val="2"/>
      <charset val="1"/>
    </font>
    <font>
      <sz val="11"/>
      <color rgb="FFFF0000"/>
      <name val="Calibri"/>
      <family val="2"/>
      <charset val="1"/>
    </font>
    <font>
      <sz val="11"/>
      <color rgb="FF212121"/>
      <name val="Times New Roman"/>
      <family val="1"/>
    </font>
    <font>
      <sz val="11"/>
      <color theme="0"/>
      <name val="Calibri"/>
      <family val="2"/>
      <charset val="1"/>
    </font>
    <font>
      <sz val="10"/>
      <color rgb="FF000000"/>
      <name val="Segoe UI"/>
      <family val="2"/>
    </font>
    <font>
      <b/>
      <sz val="11"/>
      <color rgb="FF000000"/>
      <name val="Calibri"/>
      <family val="2"/>
    </font>
    <font>
      <b/>
      <sz val="11"/>
      <color rgb="FFFFFFFF"/>
      <name val="Calibri"/>
      <family val="2"/>
    </font>
    <font>
      <b/>
      <sz val="11"/>
      <color rgb="FFFF0000"/>
      <name val="Calibri"/>
      <family val="2"/>
    </font>
    <font>
      <sz val="11"/>
      <name val="Calibri"/>
      <family val="2"/>
      <charset val="1"/>
    </font>
    <font>
      <b/>
      <sz val="11"/>
      <color rgb="FF000000"/>
      <name val="Calibri"/>
      <family val="2"/>
      <scheme val="minor"/>
    </font>
    <font>
      <sz val="11"/>
      <color rgb="FFFF0000"/>
      <name val="Calibri"/>
      <family val="2"/>
    </font>
    <font>
      <b/>
      <sz val="11"/>
      <color rgb="FFFF0000"/>
      <name val="Calibri"/>
      <family val="2"/>
      <scheme val="minor"/>
    </font>
    <font>
      <sz val="8"/>
      <name val="Calibri"/>
      <family val="2"/>
      <scheme val="minor"/>
    </font>
    <font>
      <b/>
      <sz val="8"/>
      <color theme="1"/>
      <name val="Calibri"/>
      <family val="2"/>
      <scheme val="minor"/>
    </font>
    <font>
      <sz val="8"/>
      <color theme="0"/>
      <name val="Calibri"/>
      <family val="2"/>
      <scheme val="minor"/>
    </font>
    <font>
      <sz val="8"/>
      <color rgb="FF000000"/>
      <name val="Calibri"/>
      <family val="2"/>
    </font>
    <font>
      <sz val="8"/>
      <color rgb="FF000000"/>
      <name val="Calibri"/>
      <family val="2"/>
      <scheme val="minor"/>
    </font>
    <font>
      <sz val="10"/>
      <color theme="1"/>
      <name val="Calibri"/>
      <family val="2"/>
      <scheme val="minor"/>
    </font>
    <font>
      <sz val="10"/>
      <color rgb="FF000000"/>
      <name val="Calibri"/>
      <family val="2"/>
      <scheme val="minor"/>
    </font>
    <font>
      <b/>
      <sz val="10"/>
      <name val="Calibri"/>
      <family val="2"/>
      <scheme val="minor"/>
    </font>
    <font>
      <sz val="10"/>
      <color theme="0"/>
      <name val="Calibri"/>
      <family val="2"/>
      <scheme val="minor"/>
    </font>
    <font>
      <sz val="11"/>
      <name val="Calibri"/>
      <family val="2"/>
    </font>
    <font>
      <sz val="11"/>
      <color rgb="FF212121"/>
      <name val="Calibri"/>
      <family val="2"/>
      <scheme val="minor"/>
    </font>
    <font>
      <b/>
      <sz val="16"/>
      <color rgb="FFFF0000"/>
      <name val="Calibri"/>
      <family val="2"/>
      <scheme val="minor"/>
    </font>
    <font>
      <b/>
      <sz val="11"/>
      <color theme="1"/>
      <name val="Arial"/>
      <family val="2"/>
    </font>
    <font>
      <sz val="10"/>
      <color rgb="FF222222"/>
      <name val="Inherit"/>
    </font>
    <font>
      <sz val="10"/>
      <color rgb="FF222222"/>
      <name val="Arial"/>
      <family val="2"/>
    </font>
    <font>
      <sz val="11"/>
      <color rgb="FF222222"/>
      <name val="Calibri"/>
      <family val="2"/>
      <scheme val="minor"/>
    </font>
    <font>
      <b/>
      <sz val="12"/>
      <color theme="0"/>
      <name val="Calibri"/>
      <family val="2"/>
    </font>
    <font>
      <b/>
      <sz val="11"/>
      <name val="Calibri"/>
      <family val="2"/>
      <charset val="1"/>
    </font>
    <font>
      <b/>
      <sz val="11"/>
      <color rgb="FF212121"/>
      <name val="Calibri"/>
      <family val="2"/>
      <scheme val="minor"/>
    </font>
    <font>
      <b/>
      <sz val="11"/>
      <name val="Calibri"/>
      <family val="2"/>
    </font>
    <font>
      <sz val="7"/>
      <color rgb="FF000000"/>
      <name val="Times New Roman"/>
      <family val="1"/>
    </font>
    <font>
      <sz val="11"/>
      <color rgb="FF00B050"/>
      <name val="Calibri"/>
      <family val="2"/>
    </font>
    <font>
      <sz val="7"/>
      <color rgb="FF00B050"/>
      <name val="Times New Roman"/>
      <family val="1"/>
    </font>
    <font>
      <sz val="11"/>
      <color rgb="FF00B050"/>
      <name val="Calibri"/>
      <family val="2"/>
      <charset val="1"/>
    </font>
    <font>
      <b/>
      <sz val="11"/>
      <color rgb="FF00B050"/>
      <name val="Calibri"/>
      <family val="2"/>
    </font>
    <font>
      <b/>
      <sz val="11"/>
      <color theme="9" tint="-0.249977111117893"/>
      <name val="Calibri"/>
      <family val="2"/>
    </font>
    <font>
      <sz val="11"/>
      <color rgb="FF00B0F0"/>
      <name val="Calibri"/>
      <family val="2"/>
    </font>
    <font>
      <sz val="7"/>
      <color rgb="FF00B0F0"/>
      <name val="Times New Roman"/>
      <family val="1"/>
    </font>
    <font>
      <i/>
      <sz val="11"/>
      <color rgb="FF000000"/>
      <name val="Calibri"/>
      <family val="2"/>
    </font>
    <font>
      <b/>
      <sz val="14"/>
      <color rgb="FFFF0000"/>
      <name val="Calibri"/>
      <family val="2"/>
      <scheme val="minor"/>
    </font>
    <font>
      <sz val="11"/>
      <color theme="0"/>
      <name val="Calibri"/>
      <family val="2"/>
      <charset val="1"/>
      <scheme val="minor"/>
    </font>
    <font>
      <sz val="11"/>
      <color theme="1"/>
      <name val="Calibri"/>
      <family val="2"/>
      <charset val="1"/>
    </font>
    <font>
      <sz val="11"/>
      <name val="Calibri"/>
      <family val="2"/>
      <charset val="1"/>
      <scheme val="minor"/>
    </font>
    <font>
      <b/>
      <sz val="16"/>
      <color rgb="FF000000"/>
      <name val="Calibri"/>
      <family val="2"/>
    </font>
    <font>
      <b/>
      <sz val="16"/>
      <color theme="0"/>
      <name val="Calibri"/>
      <family val="2"/>
      <scheme val="minor"/>
    </font>
    <font>
      <b/>
      <sz val="11"/>
      <color rgb="FF0066A1"/>
      <name val="Calibri"/>
      <family val="2"/>
    </font>
    <font>
      <b/>
      <sz val="11"/>
      <color theme="0"/>
      <name val="Calibri"/>
      <family val="2"/>
    </font>
    <font>
      <sz val="11"/>
      <color rgb="FF1F497D"/>
      <name val="Calibri"/>
      <family val="2"/>
    </font>
    <font>
      <sz val="10"/>
      <name val="Arial"/>
      <family val="2"/>
    </font>
    <font>
      <sz val="20"/>
      <color rgb="FF000000"/>
      <name val="Calibri"/>
      <family val="2"/>
      <charset val="1"/>
    </font>
    <font>
      <sz val="8"/>
      <name val="Calibri"/>
      <family val="2"/>
      <charset val="1"/>
    </font>
    <font>
      <sz val="11"/>
      <color indexed="8"/>
      <name val="Calibri"/>
      <family val="2"/>
      <scheme val="minor"/>
    </font>
    <font>
      <sz val="11"/>
      <name val="Dialog"/>
    </font>
  </fonts>
  <fills count="3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FFEB9C"/>
      </patternFill>
    </fill>
    <fill>
      <patternFill patternType="solid">
        <fgColor theme="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FFFF"/>
        <bgColor rgb="FFF2F2F2"/>
      </patternFill>
    </fill>
    <fill>
      <patternFill patternType="solid">
        <fgColor theme="0" tint="-4.9989318521683403E-2"/>
        <bgColor rgb="FFF2F2F2"/>
      </patternFill>
    </fill>
    <fill>
      <patternFill patternType="solid">
        <fgColor rgb="FFFFFFFF"/>
        <bgColor indexed="64"/>
      </patternFill>
    </fill>
    <fill>
      <patternFill patternType="solid">
        <fgColor rgb="FF0070C0"/>
        <bgColor indexed="64"/>
      </patternFill>
    </fill>
    <fill>
      <patternFill patternType="solid">
        <fgColor theme="1"/>
        <bgColor indexed="64"/>
      </patternFill>
    </fill>
    <fill>
      <patternFill patternType="solid">
        <fgColor theme="0"/>
        <bgColor rgb="FFF2F2F2"/>
      </patternFill>
    </fill>
    <fill>
      <patternFill patternType="solid">
        <fgColor theme="4" tint="0.79998168889431442"/>
        <bgColor indexed="64"/>
      </patternFill>
    </fill>
    <fill>
      <patternFill patternType="solid">
        <fgColor rgb="FFFF0000"/>
        <bgColor indexed="64"/>
      </patternFill>
    </fill>
    <fill>
      <patternFill patternType="solid">
        <fgColor theme="6" tint="0.79998168889431442"/>
        <bgColor indexed="65"/>
      </patternFill>
    </fill>
    <fill>
      <patternFill patternType="solid">
        <fgColor theme="9" tint="0.79998168889431442"/>
        <bgColor indexed="65"/>
      </patternFill>
    </fill>
    <fill>
      <patternFill patternType="solid">
        <fgColor theme="4" tint="-0.249977111117893"/>
        <bgColor indexed="64"/>
      </patternFill>
    </fill>
    <fill>
      <patternFill patternType="solid">
        <fgColor rgb="FFF8F9FA"/>
        <bgColor indexed="64"/>
      </patternFill>
    </fill>
    <fill>
      <patternFill patternType="solid">
        <fgColor theme="4" tint="0.59999389629810485"/>
        <bgColor indexed="64"/>
      </patternFill>
    </fill>
    <fill>
      <patternFill patternType="solid">
        <fgColor rgb="FFC000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rgb="FFFF0000"/>
        <bgColor rgb="FFF2F2F2"/>
      </patternFill>
    </fill>
    <fill>
      <patternFill patternType="solid">
        <fgColor theme="0" tint="-0.24994659260841701"/>
        <bgColor indexed="64"/>
      </patternFill>
    </fill>
    <fill>
      <patternFill patternType="solid">
        <fgColor rgb="FFFFFF00"/>
        <bgColor rgb="FFFFFFCC"/>
      </patternFill>
    </fill>
  </fills>
  <borders count="4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diagonal/>
    </border>
    <border>
      <left/>
      <right/>
      <top style="medium">
        <color auto="1"/>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1" tint="0.34998626667073579"/>
      </top>
      <bottom/>
      <diagonal/>
    </border>
    <border>
      <left style="thin">
        <color theme="1" tint="0.34998626667073579"/>
      </left>
      <right/>
      <top style="thin">
        <color theme="1" tint="0.34998626667073579"/>
      </top>
      <bottom/>
      <diagonal/>
    </border>
    <border>
      <left/>
      <right style="thin">
        <color theme="1" tint="0.34998626667073579"/>
      </right>
      <top style="thin">
        <color theme="1" tint="0.34998626667073579"/>
      </top>
      <bottom/>
      <diagonal/>
    </border>
    <border>
      <left style="thin">
        <color theme="1" tint="0.34998626667073579"/>
      </left>
      <right/>
      <top/>
      <bottom style="thin">
        <color theme="1" tint="0.34998626667073579"/>
      </bottom>
      <diagonal/>
    </border>
    <border>
      <left/>
      <right/>
      <top/>
      <bottom style="thin">
        <color theme="1" tint="0.34998626667073579"/>
      </bottom>
      <diagonal/>
    </border>
    <border>
      <left/>
      <right style="thin">
        <color theme="1" tint="0.34998626667073579"/>
      </right>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bottom/>
      <diagonal/>
    </border>
    <border>
      <left style="thin">
        <color theme="1" tint="0.34998626667073579"/>
      </left>
      <right style="thin">
        <color theme="1" tint="0.34998626667073579"/>
      </right>
      <top style="thin">
        <color theme="1" tint="0.34998626667073579"/>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style="thin">
        <color indexed="64"/>
      </left>
      <right style="thin">
        <color indexed="64"/>
      </right>
      <top style="medium">
        <color auto="1"/>
      </top>
      <bottom/>
      <diagonal/>
    </border>
  </borders>
  <cellStyleXfs count="13">
    <xf numFmtId="0" fontId="0" fillId="0" borderId="0"/>
    <xf numFmtId="0" fontId="38" fillId="0" borderId="0"/>
    <xf numFmtId="0" fontId="43" fillId="5" borderId="0" applyNumberFormat="0" applyBorder="0" applyAlignment="0" applyProtection="0"/>
    <xf numFmtId="0" fontId="45" fillId="6" borderId="0" applyNumberFormat="0" applyBorder="0" applyAlignment="0" applyProtection="0"/>
    <xf numFmtId="164" fontId="58" fillId="0" borderId="0" applyFont="0" applyFill="0" applyBorder="0" applyAlignment="0" applyProtection="0"/>
    <xf numFmtId="0" fontId="30" fillId="21" borderId="0" applyNumberFormat="0" applyBorder="0" applyAlignment="0" applyProtection="0"/>
    <xf numFmtId="0" fontId="30" fillId="22" borderId="0" applyNumberFormat="0" applyBorder="0" applyAlignment="0" applyProtection="0"/>
    <xf numFmtId="9" fontId="58" fillId="0" borderId="0" applyFont="0" applyFill="0" applyBorder="0" applyAlignment="0" applyProtection="0"/>
    <xf numFmtId="0" fontId="13" fillId="0" borderId="0"/>
    <xf numFmtId="0" fontId="5" fillId="0" borderId="0"/>
    <xf numFmtId="0" fontId="4" fillId="0" borderId="0"/>
    <xf numFmtId="0" fontId="111" fillId="0" borderId="0"/>
    <xf numFmtId="0" fontId="114" fillId="0" borderId="0"/>
  </cellStyleXfs>
  <cellXfs count="700">
    <xf numFmtId="0" fontId="0" fillId="0" borderId="0" xfId="0"/>
    <xf numFmtId="0" fontId="0" fillId="0" borderId="1" xfId="0" applyBorder="1"/>
    <xf numFmtId="0" fontId="43" fillId="5" borderId="1" xfId="2" applyBorder="1" applyAlignment="1" applyProtection="1">
      <alignment vertical="center"/>
      <protection locked="0"/>
    </xf>
    <xf numFmtId="0" fontId="45" fillId="6" borderId="1" xfId="3" applyBorder="1" applyAlignment="1">
      <alignment horizontal="center"/>
    </xf>
    <xf numFmtId="0" fontId="43" fillId="5" borderId="1" xfId="2" applyBorder="1" applyAlignment="1" applyProtection="1">
      <alignment horizontal="center" vertical="center"/>
      <protection locked="0"/>
    </xf>
    <xf numFmtId="0" fontId="37" fillId="0" borderId="1" xfId="1" applyFont="1" applyBorder="1" applyAlignment="1">
      <alignment horizontal="center" vertical="center" wrapText="1"/>
    </xf>
    <xf numFmtId="0" fontId="0" fillId="2" borderId="1" xfId="0" applyFill="1" applyBorder="1" applyProtection="1">
      <protection locked="0"/>
    </xf>
    <xf numFmtId="0" fontId="0" fillId="0" borderId="0" xfId="0" applyAlignment="1">
      <alignment horizontal="center"/>
    </xf>
    <xf numFmtId="0" fontId="46" fillId="0" borderId="1" xfId="0" applyFont="1" applyBorder="1" applyAlignment="1">
      <alignment horizontal="left"/>
    </xf>
    <xf numFmtId="0" fontId="46" fillId="0" borderId="1" xfId="0" quotePrefix="1" applyFont="1" applyBorder="1" applyAlignment="1">
      <alignment horizontal="left"/>
    </xf>
    <xf numFmtId="0" fontId="53" fillId="0" borderId="3" xfId="0" applyFont="1" applyBorder="1"/>
    <xf numFmtId="0" fontId="0" fillId="0" borderId="3" xfId="0" applyBorder="1"/>
    <xf numFmtId="0" fontId="0" fillId="0" borderId="1" xfId="0" applyBorder="1" applyAlignment="1">
      <alignment horizontal="center"/>
    </xf>
    <xf numFmtId="0" fontId="0" fillId="7" borderId="1" xfId="0" applyFill="1" applyBorder="1"/>
    <xf numFmtId="0" fontId="0" fillId="8" borderId="1" xfId="0" applyFill="1" applyBorder="1"/>
    <xf numFmtId="0" fontId="0" fillId="9" borderId="1" xfId="0" applyFill="1" applyBorder="1"/>
    <xf numFmtId="0" fontId="45" fillId="6" borderId="1" xfId="3" applyBorder="1" applyAlignment="1">
      <alignment horizontal="center" vertical="center"/>
    </xf>
    <xf numFmtId="0" fontId="0" fillId="0" borderId="1" xfId="0" applyBorder="1" applyAlignment="1">
      <alignment horizontal="center" vertical="center"/>
    </xf>
    <xf numFmtId="0" fontId="47" fillId="0" borderId="1" xfId="0" applyFont="1" applyBorder="1" applyAlignment="1">
      <alignment horizontal="center"/>
    </xf>
    <xf numFmtId="0" fontId="0" fillId="0" borderId="0" xfId="0" applyAlignment="1">
      <alignment horizontal="left"/>
    </xf>
    <xf numFmtId="0" fontId="0" fillId="12" borderId="1" xfId="0" applyFill="1" applyBorder="1" applyAlignment="1">
      <alignment horizontal="center"/>
    </xf>
    <xf numFmtId="0" fontId="62" fillId="12" borderId="1" xfId="0" applyFont="1" applyFill="1" applyBorder="1"/>
    <xf numFmtId="0" fontId="43" fillId="5" borderId="1" xfId="2" applyBorder="1" applyAlignment="1" applyProtection="1">
      <alignment horizontal="center"/>
      <protection locked="0"/>
    </xf>
    <xf numFmtId="0" fontId="46" fillId="0" borderId="0" xfId="0" applyFont="1" applyAlignment="1">
      <alignment horizontal="left"/>
    </xf>
    <xf numFmtId="0" fontId="64" fillId="16" borderId="1" xfId="0" applyFont="1" applyFill="1" applyBorder="1"/>
    <xf numFmtId="0" fontId="65" fillId="0" borderId="0" xfId="0" applyFont="1" applyAlignment="1">
      <alignment vertical="center"/>
    </xf>
    <xf numFmtId="0" fontId="47" fillId="0" borderId="1" xfId="0" applyFont="1" applyBorder="1" applyAlignment="1">
      <alignment horizontal="left"/>
    </xf>
    <xf numFmtId="0" fontId="0" fillId="0" borderId="1" xfId="0" applyBorder="1" applyAlignment="1">
      <alignment horizontal="left"/>
    </xf>
    <xf numFmtId="0" fontId="43" fillId="5" borderId="16" xfId="2" applyBorder="1" applyAlignment="1" applyProtection="1">
      <alignment horizontal="center"/>
      <protection locked="0"/>
    </xf>
    <xf numFmtId="0" fontId="43" fillId="5" borderId="17" xfId="2" applyBorder="1" applyAlignment="1" applyProtection="1">
      <alignment horizontal="center"/>
      <protection locked="0"/>
    </xf>
    <xf numFmtId="0" fontId="43" fillId="5" borderId="14" xfId="2" applyBorder="1" applyAlignment="1" applyProtection="1">
      <alignment horizontal="center"/>
      <protection locked="0"/>
    </xf>
    <xf numFmtId="0" fontId="66" fillId="0" borderId="2" xfId="0" applyFont="1" applyBorder="1" applyAlignment="1">
      <alignment horizontal="center"/>
    </xf>
    <xf numFmtId="0" fontId="0" fillId="0" borderId="1" xfId="0" applyBorder="1" applyAlignment="1">
      <alignment horizontal="center" vertical="center" wrapText="1"/>
    </xf>
    <xf numFmtId="15" fontId="0" fillId="0" borderId="1" xfId="0" applyNumberFormat="1" applyBorder="1" applyAlignment="1">
      <alignment horizontal="center" vertical="center" wrapText="1"/>
    </xf>
    <xf numFmtId="0" fontId="0" fillId="2" borderId="1" xfId="0" applyFill="1" applyBorder="1"/>
    <xf numFmtId="0" fontId="69" fillId="0" borderId="1" xfId="0" applyFont="1" applyBorder="1"/>
    <xf numFmtId="0" fontId="69" fillId="12" borderId="1" xfId="0" applyFont="1" applyFill="1" applyBorder="1"/>
    <xf numFmtId="0" fontId="69" fillId="12" borderId="1" xfId="0" applyFont="1" applyFill="1" applyBorder="1" applyAlignment="1">
      <alignment horizontal="center"/>
    </xf>
    <xf numFmtId="0" fontId="69" fillId="0" borderId="1" xfId="0" applyFont="1" applyBorder="1" applyAlignment="1">
      <alignment horizontal="center" vertical="center"/>
    </xf>
    <xf numFmtId="1" fontId="69" fillId="12" borderId="1" xfId="0" applyNumberFormat="1" applyFont="1" applyFill="1" applyBorder="1" applyAlignment="1">
      <alignment horizontal="center"/>
    </xf>
    <xf numFmtId="0" fontId="69" fillId="12" borderId="4" xfId="0" applyFont="1" applyFill="1" applyBorder="1" applyAlignment="1">
      <alignment horizontal="center"/>
    </xf>
    <xf numFmtId="0" fontId="69" fillId="14" borderId="1" xfId="0" applyFont="1" applyFill="1" applyBorder="1" applyAlignment="1">
      <alignment horizontal="center"/>
    </xf>
    <xf numFmtId="0" fontId="69" fillId="18" borderId="1" xfId="0" applyFont="1" applyFill="1" applyBorder="1"/>
    <xf numFmtId="0" fontId="69" fillId="2" borderId="1" xfId="0" applyFont="1" applyFill="1" applyBorder="1"/>
    <xf numFmtId="0" fontId="69" fillId="2" borderId="0" xfId="0" applyFont="1" applyFill="1"/>
    <xf numFmtId="0" fontId="69" fillId="18" borderId="1" xfId="0" applyFont="1" applyFill="1" applyBorder="1" applyAlignment="1">
      <alignment horizontal="center"/>
    </xf>
    <xf numFmtId="0" fontId="69" fillId="2" borderId="1" xfId="0" applyFont="1" applyFill="1" applyBorder="1" applyAlignment="1">
      <alignment horizontal="center"/>
    </xf>
    <xf numFmtId="0" fontId="0" fillId="2" borderId="1" xfId="0" applyFill="1" applyBorder="1" applyAlignment="1">
      <alignment horizontal="right"/>
    </xf>
    <xf numFmtId="0" fontId="55" fillId="0" borderId="1" xfId="0" applyFont="1" applyBorder="1" applyAlignment="1">
      <alignment horizontal="left"/>
    </xf>
    <xf numFmtId="0" fontId="0" fillId="7" borderId="5" xfId="0" applyFill="1" applyBorder="1"/>
    <xf numFmtId="0" fontId="0" fillId="0" borderId="16" xfId="0" applyBorder="1" applyAlignment="1">
      <alignment horizontal="left"/>
    </xf>
    <xf numFmtId="0" fontId="0" fillId="0" borderId="1" xfId="0" applyBorder="1" applyAlignment="1" applyProtection="1">
      <alignment horizontal="left"/>
      <protection locked="0"/>
    </xf>
    <xf numFmtId="0" fontId="46" fillId="0" borderId="16" xfId="0" applyFont="1" applyBorder="1" applyAlignment="1">
      <alignment horizontal="left"/>
    </xf>
    <xf numFmtId="0" fontId="0" fillId="0" borderId="1" xfId="0" applyBorder="1" applyAlignment="1">
      <alignment horizontal="left" wrapText="1"/>
    </xf>
    <xf numFmtId="0" fontId="37" fillId="0" borderId="1" xfId="1" applyFont="1" applyBorder="1" applyAlignment="1">
      <alignment horizontal="left" vertical="center" wrapText="1"/>
    </xf>
    <xf numFmtId="0" fontId="34" fillId="0" borderId="1" xfId="1" applyFont="1" applyBorder="1" applyAlignment="1">
      <alignment horizontal="left" vertical="center" wrapText="1"/>
    </xf>
    <xf numFmtId="0" fontId="47" fillId="2" borderId="1" xfId="0" applyFont="1" applyFill="1" applyBorder="1" applyAlignment="1">
      <alignment horizontal="left"/>
    </xf>
    <xf numFmtId="0" fontId="0" fillId="3" borderId="1" xfId="0" applyFill="1" applyBorder="1" applyAlignment="1">
      <alignment horizontal="left"/>
    </xf>
    <xf numFmtId="0" fontId="69" fillId="0" borderId="1" xfId="0" applyFont="1" applyBorder="1" applyAlignment="1">
      <alignment horizontal="left"/>
    </xf>
    <xf numFmtId="0" fontId="55" fillId="0" borderId="0" xfId="0" applyFont="1"/>
    <xf numFmtId="0" fontId="55" fillId="0" borderId="0" xfId="0" applyFont="1" applyAlignment="1">
      <alignment horizontal="left"/>
    </xf>
    <xf numFmtId="1" fontId="55" fillId="0" borderId="3" xfId="0" applyNumberFormat="1" applyFont="1" applyBorder="1" applyAlignment="1">
      <alignment horizontal="center"/>
    </xf>
    <xf numFmtId="0" fontId="55" fillId="0" borderId="3" xfId="0" applyFont="1" applyBorder="1"/>
    <xf numFmtId="0" fontId="55" fillId="0" borderId="3" xfId="0" applyFont="1" applyBorder="1" applyAlignment="1">
      <alignment horizontal="left"/>
    </xf>
    <xf numFmtId="0" fontId="56" fillId="6" borderId="1" xfId="3" applyFont="1" applyBorder="1" applyAlignment="1" applyProtection="1">
      <alignment horizontal="center" vertical="center" wrapText="1"/>
    </xf>
    <xf numFmtId="0" fontId="35" fillId="2" borderId="1" xfId="2" applyFont="1" applyFill="1" applyBorder="1" applyAlignment="1" applyProtection="1">
      <alignment horizontal="center" vertical="center" wrapText="1"/>
    </xf>
    <xf numFmtId="0" fontId="35" fillId="2" borderId="1" xfId="2" applyFont="1" applyFill="1" applyBorder="1" applyAlignment="1" applyProtection="1">
      <alignment horizontal="left" vertical="center" wrapText="1"/>
    </xf>
    <xf numFmtId="0" fontId="43" fillId="17" borderId="1" xfId="2" applyFill="1" applyBorder="1" applyAlignment="1" applyProtection="1">
      <alignment horizontal="center" vertical="center" wrapText="1"/>
    </xf>
    <xf numFmtId="0" fontId="35" fillId="17" borderId="1" xfId="2" applyFont="1" applyFill="1" applyBorder="1" applyAlignment="1" applyProtection="1">
      <alignment horizontal="center" vertical="center" wrapText="1"/>
    </xf>
    <xf numFmtId="1" fontId="43" fillId="17" borderId="1" xfId="2" applyNumberFormat="1" applyFill="1" applyBorder="1" applyAlignment="1" applyProtection="1">
      <alignment horizontal="center"/>
    </xf>
    <xf numFmtId="0" fontId="57" fillId="17" borderId="1" xfId="2" applyFont="1" applyFill="1" applyBorder="1" applyProtection="1"/>
    <xf numFmtId="0" fontId="43" fillId="17" borderId="1" xfId="2" applyFill="1" applyBorder="1" applyAlignment="1" applyProtection="1">
      <alignment horizontal="left" vertical="center" wrapText="1"/>
    </xf>
    <xf numFmtId="0" fontId="55" fillId="0" borderId="1" xfId="0" applyFont="1" applyBorder="1" applyAlignment="1">
      <alignment horizontal="center" vertical="center"/>
    </xf>
    <xf numFmtId="0" fontId="60" fillId="2" borderId="1" xfId="0" applyFont="1" applyFill="1" applyBorder="1"/>
    <xf numFmtId="0" fontId="55" fillId="0" borderId="1" xfId="0" applyFont="1" applyBorder="1"/>
    <xf numFmtId="1" fontId="60" fillId="2" borderId="1" xfId="0" applyNumberFormat="1" applyFont="1" applyFill="1" applyBorder="1" applyAlignment="1">
      <alignment horizontal="center" vertical="center"/>
    </xf>
    <xf numFmtId="1" fontId="60" fillId="2" borderId="1" xfId="0" applyNumberFormat="1" applyFont="1" applyFill="1" applyBorder="1" applyAlignment="1">
      <alignment horizontal="center"/>
    </xf>
    <xf numFmtId="0" fontId="55" fillId="0" borderId="0" xfId="0" applyFont="1" applyAlignment="1">
      <alignment horizontal="center" vertical="center"/>
    </xf>
    <xf numFmtId="1" fontId="55" fillId="0" borderId="0" xfId="0" applyNumberFormat="1" applyFont="1" applyAlignment="1">
      <alignment horizontal="center" vertical="center"/>
    </xf>
    <xf numFmtId="1" fontId="55" fillId="0" borderId="0" xfId="0" applyNumberFormat="1" applyFont="1" applyAlignment="1">
      <alignment horizontal="center"/>
    </xf>
    <xf numFmtId="0" fontId="45" fillId="0" borderId="0" xfId="0" applyFont="1"/>
    <xf numFmtId="0" fontId="44" fillId="0" borderId="0" xfId="1" applyFont="1" applyAlignment="1">
      <alignment vertical="center" wrapText="1"/>
    </xf>
    <xf numFmtId="0" fontId="46" fillId="0" borderId="0" xfId="0" applyFont="1"/>
    <xf numFmtId="0" fontId="44" fillId="0" borderId="0" xfId="1" applyFont="1" applyAlignment="1">
      <alignment horizontal="center" vertical="center" wrapText="1"/>
    </xf>
    <xf numFmtId="0" fontId="45" fillId="6" borderId="1" xfId="3" applyBorder="1" applyAlignment="1" applyProtection="1">
      <alignment horizontal="center"/>
    </xf>
    <xf numFmtId="0" fontId="46" fillId="0" borderId="1" xfId="0" applyFont="1" applyBorder="1" applyAlignment="1">
      <alignment horizontal="center"/>
    </xf>
    <xf numFmtId="0" fontId="46" fillId="0" borderId="1" xfId="0" applyFont="1" applyBorder="1" applyAlignment="1">
      <alignment horizontal="right"/>
    </xf>
    <xf numFmtId="1" fontId="47" fillId="0" borderId="1" xfId="2" applyNumberFormat="1" applyFont="1" applyFill="1" applyBorder="1" applyAlignment="1" applyProtection="1">
      <alignment horizontal="center"/>
    </xf>
    <xf numFmtId="0" fontId="46" fillId="0" borderId="1" xfId="0" applyFont="1" applyBorder="1"/>
    <xf numFmtId="0" fontId="46" fillId="2" borderId="1" xfId="0" applyFont="1" applyFill="1" applyBorder="1" applyAlignment="1">
      <alignment horizontal="center"/>
    </xf>
    <xf numFmtId="0" fontId="46" fillId="3" borderId="1" xfId="0" applyFont="1" applyFill="1" applyBorder="1" applyAlignment="1">
      <alignment horizontal="center"/>
    </xf>
    <xf numFmtId="0" fontId="34" fillId="3" borderId="1" xfId="1" applyFont="1" applyFill="1" applyBorder="1" applyAlignment="1">
      <alignment horizontal="right" vertical="center" wrapText="1"/>
    </xf>
    <xf numFmtId="0" fontId="46" fillId="2" borderId="0" xfId="0" applyFont="1" applyFill="1" applyAlignment="1">
      <alignment horizontal="center"/>
    </xf>
    <xf numFmtId="1" fontId="47" fillId="2" borderId="0" xfId="2" applyNumberFormat="1" applyFont="1" applyFill="1" applyBorder="1" applyAlignment="1" applyProtection="1">
      <alignment horizontal="center"/>
    </xf>
    <xf numFmtId="0" fontId="46" fillId="0" borderId="0" xfId="0" applyFont="1" applyAlignment="1">
      <alignment horizontal="center"/>
    </xf>
    <xf numFmtId="0" fontId="46" fillId="0" borderId="0" xfId="0" applyFont="1" applyAlignment="1">
      <alignment horizontal="right"/>
    </xf>
    <xf numFmtId="0" fontId="43" fillId="0" borderId="0" xfId="2" applyFill="1" applyBorder="1" applyAlignment="1" applyProtection="1">
      <alignment horizontal="center"/>
    </xf>
    <xf numFmtId="1" fontId="47" fillId="0" borderId="0" xfId="2" applyNumberFormat="1" applyFont="1" applyFill="1" applyBorder="1" applyAlignment="1" applyProtection="1">
      <alignment horizontal="center"/>
    </xf>
    <xf numFmtId="0" fontId="51" fillId="0" borderId="0" xfId="0" applyFont="1" applyAlignment="1">
      <alignment horizontal="left"/>
    </xf>
    <xf numFmtId="0" fontId="46" fillId="0" borderId="17" xfId="0" applyFont="1" applyBorder="1" applyAlignment="1">
      <alignment horizontal="right"/>
    </xf>
    <xf numFmtId="1" fontId="47" fillId="0" borderId="17" xfId="2" applyNumberFormat="1" applyFont="1" applyFill="1" applyBorder="1" applyAlignment="1" applyProtection="1">
      <alignment horizontal="center"/>
    </xf>
    <xf numFmtId="1" fontId="47" fillId="0" borderId="16" xfId="2" applyNumberFormat="1" applyFont="1" applyFill="1" applyBorder="1" applyAlignment="1" applyProtection="1">
      <alignment horizontal="center"/>
    </xf>
    <xf numFmtId="0" fontId="45" fillId="6" borderId="1" xfId="3" applyBorder="1" applyAlignment="1" applyProtection="1"/>
    <xf numFmtId="1" fontId="47" fillId="0" borderId="14" xfId="2" applyNumberFormat="1" applyFont="1" applyFill="1" applyBorder="1" applyAlignment="1" applyProtection="1">
      <alignment horizontal="center"/>
    </xf>
    <xf numFmtId="0" fontId="46" fillId="2" borderId="0" xfId="0" applyFont="1" applyFill="1" applyAlignment="1">
      <alignment horizontal="right"/>
    </xf>
    <xf numFmtId="0" fontId="43" fillId="2" borderId="0" xfId="2" applyFill="1" applyBorder="1" applyAlignment="1" applyProtection="1">
      <alignment horizontal="center"/>
    </xf>
    <xf numFmtId="0" fontId="46" fillId="2" borderId="0" xfId="0" applyFont="1" applyFill="1"/>
    <xf numFmtId="0" fontId="70" fillId="0" borderId="0" xfId="0" applyFont="1" applyAlignment="1">
      <alignment horizontal="left"/>
    </xf>
    <xf numFmtId="0" fontId="51" fillId="0" borderId="3" xfId="0" applyFont="1" applyBorder="1"/>
    <xf numFmtId="0" fontId="0" fillId="0" borderId="0" xfId="0" applyProtection="1">
      <protection locked="0"/>
    </xf>
    <xf numFmtId="0" fontId="45" fillId="0" borderId="0" xfId="1" applyFont="1"/>
    <xf numFmtId="0" fontId="48" fillId="0" borderId="0" xfId="1" applyFont="1" applyAlignment="1">
      <alignment vertical="center" wrapText="1"/>
    </xf>
    <xf numFmtId="0" fontId="47" fillId="0" borderId="0" xfId="1" applyFont="1"/>
    <xf numFmtId="0" fontId="47" fillId="0" borderId="0" xfId="0" applyFont="1"/>
    <xf numFmtId="0" fontId="47" fillId="0" borderId="3" xfId="1" applyFont="1" applyBorder="1"/>
    <xf numFmtId="0" fontId="0" fillId="0" borderId="1" xfId="0" applyBorder="1" applyAlignment="1">
      <alignment horizontal="right"/>
    </xf>
    <xf numFmtId="0" fontId="47" fillId="0" borderId="0" xfId="0" applyFont="1" applyAlignment="1">
      <alignment horizontal="center" vertical="center"/>
    </xf>
    <xf numFmtId="0" fontId="40" fillId="0" borderId="0" xfId="1" applyFont="1"/>
    <xf numFmtId="0" fontId="47" fillId="0" borderId="0" xfId="1" applyFont="1" applyAlignment="1">
      <alignment horizontal="right" vertical="center" wrapText="1"/>
    </xf>
    <xf numFmtId="0" fontId="47" fillId="0" borderId="0" xfId="1" applyFont="1" applyAlignment="1">
      <alignment vertical="top"/>
    </xf>
    <xf numFmtId="0" fontId="0" fillId="0" borderId="1" xfId="0" applyBorder="1" applyAlignment="1">
      <alignment horizontal="right" wrapText="1"/>
    </xf>
    <xf numFmtId="0" fontId="0" fillId="0" borderId="1" xfId="0" applyBorder="1" applyAlignment="1">
      <alignment horizontal="right" vertical="center" wrapText="1"/>
    </xf>
    <xf numFmtId="0" fontId="54" fillId="0" borderId="0" xfId="1" applyFont="1" applyAlignment="1">
      <alignment horizontal="left" vertical="top"/>
    </xf>
    <xf numFmtId="0" fontId="47" fillId="0" borderId="1" xfId="1" applyFont="1" applyBorder="1" applyAlignment="1">
      <alignment horizontal="right"/>
    </xf>
    <xf numFmtId="0" fontId="47" fillId="8" borderId="0" xfId="1" applyFont="1" applyFill="1" applyAlignment="1">
      <alignment horizontal="center" vertical="center"/>
    </xf>
    <xf numFmtId="0" fontId="40" fillId="0" borderId="0" xfId="0" applyFont="1"/>
    <xf numFmtId="0" fontId="47" fillId="0" borderId="1" xfId="1" applyFont="1" applyBorder="1" applyAlignment="1">
      <alignment horizontal="right" vertical="center" wrapText="1"/>
    </xf>
    <xf numFmtId="0" fontId="47" fillId="2" borderId="1" xfId="0" applyFont="1" applyFill="1" applyBorder="1" applyAlignment="1">
      <alignment horizontal="right"/>
    </xf>
    <xf numFmtId="0" fontId="50" fillId="0" borderId="0" xfId="1" applyFont="1"/>
    <xf numFmtId="0" fontId="49" fillId="0" borderId="0" xfId="1" applyFont="1" applyAlignment="1">
      <alignment horizontal="right" vertical="top"/>
    </xf>
    <xf numFmtId="0" fontId="47" fillId="0" borderId="0" xfId="1" applyFont="1" applyAlignment="1">
      <alignment horizontal="right" vertical="top"/>
    </xf>
    <xf numFmtId="0" fontId="47" fillId="0" borderId="0" xfId="1" applyFont="1" applyAlignment="1">
      <alignment horizontal="center" vertical="top"/>
    </xf>
    <xf numFmtId="3" fontId="0" fillId="0" borderId="0" xfId="0" applyNumberFormat="1" applyAlignment="1" applyProtection="1">
      <alignment horizontal="center"/>
      <protection locked="0"/>
    </xf>
    <xf numFmtId="0" fontId="55" fillId="2" borderId="1" xfId="0" applyFont="1" applyFill="1" applyBorder="1" applyProtection="1">
      <protection locked="0"/>
    </xf>
    <xf numFmtId="0" fontId="59" fillId="11" borderId="1" xfId="0" applyFont="1" applyFill="1" applyBorder="1" applyAlignment="1" applyProtection="1">
      <alignment horizontal="left"/>
      <protection locked="0"/>
    </xf>
    <xf numFmtId="0" fontId="71" fillId="0" borderId="0" xfId="0" applyFont="1" applyProtection="1">
      <protection locked="0"/>
    </xf>
    <xf numFmtId="0" fontId="33" fillId="2" borderId="1" xfId="2" applyFont="1" applyFill="1" applyBorder="1" applyAlignment="1" applyProtection="1">
      <alignment horizontal="left" vertical="center" wrapText="1"/>
    </xf>
    <xf numFmtId="0" fontId="74" fillId="0" borderId="0" xfId="1" applyFont="1" applyAlignment="1">
      <alignment vertical="center" wrapText="1"/>
    </xf>
    <xf numFmtId="1" fontId="73" fillId="3" borderId="0" xfId="2" applyNumberFormat="1" applyFont="1" applyFill="1" applyBorder="1" applyAlignment="1" applyProtection="1">
      <alignment horizontal="center"/>
    </xf>
    <xf numFmtId="1" fontId="73" fillId="0" borderId="0" xfId="2" applyNumberFormat="1" applyFont="1" applyFill="1" applyBorder="1" applyAlignment="1" applyProtection="1">
      <alignment horizontal="center"/>
    </xf>
    <xf numFmtId="0" fontId="74" fillId="0" borderId="0" xfId="0" applyFont="1" applyAlignment="1">
      <alignment horizontal="left"/>
    </xf>
    <xf numFmtId="0" fontId="77" fillId="0" borderId="0" xfId="0" applyFont="1"/>
    <xf numFmtId="1" fontId="73" fillId="2" borderId="0" xfId="2" applyNumberFormat="1" applyFont="1" applyFill="1" applyBorder="1" applyAlignment="1" applyProtection="1">
      <alignment horizontal="center"/>
    </xf>
    <xf numFmtId="0" fontId="75" fillId="0" borderId="0" xfId="3" applyFont="1" applyFill="1" applyBorder="1" applyAlignment="1" applyProtection="1">
      <alignment horizontal="center"/>
    </xf>
    <xf numFmtId="0" fontId="77" fillId="0" borderId="0" xfId="0" applyFont="1" applyAlignment="1">
      <alignment horizontal="center"/>
    </xf>
    <xf numFmtId="1" fontId="47" fillId="3" borderId="17" xfId="2" applyNumberFormat="1" applyFont="1" applyFill="1" applyBorder="1" applyAlignment="1" applyProtection="1">
      <alignment horizontal="center"/>
    </xf>
    <xf numFmtId="0" fontId="75" fillId="6" borderId="1" xfId="3" applyFont="1" applyBorder="1" applyAlignment="1" applyProtection="1">
      <alignment horizontal="center"/>
    </xf>
    <xf numFmtId="0" fontId="72" fillId="0" borderId="0" xfId="0" applyFont="1"/>
    <xf numFmtId="0" fontId="78" fillId="0" borderId="0" xfId="0" applyFont="1" applyAlignment="1">
      <alignment horizontal="left"/>
    </xf>
    <xf numFmtId="0" fontId="47" fillId="0" borderId="0" xfId="1" applyFont="1" applyAlignment="1">
      <alignment horizontal="center"/>
    </xf>
    <xf numFmtId="0" fontId="47" fillId="0" borderId="0" xfId="1" applyFont="1" applyAlignment="1">
      <alignment horizontal="left"/>
    </xf>
    <xf numFmtId="0" fontId="57" fillId="17" borderId="1" xfId="2" applyFont="1" applyFill="1" applyBorder="1" applyAlignment="1" applyProtection="1">
      <alignment horizontal="left"/>
    </xf>
    <xf numFmtId="0" fontId="43" fillId="5" borderId="1" xfId="2" applyBorder="1" applyAlignment="1" applyProtection="1">
      <alignment horizontal="center" vertical="center"/>
    </xf>
    <xf numFmtId="0" fontId="48" fillId="0" borderId="0" xfId="1" applyFont="1" applyAlignment="1">
      <alignment horizontal="center" vertical="center" wrapText="1"/>
    </xf>
    <xf numFmtId="0" fontId="80" fillId="0" borderId="0" xfId="1" applyFont="1" applyAlignment="1">
      <alignment horizontal="center" vertical="center" wrapText="1"/>
    </xf>
    <xf numFmtId="0" fontId="39" fillId="0" borderId="0" xfId="0" applyFont="1" applyAlignment="1">
      <alignment horizontal="center"/>
    </xf>
    <xf numFmtId="0" fontId="45" fillId="0" borderId="0" xfId="0" applyFont="1" applyAlignment="1">
      <alignment horizontal="center"/>
    </xf>
    <xf numFmtId="0" fontId="79" fillId="0" borderId="0" xfId="0" applyFont="1"/>
    <xf numFmtId="0" fontId="81" fillId="6" borderId="1" xfId="3" applyFont="1" applyBorder="1" applyAlignment="1" applyProtection="1">
      <alignment horizontal="center"/>
    </xf>
    <xf numFmtId="0" fontId="36" fillId="0" borderId="1" xfId="1" applyFont="1" applyBorder="1" applyAlignment="1">
      <alignment horizontal="right" vertical="center" wrapText="1"/>
    </xf>
    <xf numFmtId="0" fontId="47" fillId="2" borderId="1" xfId="2" applyFont="1" applyFill="1" applyBorder="1" applyAlignment="1" applyProtection="1">
      <alignment horizontal="center" vertical="center"/>
    </xf>
    <xf numFmtId="0" fontId="37" fillId="2" borderId="1" xfId="1" applyFont="1" applyFill="1" applyBorder="1" applyAlignment="1">
      <alignment horizontal="center" vertical="center" wrapText="1"/>
    </xf>
    <xf numFmtId="0" fontId="0" fillId="2" borderId="1" xfId="0" applyFill="1" applyBorder="1" applyAlignment="1">
      <alignment horizontal="left"/>
    </xf>
    <xf numFmtId="0" fontId="82" fillId="2" borderId="1" xfId="2" applyFont="1" applyFill="1" applyBorder="1" applyProtection="1"/>
    <xf numFmtId="0" fontId="82" fillId="2" borderId="1" xfId="2" applyFont="1" applyFill="1" applyBorder="1" applyAlignment="1" applyProtection="1">
      <alignment horizontal="left"/>
    </xf>
    <xf numFmtId="0" fontId="47" fillId="2" borderId="1" xfId="2" applyFont="1" applyFill="1" applyBorder="1" applyAlignment="1" applyProtection="1">
      <alignment horizontal="left" vertical="center" wrapText="1"/>
    </xf>
    <xf numFmtId="0" fontId="47" fillId="2" borderId="1" xfId="2" applyFont="1" applyFill="1" applyBorder="1" applyAlignment="1" applyProtection="1">
      <alignment horizontal="center"/>
    </xf>
    <xf numFmtId="0" fontId="43" fillId="5" borderId="1" xfId="2" applyBorder="1" applyAlignment="1" applyProtection="1">
      <alignment horizontal="center"/>
    </xf>
    <xf numFmtId="9" fontId="43" fillId="5" borderId="1" xfId="2" applyNumberFormat="1" applyBorder="1" applyAlignment="1" applyProtection="1">
      <alignment horizontal="center"/>
      <protection locked="0"/>
    </xf>
    <xf numFmtId="0" fontId="43" fillId="5" borderId="1" xfId="2" applyNumberFormat="1" applyBorder="1" applyAlignment="1" applyProtection="1">
      <alignment horizontal="center"/>
      <protection locked="0"/>
    </xf>
    <xf numFmtId="0" fontId="32" fillId="2" borderId="1" xfId="2" applyFont="1" applyFill="1" applyBorder="1" applyAlignment="1" applyProtection="1">
      <alignment horizontal="left" vertical="center" wrapText="1"/>
    </xf>
    <xf numFmtId="0" fontId="56" fillId="0" borderId="0" xfId="0" applyFont="1" applyAlignment="1">
      <alignment horizontal="center" vertical="center"/>
    </xf>
    <xf numFmtId="0" fontId="56" fillId="0" borderId="0" xfId="0" applyFont="1"/>
    <xf numFmtId="1" fontId="56" fillId="0" borderId="0" xfId="0" applyNumberFormat="1" applyFont="1" applyAlignment="1">
      <alignment horizontal="center" vertical="center"/>
    </xf>
    <xf numFmtId="0" fontId="31" fillId="2" borderId="1" xfId="2" applyFont="1" applyFill="1" applyBorder="1" applyAlignment="1" applyProtection="1">
      <alignment horizontal="left" vertical="center" wrapText="1"/>
    </xf>
    <xf numFmtId="0" fontId="45" fillId="0" borderId="3" xfId="0" applyFont="1" applyBorder="1"/>
    <xf numFmtId="0" fontId="46" fillId="0" borderId="1" xfId="0" applyFont="1" applyBorder="1" applyAlignment="1">
      <alignment horizontal="left" wrapText="1"/>
    </xf>
    <xf numFmtId="0" fontId="30" fillId="22" borderId="1" xfId="6" applyBorder="1"/>
    <xf numFmtId="0" fontId="30" fillId="21" borderId="1" xfId="5" applyBorder="1"/>
    <xf numFmtId="0" fontId="83" fillId="0" borderId="1" xfId="0" applyFont="1" applyBorder="1"/>
    <xf numFmtId="0" fontId="0" fillId="0" borderId="4" xfId="0" applyBorder="1"/>
    <xf numFmtId="0" fontId="83" fillId="0" borderId="5" xfId="0" applyFont="1" applyBorder="1"/>
    <xf numFmtId="0" fontId="83" fillId="0" borderId="1" xfId="0" applyFont="1" applyBorder="1" applyAlignment="1">
      <alignment wrapText="1"/>
    </xf>
    <xf numFmtId="0" fontId="40" fillId="0" borderId="5" xfId="0" applyFont="1" applyBorder="1"/>
    <xf numFmtId="0" fontId="47" fillId="0" borderId="1" xfId="0" applyFont="1" applyBorder="1" applyAlignment="1">
      <alignment horizontal="justify" vertical="center" wrapText="1"/>
    </xf>
    <xf numFmtId="0" fontId="47" fillId="0" borderId="4" xfId="0" applyFont="1" applyBorder="1" applyAlignment="1">
      <alignment horizontal="justify" vertical="center" wrapText="1"/>
    </xf>
    <xf numFmtId="0" fontId="72" fillId="0" borderId="0" xfId="1" applyFont="1" applyAlignment="1">
      <alignment vertical="center" wrapText="1"/>
    </xf>
    <xf numFmtId="0" fontId="84" fillId="0" borderId="0" xfId="0" applyFont="1" applyAlignment="1">
      <alignment horizontal="left"/>
    </xf>
    <xf numFmtId="0" fontId="39" fillId="0" borderId="0" xfId="1" applyFont="1" applyAlignment="1">
      <alignment vertical="center" wrapText="1"/>
    </xf>
    <xf numFmtId="0" fontId="39" fillId="0" borderId="0" xfId="1" applyFont="1" applyAlignment="1">
      <alignment horizontal="center" vertical="center" wrapText="1"/>
    </xf>
    <xf numFmtId="0" fontId="39" fillId="0" borderId="0" xfId="0" applyFont="1"/>
    <xf numFmtId="0" fontId="62" fillId="0" borderId="0" xfId="0" applyFont="1"/>
    <xf numFmtId="0" fontId="47" fillId="0" borderId="5" xfId="0" applyFont="1" applyBorder="1"/>
    <xf numFmtId="0" fontId="47" fillId="0" borderId="1" xfId="0" applyFont="1" applyBorder="1"/>
    <xf numFmtId="0" fontId="47" fillId="0" borderId="1" xfId="0" applyFont="1" applyBorder="1" applyAlignment="1">
      <alignment wrapText="1"/>
    </xf>
    <xf numFmtId="0" fontId="47" fillId="0" borderId="5" xfId="0" applyFont="1" applyBorder="1" applyAlignment="1">
      <alignment wrapText="1"/>
    </xf>
    <xf numFmtId="0" fontId="47" fillId="0" borderId="1" xfId="0" applyFont="1" applyBorder="1" applyAlignment="1">
      <alignment horizontal="left" vertical="center"/>
    </xf>
    <xf numFmtId="0" fontId="47" fillId="0" borderId="0" xfId="0" applyFont="1" applyAlignment="1">
      <alignment horizontal="left" vertical="center"/>
    </xf>
    <xf numFmtId="0" fontId="64" fillId="0" borderId="0" xfId="0" applyFont="1"/>
    <xf numFmtId="0" fontId="64" fillId="0" borderId="0" xfId="0" applyFont="1" applyProtection="1">
      <protection locked="0"/>
    </xf>
    <xf numFmtId="3" fontId="55" fillId="2" borderId="1" xfId="0" applyNumberFormat="1" applyFont="1" applyFill="1" applyBorder="1" applyAlignment="1">
      <alignment horizontal="center"/>
    </xf>
    <xf numFmtId="0" fontId="61" fillId="10" borderId="1" xfId="0" applyFont="1" applyFill="1" applyBorder="1"/>
    <xf numFmtId="3" fontId="61" fillId="10" borderId="1" xfId="0" applyNumberFormat="1" applyFont="1" applyFill="1" applyBorder="1" applyAlignment="1">
      <alignment horizontal="center"/>
    </xf>
    <xf numFmtId="3" fontId="59" fillId="11" borderId="1" xfId="0" applyNumberFormat="1" applyFont="1" applyFill="1" applyBorder="1" applyAlignment="1">
      <alignment horizontal="center"/>
    </xf>
    <xf numFmtId="0" fontId="46" fillId="0" borderId="1" xfId="0" applyFont="1" applyBorder="1" applyAlignment="1">
      <alignment horizontal="left" vertical="center" indent="3"/>
    </xf>
    <xf numFmtId="0" fontId="30" fillId="0" borderId="1" xfId="5" applyFill="1" applyBorder="1"/>
    <xf numFmtId="0" fontId="29" fillId="21" borderId="1" xfId="5" applyFont="1" applyBorder="1"/>
    <xf numFmtId="0" fontId="86" fillId="0" borderId="0" xfId="0" applyFont="1" applyAlignment="1">
      <alignment horizontal="left" vertical="center"/>
    </xf>
    <xf numFmtId="0" fontId="86" fillId="0" borderId="1" xfId="0" applyFont="1" applyBorder="1" applyAlignment="1">
      <alignment horizontal="left" vertical="center"/>
    </xf>
    <xf numFmtId="0" fontId="29" fillId="21" borderId="5" xfId="5" applyFont="1" applyBorder="1"/>
    <xf numFmtId="0" fontId="29" fillId="0" borderId="1" xfId="0" applyFont="1" applyBorder="1"/>
    <xf numFmtId="0" fontId="87" fillId="0" borderId="0" xfId="0" applyFont="1"/>
    <xf numFmtId="0" fontId="88" fillId="0" borderId="0" xfId="0" applyFont="1" applyAlignment="1">
      <alignment horizontal="left" vertical="center"/>
    </xf>
    <xf numFmtId="0" fontId="88" fillId="0" borderId="0" xfId="0" applyFont="1"/>
    <xf numFmtId="0" fontId="28" fillId="0" borderId="18" xfId="0" applyFont="1" applyBorder="1"/>
    <xf numFmtId="0" fontId="88" fillId="0" borderId="1" xfId="0" applyFont="1" applyBorder="1"/>
    <xf numFmtId="0" fontId="28" fillId="0" borderId="1" xfId="0" applyFont="1" applyBorder="1"/>
    <xf numFmtId="0" fontId="88" fillId="0" borderId="16" xfId="0" applyFont="1" applyBorder="1"/>
    <xf numFmtId="0" fontId="28" fillId="0" borderId="16" xfId="0" applyFont="1" applyBorder="1"/>
    <xf numFmtId="0" fontId="88" fillId="0" borderId="1" xfId="0" applyFont="1" applyBorder="1" applyAlignment="1">
      <alignment horizontal="left" vertical="center"/>
    </xf>
    <xf numFmtId="0" fontId="28" fillId="0" borderId="5" xfId="0" applyFont="1" applyBorder="1"/>
    <xf numFmtId="0" fontId="55" fillId="0" borderId="0" xfId="0" applyFont="1" applyAlignment="1">
      <alignment horizontal="right"/>
    </xf>
    <xf numFmtId="0" fontId="46" fillId="0" borderId="17" xfId="0" applyFont="1" applyBorder="1" applyAlignment="1">
      <alignment horizontal="center"/>
    </xf>
    <xf numFmtId="0" fontId="46" fillId="0" borderId="14" xfId="0" applyFont="1" applyBorder="1" applyAlignment="1">
      <alignment horizontal="center"/>
    </xf>
    <xf numFmtId="0" fontId="46" fillId="0" borderId="16" xfId="0" applyFont="1" applyBorder="1" applyAlignment="1">
      <alignment horizontal="center"/>
    </xf>
    <xf numFmtId="0" fontId="46" fillId="0" borderId="16" xfId="0" applyFont="1" applyBorder="1" applyAlignment="1">
      <alignment horizontal="right"/>
    </xf>
    <xf numFmtId="0" fontId="46" fillId="10" borderId="4" xfId="0" applyFont="1" applyFill="1" applyBorder="1" applyAlignment="1">
      <alignment horizontal="center"/>
    </xf>
    <xf numFmtId="0" fontId="43" fillId="10" borderId="6" xfId="2" applyFill="1" applyBorder="1" applyAlignment="1" applyProtection="1">
      <alignment horizontal="center"/>
      <protection locked="0"/>
    </xf>
    <xf numFmtId="0" fontId="46" fillId="10" borderId="6" xfId="0" applyFont="1" applyFill="1" applyBorder="1" applyAlignment="1">
      <alignment horizontal="center"/>
    </xf>
    <xf numFmtId="0" fontId="45" fillId="10" borderId="6" xfId="0" applyFont="1" applyFill="1" applyBorder="1" applyAlignment="1">
      <alignment horizontal="center"/>
    </xf>
    <xf numFmtId="1" fontId="73" fillId="10" borderId="1" xfId="2" applyNumberFormat="1" applyFont="1" applyFill="1" applyBorder="1" applyAlignment="1" applyProtection="1">
      <alignment horizontal="center" vertical="center" textRotation="180"/>
    </xf>
    <xf numFmtId="0" fontId="27" fillId="21" borderId="5" xfId="5" applyFont="1" applyBorder="1"/>
    <xf numFmtId="0" fontId="55" fillId="0" borderId="1" xfId="0" applyFont="1" applyBorder="1" applyAlignment="1">
      <alignment vertical="center"/>
    </xf>
    <xf numFmtId="9" fontId="47" fillId="0" borderId="12" xfId="7" applyFont="1" applyFill="1" applyBorder="1" applyAlignment="1" applyProtection="1">
      <alignment horizontal="center"/>
    </xf>
    <xf numFmtId="0" fontId="27" fillId="21" borderId="1" xfId="5" applyFont="1" applyBorder="1"/>
    <xf numFmtId="0" fontId="88" fillId="24" borderId="1" xfId="0" applyFont="1" applyFill="1" applyBorder="1" applyAlignment="1">
      <alignment horizontal="left" vertical="center"/>
    </xf>
    <xf numFmtId="0" fontId="0" fillId="2" borderId="4" xfId="0" applyFill="1" applyBorder="1"/>
    <xf numFmtId="0" fontId="47" fillId="0" borderId="0" xfId="0" applyFont="1" applyAlignment="1">
      <alignment horizontal="center"/>
    </xf>
    <xf numFmtId="0" fontId="26" fillId="0" borderId="1" xfId="1" applyFont="1" applyBorder="1" applyAlignment="1">
      <alignment horizontal="left" vertical="center" wrapText="1"/>
    </xf>
    <xf numFmtId="1" fontId="60" fillId="17" borderId="1" xfId="0" applyNumberFormat="1" applyFont="1" applyFill="1" applyBorder="1" applyAlignment="1">
      <alignment horizontal="center"/>
    </xf>
    <xf numFmtId="0" fontId="45" fillId="6" borderId="14" xfId="3" applyBorder="1" applyAlignment="1">
      <alignment horizontal="center" vertical="center"/>
    </xf>
    <xf numFmtId="0" fontId="0" fillId="3" borderId="1" xfId="0" applyFill="1" applyBorder="1" applyAlignment="1">
      <alignment horizontal="center" vertical="center"/>
    </xf>
    <xf numFmtId="0" fontId="69" fillId="3" borderId="1" xfId="0" applyFont="1" applyFill="1" applyBorder="1"/>
    <xf numFmtId="0" fontId="56" fillId="0" borderId="0" xfId="0" quotePrefix="1" applyFont="1" applyAlignment="1">
      <alignment horizontal="center" vertical="center"/>
    </xf>
    <xf numFmtId="0" fontId="51" fillId="0" borderId="0" xfId="0" applyFont="1" applyAlignment="1">
      <alignment horizontal="center"/>
    </xf>
    <xf numFmtId="0" fontId="55" fillId="0" borderId="1" xfId="0" applyFont="1" applyBorder="1" applyAlignment="1">
      <alignment horizontal="right"/>
    </xf>
    <xf numFmtId="0" fontId="0" fillId="12" borderId="1" xfId="0" applyFill="1" applyBorder="1"/>
    <xf numFmtId="15" fontId="0" fillId="0" borderId="1" xfId="0" applyNumberFormat="1" applyBorder="1" applyAlignment="1">
      <alignment horizontal="center" vertical="center"/>
    </xf>
    <xf numFmtId="0" fontId="0" fillId="4" borderId="1" xfId="0" applyFill="1" applyBorder="1"/>
    <xf numFmtId="0" fontId="25" fillId="21" borderId="1" xfId="5" applyFont="1" applyBorder="1"/>
    <xf numFmtId="0" fontId="83" fillId="0" borderId="1" xfId="0" applyFont="1" applyBorder="1" applyAlignment="1">
      <alignment horizontal="left" vertical="center"/>
    </xf>
    <xf numFmtId="0" fontId="46" fillId="0" borderId="4" xfId="0" applyFont="1" applyBorder="1" applyAlignment="1">
      <alignment horizontal="right"/>
    </xf>
    <xf numFmtId="0" fontId="52" fillId="0" borderId="0" xfId="1" applyFont="1" applyAlignment="1">
      <alignment vertical="center" wrapText="1"/>
    </xf>
    <xf numFmtId="0" fontId="82" fillId="0" borderId="1" xfId="0" applyFont="1" applyBorder="1"/>
    <xf numFmtId="0" fontId="47" fillId="0" borderId="1" xfId="2" applyFont="1" applyFill="1" applyBorder="1" applyProtection="1"/>
    <xf numFmtId="0" fontId="47" fillId="2" borderId="1" xfId="2" applyFont="1" applyFill="1" applyBorder="1" applyProtection="1"/>
    <xf numFmtId="0" fontId="0" fillId="3" borderId="1" xfId="0" applyFill="1" applyBorder="1" applyAlignment="1">
      <alignment horizontal="center"/>
    </xf>
    <xf numFmtId="0" fontId="51" fillId="0" borderId="0" xfId="0" applyFont="1"/>
    <xf numFmtId="0" fontId="24" fillId="2" borderId="1" xfId="2" applyFont="1" applyFill="1" applyBorder="1" applyAlignment="1" applyProtection="1">
      <alignment horizontal="left" vertical="center" wrapText="1"/>
    </xf>
    <xf numFmtId="0" fontId="23" fillId="21" borderId="1" xfId="5" applyFont="1" applyBorder="1"/>
    <xf numFmtId="0" fontId="90" fillId="0" borderId="1" xfId="0" applyFont="1" applyBorder="1" applyAlignment="1" applyProtection="1">
      <alignment horizontal="left"/>
      <protection locked="0"/>
    </xf>
    <xf numFmtId="0" fontId="91" fillId="0" borderId="1" xfId="0" applyFont="1" applyBorder="1" applyAlignment="1">
      <alignment horizontal="left" vertical="center"/>
    </xf>
    <xf numFmtId="0" fontId="91" fillId="0" borderId="1" xfId="0" applyFont="1" applyBorder="1" applyAlignment="1">
      <alignment horizontal="left" vertical="center" wrapText="1"/>
    </xf>
    <xf numFmtId="0" fontId="82" fillId="0" borderId="1" xfId="0" applyFont="1" applyBorder="1" applyAlignment="1" applyProtection="1">
      <alignment horizontal="left"/>
      <protection locked="0"/>
    </xf>
    <xf numFmtId="0" fontId="82" fillId="0" borderId="1" xfId="0" applyFont="1" applyBorder="1" applyAlignment="1" applyProtection="1">
      <alignment horizontal="left" wrapText="1"/>
      <protection locked="0"/>
    </xf>
    <xf numFmtId="0" fontId="68" fillId="2" borderId="1" xfId="2" applyFont="1" applyFill="1" applyBorder="1" applyProtection="1"/>
    <xf numFmtId="0" fontId="60" fillId="0" borderId="1" xfId="0" applyFont="1" applyBorder="1"/>
    <xf numFmtId="1" fontId="60" fillId="0" borderId="1" xfId="0" applyNumberFormat="1" applyFont="1" applyBorder="1" applyAlignment="1">
      <alignment horizontal="center" vertical="center"/>
    </xf>
    <xf numFmtId="0" fontId="0" fillId="25" borderId="1" xfId="0" applyFill="1" applyBorder="1"/>
    <xf numFmtId="1" fontId="72" fillId="2" borderId="1" xfId="2" applyNumberFormat="1" applyFont="1" applyFill="1" applyBorder="1" applyAlignment="1" applyProtection="1">
      <alignment horizontal="center"/>
    </xf>
    <xf numFmtId="0" fontId="55" fillId="2" borderId="1" xfId="0" applyFont="1" applyFill="1" applyBorder="1" applyAlignment="1" applyProtection="1">
      <alignment wrapText="1"/>
      <protection locked="0"/>
    </xf>
    <xf numFmtId="0" fontId="83" fillId="0" borderId="1" xfId="0" applyFont="1" applyBorder="1" applyAlignment="1">
      <alignment horizontal="left" vertical="center" wrapText="1"/>
    </xf>
    <xf numFmtId="1" fontId="75" fillId="0" borderId="0" xfId="2" applyNumberFormat="1" applyFont="1" applyFill="1" applyBorder="1" applyAlignment="1" applyProtection="1">
      <alignment horizontal="center"/>
    </xf>
    <xf numFmtId="0" fontId="22" fillId="21" borderId="1" xfId="5" applyFont="1" applyBorder="1"/>
    <xf numFmtId="0" fontId="72" fillId="2" borderId="1" xfId="0" applyFont="1" applyFill="1" applyBorder="1" applyAlignment="1">
      <alignment horizontal="center"/>
    </xf>
    <xf numFmtId="1" fontId="45" fillId="10" borderId="5" xfId="2" applyNumberFormat="1" applyFont="1" applyFill="1" applyBorder="1" applyAlignment="1" applyProtection="1">
      <alignment horizontal="center"/>
    </xf>
    <xf numFmtId="1" fontId="45" fillId="10" borderId="6" xfId="2" applyNumberFormat="1" applyFont="1" applyFill="1" applyBorder="1" applyAlignment="1" applyProtection="1">
      <alignment horizontal="center"/>
    </xf>
    <xf numFmtId="0" fontId="67" fillId="0" borderId="0" xfId="0" applyFont="1" applyAlignment="1">
      <alignment horizontal="center" vertical="center" wrapText="1"/>
    </xf>
    <xf numFmtId="0" fontId="82" fillId="0" borderId="1" xfId="0" applyFont="1" applyBorder="1" applyAlignment="1">
      <alignment horizontal="justify" vertical="center" wrapText="1"/>
    </xf>
    <xf numFmtId="0" fontId="82" fillId="0" borderId="0" xfId="0" applyFont="1" applyAlignment="1">
      <alignment horizontal="justify" vertical="center" wrapText="1"/>
    </xf>
    <xf numFmtId="0" fontId="43" fillId="5" borderId="1" xfId="2" applyBorder="1" applyAlignment="1" applyProtection="1">
      <alignment horizontal="center" vertical="center" wrapText="1"/>
      <protection locked="0"/>
    </xf>
    <xf numFmtId="0" fontId="92" fillId="11" borderId="1" xfId="0" applyFont="1" applyFill="1" applyBorder="1"/>
    <xf numFmtId="0" fontId="55" fillId="0" borderId="0" xfId="0" applyFont="1" applyAlignment="1">
      <alignment horizontal="left" vertical="center" indent="5"/>
    </xf>
    <xf numFmtId="0" fontId="94" fillId="0" borderId="0" xfId="0" applyFont="1" applyAlignment="1">
      <alignment horizontal="left" vertical="center" indent="5"/>
    </xf>
    <xf numFmtId="0" fontId="21" fillId="21" borderId="1" xfId="5" applyFont="1" applyBorder="1"/>
    <xf numFmtId="0" fontId="96" fillId="0" borderId="0" xfId="0" applyFont="1"/>
    <xf numFmtId="0" fontId="72" fillId="0" borderId="0" xfId="0" applyFont="1" applyAlignment="1">
      <alignment wrapText="1"/>
    </xf>
    <xf numFmtId="0" fontId="72" fillId="0" borderId="0" xfId="0" applyFont="1" applyAlignment="1">
      <alignment vertical="center" wrapText="1"/>
    </xf>
    <xf numFmtId="1" fontId="73" fillId="0" borderId="0" xfId="2" applyNumberFormat="1" applyFont="1" applyFill="1" applyBorder="1" applyAlignment="1" applyProtection="1">
      <alignment horizontal="center" vertical="center" textRotation="180"/>
    </xf>
    <xf numFmtId="0" fontId="76" fillId="0" borderId="0" xfId="0" applyFont="1" applyAlignment="1">
      <alignment horizontal="center" vertical="center" textRotation="180"/>
    </xf>
    <xf numFmtId="0" fontId="46" fillId="0" borderId="5" xfId="0" applyFont="1" applyBorder="1" applyAlignment="1">
      <alignment horizontal="left"/>
    </xf>
    <xf numFmtId="0" fontId="83" fillId="0" borderId="1" xfId="0" applyFont="1" applyBorder="1" applyAlignment="1">
      <alignment vertical="center" wrapText="1"/>
    </xf>
    <xf numFmtId="0" fontId="83" fillId="0" borderId="5" xfId="0" applyFont="1" applyBorder="1" applyAlignment="1">
      <alignment vertical="center" wrapText="1"/>
    </xf>
    <xf numFmtId="0" fontId="47" fillId="0" borderId="5" xfId="0" applyFont="1" applyBorder="1" applyAlignment="1">
      <alignment vertical="center"/>
    </xf>
    <xf numFmtId="0" fontId="20" fillId="0" borderId="1" xfId="0" applyFont="1" applyBorder="1" applyAlignment="1">
      <alignment horizontal="right" vertical="center"/>
    </xf>
    <xf numFmtId="0" fontId="72" fillId="0" borderId="0" xfId="0" applyFont="1" applyAlignment="1">
      <alignment horizontal="center"/>
    </xf>
    <xf numFmtId="0" fontId="45" fillId="6" borderId="0" xfId="3" applyBorder="1" applyProtection="1"/>
    <xf numFmtId="0" fontId="45" fillId="0" borderId="0" xfId="3" applyFill="1" applyBorder="1" applyAlignment="1" applyProtection="1">
      <alignment horizontal="center"/>
    </xf>
    <xf numFmtId="0" fontId="0" fillId="0" borderId="0" xfId="0" applyAlignment="1">
      <alignment horizontal="center" vertical="center"/>
    </xf>
    <xf numFmtId="0" fontId="0" fillId="0" borderId="0" xfId="0" applyAlignment="1">
      <alignment horizontal="center" vertical="center" wrapText="1"/>
    </xf>
    <xf numFmtId="0" fontId="39" fillId="0" borderId="0" xfId="3" applyFont="1" applyFill="1" applyBorder="1" applyAlignment="1" applyProtection="1">
      <alignment horizontal="center" vertical="center" textRotation="90"/>
    </xf>
    <xf numFmtId="0" fontId="0" fillId="0" borderId="0" xfId="0" applyAlignment="1">
      <alignment vertical="center"/>
    </xf>
    <xf numFmtId="0" fontId="39" fillId="0" borderId="0" xfId="3" applyFont="1" applyFill="1" applyBorder="1" applyAlignment="1" applyProtection="1">
      <alignment vertical="center" textRotation="90"/>
    </xf>
    <xf numFmtId="0" fontId="45" fillId="0" borderId="0" xfId="1" applyFont="1" applyAlignment="1">
      <alignment vertical="top"/>
    </xf>
    <xf numFmtId="0" fontId="99" fillId="0" borderId="0" xfId="0" applyFont="1" applyAlignment="1">
      <alignment horizontal="left" vertical="center" indent="5"/>
    </xf>
    <xf numFmtId="0" fontId="19" fillId="21" borderId="1" xfId="5" applyFont="1" applyBorder="1"/>
    <xf numFmtId="0" fontId="103" fillId="0" borderId="0" xfId="2" applyFont="1" applyFill="1" applyAlignment="1" applyProtection="1">
      <alignment horizontal="left" vertical="center"/>
    </xf>
    <xf numFmtId="0" fontId="55" fillId="2" borderId="1" xfId="0" applyFont="1" applyFill="1" applyBorder="1" applyAlignment="1" applyProtection="1">
      <alignment vertical="center" wrapText="1"/>
      <protection locked="0"/>
    </xf>
    <xf numFmtId="0" fontId="55" fillId="0" borderId="1" xfId="0" applyFont="1" applyBorder="1" applyProtection="1">
      <protection locked="0"/>
    </xf>
    <xf numFmtId="0" fontId="104" fillId="0" borderId="1" xfId="0" applyFont="1" applyBorder="1"/>
    <xf numFmtId="0" fontId="104" fillId="0" borderId="1" xfId="0" applyFont="1" applyBorder="1" applyProtection="1">
      <protection locked="0"/>
    </xf>
    <xf numFmtId="0" fontId="104" fillId="0" borderId="0" xfId="0" applyFont="1"/>
    <xf numFmtId="0" fontId="105" fillId="21" borderId="1" xfId="5" applyFont="1" applyBorder="1"/>
    <xf numFmtId="0" fontId="69" fillId="2" borderId="1" xfId="0" applyFont="1" applyFill="1" applyBorder="1" applyAlignment="1" applyProtection="1">
      <alignment vertical="center" wrapText="1"/>
      <protection locked="0"/>
    </xf>
    <xf numFmtId="0" fontId="55" fillId="2" borderId="1" xfId="0" applyFont="1" applyFill="1" applyBorder="1" applyAlignment="1" applyProtection="1">
      <alignment vertical="top" wrapText="1"/>
      <protection locked="0"/>
    </xf>
    <xf numFmtId="0" fontId="82" fillId="2" borderId="1" xfId="0" applyFont="1" applyFill="1" applyBorder="1" applyAlignment="1" applyProtection="1">
      <alignment wrapText="1"/>
      <protection locked="0"/>
    </xf>
    <xf numFmtId="0" fontId="18" fillId="21" borderId="1" xfId="5" applyFont="1" applyBorder="1"/>
    <xf numFmtId="164" fontId="47" fillId="0" borderId="1" xfId="4" applyFont="1" applyFill="1" applyBorder="1" applyAlignment="1">
      <alignment horizontal="center"/>
    </xf>
    <xf numFmtId="0" fontId="63" fillId="15" borderId="0" xfId="0" applyFont="1" applyFill="1" applyAlignment="1">
      <alignment vertical="center" wrapText="1"/>
    </xf>
    <xf numFmtId="0" fontId="17" fillId="21" borderId="1" xfId="5" applyFont="1" applyBorder="1"/>
    <xf numFmtId="0" fontId="16" fillId="21" borderId="1" xfId="5" applyFont="1" applyBorder="1"/>
    <xf numFmtId="0" fontId="52" fillId="0" borderId="0" xfId="1" applyFont="1" applyAlignment="1">
      <alignment horizontal="center" vertical="center" wrapText="1"/>
    </xf>
    <xf numFmtId="0" fontId="39" fillId="6" borderId="1" xfId="3" applyFont="1" applyBorder="1" applyAlignment="1" applyProtection="1">
      <alignment horizontal="center" vertical="center" wrapText="1"/>
    </xf>
    <xf numFmtId="1" fontId="106" fillId="0" borderId="0" xfId="0" applyNumberFormat="1" applyFont="1" applyAlignment="1">
      <alignment horizontal="center"/>
    </xf>
    <xf numFmtId="0" fontId="66" fillId="27" borderId="1" xfId="0" applyFont="1" applyFill="1" applyBorder="1" applyAlignment="1">
      <alignment horizontal="center" vertical="center"/>
    </xf>
    <xf numFmtId="9" fontId="92" fillId="28" borderId="1" xfId="0" applyNumberFormat="1" applyFont="1" applyFill="1" applyBorder="1" applyAlignment="1">
      <alignment horizontal="center" vertical="center"/>
    </xf>
    <xf numFmtId="0" fontId="15" fillId="21" borderId="1" xfId="5" applyFont="1" applyBorder="1"/>
    <xf numFmtId="0" fontId="0" fillId="0" borderId="0" xfId="0" pivotButton="1"/>
    <xf numFmtId="3" fontId="0" fillId="0" borderId="0" xfId="0" applyNumberFormat="1" applyAlignment="1">
      <alignment horizontal="center"/>
    </xf>
    <xf numFmtId="0" fontId="0" fillId="0" borderId="0" xfId="0" applyAlignment="1">
      <alignment horizontal="left" indent="1"/>
    </xf>
    <xf numFmtId="0" fontId="0" fillId="0" borderId="0" xfId="0" applyAlignment="1">
      <alignment horizontal="left" indent="2"/>
    </xf>
    <xf numFmtId="0" fontId="0" fillId="0" borderId="36" xfId="0" applyBorder="1" applyProtection="1">
      <protection locked="0"/>
    </xf>
    <xf numFmtId="0" fontId="0" fillId="0" borderId="37" xfId="0" applyBorder="1" applyProtection="1">
      <protection locked="0"/>
    </xf>
    <xf numFmtId="0" fontId="0" fillId="0" borderId="38" xfId="0" applyBorder="1" applyProtection="1">
      <protection locked="0"/>
    </xf>
    <xf numFmtId="3" fontId="0" fillId="0" borderId="39" xfId="0" applyNumberFormat="1" applyBorder="1" applyAlignment="1" applyProtection="1">
      <alignment horizontal="center"/>
      <protection locked="0"/>
    </xf>
    <xf numFmtId="3" fontId="0" fillId="0" borderId="40" xfId="0" applyNumberFormat="1" applyBorder="1" applyAlignment="1" applyProtection="1">
      <alignment horizontal="center"/>
      <protection locked="0"/>
    </xf>
    <xf numFmtId="3" fontId="0" fillId="0" borderId="41" xfId="0" applyNumberFormat="1" applyBorder="1" applyAlignment="1" applyProtection="1">
      <alignment horizontal="center"/>
      <protection locked="0"/>
    </xf>
    <xf numFmtId="3" fontId="0" fillId="0" borderId="42" xfId="0" applyNumberFormat="1" applyBorder="1" applyAlignment="1" applyProtection="1">
      <alignment horizontal="center"/>
      <protection locked="0"/>
    </xf>
    <xf numFmtId="3" fontId="0" fillId="0" borderId="43" xfId="0" applyNumberFormat="1" applyBorder="1" applyAlignment="1" applyProtection="1">
      <alignment horizontal="center"/>
      <protection locked="0"/>
    </xf>
    <xf numFmtId="3" fontId="0" fillId="0" borderId="44" xfId="0" applyNumberFormat="1" applyBorder="1" applyAlignment="1" applyProtection="1">
      <alignment horizontal="center"/>
      <protection locked="0"/>
    </xf>
    <xf numFmtId="0" fontId="72" fillId="0" borderId="3" xfId="1" applyFont="1" applyBorder="1"/>
    <xf numFmtId="0" fontId="0" fillId="2" borderId="1" xfId="0" applyFill="1" applyBorder="1" applyAlignment="1">
      <alignment horizontal="left" vertical="center" wrapText="1"/>
    </xf>
    <xf numFmtId="0" fontId="82" fillId="0" borderId="0" xfId="0" applyFont="1"/>
    <xf numFmtId="0" fontId="68" fillId="0" borderId="1" xfId="0" applyFont="1" applyBorder="1" applyAlignment="1">
      <alignment horizontal="center" vertical="center" wrapText="1"/>
    </xf>
    <xf numFmtId="0" fontId="68" fillId="0" borderId="0" xfId="0" applyFont="1" applyAlignment="1">
      <alignment horizontal="center" vertical="center" wrapText="1"/>
    </xf>
    <xf numFmtId="0" fontId="71" fillId="0" borderId="0" xfId="0" applyFont="1" applyAlignment="1">
      <alignment horizontal="center" vertical="center" wrapText="1"/>
    </xf>
    <xf numFmtId="0" fontId="71" fillId="0" borderId="0" xfId="0" applyFont="1" applyAlignment="1">
      <alignment vertical="center" wrapText="1"/>
    </xf>
    <xf numFmtId="0" fontId="68" fillId="0" borderId="0" xfId="0" applyFont="1" applyAlignment="1">
      <alignment vertical="center" wrapText="1"/>
    </xf>
    <xf numFmtId="0" fontId="71" fillId="0" borderId="1" xfId="0" applyFont="1" applyBorder="1" applyAlignment="1">
      <alignment horizontal="justify" vertical="center" wrapText="1"/>
    </xf>
    <xf numFmtId="0" fontId="55" fillId="2" borderId="1" xfId="0" applyFont="1" applyFill="1" applyBorder="1"/>
    <xf numFmtId="0" fontId="59" fillId="11" borderId="1" xfId="0" applyFont="1" applyFill="1" applyBorder="1" applyAlignment="1">
      <alignment horizontal="left"/>
    </xf>
    <xf numFmtId="0" fontId="71" fillId="0" borderId="0" xfId="0" applyFont="1"/>
    <xf numFmtId="0" fontId="89" fillId="2" borderId="0" xfId="0" applyFont="1" applyFill="1" applyAlignment="1">
      <alignment horizontal="center" wrapText="1"/>
    </xf>
    <xf numFmtId="0" fontId="0" fillId="2" borderId="0" xfId="0" applyFill="1" applyAlignment="1">
      <alignment wrapText="1"/>
    </xf>
    <xf numFmtId="0" fontId="102" fillId="0" borderId="0" xfId="1" applyFont="1" applyAlignment="1">
      <alignment horizontal="left" vertical="center" wrapText="1"/>
    </xf>
    <xf numFmtId="0" fontId="45" fillId="23" borderId="0" xfId="2" applyFont="1" applyFill="1" applyAlignment="1" applyProtection="1">
      <alignment horizontal="justify" vertical="center"/>
    </xf>
    <xf numFmtId="0" fontId="85" fillId="0" borderId="0" xfId="0" applyFont="1" applyAlignment="1">
      <alignment horizontal="justify" vertical="center"/>
    </xf>
    <xf numFmtId="0" fontId="29" fillId="0" borderId="21" xfId="0" applyFont="1" applyBorder="1" applyAlignment="1">
      <alignment horizontal="justify" vertical="center"/>
    </xf>
    <xf numFmtId="0" fontId="29" fillId="0" borderId="22" xfId="0" applyFont="1" applyBorder="1" applyAlignment="1">
      <alignment horizontal="justify" vertical="center"/>
    </xf>
    <xf numFmtId="0" fontId="46" fillId="0" borderId="22" xfId="0" applyFont="1" applyBorder="1" applyAlignment="1">
      <alignment horizontal="left" vertical="center" indent="3"/>
    </xf>
    <xf numFmtId="0" fontId="46" fillId="0" borderId="23" xfId="0" applyFont="1" applyBorder="1" applyAlignment="1">
      <alignment horizontal="left" vertical="center" indent="3"/>
    </xf>
    <xf numFmtId="0" fontId="46" fillId="0" borderId="0" xfId="0" applyFont="1" applyAlignment="1">
      <alignment horizontal="justify" vertical="center"/>
    </xf>
    <xf numFmtId="0" fontId="70" fillId="0" borderId="20" xfId="0" applyFont="1" applyBorder="1" applyAlignment="1">
      <alignment horizontal="justify" vertical="center"/>
    </xf>
    <xf numFmtId="0" fontId="70" fillId="0" borderId="18" xfId="0" applyFont="1" applyBorder="1" applyAlignment="1">
      <alignment horizontal="justify" vertical="center"/>
    </xf>
    <xf numFmtId="0" fontId="70" fillId="0" borderId="15" xfId="0" applyFont="1" applyBorder="1" applyAlignment="1">
      <alignment horizontal="justify" vertical="center"/>
    </xf>
    <xf numFmtId="0" fontId="29" fillId="0" borderId="20" xfId="0" applyFont="1" applyBorder="1"/>
    <xf numFmtId="0" fontId="29" fillId="0" borderId="18" xfId="0" applyFont="1" applyBorder="1"/>
    <xf numFmtId="0" fontId="29" fillId="0" borderId="15" xfId="0" applyFont="1" applyBorder="1"/>
    <xf numFmtId="0" fontId="43" fillId="2" borderId="1" xfId="2" applyFill="1" applyBorder="1" applyAlignment="1" applyProtection="1">
      <alignment horizontal="center"/>
    </xf>
    <xf numFmtId="0" fontId="57" fillId="5" borderId="1" xfId="2" applyFont="1" applyBorder="1" applyAlignment="1" applyProtection="1">
      <alignment horizontal="left"/>
      <protection locked="0"/>
    </xf>
    <xf numFmtId="0" fontId="43" fillId="5" borderId="1" xfId="2" applyBorder="1" applyAlignment="1" applyProtection="1">
      <alignment horizontal="left"/>
      <protection locked="0"/>
    </xf>
    <xf numFmtId="0" fontId="14" fillId="21" borderId="1" xfId="5" applyFont="1" applyBorder="1"/>
    <xf numFmtId="0" fontId="14" fillId="2" borderId="1" xfId="2" applyFont="1" applyFill="1" applyBorder="1" applyAlignment="1" applyProtection="1">
      <alignment horizontal="left" vertical="center" wrapText="1"/>
    </xf>
    <xf numFmtId="0" fontId="14" fillId="0" borderId="1" xfId="0" applyFont="1" applyBorder="1"/>
    <xf numFmtId="1" fontId="73" fillId="2" borderId="0" xfId="2" applyNumberFormat="1" applyFont="1" applyFill="1" applyBorder="1" applyAlignment="1" applyProtection="1">
      <alignment horizontal="center" vertical="center" textRotation="180"/>
    </xf>
    <xf numFmtId="0" fontId="45" fillId="2" borderId="0" xfId="0" applyFont="1" applyFill="1"/>
    <xf numFmtId="0" fontId="46" fillId="2" borderId="1" xfId="0" quotePrefix="1" applyFont="1" applyFill="1" applyBorder="1" applyAlignment="1">
      <alignment horizontal="left"/>
    </xf>
    <xf numFmtId="0" fontId="46" fillId="2" borderId="1" xfId="0" applyFont="1" applyFill="1" applyBorder="1"/>
    <xf numFmtId="0" fontId="46" fillId="2" borderId="1" xfId="0" applyFont="1" applyFill="1" applyBorder="1" applyAlignment="1">
      <alignment horizontal="left"/>
    </xf>
    <xf numFmtId="0" fontId="40" fillId="2" borderId="0" xfId="0" applyFont="1" applyFill="1"/>
    <xf numFmtId="0" fontId="13" fillId="21" borderId="14" xfId="5" applyFont="1" applyBorder="1"/>
    <xf numFmtId="0" fontId="69" fillId="2" borderId="14" xfId="0" applyFont="1" applyFill="1" applyBorder="1"/>
    <xf numFmtId="0" fontId="64" fillId="2" borderId="0" xfId="0" applyFont="1" applyFill="1"/>
    <xf numFmtId="0" fontId="0" fillId="2" borderId="0" xfId="0" applyFill="1"/>
    <xf numFmtId="0" fontId="62" fillId="2" borderId="0" xfId="0" applyFont="1" applyFill="1"/>
    <xf numFmtId="0" fontId="13" fillId="0" borderId="0" xfId="8"/>
    <xf numFmtId="0" fontId="47" fillId="0" borderId="1" xfId="0" applyFont="1" applyBorder="1" applyAlignment="1">
      <alignment horizontal="center" vertical="center"/>
    </xf>
    <xf numFmtId="164" fontId="47" fillId="0" borderId="0" xfId="0" applyNumberFormat="1" applyFont="1"/>
    <xf numFmtId="164" fontId="0" fillId="0" borderId="0" xfId="0" applyNumberFormat="1"/>
    <xf numFmtId="1" fontId="47" fillId="2" borderId="1" xfId="2" applyNumberFormat="1" applyFont="1" applyFill="1" applyBorder="1" applyAlignment="1" applyProtection="1">
      <alignment horizontal="center"/>
    </xf>
    <xf numFmtId="0" fontId="46" fillId="2" borderId="17" xfId="0" applyFont="1" applyFill="1" applyBorder="1" applyAlignment="1">
      <alignment horizontal="center"/>
    </xf>
    <xf numFmtId="1" fontId="47" fillId="2" borderId="17" xfId="2" applyNumberFormat="1" applyFont="1" applyFill="1" applyBorder="1" applyAlignment="1" applyProtection="1">
      <alignment horizontal="center"/>
    </xf>
    <xf numFmtId="0" fontId="61" fillId="0" borderId="0" xfId="0" applyFont="1" applyAlignment="1">
      <alignment vertical="center"/>
    </xf>
    <xf numFmtId="2" fontId="59" fillId="11" borderId="1" xfId="0" applyNumberFormat="1" applyFont="1" applyFill="1" applyBorder="1" applyAlignment="1">
      <alignment horizontal="center"/>
    </xf>
    <xf numFmtId="0" fontId="46" fillId="0" borderId="4" xfId="0" applyFont="1" applyBorder="1" applyAlignment="1">
      <alignment horizontal="center"/>
    </xf>
    <xf numFmtId="1" fontId="47" fillId="0" borderId="9" xfId="2" applyNumberFormat="1" applyFont="1" applyFill="1" applyBorder="1" applyAlignment="1" applyProtection="1">
      <alignment horizontal="center"/>
    </xf>
    <xf numFmtId="0" fontId="12" fillId="21" borderId="1" xfId="5" applyFont="1" applyBorder="1"/>
    <xf numFmtId="164" fontId="55" fillId="2" borderId="1" xfId="4" applyFont="1" applyFill="1" applyBorder="1" applyAlignment="1" applyProtection="1">
      <alignment horizontal="center"/>
    </xf>
    <xf numFmtId="164" fontId="59" fillId="11" borderId="1" xfId="4" applyFont="1" applyFill="1" applyBorder="1" applyAlignment="1" applyProtection="1">
      <alignment horizontal="center"/>
    </xf>
    <xf numFmtId="3" fontId="0" fillId="0" borderId="0" xfId="0" applyNumberFormat="1" applyProtection="1">
      <protection locked="0"/>
    </xf>
    <xf numFmtId="164" fontId="0" fillId="0" borderId="0" xfId="4" applyFont="1" applyProtection="1">
      <protection locked="0"/>
    </xf>
    <xf numFmtId="0" fontId="11" fillId="21" borderId="1" xfId="5" applyFont="1" applyBorder="1"/>
    <xf numFmtId="1" fontId="0" fillId="0" borderId="0" xfId="0" applyNumberFormat="1" applyAlignment="1">
      <alignment horizontal="center" vertical="center"/>
    </xf>
    <xf numFmtId="0" fontId="0" fillId="0" borderId="14" xfId="0" applyBorder="1" applyAlignment="1">
      <alignment horizontal="left"/>
    </xf>
    <xf numFmtId="0" fontId="10" fillId="21" borderId="14" xfId="5" applyFont="1" applyBorder="1"/>
    <xf numFmtId="2" fontId="43" fillId="5" borderId="1" xfId="4" applyNumberFormat="1" applyFont="1" applyFill="1" applyBorder="1" applyAlignment="1" applyProtection="1">
      <alignment horizontal="center" vertical="center"/>
      <protection locked="0"/>
    </xf>
    <xf numFmtId="1" fontId="81" fillId="0" borderId="0" xfId="2" applyNumberFormat="1" applyFont="1" applyFill="1" applyBorder="1" applyAlignment="1" applyProtection="1">
      <alignment horizontal="center" vertical="center"/>
    </xf>
    <xf numFmtId="0" fontId="10" fillId="21" borderId="1" xfId="5" applyFont="1" applyBorder="1"/>
    <xf numFmtId="0" fontId="55" fillId="3" borderId="1" xfId="0" applyFont="1" applyFill="1" applyBorder="1" applyAlignment="1">
      <alignment horizontal="right"/>
    </xf>
    <xf numFmtId="2" fontId="47" fillId="0" borderId="1" xfId="4" applyNumberFormat="1" applyFont="1" applyFill="1" applyBorder="1" applyAlignment="1" applyProtection="1">
      <alignment horizontal="right" vertical="center"/>
    </xf>
    <xf numFmtId="2" fontId="47" fillId="0" borderId="1" xfId="1" applyNumberFormat="1" applyFont="1" applyBorder="1" applyAlignment="1">
      <alignment horizontal="right" vertical="center"/>
    </xf>
    <xf numFmtId="164" fontId="0" fillId="0" borderId="0" xfId="4" applyFont="1" applyProtection="1"/>
    <xf numFmtId="0" fontId="47" fillId="2" borderId="1" xfId="0" quotePrefix="1" applyFont="1" applyFill="1" applyBorder="1" applyAlignment="1">
      <alignment horizontal="left"/>
    </xf>
    <xf numFmtId="0" fontId="9" fillId="21" borderId="1" xfId="5" applyFont="1" applyBorder="1" applyAlignment="1">
      <alignment horizontal="left" vertical="center"/>
    </xf>
    <xf numFmtId="0" fontId="107" fillId="0" borderId="0" xfId="0" applyFont="1" applyAlignment="1">
      <alignment horizontal="left"/>
    </xf>
    <xf numFmtId="0" fontId="8" fillId="21" borderId="1" xfId="5" applyFont="1" applyBorder="1" applyAlignment="1">
      <alignment horizontal="left" vertical="center"/>
    </xf>
    <xf numFmtId="0" fontId="55" fillId="3" borderId="1" xfId="0" applyFont="1" applyFill="1" applyBorder="1" applyAlignment="1" applyProtection="1">
      <alignment wrapText="1"/>
      <protection locked="0"/>
    </xf>
    <xf numFmtId="0" fontId="7" fillId="0" borderId="0" xfId="0" applyFont="1"/>
    <xf numFmtId="0" fontId="7" fillId="8" borderId="0" xfId="0" applyFont="1" applyFill="1"/>
    <xf numFmtId="1" fontId="46" fillId="2" borderId="0" xfId="0" applyNumberFormat="1" applyFont="1" applyFill="1"/>
    <xf numFmtId="0" fontId="40" fillId="2" borderId="3" xfId="0" applyFont="1" applyFill="1" applyBorder="1"/>
    <xf numFmtId="0" fontId="0" fillId="0" borderId="16" xfId="0" applyBorder="1" applyAlignment="1">
      <alignment horizontal="center" vertical="center" wrapText="1"/>
    </xf>
    <xf numFmtId="0" fontId="46" fillId="3" borderId="1" xfId="0" applyFont="1" applyFill="1" applyBorder="1" applyAlignment="1">
      <alignment horizontal="right"/>
    </xf>
    <xf numFmtId="0" fontId="0" fillId="3" borderId="1" xfId="0" applyFill="1" applyBorder="1"/>
    <xf numFmtId="0" fontId="7" fillId="8" borderId="1" xfId="0" applyFont="1" applyFill="1" applyBorder="1"/>
    <xf numFmtId="0" fontId="6" fillId="21" borderId="1" xfId="5" applyFont="1" applyBorder="1" applyAlignment="1">
      <alignment horizontal="left" vertical="center"/>
    </xf>
    <xf numFmtId="0" fontId="0" fillId="20" borderId="1" xfId="0" applyFill="1" applyBorder="1"/>
    <xf numFmtId="0" fontId="69" fillId="20" borderId="1" xfId="0" applyFont="1" applyFill="1" applyBorder="1"/>
    <xf numFmtId="0" fontId="69" fillId="13" borderId="1" xfId="0" applyFont="1" applyFill="1" applyBorder="1"/>
    <xf numFmtId="0" fontId="69" fillId="29" borderId="1" xfId="0" applyFont="1" applyFill="1" applyBorder="1"/>
    <xf numFmtId="165" fontId="46" fillId="2" borderId="0" xfId="0" applyNumberFormat="1" applyFont="1" applyFill="1"/>
    <xf numFmtId="3" fontId="0" fillId="0" borderId="0" xfId="0" applyNumberFormat="1"/>
    <xf numFmtId="9" fontId="0" fillId="0" borderId="0" xfId="0" applyNumberFormat="1"/>
    <xf numFmtId="0" fontId="61" fillId="10" borderId="1" xfId="0" applyFont="1" applyFill="1" applyBorder="1" applyAlignment="1">
      <alignment horizontal="center" vertical="center"/>
    </xf>
    <xf numFmtId="0" fontId="61" fillId="10" borderId="5" xfId="0" applyFont="1" applyFill="1" applyBorder="1" applyAlignment="1">
      <alignment horizontal="center" vertical="center"/>
    </xf>
    <xf numFmtId="1" fontId="0" fillId="0" borderId="1" xfId="0" applyNumberFormat="1" applyBorder="1" applyAlignment="1">
      <alignment horizontal="center" vertical="center"/>
    </xf>
    <xf numFmtId="1" fontId="0" fillId="0" borderId="5" xfId="0" applyNumberFormat="1" applyBorder="1" applyAlignment="1">
      <alignment horizontal="center" vertical="center"/>
    </xf>
    <xf numFmtId="1" fontId="39" fillId="10" borderId="1" xfId="0" applyNumberFormat="1" applyFont="1" applyFill="1" applyBorder="1" applyAlignment="1">
      <alignment horizontal="center" vertical="center"/>
    </xf>
    <xf numFmtId="0" fontId="0" fillId="0" borderId="0" xfId="0" applyAlignment="1">
      <alignment horizontal="left" vertical="center"/>
    </xf>
    <xf numFmtId="1" fontId="0" fillId="0" borderId="0" xfId="0" applyNumberFormat="1"/>
    <xf numFmtId="164" fontId="0" fillId="0" borderId="0" xfId="4" applyFont="1"/>
    <xf numFmtId="9" fontId="0" fillId="0" borderId="0" xfId="7" applyFont="1"/>
    <xf numFmtId="10" fontId="0" fillId="0" borderId="0" xfId="7" applyNumberFormat="1" applyFont="1"/>
    <xf numFmtId="1" fontId="43" fillId="5" borderId="1" xfId="2" applyNumberFormat="1" applyBorder="1" applyAlignment="1" applyProtection="1">
      <alignment horizontal="center"/>
      <protection locked="0"/>
    </xf>
    <xf numFmtId="1" fontId="43" fillId="5" borderId="1" xfId="2" applyNumberFormat="1" applyBorder="1" applyAlignment="1" applyProtection="1">
      <alignment horizontal="center"/>
    </xf>
    <xf numFmtId="0" fontId="0" fillId="2" borderId="0" xfId="0" applyFill="1" applyAlignment="1">
      <alignment horizontal="left" vertical="center" wrapText="1"/>
    </xf>
    <xf numFmtId="2" fontId="47" fillId="0" borderId="0" xfId="4" applyNumberFormat="1" applyFont="1" applyFill="1" applyBorder="1" applyAlignment="1" applyProtection="1">
      <alignment horizontal="right" vertical="center"/>
    </xf>
    <xf numFmtId="4" fontId="47" fillId="0" borderId="0" xfId="0" applyNumberFormat="1" applyFont="1"/>
    <xf numFmtId="4" fontId="47" fillId="0" borderId="0" xfId="1" applyNumberFormat="1" applyFont="1"/>
    <xf numFmtId="4" fontId="43" fillId="5" borderId="1" xfId="2" applyNumberFormat="1" applyBorder="1" applyAlignment="1" applyProtection="1">
      <alignment horizontal="center" vertical="center"/>
      <protection locked="0"/>
    </xf>
    <xf numFmtId="0" fontId="108" fillId="0" borderId="0" xfId="0" applyFont="1"/>
    <xf numFmtId="0" fontId="109" fillId="10" borderId="1" xfId="0" applyFont="1" applyFill="1" applyBorder="1" applyAlignment="1">
      <alignment horizontal="center" vertical="center" wrapText="1"/>
    </xf>
    <xf numFmtId="0" fontId="55" fillId="0" borderId="1" xfId="0" applyFont="1" applyBorder="1" applyAlignment="1">
      <alignment horizontal="center" vertical="center" wrapText="1"/>
    </xf>
    <xf numFmtId="164" fontId="55" fillId="0" borderId="1" xfId="4" applyFont="1" applyBorder="1" applyAlignment="1">
      <alignment horizontal="center" vertical="center" wrapText="1"/>
    </xf>
    <xf numFmtId="0" fontId="55" fillId="0" borderId="0" xfId="0" applyFont="1" applyAlignment="1">
      <alignment horizontal="center" vertical="center" wrapText="1"/>
    </xf>
    <xf numFmtId="164" fontId="55" fillId="0" borderId="0" xfId="4" applyFont="1" applyBorder="1" applyAlignment="1">
      <alignment horizontal="center" vertical="center" wrapText="1"/>
    </xf>
    <xf numFmtId="164" fontId="55" fillId="0" borderId="1" xfId="4" applyFont="1" applyBorder="1" applyAlignment="1">
      <alignment vertical="center" wrapText="1"/>
    </xf>
    <xf numFmtId="0" fontId="109" fillId="10" borderId="1" xfId="0" applyFont="1" applyFill="1" applyBorder="1" applyAlignment="1">
      <alignment horizontal="center" vertical="center"/>
    </xf>
    <xf numFmtId="2" fontId="66" fillId="0" borderId="1" xfId="0" applyNumberFormat="1" applyFont="1" applyBorder="1" applyAlignment="1">
      <alignment horizontal="center" vertical="center" wrapText="1"/>
    </xf>
    <xf numFmtId="0" fontId="66" fillId="0" borderId="1" xfId="0" applyFont="1" applyBorder="1" applyAlignment="1">
      <alignment horizontal="center" vertical="center" wrapText="1"/>
    </xf>
    <xf numFmtId="0" fontId="47" fillId="0" borderId="0" xfId="0" quotePrefix="1" applyFont="1"/>
    <xf numFmtId="1" fontId="35" fillId="2" borderId="1" xfId="2" applyNumberFormat="1" applyFont="1" applyFill="1" applyBorder="1" applyAlignment="1" applyProtection="1">
      <alignment horizontal="center" vertical="center" wrapText="1"/>
    </xf>
    <xf numFmtId="164" fontId="47" fillId="0" borderId="0" xfId="4" applyFont="1" applyFill="1" applyBorder="1" applyProtection="1"/>
    <xf numFmtId="0" fontId="0" fillId="2" borderId="1" xfId="0" applyFill="1" applyBorder="1" applyAlignment="1">
      <alignment horizontal="center"/>
    </xf>
    <xf numFmtId="0" fontId="0" fillId="0" borderId="5" xfId="0" applyBorder="1" applyAlignment="1">
      <alignment horizontal="center" vertical="center"/>
    </xf>
    <xf numFmtId="0" fontId="0" fillId="20" borderId="0" xfId="0" applyFill="1"/>
    <xf numFmtId="0" fontId="110" fillId="0" borderId="0" xfId="0" applyFont="1" applyAlignment="1">
      <alignment vertical="center"/>
    </xf>
    <xf numFmtId="0" fontId="69" fillId="31" borderId="1" xfId="1" applyFont="1" applyFill="1" applyBorder="1" applyAlignment="1">
      <alignment horizontal="left" vertical="center"/>
    </xf>
    <xf numFmtId="0" fontId="69" fillId="31" borderId="1" xfId="1" applyFont="1" applyFill="1" applyBorder="1" applyAlignment="1">
      <alignment horizontal="center" vertical="center"/>
    </xf>
    <xf numFmtId="0" fontId="0" fillId="3" borderId="1" xfId="0" applyFill="1" applyBorder="1" applyAlignment="1">
      <alignment vertical="center"/>
    </xf>
    <xf numFmtId="0" fontId="69" fillId="3" borderId="1" xfId="1" applyFont="1" applyFill="1" applyBorder="1" applyAlignment="1">
      <alignment horizontal="left" vertical="center"/>
    </xf>
    <xf numFmtId="0" fontId="69" fillId="3" borderId="1" xfId="1" applyFont="1" applyFill="1" applyBorder="1" applyAlignment="1">
      <alignment horizontal="center" vertical="center"/>
    </xf>
    <xf numFmtId="0" fontId="0" fillId="31" borderId="1" xfId="0" applyFill="1" applyBorder="1" applyAlignment="1">
      <alignment vertical="center"/>
    </xf>
    <xf numFmtId="0" fontId="0" fillId="31" borderId="1" xfId="0" applyFill="1" applyBorder="1" applyAlignment="1">
      <alignment horizontal="center" vertical="center"/>
    </xf>
    <xf numFmtId="3" fontId="61" fillId="10" borderId="1" xfId="0" pivotButton="1" applyNumberFormat="1" applyFont="1" applyFill="1" applyBorder="1" applyAlignment="1">
      <alignment horizontal="center"/>
    </xf>
    <xf numFmtId="0" fontId="61" fillId="10" borderId="1" xfId="0" pivotButton="1" applyFont="1" applyFill="1" applyBorder="1"/>
    <xf numFmtId="0" fontId="0" fillId="0" borderId="0" xfId="0" pivotButton="1" applyProtection="1">
      <protection locked="0"/>
    </xf>
    <xf numFmtId="0" fontId="46" fillId="0" borderId="0" xfId="0" applyFont="1" applyAlignment="1">
      <alignment vertical="center" wrapText="1"/>
    </xf>
    <xf numFmtId="0" fontId="5" fillId="0" borderId="0" xfId="9"/>
    <xf numFmtId="0" fontId="5" fillId="0" borderId="1" xfId="9" applyBorder="1" applyAlignment="1">
      <alignment vertical="center"/>
    </xf>
    <xf numFmtId="0" fontId="5" fillId="0" borderId="1" xfId="9" applyBorder="1" applyAlignment="1">
      <alignment horizontal="center" vertical="center"/>
    </xf>
    <xf numFmtId="0" fontId="5" fillId="0" borderId="1" xfId="9" applyBorder="1" applyAlignment="1">
      <alignment vertical="center" wrapText="1"/>
    </xf>
    <xf numFmtId="0" fontId="5" fillId="2" borderId="1" xfId="9" applyFill="1" applyBorder="1" applyAlignment="1">
      <alignment horizontal="center" vertical="center"/>
    </xf>
    <xf numFmtId="1" fontId="5" fillId="2" borderId="1" xfId="9" applyNumberFormat="1" applyFill="1" applyBorder="1" applyAlignment="1">
      <alignment horizontal="center" vertical="center"/>
    </xf>
    <xf numFmtId="0" fontId="5" fillId="0" borderId="0" xfId="9" applyAlignment="1">
      <alignment vertical="center"/>
    </xf>
    <xf numFmtId="0" fontId="5" fillId="0" borderId="0" xfId="9" applyAlignment="1">
      <alignment horizontal="center" vertical="center"/>
    </xf>
    <xf numFmtId="0" fontId="5" fillId="2" borderId="0" xfId="9" applyFill="1" applyAlignment="1">
      <alignment horizontal="center" vertical="center"/>
    </xf>
    <xf numFmtId="0" fontId="72" fillId="0" borderId="0" xfId="0" applyFont="1" applyAlignment="1">
      <alignment horizontal="justify" vertical="center" wrapText="1"/>
    </xf>
    <xf numFmtId="1" fontId="73" fillId="12" borderId="17" xfId="2" applyNumberFormat="1" applyFont="1" applyFill="1" applyBorder="1" applyAlignment="1" applyProtection="1">
      <alignment horizontal="center" vertical="center" textRotation="180"/>
    </xf>
    <xf numFmtId="0" fontId="46" fillId="0" borderId="1" xfId="0" quotePrefix="1" applyFont="1" applyBorder="1" applyAlignment="1">
      <alignment horizontal="center"/>
    </xf>
    <xf numFmtId="0" fontId="55" fillId="0" borderId="1" xfId="0" quotePrefix="1" applyFont="1" applyBorder="1" applyAlignment="1">
      <alignment horizontal="center" vertical="center"/>
    </xf>
    <xf numFmtId="1" fontId="51" fillId="0" borderId="0" xfId="0" applyNumberFormat="1" applyFont="1" applyAlignment="1">
      <alignment horizontal="left"/>
    </xf>
    <xf numFmtId="0" fontId="4" fillId="0" borderId="0" xfId="0" applyFont="1"/>
    <xf numFmtId="166" fontId="0" fillId="0" borderId="0" xfId="0" applyNumberFormat="1"/>
    <xf numFmtId="166" fontId="108" fillId="0" borderId="0" xfId="0" applyNumberFormat="1" applyFont="1"/>
    <xf numFmtId="0" fontId="43" fillId="5" borderId="6" xfId="2" applyBorder="1" applyAlignment="1" applyProtection="1">
      <alignment horizontal="center"/>
      <protection locked="0"/>
    </xf>
    <xf numFmtId="0" fontId="46" fillId="0" borderId="6" xfId="0" applyFont="1" applyBorder="1" applyAlignment="1">
      <alignment horizontal="center"/>
    </xf>
    <xf numFmtId="0" fontId="47" fillId="0" borderId="4" xfId="0" applyFont="1" applyBorder="1" applyAlignment="1">
      <alignment horizontal="center" vertical="center"/>
    </xf>
    <xf numFmtId="0" fontId="47" fillId="0" borderId="6" xfId="0" applyFont="1" applyBorder="1" applyAlignment="1">
      <alignment horizontal="center" vertical="center"/>
    </xf>
    <xf numFmtId="0" fontId="47" fillId="0" borderId="5" xfId="0" applyFont="1" applyBorder="1" applyAlignment="1">
      <alignment horizontal="center" vertical="center"/>
    </xf>
    <xf numFmtId="0" fontId="0" fillId="3" borderId="0" xfId="0" applyFill="1"/>
    <xf numFmtId="0" fontId="46" fillId="0" borderId="14" xfId="0" applyFont="1" applyBorder="1"/>
    <xf numFmtId="2" fontId="43" fillId="2" borderId="5" xfId="4" applyNumberFormat="1" applyFont="1" applyFill="1" applyBorder="1" applyAlignment="1" applyProtection="1">
      <alignment horizontal="center" vertical="center"/>
    </xf>
    <xf numFmtId="9" fontId="46" fillId="2" borderId="0" xfId="0" applyNumberFormat="1" applyFont="1" applyFill="1"/>
    <xf numFmtId="0" fontId="0" fillId="0" borderId="1" xfId="4" applyNumberFormat="1" applyFont="1" applyFill="1" applyBorder="1" applyAlignment="1">
      <alignment horizontal="center" vertical="center"/>
    </xf>
    <xf numFmtId="0" fontId="5" fillId="21" borderId="1" xfId="5" applyFont="1" applyBorder="1" applyAlignment="1">
      <alignment horizontal="left" vertical="center"/>
    </xf>
    <xf numFmtId="0" fontId="3" fillId="21" borderId="1" xfId="5" applyFont="1" applyBorder="1" applyAlignment="1">
      <alignment horizontal="left" vertical="center"/>
    </xf>
    <xf numFmtId="2" fontId="55" fillId="2" borderId="1" xfId="4" applyNumberFormat="1" applyFont="1" applyFill="1" applyBorder="1" applyAlignment="1" applyProtection="1">
      <alignment horizontal="center"/>
    </xf>
    <xf numFmtId="2" fontId="55" fillId="2" borderId="1" xfId="4" applyNumberFormat="1" applyFont="1" applyFill="1" applyBorder="1" applyAlignment="1" applyProtection="1">
      <alignment horizontal="center" vertical="center"/>
    </xf>
    <xf numFmtId="0" fontId="45" fillId="0" borderId="0" xfId="9" applyFont="1"/>
    <xf numFmtId="1" fontId="55" fillId="2" borderId="1" xfId="4" applyNumberFormat="1" applyFont="1" applyFill="1" applyBorder="1" applyAlignment="1" applyProtection="1">
      <alignment horizontal="center"/>
    </xf>
    <xf numFmtId="164" fontId="55" fillId="2" borderId="1" xfId="4" applyFont="1" applyFill="1" applyBorder="1" applyAlignment="1" applyProtection="1">
      <alignment horizontal="left"/>
    </xf>
    <xf numFmtId="0" fontId="112" fillId="0" borderId="0" xfId="0" applyFont="1" applyAlignment="1">
      <alignment horizontal="left"/>
    </xf>
    <xf numFmtId="0" fontId="68" fillId="0" borderId="0" xfId="0" applyFont="1"/>
    <xf numFmtId="1" fontId="55" fillId="2" borderId="1" xfId="4" applyNumberFormat="1" applyFont="1" applyFill="1" applyBorder="1" applyAlignment="1" applyProtection="1">
      <alignment horizontal="center" vertical="center"/>
    </xf>
    <xf numFmtId="2" fontId="59" fillId="11" borderId="1" xfId="4" applyNumberFormat="1" applyFont="1" applyFill="1" applyBorder="1" applyAlignment="1" applyProtection="1">
      <alignment horizontal="center"/>
    </xf>
    <xf numFmtId="0" fontId="0" fillId="3" borderId="0" xfId="0" applyFill="1" applyAlignment="1">
      <alignment wrapText="1"/>
    </xf>
    <xf numFmtId="0" fontId="110" fillId="3" borderId="0" xfId="0" applyFont="1" applyFill="1" applyAlignment="1">
      <alignment vertical="center"/>
    </xf>
    <xf numFmtId="1" fontId="73" fillId="12" borderId="1" xfId="2" applyNumberFormat="1" applyFont="1" applyFill="1" applyBorder="1" applyAlignment="1" applyProtection="1">
      <alignment horizontal="center" vertical="center" textRotation="180"/>
    </xf>
    <xf numFmtId="0" fontId="77" fillId="3" borderId="0" xfId="0" applyFont="1" applyFill="1"/>
    <xf numFmtId="0" fontId="40" fillId="3" borderId="0" xfId="0" applyFont="1" applyFill="1"/>
    <xf numFmtId="1" fontId="46" fillId="0" borderId="0" xfId="0" applyNumberFormat="1" applyFont="1"/>
    <xf numFmtId="1" fontId="45" fillId="0" borderId="0" xfId="2" applyNumberFormat="1" applyFont="1" applyFill="1" applyBorder="1" applyAlignment="1" applyProtection="1">
      <alignment horizontal="center"/>
    </xf>
    <xf numFmtId="0" fontId="2" fillId="21" borderId="1" xfId="5" applyFont="1" applyBorder="1" applyAlignment="1">
      <alignment horizontal="left" vertical="center"/>
    </xf>
    <xf numFmtId="0" fontId="114" fillId="0" borderId="0" xfId="12" applyAlignment="1">
      <alignment wrapText="1"/>
    </xf>
    <xf numFmtId="0" fontId="115" fillId="0" borderId="0" xfId="12" applyFont="1" applyAlignment="1">
      <alignment horizontal="right" wrapText="1"/>
    </xf>
    <xf numFmtId="0" fontId="114" fillId="0" borderId="0" xfId="12"/>
    <xf numFmtId="0" fontId="114" fillId="3" borderId="0" xfId="12" applyFill="1" applyAlignment="1">
      <alignment wrapText="1"/>
    </xf>
    <xf numFmtId="0" fontId="114" fillId="3" borderId="0" xfId="12" applyFill="1" applyAlignment="1">
      <alignment vertical="top" wrapText="1"/>
    </xf>
    <xf numFmtId="0" fontId="61" fillId="10" borderId="0" xfId="0" applyFont="1" applyFill="1"/>
    <xf numFmtId="1" fontId="47" fillId="2" borderId="1" xfId="2" applyNumberFormat="1" applyFont="1" applyFill="1" applyBorder="1" applyAlignment="1" applyProtection="1">
      <alignment horizontal="center" vertical="center" wrapText="1"/>
    </xf>
    <xf numFmtId="1" fontId="47" fillId="0" borderId="0" xfId="2" applyNumberFormat="1" applyFont="1" applyFill="1" applyBorder="1" applyAlignment="1" applyProtection="1">
      <alignment horizontal="center" vertical="center"/>
    </xf>
    <xf numFmtId="0" fontId="47" fillId="0" borderId="1" xfId="2" applyFont="1" applyFill="1" applyBorder="1" applyAlignment="1" applyProtection="1">
      <alignment horizontal="center" vertical="center"/>
    </xf>
    <xf numFmtId="1" fontId="47" fillId="2" borderId="4" xfId="2" applyNumberFormat="1" applyFont="1" applyFill="1" applyBorder="1" applyAlignment="1" applyProtection="1">
      <alignment horizontal="center" vertical="center" wrapText="1"/>
    </xf>
    <xf numFmtId="1" fontId="47" fillId="0" borderId="4" xfId="2" applyNumberFormat="1" applyFont="1" applyFill="1" applyBorder="1" applyAlignment="1" applyProtection="1">
      <alignment horizontal="center" vertical="center" wrapText="1"/>
    </xf>
    <xf numFmtId="1" fontId="47" fillId="2" borderId="4" xfId="2" applyNumberFormat="1" applyFont="1" applyFill="1" applyBorder="1" applyAlignment="1" applyProtection="1">
      <alignment horizontal="center" vertical="center"/>
    </xf>
    <xf numFmtId="1" fontId="47" fillId="0" borderId="4" xfId="2" applyNumberFormat="1" applyFont="1" applyFill="1" applyBorder="1" applyAlignment="1" applyProtection="1">
      <alignment horizontal="center" vertical="center"/>
    </xf>
    <xf numFmtId="0" fontId="46" fillId="0" borderId="4" xfId="0" applyFont="1" applyBorder="1" applyAlignment="1">
      <alignment horizontal="center" vertical="center"/>
    </xf>
    <xf numFmtId="0" fontId="46" fillId="3" borderId="4" xfId="0" applyFont="1" applyFill="1" applyBorder="1" applyAlignment="1">
      <alignment horizontal="center" vertical="center"/>
    </xf>
    <xf numFmtId="1" fontId="46" fillId="0" borderId="4" xfId="0" applyNumberFormat="1" applyFont="1" applyBorder="1" applyAlignment="1">
      <alignment horizontal="center" vertical="center"/>
    </xf>
    <xf numFmtId="0" fontId="43" fillId="0" borderId="1" xfId="2" applyFill="1" applyBorder="1" applyAlignment="1" applyProtection="1">
      <alignment horizontal="center"/>
      <protection locked="0"/>
    </xf>
    <xf numFmtId="0" fontId="43" fillId="0" borderId="17" xfId="2" applyFill="1" applyBorder="1" applyAlignment="1" applyProtection="1">
      <alignment horizontal="center"/>
      <protection locked="0"/>
    </xf>
    <xf numFmtId="0" fontId="43" fillId="0" borderId="16" xfId="2" applyFill="1" applyBorder="1" applyAlignment="1" applyProtection="1">
      <alignment horizontal="center"/>
      <protection locked="0"/>
    </xf>
    <xf numFmtId="0" fontId="43" fillId="3" borderId="1" xfId="2" applyFill="1" applyBorder="1" applyAlignment="1" applyProtection="1">
      <alignment horizontal="center"/>
      <protection locked="0"/>
    </xf>
    <xf numFmtId="0" fontId="47" fillId="2" borderId="1" xfId="2" applyFont="1" applyFill="1" applyBorder="1" applyAlignment="1" applyProtection="1">
      <alignment horizontal="center"/>
      <protection locked="0"/>
    </xf>
    <xf numFmtId="9" fontId="43" fillId="5" borderId="1" xfId="7" applyFont="1" applyFill="1" applyBorder="1" applyAlignment="1" applyProtection="1">
      <alignment horizontal="center"/>
      <protection locked="0"/>
    </xf>
    <xf numFmtId="0" fontId="45" fillId="0" borderId="0" xfId="0" applyFont="1" applyAlignment="1">
      <alignment vertical="center" wrapText="1"/>
    </xf>
    <xf numFmtId="1" fontId="43" fillId="5" borderId="1" xfId="4" applyNumberFormat="1" applyFont="1" applyFill="1" applyBorder="1" applyAlignment="1" applyProtection="1">
      <alignment horizontal="center" vertical="center"/>
      <protection locked="0"/>
    </xf>
    <xf numFmtId="0" fontId="1" fillId="21" borderId="14" xfId="5" applyFont="1" applyBorder="1" applyAlignment="1">
      <alignment horizontal="left" vertical="center"/>
    </xf>
    <xf numFmtId="3" fontId="46" fillId="2" borderId="0" xfId="0" applyNumberFormat="1" applyFont="1" applyFill="1"/>
    <xf numFmtId="0" fontId="65" fillId="0" borderId="16" xfId="0" applyFont="1" applyBorder="1" applyAlignment="1">
      <alignment horizontal="center" vertical="center" wrapText="1"/>
    </xf>
    <xf numFmtId="0" fontId="65" fillId="0" borderId="17" xfId="0" applyFont="1" applyBorder="1" applyAlignment="1">
      <alignment horizontal="center" vertical="center" wrapText="1"/>
    </xf>
    <xf numFmtId="0" fontId="52" fillId="0" borderId="0" xfId="1" applyFont="1" applyAlignment="1">
      <alignment horizontal="center" vertical="center" wrapText="1"/>
    </xf>
    <xf numFmtId="0" fontId="0" fillId="0" borderId="16" xfId="0" applyBorder="1" applyAlignment="1">
      <alignment horizontal="center" vertical="center" wrapText="1"/>
    </xf>
    <xf numFmtId="0" fontId="0" fillId="0" borderId="14" xfId="0" applyBorder="1" applyAlignment="1">
      <alignment horizontal="center" vertical="center" wrapText="1"/>
    </xf>
    <xf numFmtId="0" fontId="0" fillId="0" borderId="17" xfId="0" applyBorder="1" applyAlignment="1">
      <alignment horizontal="center" vertical="center" wrapText="1"/>
    </xf>
    <xf numFmtId="15" fontId="0" fillId="0" borderId="16" xfId="0" applyNumberFormat="1" applyBorder="1" applyAlignment="1">
      <alignment horizontal="center" vertical="center" wrapText="1"/>
    </xf>
    <xf numFmtId="15" fontId="0" fillId="0" borderId="14" xfId="0" applyNumberFormat="1" applyBorder="1" applyAlignment="1">
      <alignment horizontal="center" vertical="center" wrapText="1"/>
    </xf>
    <xf numFmtId="15" fontId="0" fillId="0" borderId="17" xfId="0" applyNumberFormat="1" applyBorder="1" applyAlignment="1">
      <alignment horizontal="center" vertical="center" wrapText="1"/>
    </xf>
    <xf numFmtId="0" fontId="47" fillId="0" borderId="4" xfId="0" applyFont="1" applyBorder="1" applyAlignment="1">
      <alignment horizontal="center" vertical="center"/>
    </xf>
    <xf numFmtId="0" fontId="47" fillId="0" borderId="6" xfId="0" applyFont="1" applyBorder="1" applyAlignment="1">
      <alignment horizontal="center" vertical="center"/>
    </xf>
    <xf numFmtId="0" fontId="47" fillId="0" borderId="5" xfId="0" applyFont="1" applyBorder="1" applyAlignment="1">
      <alignment horizontal="center" vertical="center"/>
    </xf>
    <xf numFmtId="0" fontId="45" fillId="6" borderId="4" xfId="3" applyBorder="1" applyAlignment="1" applyProtection="1">
      <alignment horizontal="center"/>
    </xf>
    <xf numFmtId="0" fontId="45" fillId="6" borderId="6" xfId="3" applyBorder="1" applyAlignment="1" applyProtection="1">
      <alignment horizontal="center"/>
    </xf>
    <xf numFmtId="0" fontId="45" fillId="6" borderId="5" xfId="3" applyBorder="1" applyAlignment="1" applyProtection="1">
      <alignment horizontal="center"/>
    </xf>
    <xf numFmtId="0" fontId="47" fillId="0" borderId="0" xfId="1" applyFont="1" applyAlignment="1">
      <alignment horizontal="left" vertical="top"/>
    </xf>
    <xf numFmtId="0" fontId="47" fillId="0" borderId="0" xfId="1" applyFont="1" applyAlignment="1">
      <alignment horizontal="center"/>
    </xf>
    <xf numFmtId="0" fontId="45" fillId="2" borderId="0" xfId="3" applyFill="1" applyBorder="1" applyAlignment="1" applyProtection="1">
      <alignment horizontal="center"/>
    </xf>
    <xf numFmtId="0" fontId="43" fillId="5" borderId="7" xfId="2" applyBorder="1" applyAlignment="1" applyProtection="1">
      <alignment horizontal="center" vertical="center"/>
      <protection locked="0"/>
    </xf>
    <xf numFmtId="0" fontId="43" fillId="5" borderId="8" xfId="2" applyBorder="1" applyAlignment="1" applyProtection="1">
      <alignment horizontal="center" vertical="center"/>
      <protection locked="0"/>
    </xf>
    <xf numFmtId="0" fontId="43" fillId="5" borderId="9" xfId="2" applyBorder="1" applyAlignment="1" applyProtection="1">
      <alignment horizontal="center" vertical="center"/>
      <protection locked="0"/>
    </xf>
    <xf numFmtId="0" fontId="43" fillId="5" borderId="10" xfId="2" applyBorder="1" applyAlignment="1" applyProtection="1">
      <alignment horizontal="center" vertical="center"/>
      <protection locked="0"/>
    </xf>
    <xf numFmtId="0" fontId="43" fillId="5" borderId="0" xfId="2" applyBorder="1" applyAlignment="1" applyProtection="1">
      <alignment horizontal="center" vertical="center"/>
      <protection locked="0"/>
    </xf>
    <xf numFmtId="0" fontId="43" fillId="5" borderId="11" xfId="2" applyBorder="1" applyAlignment="1" applyProtection="1">
      <alignment horizontal="center" vertical="center"/>
      <protection locked="0"/>
    </xf>
    <xf numFmtId="0" fontId="43" fillId="5" borderId="12" xfId="2" applyBorder="1" applyAlignment="1" applyProtection="1">
      <alignment horizontal="center" vertical="center"/>
      <protection locked="0"/>
    </xf>
    <xf numFmtId="0" fontId="43" fillId="5" borderId="2" xfId="2" applyBorder="1" applyAlignment="1" applyProtection="1">
      <alignment horizontal="center" vertical="center"/>
      <protection locked="0"/>
    </xf>
    <xf numFmtId="0" fontId="43" fillId="5" borderId="13" xfId="2" applyBorder="1" applyAlignment="1" applyProtection="1">
      <alignment horizontal="center" vertical="center"/>
      <protection locked="0"/>
    </xf>
    <xf numFmtId="0" fontId="47" fillId="0" borderId="0" xfId="0" applyFont="1" applyAlignment="1">
      <alignment horizontal="center" vertical="center" wrapText="1"/>
    </xf>
    <xf numFmtId="0" fontId="59" fillId="30" borderId="16" xfId="0" applyFont="1" applyFill="1" applyBorder="1" applyAlignment="1">
      <alignment horizontal="center" vertical="center"/>
    </xf>
    <xf numFmtId="0" fontId="59" fillId="30" borderId="14" xfId="0" applyFont="1" applyFill="1" applyBorder="1" applyAlignment="1">
      <alignment horizontal="center" vertical="center"/>
    </xf>
    <xf numFmtId="0" fontId="59" fillId="30" borderId="17" xfId="0" applyFont="1" applyFill="1" applyBorder="1" applyAlignment="1">
      <alignment horizontal="center" vertical="center"/>
    </xf>
    <xf numFmtId="0" fontId="0" fillId="0" borderId="1" xfId="0" applyBorder="1" applyAlignment="1">
      <alignment horizontal="left" vertical="center"/>
    </xf>
    <xf numFmtId="0" fontId="61" fillId="10" borderId="45" xfId="0" applyFont="1" applyFill="1" applyBorder="1" applyAlignment="1">
      <alignment horizontal="center" vertical="center" wrapText="1"/>
    </xf>
    <xf numFmtId="0" fontId="61" fillId="10" borderId="17" xfId="0" applyFont="1" applyFill="1" applyBorder="1" applyAlignment="1">
      <alignment horizontal="center" vertical="center" wrapText="1"/>
    </xf>
    <xf numFmtId="0" fontId="61" fillId="10" borderId="4" xfId="0" applyFont="1" applyFill="1" applyBorder="1" applyAlignment="1">
      <alignment horizontal="center"/>
    </xf>
    <xf numFmtId="0" fontId="61" fillId="10" borderId="5" xfId="0" applyFont="1" applyFill="1" applyBorder="1" applyAlignment="1">
      <alignment horizontal="center"/>
    </xf>
    <xf numFmtId="3" fontId="59" fillId="30" borderId="16" xfId="0" applyNumberFormat="1" applyFont="1" applyFill="1" applyBorder="1" applyAlignment="1">
      <alignment horizontal="center" vertical="center"/>
    </xf>
    <xf numFmtId="3" fontId="59" fillId="30" borderId="14" xfId="0" applyNumberFormat="1" applyFont="1" applyFill="1" applyBorder="1" applyAlignment="1">
      <alignment horizontal="center" vertical="center"/>
    </xf>
    <xf numFmtId="3" fontId="59" fillId="30" borderId="17" xfId="0" applyNumberFormat="1" applyFont="1" applyFill="1" applyBorder="1" applyAlignment="1">
      <alignment horizontal="center" vertical="center"/>
    </xf>
    <xf numFmtId="0" fontId="72" fillId="0" borderId="0" xfId="0" applyFont="1" applyAlignment="1">
      <alignment horizontal="center" vertical="center" wrapText="1"/>
    </xf>
    <xf numFmtId="0" fontId="79" fillId="19" borderId="16" xfId="0" applyFont="1" applyFill="1" applyBorder="1" applyAlignment="1">
      <alignment horizontal="center" vertical="center"/>
    </xf>
    <xf numFmtId="0" fontId="79" fillId="19" borderId="14" xfId="0" applyFont="1" applyFill="1" applyBorder="1" applyAlignment="1">
      <alignment horizontal="center" vertical="center"/>
    </xf>
    <xf numFmtId="0" fontId="79" fillId="19" borderId="17" xfId="0" applyFont="1" applyFill="1" applyBorder="1" applyAlignment="1">
      <alignment horizontal="center" vertical="center"/>
    </xf>
    <xf numFmtId="0" fontId="51" fillId="0" borderId="3" xfId="0" applyFont="1" applyBorder="1" applyAlignment="1">
      <alignment horizontal="left"/>
    </xf>
    <xf numFmtId="0" fontId="79" fillId="19" borderId="1" xfId="0" applyFont="1" applyFill="1" applyBorder="1" applyAlignment="1">
      <alignment horizontal="center" vertical="center"/>
    </xf>
    <xf numFmtId="0" fontId="79" fillId="12" borderId="16" xfId="0" applyFont="1" applyFill="1" applyBorder="1" applyAlignment="1">
      <alignment horizontal="center" vertical="center"/>
    </xf>
    <xf numFmtId="0" fontId="79" fillId="12" borderId="14" xfId="0" applyFont="1" applyFill="1" applyBorder="1" applyAlignment="1">
      <alignment horizontal="center" vertical="center"/>
    </xf>
    <xf numFmtId="0" fontId="79" fillId="12" borderId="17" xfId="0" applyFont="1" applyFill="1" applyBorder="1" applyAlignment="1">
      <alignment horizontal="center" vertical="center"/>
    </xf>
    <xf numFmtId="0" fontId="79" fillId="12" borderId="1" xfId="0" applyFont="1" applyFill="1" applyBorder="1" applyAlignment="1">
      <alignment horizontal="center" vertical="center"/>
    </xf>
    <xf numFmtId="0" fontId="39" fillId="10" borderId="7" xfId="0" applyFont="1" applyFill="1" applyBorder="1" applyAlignment="1">
      <alignment horizontal="center" vertical="center"/>
    </xf>
    <xf numFmtId="0" fontId="39" fillId="10" borderId="8" xfId="0" applyFont="1" applyFill="1" applyBorder="1" applyAlignment="1">
      <alignment horizontal="center" vertical="center"/>
    </xf>
    <xf numFmtId="0" fontId="39" fillId="10" borderId="9" xfId="0" applyFont="1" applyFill="1" applyBorder="1" applyAlignment="1">
      <alignment horizontal="center" vertical="center"/>
    </xf>
    <xf numFmtId="0" fontId="39" fillId="10" borderId="12" xfId="0" applyFont="1" applyFill="1" applyBorder="1" applyAlignment="1">
      <alignment horizontal="center" vertical="center"/>
    </xf>
    <xf numFmtId="0" fontId="39" fillId="10" borderId="2" xfId="0" applyFont="1" applyFill="1" applyBorder="1" applyAlignment="1">
      <alignment horizontal="center" vertical="center"/>
    </xf>
    <xf numFmtId="0" fontId="39" fillId="10" borderId="13" xfId="0" applyFont="1" applyFill="1" applyBorder="1" applyAlignment="1">
      <alignment horizontal="center" vertical="center"/>
    </xf>
    <xf numFmtId="1" fontId="73" fillId="19" borderId="17" xfId="2" applyNumberFormat="1" applyFont="1" applyFill="1" applyBorder="1" applyAlignment="1" applyProtection="1">
      <alignment horizontal="center" vertical="center" textRotation="180"/>
    </xf>
    <xf numFmtId="1" fontId="73" fillId="19" borderId="1" xfId="2" applyNumberFormat="1" applyFont="1" applyFill="1" applyBorder="1" applyAlignment="1" applyProtection="1">
      <alignment horizontal="center" vertical="center" textRotation="180"/>
    </xf>
    <xf numFmtId="0" fontId="72" fillId="0" borderId="0" xfId="0" applyFont="1" applyAlignment="1">
      <alignment horizontal="justify" wrapText="1"/>
    </xf>
    <xf numFmtId="0" fontId="76" fillId="19" borderId="1" xfId="0" applyFont="1" applyFill="1" applyBorder="1" applyAlignment="1">
      <alignment horizontal="center" vertical="center" textRotation="180"/>
    </xf>
    <xf numFmtId="0" fontId="46" fillId="0" borderId="1" xfId="0" applyFont="1" applyBorder="1" applyAlignment="1">
      <alignment horizontal="center"/>
    </xf>
    <xf numFmtId="0" fontId="46" fillId="12" borderId="1" xfId="0" applyFont="1" applyFill="1" applyBorder="1" applyAlignment="1">
      <alignment horizontal="center"/>
    </xf>
    <xf numFmtId="0" fontId="72" fillId="0" borderId="0" xfId="0" applyFont="1" applyAlignment="1">
      <alignment horizontal="justify" vertical="center" wrapText="1"/>
    </xf>
    <xf numFmtId="0" fontId="44" fillId="4" borderId="2" xfId="1" applyFont="1" applyFill="1" applyBorder="1" applyAlignment="1">
      <alignment horizontal="center" vertical="center" wrapText="1"/>
    </xf>
    <xf numFmtId="1" fontId="73" fillId="12" borderId="16" xfId="2" applyNumberFormat="1" applyFont="1" applyFill="1" applyBorder="1" applyAlignment="1" applyProtection="1">
      <alignment horizontal="center" vertical="center" textRotation="180"/>
    </xf>
    <xf numFmtId="1" fontId="73" fillId="12" borderId="14" xfId="2" applyNumberFormat="1" applyFont="1" applyFill="1" applyBorder="1" applyAlignment="1" applyProtection="1">
      <alignment horizontal="center" vertical="center" textRotation="180"/>
    </xf>
    <xf numFmtId="1" fontId="73" fillId="12" borderId="17" xfId="2" applyNumberFormat="1" applyFont="1" applyFill="1" applyBorder="1" applyAlignment="1" applyProtection="1">
      <alignment horizontal="center" vertical="center" textRotation="180"/>
    </xf>
    <xf numFmtId="0" fontId="46" fillId="12" borderId="17" xfId="0" applyFont="1" applyFill="1" applyBorder="1" applyAlignment="1">
      <alignment horizontal="center"/>
    </xf>
    <xf numFmtId="1" fontId="73" fillId="12" borderId="1" xfId="2" applyNumberFormat="1" applyFont="1" applyFill="1" applyBorder="1" applyAlignment="1" applyProtection="1">
      <alignment horizontal="center" vertical="center" textRotation="180"/>
    </xf>
    <xf numFmtId="1" fontId="73" fillId="19" borderId="16" xfId="2" applyNumberFormat="1" applyFont="1" applyFill="1" applyBorder="1" applyAlignment="1" applyProtection="1">
      <alignment horizontal="center" vertical="center" textRotation="180"/>
    </xf>
    <xf numFmtId="1" fontId="73" fillId="19" borderId="14" xfId="2" applyNumberFormat="1" applyFont="1" applyFill="1" applyBorder="1" applyAlignment="1" applyProtection="1">
      <alignment horizontal="center" vertical="center" textRotation="180"/>
    </xf>
    <xf numFmtId="0" fontId="45" fillId="20" borderId="19" xfId="0" applyFont="1" applyFill="1" applyBorder="1" applyAlignment="1">
      <alignment horizontal="center" vertical="center" wrapText="1"/>
    </xf>
    <xf numFmtId="0" fontId="45" fillId="20" borderId="2" xfId="0" applyFont="1" applyFill="1" applyBorder="1" applyAlignment="1">
      <alignment horizontal="center" vertical="center" wrapText="1"/>
    </xf>
    <xf numFmtId="0" fontId="39" fillId="6" borderId="1" xfId="3" applyFont="1" applyBorder="1" applyAlignment="1" applyProtection="1">
      <alignment horizontal="center" vertical="center" wrapText="1"/>
    </xf>
    <xf numFmtId="0" fontId="66" fillId="11" borderId="1" xfId="0" applyFont="1" applyFill="1" applyBorder="1" applyAlignment="1">
      <alignment horizontal="center"/>
    </xf>
    <xf numFmtId="0" fontId="39" fillId="6" borderId="4" xfId="3" applyFont="1" applyBorder="1" applyAlignment="1" applyProtection="1">
      <alignment horizontal="center" vertical="center" wrapText="1"/>
    </xf>
    <xf numFmtId="0" fontId="39" fillId="6" borderId="6" xfId="3" applyFont="1" applyBorder="1" applyAlignment="1" applyProtection="1">
      <alignment horizontal="center" vertical="center" wrapText="1"/>
    </xf>
    <xf numFmtId="0" fontId="39" fillId="6" borderId="5" xfId="3" applyFont="1" applyBorder="1" applyAlignment="1" applyProtection="1">
      <alignment horizontal="center" vertical="center" wrapText="1"/>
    </xf>
    <xf numFmtId="0" fontId="66" fillId="11" borderId="4" xfId="0" applyFont="1" applyFill="1" applyBorder="1" applyAlignment="1">
      <alignment horizontal="center"/>
    </xf>
    <xf numFmtId="0" fontId="66" fillId="11" borderId="5" xfId="0" applyFont="1" applyFill="1" applyBorder="1" applyAlignment="1">
      <alignment horizontal="center"/>
    </xf>
    <xf numFmtId="0" fontId="84" fillId="0" borderId="0" xfId="0" applyFont="1" applyAlignment="1">
      <alignment horizontal="left" vertical="center" wrapText="1"/>
    </xf>
    <xf numFmtId="0" fontId="52" fillId="0" borderId="3" xfId="1" applyFont="1" applyBorder="1" applyAlignment="1">
      <alignment horizontal="center" vertical="center" wrapText="1"/>
    </xf>
    <xf numFmtId="0" fontId="68" fillId="0" borderId="0" xfId="0" applyFont="1"/>
    <xf numFmtId="0" fontId="68" fillId="0" borderId="0" xfId="0" applyFont="1" applyAlignment="1">
      <alignment horizontal="left"/>
    </xf>
    <xf numFmtId="0" fontId="89" fillId="26" borderId="0" xfId="0" applyFont="1" applyFill="1" applyAlignment="1">
      <alignment horizontal="center" vertical="center" wrapText="1"/>
    </xf>
    <xf numFmtId="0" fontId="107" fillId="10" borderId="1" xfId="0" applyFont="1" applyFill="1" applyBorder="1" applyAlignment="1">
      <alignment horizontal="center"/>
    </xf>
    <xf numFmtId="0" fontId="84" fillId="0" borderId="1" xfId="0" applyFont="1" applyBorder="1" applyAlignment="1">
      <alignment horizontal="center" vertical="center" wrapText="1"/>
    </xf>
    <xf numFmtId="0" fontId="84" fillId="0" borderId="1" xfId="0" applyFont="1" applyBorder="1" applyAlignment="1">
      <alignment horizontal="center" vertical="center"/>
    </xf>
    <xf numFmtId="0" fontId="68" fillId="0" borderId="8" xfId="0" applyFont="1" applyBorder="1" applyAlignment="1">
      <alignment horizontal="center" vertical="center" wrapText="1"/>
    </xf>
    <xf numFmtId="0" fontId="68" fillId="0" borderId="0" xfId="0" applyFont="1" applyAlignment="1">
      <alignment horizontal="center" vertical="center" wrapText="1"/>
    </xf>
    <xf numFmtId="0" fontId="68" fillId="0" borderId="0" xfId="0" applyFont="1" applyAlignment="1">
      <alignment horizontal="center" wrapText="1"/>
    </xf>
    <xf numFmtId="0" fontId="68" fillId="0" borderId="0" xfId="0" applyFont="1" applyAlignment="1">
      <alignment horizontal="center"/>
    </xf>
    <xf numFmtId="0" fontId="52" fillId="0" borderId="0" xfId="1" applyFont="1" applyAlignment="1" applyProtection="1">
      <alignment horizontal="center" vertical="center" wrapText="1"/>
      <protection locked="0"/>
    </xf>
    <xf numFmtId="0" fontId="51" fillId="0" borderId="3" xfId="0" applyFont="1" applyBorder="1" applyAlignment="1" applyProtection="1">
      <alignment horizontal="left"/>
      <protection locked="0"/>
    </xf>
    <xf numFmtId="0" fontId="68" fillId="0" borderId="0" xfId="0" applyFont="1" applyAlignment="1" applyProtection="1">
      <alignment horizontal="center" wrapText="1"/>
      <protection locked="0"/>
    </xf>
    <xf numFmtId="0" fontId="68" fillId="0" borderId="0" xfId="0" applyFont="1" applyAlignment="1" applyProtection="1">
      <alignment horizontal="center"/>
      <protection locked="0"/>
    </xf>
    <xf numFmtId="0" fontId="0" fillId="0" borderId="1"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89" fillId="26" borderId="10" xfId="0" applyFont="1" applyFill="1" applyBorder="1" applyAlignment="1">
      <alignment horizontal="center" vertical="center" wrapText="1"/>
    </xf>
    <xf numFmtId="0" fontId="46" fillId="0" borderId="0" xfId="0" applyFont="1" applyAlignment="1">
      <alignment horizontal="left" vertical="center" wrapText="1"/>
    </xf>
    <xf numFmtId="0" fontId="109" fillId="10" borderId="1" xfId="0" applyFont="1" applyFill="1" applyBorder="1" applyAlignment="1">
      <alignment horizontal="center"/>
    </xf>
    <xf numFmtId="0" fontId="0" fillId="0" borderId="24" xfId="0" applyBorder="1" applyAlignment="1">
      <alignment horizontal="left" vertical="center" wrapText="1"/>
    </xf>
    <xf numFmtId="0" fontId="0" fillId="0" borderId="24" xfId="0" applyBorder="1" applyAlignment="1">
      <alignment horizontal="left" vertical="center"/>
    </xf>
    <xf numFmtId="0" fontId="97" fillId="0" borderId="24" xfId="0" applyFont="1" applyBorder="1" applyAlignment="1">
      <alignment horizontal="center" vertical="center"/>
    </xf>
    <xf numFmtId="0" fontId="0" fillId="0" borderId="26" xfId="0" applyBorder="1" applyAlignment="1">
      <alignment horizontal="center" vertical="center" wrapText="1"/>
    </xf>
    <xf numFmtId="0" fontId="0" fillId="0" borderId="25"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98" fillId="0" borderId="24" xfId="0" applyFont="1" applyBorder="1" applyAlignment="1">
      <alignment vertical="center"/>
    </xf>
    <xf numFmtId="0" fontId="98" fillId="0" borderId="24" xfId="0" applyFont="1" applyBorder="1" applyAlignment="1">
      <alignment horizontal="center" vertical="center" wrapText="1"/>
    </xf>
    <xf numFmtId="0" fontId="0" fillId="0" borderId="24" xfId="0" applyBorder="1" applyAlignment="1">
      <alignment horizontal="center" vertical="center"/>
    </xf>
    <xf numFmtId="0" fontId="0" fillId="0" borderId="24" xfId="0" applyBorder="1" applyAlignment="1">
      <alignment horizontal="center" vertical="center" wrapText="1"/>
    </xf>
    <xf numFmtId="0" fontId="55" fillId="0" borderId="24" xfId="0" applyFont="1" applyBorder="1" applyAlignment="1">
      <alignment horizontal="justify" vertical="center" wrapText="1"/>
    </xf>
    <xf numFmtId="0" fontId="0" fillId="0" borderId="24" xfId="0" applyBorder="1" applyAlignment="1">
      <alignment horizontal="justify" vertical="center" wrapText="1"/>
    </xf>
    <xf numFmtId="0" fontId="68" fillId="0" borderId="24" xfId="0" applyFont="1" applyBorder="1" applyAlignment="1">
      <alignment horizontal="center" vertical="center"/>
    </xf>
    <xf numFmtId="0" fontId="39" fillId="6" borderId="34" xfId="3" applyFont="1" applyBorder="1" applyAlignment="1" applyProtection="1">
      <alignment horizontal="center" vertical="center" textRotation="90"/>
    </xf>
    <xf numFmtId="0" fontId="45" fillId="6" borderId="0" xfId="3" applyAlignment="1" applyProtection="1">
      <alignment horizontal="left" vertical="center"/>
    </xf>
    <xf numFmtId="0" fontId="39" fillId="6" borderId="0" xfId="3" applyFont="1" applyBorder="1" applyAlignment="1" applyProtection="1">
      <alignment horizontal="center" vertical="center" textRotation="90"/>
    </xf>
    <xf numFmtId="0" fontId="45" fillId="6" borderId="0" xfId="3" applyBorder="1" applyAlignment="1" applyProtection="1">
      <alignment horizontal="center"/>
    </xf>
    <xf numFmtId="0" fontId="97" fillId="0" borderId="24" xfId="0" applyFont="1" applyBorder="1" applyAlignment="1">
      <alignment horizontal="center" vertical="center" wrapText="1"/>
    </xf>
    <xf numFmtId="0" fontId="0" fillId="0" borderId="26" xfId="0" applyBorder="1" applyAlignment="1">
      <alignment horizontal="center" vertical="center"/>
    </xf>
    <xf numFmtId="0" fontId="0" fillId="0" borderId="25" xfId="0" applyBorder="1" applyAlignment="1">
      <alignment horizontal="center" vertical="center"/>
    </xf>
    <xf numFmtId="0" fontId="0" fillId="0" borderId="27" xfId="0"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left" vertical="center" wrapText="1"/>
    </xf>
    <xf numFmtId="0" fontId="0" fillId="0" borderId="32" xfId="0" applyBorder="1" applyAlignment="1">
      <alignment horizontal="left" vertical="center"/>
    </xf>
    <xf numFmtId="0" fontId="0" fillId="0" borderId="33" xfId="0" applyBorder="1" applyAlignment="1">
      <alignment horizontal="left" vertical="center"/>
    </xf>
    <xf numFmtId="0" fontId="0" fillId="0" borderId="35" xfId="0" applyBorder="1" applyAlignment="1">
      <alignment horizontal="center" vertical="center" wrapText="1"/>
    </xf>
    <xf numFmtId="0" fontId="0" fillId="0" borderId="24" xfId="0" applyBorder="1" applyAlignment="1">
      <alignment vertical="center" wrapText="1"/>
    </xf>
    <xf numFmtId="0" fontId="0" fillId="0" borderId="24" xfId="0" applyBorder="1" applyAlignment="1">
      <alignment vertical="center"/>
    </xf>
    <xf numFmtId="0" fontId="55" fillId="0" borderId="24" xfId="0" applyFont="1" applyBorder="1" applyAlignment="1">
      <alignment horizontal="center" vertical="center" wrapText="1"/>
    </xf>
    <xf numFmtId="0" fontId="0" fillId="0" borderId="31" xfId="0" applyBorder="1" applyAlignment="1">
      <alignment vertical="center" wrapText="1"/>
    </xf>
    <xf numFmtId="0" fontId="0" fillId="0" borderId="32" xfId="0" applyBorder="1" applyAlignment="1">
      <alignment vertical="center" wrapText="1"/>
    </xf>
    <xf numFmtId="0" fontId="0" fillId="0" borderId="33" xfId="0" applyBorder="1" applyAlignment="1">
      <alignment vertical="center" wrapText="1"/>
    </xf>
    <xf numFmtId="0" fontId="0" fillId="0" borderId="35" xfId="0" applyBorder="1" applyAlignment="1">
      <alignment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55" fillId="0" borderId="1" xfId="0" applyFont="1" applyBorder="1" applyAlignment="1">
      <alignment horizontal="center" vertical="center" wrapText="1"/>
    </xf>
    <xf numFmtId="3" fontId="66" fillId="0" borderId="1" xfId="0" applyNumberFormat="1" applyFont="1" applyBorder="1" applyAlignment="1">
      <alignment horizontal="center" vertical="center" wrapText="1"/>
    </xf>
    <xf numFmtId="0" fontId="66" fillId="0" borderId="1" xfId="0" applyFont="1" applyBorder="1" applyAlignment="1">
      <alignment horizontal="center" vertical="center" wrapText="1"/>
    </xf>
    <xf numFmtId="0" fontId="112" fillId="0" borderId="1" xfId="0" applyFont="1" applyBorder="1" applyAlignment="1">
      <alignment horizontal="left"/>
    </xf>
    <xf numFmtId="0" fontId="109" fillId="10" borderId="1" xfId="0" applyFont="1" applyFill="1" applyBorder="1" applyAlignment="1">
      <alignment horizontal="center" vertical="center" wrapText="1"/>
    </xf>
    <xf numFmtId="0" fontId="55" fillId="0" borderId="4" xfId="0" applyFont="1" applyBorder="1" applyAlignment="1">
      <alignment horizontal="center" vertical="center" wrapText="1"/>
    </xf>
    <xf numFmtId="0" fontId="55" fillId="0" borderId="5" xfId="0" applyFont="1" applyBorder="1" applyAlignment="1">
      <alignment horizontal="center" vertical="center" wrapText="1"/>
    </xf>
    <xf numFmtId="1" fontId="66" fillId="0" borderId="1" xfId="0" applyNumberFormat="1" applyFont="1" applyBorder="1" applyAlignment="1">
      <alignment horizontal="center" vertical="center" wrapText="1"/>
    </xf>
  </cellXfs>
  <cellStyles count="13">
    <cellStyle name="20% - Ênfase3" xfId="5" builtinId="38"/>
    <cellStyle name="20% - Ênfase6" xfId="6" builtinId="50"/>
    <cellStyle name="Ênfase1" xfId="3" builtinId="29"/>
    <cellStyle name="Moeda" xfId="4" builtinId="4"/>
    <cellStyle name="Neutro" xfId="2" builtinId="28"/>
    <cellStyle name="Normal" xfId="0" builtinId="0"/>
    <cellStyle name="Normal 2" xfId="1" xr:uid="{00000000-0005-0000-0000-000006000000}"/>
    <cellStyle name="Normal 2 2" xfId="11" xr:uid="{020E07A8-88D8-4FE2-B46F-B3269E28ED8A}"/>
    <cellStyle name="Normal 3" xfId="9" xr:uid="{854F35DE-6E35-44BA-86D2-6077E970C272}"/>
    <cellStyle name="Normal 4" xfId="8" xr:uid="{6F3017C2-F276-4E7A-BB61-A4638797A44F}"/>
    <cellStyle name="Normal 5" xfId="10" xr:uid="{E13BB212-66B3-457B-A119-F6DF5A911BDB}"/>
    <cellStyle name="Normal 6" xfId="12" xr:uid="{B4EEE201-ABD7-4209-879E-6F9EB55E6B49}"/>
    <cellStyle name="Porcentagem" xfId="7" builtinId="5"/>
  </cellStyles>
  <dxfs count="297">
    <dxf>
      <font>
        <color rgb="FF9C5700"/>
      </font>
      <fill>
        <patternFill>
          <bgColor rgb="FFFFEB9C"/>
        </patternFill>
      </fill>
    </dxf>
    <dxf>
      <font>
        <color rgb="FF006100"/>
      </font>
      <fill>
        <patternFill>
          <bgColor rgb="FFC6EFCE"/>
        </patternFill>
      </fill>
    </dxf>
    <dxf>
      <border>
        <left style="thin">
          <color auto="1"/>
        </left>
        <right style="thin">
          <color auto="1"/>
        </right>
        <top style="thin">
          <color auto="1"/>
        </top>
        <bottom style="thin">
          <color auto="1"/>
        </bottom>
        <vertical/>
        <horizontal/>
      </border>
    </dxf>
    <dxf>
      <fill>
        <patternFill>
          <bgColor theme="9" tint="0.39994506668294322"/>
        </patternFill>
      </fill>
    </dxf>
    <dxf>
      <fill>
        <patternFill>
          <bgColor theme="8" tint="0.39994506668294322"/>
        </patternFill>
      </fill>
    </dxf>
    <dxf>
      <fill>
        <patternFill>
          <bgColor theme="9" tint="0.39994506668294322"/>
        </patternFill>
      </fill>
    </dxf>
    <dxf>
      <fill>
        <patternFill>
          <bgColor theme="8" tint="0.39994506668294322"/>
        </patternFill>
      </fill>
    </dxf>
    <dxf>
      <font>
        <color auto="1"/>
      </font>
      <fill>
        <patternFill>
          <bgColor theme="0"/>
        </patternFill>
      </fill>
    </dxf>
    <dxf>
      <font>
        <color rgb="FF9C0006"/>
      </font>
      <fill>
        <patternFill>
          <bgColor rgb="FFFFC7CE"/>
        </patternFill>
      </fill>
    </dxf>
    <dxf>
      <font>
        <color theme="0"/>
      </font>
      <fill>
        <patternFill>
          <bgColor theme="0"/>
        </patternFill>
      </fill>
      <border>
        <left/>
        <right/>
        <top/>
        <bottom/>
        <vertical/>
        <horizontal/>
      </border>
    </dxf>
    <dxf>
      <font>
        <b/>
        <i val="0"/>
        <color theme="0"/>
      </font>
      <fill>
        <patternFill>
          <bgColor theme="4"/>
        </patternFill>
      </fill>
    </dxf>
    <dxf>
      <font>
        <color theme="0"/>
      </font>
      <fill>
        <patternFill>
          <bgColor theme="0"/>
        </patternFill>
      </fill>
      <border>
        <left/>
        <right/>
        <top/>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b/>
        <i val="0"/>
        <color theme="0"/>
      </font>
      <fill>
        <patternFill>
          <bgColor theme="4"/>
        </patternFill>
      </fill>
    </dxf>
    <dxf>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b/>
        <i val="0"/>
        <color theme="0"/>
      </font>
      <fill>
        <patternFill>
          <bgColor theme="4"/>
        </patternFill>
      </fill>
    </dxf>
    <dxf>
      <fill>
        <patternFill patternType="none">
          <bgColor auto="1"/>
        </patternFill>
      </fill>
      <border>
        <left/>
        <right/>
        <top/>
        <bottom/>
        <vertical/>
        <horizontal/>
      </border>
    </dxf>
    <dxf>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b/>
        <i val="0"/>
        <color theme="0"/>
      </font>
      <fill>
        <patternFill>
          <bgColor theme="4"/>
        </patternFill>
      </fill>
    </dxf>
    <dxf>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ill>
        <patternFill patternType="none">
          <bgColor auto="1"/>
        </patternFill>
      </fill>
      <border>
        <left/>
        <right/>
        <top/>
        <bottom/>
        <vertical/>
        <horizontal/>
      </border>
    </dxf>
    <dxf>
      <font>
        <b/>
        <i val="0"/>
        <color theme="0"/>
      </font>
      <fill>
        <patternFill>
          <bgColor theme="4"/>
        </patternFill>
      </fill>
    </dxf>
    <dxf>
      <border>
        <left style="thin">
          <color auto="1"/>
        </left>
        <right style="thin">
          <color auto="1"/>
        </right>
        <top style="thin">
          <color auto="1"/>
        </top>
        <bottom style="thin">
          <color auto="1"/>
        </bottom>
        <vertical/>
        <horizontal/>
      </border>
    </dxf>
    <dxf>
      <font>
        <b/>
        <i val="0"/>
        <color theme="0"/>
      </font>
      <fill>
        <patternFill>
          <bgColor theme="4"/>
        </patternFill>
      </fill>
    </dxf>
    <dxf>
      <font>
        <color theme="0"/>
      </font>
      <fill>
        <patternFill>
          <bgColor theme="0"/>
        </patternFill>
      </fill>
      <border>
        <left/>
        <right/>
        <top/>
        <bottom/>
        <vertical/>
        <horizontal/>
      </border>
    </dxf>
    <dxf>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b/>
        <i val="0"/>
        <color theme="0"/>
      </font>
      <fill>
        <patternFill>
          <bgColor theme="4"/>
        </patternFill>
      </fill>
    </dxf>
    <dxf>
      <fill>
        <patternFill patternType="none">
          <bgColor auto="1"/>
        </patternFill>
      </fill>
      <border>
        <left/>
        <right/>
        <top/>
        <bottom/>
        <vertical/>
        <horizontal/>
      </border>
    </dxf>
    <dxf>
      <border>
        <left style="thin">
          <color auto="1"/>
        </left>
        <right style="thin">
          <color auto="1"/>
        </right>
        <top style="thin">
          <color auto="1"/>
        </top>
        <bottom style="thin">
          <color auto="1"/>
        </bottom>
        <vertical/>
        <horizontal/>
      </border>
    </dxf>
    <dxf>
      <font>
        <b/>
        <i val="0"/>
        <color theme="0"/>
      </font>
      <fill>
        <patternFill>
          <bgColor theme="4"/>
        </patternFill>
      </fill>
    </dxf>
    <dxf>
      <font>
        <color theme="0"/>
      </font>
      <fill>
        <patternFill>
          <bgColor theme="0"/>
        </patternFill>
      </fill>
      <border>
        <left/>
        <right/>
        <top/>
        <bottom/>
        <vertical/>
        <horizontal/>
      </border>
    </dxf>
    <dxf>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b/>
        <i val="0"/>
        <color theme="0"/>
      </font>
      <fill>
        <patternFill>
          <bgColor theme="4"/>
        </patternFill>
      </fill>
    </dxf>
    <dxf>
      <fill>
        <patternFill>
          <bgColor theme="0"/>
        </patternFill>
      </fill>
      <border>
        <left/>
        <right/>
        <top/>
        <bottom/>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b/>
        <i val="0"/>
        <color theme="0"/>
      </font>
      <fill>
        <patternFill>
          <bgColor theme="4"/>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fill>
        <patternFill>
          <bgColor rgb="FFFF0000"/>
        </patternFill>
      </fill>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1"/>
      </font>
      <fill>
        <patternFill>
          <bgColor rgb="FFFFC000"/>
        </patternFill>
      </fill>
      <border>
        <left style="thin">
          <color auto="1"/>
        </left>
        <right style="thin">
          <color auto="1"/>
        </right>
        <top style="thin">
          <color auto="1"/>
        </top>
        <bottom style="thin">
          <color auto="1"/>
        </bottom>
        <vertical/>
        <horizontal/>
      </border>
    </dxf>
    <dxf>
      <font>
        <color theme="1"/>
      </font>
      <fill>
        <patternFill>
          <bgColor rgb="FF92D050"/>
        </patternFill>
      </fill>
      <border>
        <left style="thin">
          <color auto="1"/>
        </left>
        <right style="thin">
          <color auto="1"/>
        </right>
        <top style="thin">
          <color auto="1"/>
        </top>
        <bottom style="thin">
          <color auto="1"/>
        </bottom>
        <vertical/>
        <horizontal/>
      </border>
    </dxf>
    <dxf>
      <fill>
        <patternFill>
          <bgColor theme="0"/>
        </patternFill>
      </fill>
      <border>
        <left/>
        <right/>
        <top/>
        <bottom/>
        <vertical/>
        <horizontal/>
      </border>
    </dxf>
    <dxf>
      <font>
        <color theme="1"/>
      </font>
      <fill>
        <patternFill>
          <bgColor rgb="FF92D050"/>
        </patternFill>
      </fill>
      <border>
        <left style="thin">
          <color auto="1"/>
        </left>
        <right style="thin">
          <color auto="1"/>
        </right>
        <top style="thin">
          <color auto="1"/>
        </top>
        <bottom style="thin">
          <color auto="1"/>
        </bottom>
        <vertical/>
        <horizontal/>
      </border>
    </dxf>
    <dxf>
      <font>
        <color theme="1"/>
      </font>
      <fill>
        <patternFill>
          <bgColor rgb="FFFFC000"/>
        </patternFill>
      </fill>
      <border>
        <left style="thin">
          <color auto="1"/>
        </left>
        <right style="thin">
          <color auto="1"/>
        </right>
        <top style="thin">
          <color auto="1"/>
        </top>
        <bottom style="thin">
          <color auto="1"/>
        </bottom>
        <vertical/>
        <horizontal/>
      </border>
    </dxf>
    <dxf>
      <font>
        <color theme="1"/>
      </font>
      <fill>
        <patternFill>
          <bgColor rgb="FF92D050"/>
        </patternFill>
      </fill>
      <border>
        <left style="thin">
          <color auto="1"/>
        </left>
        <right style="thin">
          <color auto="1"/>
        </right>
        <top style="thin">
          <color auto="1"/>
        </top>
        <bottom style="thin">
          <color auto="1"/>
        </bottom>
        <vertical/>
        <horizontal/>
      </border>
    </dxf>
    <dxf>
      <font>
        <color theme="1"/>
      </font>
      <fill>
        <patternFill>
          <bgColor rgb="FF92D050"/>
        </patternFill>
      </fill>
      <border>
        <left style="thin">
          <color auto="1"/>
        </left>
        <right style="thin">
          <color auto="1"/>
        </right>
        <top style="thin">
          <color auto="1"/>
        </top>
        <bottom style="thin">
          <color auto="1"/>
        </bottom>
        <vertical/>
        <horizontal/>
      </border>
    </dxf>
    <dxf>
      <fill>
        <patternFill>
          <bgColor theme="0"/>
        </patternFill>
      </fill>
      <border>
        <left/>
        <right/>
        <top/>
        <bottom/>
        <vertical/>
        <horizontal/>
      </border>
    </dxf>
    <dxf>
      <font>
        <color theme="1"/>
      </font>
      <fill>
        <patternFill>
          <bgColor rgb="FF92D050"/>
        </patternFill>
      </fill>
      <border>
        <left style="thin">
          <color auto="1"/>
        </left>
        <right style="thin">
          <color auto="1"/>
        </right>
        <top style="thin">
          <color auto="1"/>
        </top>
        <bottom style="thin">
          <color auto="1"/>
        </bottom>
        <vertical/>
        <horizontal/>
      </border>
    </dxf>
    <dxf>
      <font>
        <color theme="1"/>
      </font>
      <fill>
        <patternFill>
          <bgColor rgb="FFFFC000"/>
        </patternFill>
      </fill>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fill>
        <patternFill>
          <bgColor rgb="FF92D050"/>
        </patternFill>
      </fill>
      <border>
        <left style="thin">
          <color auto="1"/>
        </left>
        <right style="thin">
          <color auto="1"/>
        </right>
        <top style="thin">
          <color auto="1"/>
        </top>
        <bottom style="thin">
          <color auto="1"/>
        </bottom>
        <vertical/>
        <horizontal/>
      </border>
    </dxf>
    <dxf>
      <font>
        <color theme="1"/>
      </font>
      <fill>
        <patternFill>
          <bgColor rgb="FFFFC000"/>
        </patternFill>
      </fill>
      <border>
        <left style="thin">
          <color auto="1"/>
        </left>
        <right style="thin">
          <color auto="1"/>
        </right>
        <top style="thin">
          <color auto="1"/>
        </top>
        <bottom style="thin">
          <color auto="1"/>
        </bottom>
        <vertical/>
        <horizontal/>
      </border>
    </dxf>
    <dxf>
      <font>
        <color theme="1"/>
      </font>
      <fill>
        <patternFill>
          <bgColor rgb="FFFFC000"/>
        </patternFill>
      </fill>
    </dxf>
    <dxf>
      <font>
        <color theme="1"/>
      </font>
      <fill>
        <patternFill>
          <bgColor rgb="FFFFC000"/>
        </patternFill>
      </fill>
      <border>
        <left style="thin">
          <color auto="1"/>
        </left>
        <right style="thin">
          <color auto="1"/>
        </right>
        <top style="thin">
          <color auto="1"/>
        </top>
        <bottom style="thin">
          <color auto="1"/>
        </bottom>
      </border>
    </dxf>
    <dxf>
      <font>
        <color theme="1"/>
      </font>
      <fill>
        <patternFill>
          <bgColor rgb="FFFFC000"/>
        </patternFill>
      </fill>
      <border>
        <left style="thin">
          <color auto="1"/>
        </left>
        <right style="thin">
          <color auto="1"/>
        </right>
        <top style="thin">
          <color auto="1"/>
        </top>
        <bottom style="thin">
          <color auto="1"/>
        </bottom>
        <vertical/>
        <horizontal/>
      </border>
    </dxf>
    <dxf>
      <font>
        <color theme="1"/>
      </font>
      <fill>
        <patternFill>
          <bgColor rgb="FFFFC000"/>
        </patternFill>
      </fill>
      <border>
        <left style="thin">
          <color auto="1"/>
        </left>
        <right style="thin">
          <color auto="1"/>
        </right>
        <top style="thin">
          <color auto="1"/>
        </top>
        <bottom style="thin">
          <color auto="1"/>
        </bottom>
        <vertical/>
        <horizontal/>
      </border>
    </dxf>
    <dxf>
      <font>
        <color theme="1"/>
      </font>
      <fill>
        <patternFill>
          <bgColor rgb="FF92D050"/>
        </patternFill>
      </fill>
      <border>
        <left style="thin">
          <color auto="1"/>
        </left>
        <right style="thin">
          <color auto="1"/>
        </right>
        <top style="thin">
          <color auto="1"/>
        </top>
        <bottom style="thin">
          <color auto="1"/>
        </bottom>
        <vertical/>
        <horizontal/>
      </border>
    </dxf>
    <dxf>
      <fill>
        <patternFill>
          <bgColor theme="0"/>
        </patternFill>
      </fill>
      <border>
        <left/>
        <right/>
        <top/>
        <bottom/>
        <vertical/>
        <horizontal/>
      </border>
    </dxf>
    <dxf>
      <font>
        <color theme="1"/>
      </font>
      <fill>
        <patternFill>
          <bgColor rgb="FF92D050"/>
        </patternFill>
      </fill>
      <border>
        <left style="thin">
          <color auto="1"/>
        </left>
        <right style="thin">
          <color auto="1"/>
        </right>
        <top style="thin">
          <color auto="1"/>
        </top>
        <bottom style="thin">
          <color auto="1"/>
        </bottom>
        <vertical/>
        <horizontal/>
      </border>
    </dxf>
    <dxf>
      <font>
        <color theme="1"/>
      </font>
      <fill>
        <patternFill>
          <bgColor rgb="FFFFC000"/>
        </patternFill>
      </fill>
      <border>
        <left style="thin">
          <color auto="1"/>
        </left>
        <right style="thin">
          <color auto="1"/>
        </right>
        <top style="thin">
          <color auto="1"/>
        </top>
        <bottom style="thin">
          <color auto="1"/>
        </bottom>
        <vertical/>
        <horizontal/>
      </border>
    </dxf>
    <dxf>
      <font>
        <color theme="1"/>
      </font>
      <fill>
        <patternFill>
          <bgColor rgb="FF92D050"/>
        </patternFill>
      </fill>
      <border>
        <left style="thin">
          <color auto="1"/>
        </left>
        <right style="thin">
          <color auto="1"/>
        </right>
        <top style="thin">
          <color auto="1"/>
        </top>
        <bottom style="thin">
          <color auto="1"/>
        </bottom>
        <vertical/>
        <horizontal/>
      </border>
    </dxf>
    <dxf>
      <font>
        <color theme="1"/>
      </font>
      <fill>
        <patternFill>
          <bgColor rgb="FF92D050"/>
        </patternFill>
      </fill>
      <border>
        <left style="thin">
          <color auto="1"/>
        </left>
        <right style="thin">
          <color auto="1"/>
        </right>
        <top style="thin">
          <color auto="1"/>
        </top>
        <bottom style="thin">
          <color auto="1"/>
        </bottom>
        <vertical/>
        <horizontal/>
      </border>
    </dxf>
    <dxf>
      <fill>
        <patternFill>
          <bgColor theme="0"/>
        </patternFill>
      </fill>
      <border>
        <left/>
        <right/>
        <top/>
        <bottom/>
        <vertical/>
        <horizontal/>
      </border>
    </dxf>
    <dxf>
      <font>
        <color theme="1"/>
      </font>
      <fill>
        <patternFill>
          <bgColor rgb="FF92D050"/>
        </patternFill>
      </fill>
      <border>
        <left style="thin">
          <color auto="1"/>
        </left>
        <right style="thin">
          <color auto="1"/>
        </right>
        <top style="thin">
          <color auto="1"/>
        </top>
        <bottom style="thin">
          <color auto="1"/>
        </bottom>
        <vertical/>
        <horizontal/>
      </border>
    </dxf>
    <dxf>
      <font>
        <color theme="1"/>
      </font>
      <fill>
        <patternFill>
          <bgColor rgb="FFFFC000"/>
        </patternFill>
      </fill>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fill>
        <patternFill>
          <bgColor rgb="FF92D050"/>
        </patternFill>
      </fill>
      <border>
        <left style="thin">
          <color auto="1"/>
        </left>
        <right style="thin">
          <color auto="1"/>
        </right>
        <top style="thin">
          <color auto="1"/>
        </top>
        <bottom style="thin">
          <color auto="1"/>
        </bottom>
        <vertical/>
        <horizontal/>
      </border>
    </dxf>
    <dxf>
      <font>
        <color theme="1"/>
      </font>
      <fill>
        <patternFill>
          <bgColor rgb="FFFFC000"/>
        </patternFill>
      </fill>
      <border>
        <left style="thin">
          <color auto="1"/>
        </left>
        <right style="thin">
          <color auto="1"/>
        </right>
        <top style="thin">
          <color auto="1"/>
        </top>
        <bottom style="thin">
          <color auto="1"/>
        </bottom>
        <vertical/>
        <horizontal/>
      </border>
    </dxf>
    <dxf>
      <font>
        <color theme="1"/>
      </font>
      <fill>
        <patternFill>
          <bgColor rgb="FFFFC000"/>
        </patternFill>
      </fill>
    </dxf>
    <dxf>
      <font>
        <color theme="1"/>
      </font>
      <fill>
        <patternFill>
          <bgColor rgb="FFFFC000"/>
        </patternFill>
      </fill>
      <border>
        <left style="thin">
          <color auto="1"/>
        </left>
        <right style="thin">
          <color auto="1"/>
        </right>
        <top style="thin">
          <color auto="1"/>
        </top>
        <bottom style="thin">
          <color auto="1"/>
        </bottom>
      </border>
    </dxf>
    <dxf>
      <font>
        <color theme="1"/>
      </font>
      <fill>
        <patternFill>
          <bgColor rgb="FFFFC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rgb="FFC00000"/>
      </font>
      <fill>
        <patternFill>
          <bgColor theme="5" tint="0.59996337778862885"/>
        </patternFill>
      </fill>
    </dxf>
    <dxf>
      <font>
        <color rgb="FFC00000"/>
      </font>
      <fill>
        <patternFill>
          <bgColor theme="5" tint="0.59996337778862885"/>
        </patternFill>
      </fill>
    </dxf>
    <dxf>
      <font>
        <color rgb="FFC00000"/>
      </font>
      <fill>
        <patternFill>
          <bgColor theme="5" tint="0.59996337778862885"/>
        </patternFill>
      </fill>
    </dxf>
    <dxf>
      <font>
        <color rgb="FFC00000"/>
      </font>
      <fill>
        <patternFill>
          <bgColor theme="5"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C00000"/>
        </patternFill>
      </fill>
    </dxf>
    <dxf>
      <fill>
        <patternFill>
          <bgColor rgb="FFC00000"/>
        </patternFill>
      </fill>
    </dxf>
    <dxf>
      <font>
        <color theme="0"/>
      </font>
      <fill>
        <patternFill>
          <bgColor rgb="FFC00000"/>
        </patternFill>
      </fill>
    </dxf>
    <dxf>
      <fill>
        <patternFill>
          <bgColor rgb="FFC00000"/>
        </patternFill>
      </fill>
    </dxf>
    <dxf>
      <font>
        <color rgb="FFC00000"/>
      </font>
      <fill>
        <patternFill>
          <bgColor theme="5" tint="0.59996337778862885"/>
        </patternFill>
      </fill>
    </dxf>
    <dxf>
      <border>
        <left/>
        <right/>
        <top/>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patternType="solid">
          <bgColor theme="0"/>
        </patternFill>
      </fill>
      <border>
        <left style="thin">
          <color auto="1"/>
        </left>
        <right style="thin">
          <color auto="1"/>
        </right>
        <top style="thin">
          <color auto="1"/>
        </top>
        <bottom style="thin">
          <color auto="1"/>
        </bottom>
        <vertical/>
        <horizontal/>
      </border>
    </dxf>
    <dxf>
      <font>
        <color theme="1"/>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patternType="solid">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ill>
        <patternFill patternType="none">
          <bgColor auto="1"/>
        </patternFill>
      </fill>
      <border>
        <left/>
        <right/>
        <top/>
        <bottom/>
        <vertical/>
        <horizontal/>
      </border>
    </dxf>
    <dxf>
      <fill>
        <patternFill>
          <bgColor theme="0"/>
        </patternFill>
      </fill>
      <border>
        <left/>
        <right/>
        <top/>
        <bottom/>
        <vertical/>
        <horizontal/>
      </border>
    </dxf>
    <dxf>
      <fill>
        <patternFill patternType="none">
          <bgColor auto="1"/>
        </patternFill>
      </fill>
      <border>
        <left/>
        <right/>
        <top/>
        <bottom/>
        <vertical/>
        <horizontal/>
      </border>
    </dxf>
    <dxf>
      <fill>
        <patternFill>
          <bgColor theme="0"/>
        </patternFill>
      </fill>
      <border>
        <left/>
        <right/>
        <top/>
        <bottom/>
        <vertical/>
        <horizontal/>
      </border>
    </dxf>
    <dxf>
      <fill>
        <patternFill patternType="none">
          <bgColor auto="1"/>
        </patternFill>
      </fill>
      <border>
        <left/>
        <right/>
        <top/>
        <bottom/>
        <vertical/>
        <horizontal/>
      </border>
    </dxf>
    <dxf>
      <fill>
        <patternFill>
          <bgColor theme="0"/>
        </patternFill>
      </fill>
      <border>
        <left/>
        <right/>
        <top/>
        <bottom/>
        <vertical/>
        <horizontal/>
      </border>
    </dxf>
    <dxf>
      <font>
        <color theme="0"/>
      </font>
      <fill>
        <patternFill>
          <bgColor rgb="FFC00000"/>
        </patternFill>
      </fill>
    </dxf>
    <dxf>
      <font>
        <color theme="0"/>
      </font>
      <fill>
        <patternFill>
          <bgColor rgb="FFC00000"/>
        </patternFill>
      </fill>
    </dxf>
    <dxf>
      <numFmt numFmtId="0" formatCode="General"/>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3" formatCode="#,##0"/>
    </dxf>
    <dxf>
      <numFmt numFmtId="3" formatCode="#,##0"/>
    </dxf>
    <dxf>
      <alignment horizontal="center"/>
    </dxf>
    <dxf>
      <alignment horizontal="center"/>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1"/>
    </dxf>
    <dxf>
      <protection locked="1"/>
    </dxf>
    <dxf>
      <protection locked="1"/>
    </dxf>
    <dxf>
      <protection locked="1"/>
    </dxf>
    <dxf>
      <protection locked="1"/>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3" formatCode="#,##0"/>
    </dxf>
    <dxf>
      <numFmt numFmtId="3" formatCode="#,##0"/>
    </dxf>
    <dxf>
      <alignment horizontal="center"/>
    </dxf>
    <dxf>
      <alignment horizontal="center"/>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1"/>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1"/>
    </dxf>
    <dxf>
      <protection locked="1"/>
    </dxf>
    <dxf>
      <protection locked="1"/>
    </dxf>
    <dxf>
      <protection locked="1"/>
    </dxf>
    <dxf>
      <protection locked="1"/>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protection locked="0"/>
    </dxf>
    <dxf>
      <numFmt numFmtId="3" formatCode="#,##0"/>
    </dxf>
    <dxf>
      <numFmt numFmtId="3" formatCode="#,##0"/>
    </dxf>
    <dxf>
      <alignment horizontal="center"/>
    </dxf>
    <dxf>
      <alignment horizontal="center"/>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rgb="FF000000"/>
        <name val="Calibri"/>
        <family val="2"/>
        <scheme val="minor"/>
      </font>
      <fill>
        <patternFill patternType="none">
          <fgColor indexed="64"/>
          <bgColor indexed="65"/>
        </patternFill>
      </fill>
      <protection locked="1" hidden="0"/>
    </dxf>
    <dxf>
      <font>
        <b/>
        <i val="0"/>
      </font>
      <fill>
        <patternFill>
          <bgColor theme="0" tint="-4.9989318521683403E-2"/>
        </patternFill>
      </fill>
    </dxf>
    <dxf>
      <font>
        <b/>
        <i val="0"/>
      </font>
      <fill>
        <patternFill>
          <bgColor theme="4" tint="0.79998168889431442"/>
        </patternFill>
      </fill>
    </dxf>
    <dxf>
      <font>
        <b/>
        <i val="0"/>
      </font>
      <fill>
        <patternFill>
          <bgColor theme="0" tint="-0.24994659260841701"/>
        </patternFill>
      </fill>
    </dxf>
    <dxf>
      <font>
        <b/>
        <i val="0"/>
        <color theme="0"/>
      </font>
      <fill>
        <patternFill>
          <bgColor theme="4"/>
        </patternFill>
      </fill>
      <border>
        <left style="thin">
          <color auto="1"/>
        </left>
        <right style="thin">
          <color auto="1"/>
        </right>
        <top style="thin">
          <color auto="1"/>
        </top>
        <bottom style="thin">
          <color auto="1"/>
        </bottom>
      </border>
    </dxf>
    <dxf>
      <fill>
        <patternFill patternType="solid">
          <bgColor theme="0"/>
        </patternFill>
      </fill>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PivotTable Style 1" table="0" count="5" xr9:uid="{00000000-0011-0000-FFFF-FFFF00000000}">
      <tableStyleElement type="wholeTable" dxfId="296"/>
      <tableStyleElement type="headerRow" dxfId="295"/>
      <tableStyleElement type="totalRow" dxfId="294"/>
      <tableStyleElement type="firstRowSubheading" dxfId="293"/>
      <tableStyleElement type="secondRowSubheading" dxfId="292"/>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4BD97"/>
      <rgbColor rgb="FF808080"/>
      <rgbColor rgb="FF8EB4E3"/>
      <rgbColor rgb="FF953735"/>
      <rgbColor rgb="FFEBF1DE"/>
      <rgbColor rgb="FFFDEADA"/>
      <rgbColor rgb="FF660066"/>
      <rgbColor rgb="FFD99694"/>
      <rgbColor rgb="FF0066CC"/>
      <rgbColor rgb="FFC6D9F1"/>
      <rgbColor rgb="FF000080"/>
      <rgbColor rgb="FFFF00FF"/>
      <rgbColor rgb="FFFFFF00"/>
      <rgbColor rgb="FF00FFFF"/>
      <rgbColor rgb="FF800080"/>
      <rgbColor rgb="FF800000"/>
      <rgbColor rgb="FF008080"/>
      <rgbColor rgb="FF0000FF"/>
      <rgbColor rgb="FF00CCFF"/>
      <rgbColor rgb="FFF2DCDB"/>
      <rgbColor rgb="FFD9D9D9"/>
      <rgbColor rgb="FFFFFF99"/>
      <rgbColor rgb="FFB9CDE5"/>
      <rgbColor rgb="FFE6B9B8"/>
      <rgbColor rgb="FFCC99FF"/>
      <rgbColor rgb="FFFAC090"/>
      <rgbColor rgb="FF3366FF"/>
      <rgbColor rgb="FF33CCCC"/>
      <rgbColor rgb="FF99CC00"/>
      <rgbColor rgb="FFFFCC00"/>
      <rgbColor rgb="FFFF9900"/>
      <rgbColor rgb="FFE46C0A"/>
      <rgbColor rgb="FF666699"/>
      <rgbColor rgb="FFC3D69B"/>
      <rgbColor rgb="FF003366"/>
      <rgbColor rgb="FF00B050"/>
      <rgbColor rgb="FF003300"/>
      <rgbColor rgb="FF333300"/>
      <rgbColor rgb="FF993300"/>
      <rgbColor rgb="FFC0504D"/>
      <rgbColor rgb="FF333399"/>
      <rgbColor rgb="FF333333"/>
      <rgbColor rgb="00003366"/>
      <rgbColor rgb="00339966"/>
      <rgbColor rgb="00003300"/>
      <rgbColor rgb="00333300"/>
      <rgbColor rgb="00993300"/>
      <rgbColor rgb="00993366"/>
      <rgbColor rgb="00333399"/>
      <rgbColor rgb="00333333"/>
    </indexedColors>
    <mruColors>
      <color rgb="FFFEF2E8"/>
      <color rgb="FFFCF2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7.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2.jpeg"/><Relationship Id="rId4"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2.jpeg"/><Relationship Id="rId4"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2.jpeg"/><Relationship Id="rId4" Type="http://schemas.openxmlformats.org/officeDocument/2006/relationships/image" Target="../media/image1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0</xdr:row>
      <xdr:rowOff>152400</xdr:rowOff>
    </xdr:from>
    <xdr:to>
      <xdr:col>4</xdr:col>
      <xdr:colOff>257175</xdr:colOff>
      <xdr:row>1</xdr:row>
      <xdr:rowOff>9525</xdr:rowOff>
    </xdr:to>
    <xdr:pic>
      <xdr:nvPicPr>
        <xdr:cNvPr id="3" name="Imagem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8600" y="152400"/>
          <a:ext cx="16002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190500</xdr:colOff>
      <xdr:row>0</xdr:row>
      <xdr:rowOff>161925</xdr:rowOff>
    </xdr:from>
    <xdr:to>
      <xdr:col>4</xdr:col>
      <xdr:colOff>476250</xdr:colOff>
      <xdr:row>1</xdr:row>
      <xdr:rowOff>219075</xdr:rowOff>
    </xdr:to>
    <xdr:pic>
      <xdr:nvPicPr>
        <xdr:cNvPr id="5" name="Imagem 1">
          <a:extLst>
            <a:ext uri="{FF2B5EF4-FFF2-40B4-BE49-F238E27FC236}">
              <a16:creationId xmlns:a16="http://schemas.microsoft.com/office/drawing/2014/main" id="{3AAF8AC7-9660-4063-9D1F-AFEDABBC6A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0" y="161925"/>
          <a:ext cx="16002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57150</xdr:colOff>
      <xdr:row>0</xdr:row>
      <xdr:rowOff>114300</xdr:rowOff>
    </xdr:from>
    <xdr:to>
      <xdr:col>1</xdr:col>
      <xdr:colOff>1657350</xdr:colOff>
      <xdr:row>0</xdr:row>
      <xdr:rowOff>409575</xdr:rowOff>
    </xdr:to>
    <xdr:pic>
      <xdr:nvPicPr>
        <xdr:cNvPr id="2" name="Imagem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579" y="114300"/>
          <a:ext cx="16002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35983</xdr:colOff>
      <xdr:row>0</xdr:row>
      <xdr:rowOff>241299</xdr:rowOff>
    </xdr:from>
    <xdr:to>
      <xdr:col>1</xdr:col>
      <xdr:colOff>1636183</xdr:colOff>
      <xdr:row>2</xdr:row>
      <xdr:rowOff>49741</xdr:rowOff>
    </xdr:to>
    <xdr:pic>
      <xdr:nvPicPr>
        <xdr:cNvPr id="2" name="Imagem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5900" y="241299"/>
          <a:ext cx="16002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7408</xdr:colOff>
      <xdr:row>0</xdr:row>
      <xdr:rowOff>165099</xdr:rowOff>
    </xdr:from>
    <xdr:to>
      <xdr:col>1</xdr:col>
      <xdr:colOff>1607608</xdr:colOff>
      <xdr:row>2</xdr:row>
      <xdr:rowOff>21166</xdr:rowOff>
    </xdr:to>
    <xdr:pic>
      <xdr:nvPicPr>
        <xdr:cNvPr id="3" name="Imagem 2">
          <a:extLst>
            <a:ext uri="{FF2B5EF4-FFF2-40B4-BE49-F238E27FC236}">
              <a16:creationId xmlns:a16="http://schemas.microsoft.com/office/drawing/2014/main" id="{CA628D37-6029-468E-96BA-128AA5AEF9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7008" y="165099"/>
          <a:ext cx="1600200" cy="332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44821</xdr:colOff>
      <xdr:row>0</xdr:row>
      <xdr:rowOff>197156</xdr:rowOff>
    </xdr:from>
    <xdr:to>
      <xdr:col>2</xdr:col>
      <xdr:colOff>714964</xdr:colOff>
      <xdr:row>0</xdr:row>
      <xdr:rowOff>448562</xdr:rowOff>
    </xdr:to>
    <xdr:pic>
      <xdr:nvPicPr>
        <xdr:cNvPr id="6" name="Imagem 1">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1191" y="197156"/>
          <a:ext cx="1385106" cy="2512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25978</xdr:colOff>
      <xdr:row>0</xdr:row>
      <xdr:rowOff>129886</xdr:rowOff>
    </xdr:from>
    <xdr:to>
      <xdr:col>2</xdr:col>
      <xdr:colOff>1201271</xdr:colOff>
      <xdr:row>0</xdr:row>
      <xdr:rowOff>489809</xdr:rowOff>
    </xdr:to>
    <xdr:pic>
      <xdr:nvPicPr>
        <xdr:cNvPr id="4" name="Imagem 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9743" y="129886"/>
          <a:ext cx="1973152" cy="359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38100</xdr:colOff>
      <xdr:row>0</xdr:row>
      <xdr:rowOff>123825</xdr:rowOff>
    </xdr:from>
    <xdr:to>
      <xdr:col>3</xdr:col>
      <xdr:colOff>245786</xdr:colOff>
      <xdr:row>0</xdr:row>
      <xdr:rowOff>419100</xdr:rowOff>
    </xdr:to>
    <xdr:pic>
      <xdr:nvPicPr>
        <xdr:cNvPr id="3" name="Imagem 1">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 y="123825"/>
          <a:ext cx="16002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27214</xdr:colOff>
      <xdr:row>0</xdr:row>
      <xdr:rowOff>136071</xdr:rowOff>
    </xdr:from>
    <xdr:to>
      <xdr:col>1</xdr:col>
      <xdr:colOff>1627414</xdr:colOff>
      <xdr:row>1</xdr:row>
      <xdr:rowOff>186417</xdr:rowOff>
    </xdr:to>
    <xdr:pic>
      <xdr:nvPicPr>
        <xdr:cNvPr id="2" name="Imagem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3143" y="136071"/>
          <a:ext cx="16002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27214</xdr:colOff>
      <xdr:row>0</xdr:row>
      <xdr:rowOff>136071</xdr:rowOff>
    </xdr:from>
    <xdr:to>
      <xdr:col>1</xdr:col>
      <xdr:colOff>1627414</xdr:colOff>
      <xdr:row>2</xdr:row>
      <xdr:rowOff>43542</xdr:rowOff>
    </xdr:to>
    <xdr:pic>
      <xdr:nvPicPr>
        <xdr:cNvPr id="2" name="Imagem 1">
          <a:extLst>
            <a:ext uri="{FF2B5EF4-FFF2-40B4-BE49-F238E27FC236}">
              <a16:creationId xmlns:a16="http://schemas.microsoft.com/office/drawing/2014/main" id="{ADF58FC7-5092-4926-A72F-C5F5D5E3460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7764" y="136071"/>
          <a:ext cx="1600200" cy="2884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1600200</xdr:colOff>
      <xdr:row>0</xdr:row>
      <xdr:rowOff>390525</xdr:rowOff>
    </xdr:to>
    <xdr:pic>
      <xdr:nvPicPr>
        <xdr:cNvPr id="3" name="Imagem 1">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95250"/>
          <a:ext cx="16002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171449</xdr:colOff>
      <xdr:row>25</xdr:row>
      <xdr:rowOff>23805</xdr:rowOff>
    </xdr:from>
    <xdr:to>
      <xdr:col>15</xdr:col>
      <xdr:colOff>628650</xdr:colOff>
      <xdr:row>58</xdr:row>
      <xdr:rowOff>14280</xdr:rowOff>
    </xdr:to>
    <xdr:grpSp>
      <xdr:nvGrpSpPr>
        <xdr:cNvPr id="9" name="Group 8">
          <a:extLst>
            <a:ext uri="{FF2B5EF4-FFF2-40B4-BE49-F238E27FC236}">
              <a16:creationId xmlns:a16="http://schemas.microsoft.com/office/drawing/2014/main" id="{00000000-0008-0000-0700-000009000000}"/>
            </a:ext>
          </a:extLst>
        </xdr:cNvPr>
        <xdr:cNvGrpSpPr/>
      </xdr:nvGrpSpPr>
      <xdr:grpSpPr>
        <a:xfrm>
          <a:off x="16729074" y="5754680"/>
          <a:ext cx="4799014" cy="6015038"/>
          <a:chOff x="5410199" y="2809868"/>
          <a:chExt cx="4305301" cy="6276975"/>
        </a:xfrm>
      </xdr:grpSpPr>
      <xdr:sp macro="" textlink="">
        <xdr:nvSpPr>
          <xdr:cNvPr id="4" name="Rectangle: Rounded Corners 3">
            <a:extLst>
              <a:ext uri="{FF2B5EF4-FFF2-40B4-BE49-F238E27FC236}">
                <a16:creationId xmlns:a16="http://schemas.microsoft.com/office/drawing/2014/main" id="{00000000-0008-0000-0700-000004000000}"/>
              </a:ext>
            </a:extLst>
          </xdr:cNvPr>
          <xdr:cNvSpPr/>
        </xdr:nvSpPr>
        <xdr:spPr>
          <a:xfrm>
            <a:off x="5410199" y="2809868"/>
            <a:ext cx="4305301" cy="6276975"/>
          </a:xfrm>
          <a:prstGeom prst="roundRect">
            <a:avLst>
              <a:gd name="adj" fmla="val 298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1800" b="1">
                <a:solidFill>
                  <a:sysClr val="windowText" lastClr="000000"/>
                </a:solidFill>
              </a:rPr>
              <a:t>Atualização da Tabela</a:t>
            </a:r>
          </a:p>
          <a:p>
            <a:pPr algn="l"/>
            <a:endParaRPr lang="pt-BR" sz="1100">
              <a:solidFill>
                <a:sysClr val="windowText" lastClr="000000"/>
              </a:solidFill>
            </a:endParaRPr>
          </a:p>
          <a:p>
            <a:pPr algn="l"/>
            <a:r>
              <a:rPr lang="pt-BR" sz="1100" baseline="0">
                <a:solidFill>
                  <a:sysClr val="windowText" lastClr="000000"/>
                </a:solidFill>
              </a:rPr>
              <a:t>Após finalizar o preenchimento das planilhas anteriores siga os seguintes passos.</a:t>
            </a:r>
          </a:p>
          <a:p>
            <a:pPr algn="l"/>
            <a:endParaRPr lang="pt-BR" sz="1100" baseline="0">
              <a:solidFill>
                <a:sysClr val="windowText" lastClr="000000"/>
              </a:solidFill>
            </a:endParaRPr>
          </a:p>
          <a:p>
            <a:pPr algn="l"/>
            <a:r>
              <a:rPr lang="pt-BR" sz="1100" baseline="0">
                <a:solidFill>
                  <a:sysClr val="windowText" lastClr="000000"/>
                </a:solidFill>
              </a:rPr>
              <a:t>1) Clique com o botão direito na tabela  com as fases e selecione a opção Atualizar.</a:t>
            </a: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r>
              <a:rPr lang="pt-BR" sz="1100" baseline="0">
                <a:solidFill>
                  <a:sysClr val="windowText" lastClr="000000"/>
                </a:solidFill>
              </a:rPr>
              <a:t>2) Clique na célula C5 selecione a opçõa TODAS.</a:t>
            </a: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r>
              <a:rPr lang="pt-BR" sz="1100" baseline="0">
                <a:solidFill>
                  <a:sysClr val="windowText" lastClr="000000"/>
                </a:solidFill>
              </a:rPr>
              <a:t>3) </a:t>
            </a:r>
            <a:r>
              <a:rPr lang="pt-BR" sz="1100" baseline="0">
                <a:solidFill>
                  <a:sysClr val="windowText" lastClr="000000"/>
                </a:solidFill>
                <a:effectLst/>
                <a:latin typeface="+mn-lt"/>
                <a:ea typeface="+mn-ea"/>
                <a:cs typeface="+mn-cs"/>
              </a:rPr>
              <a:t> Clique na célula C5 e desmarque a opção #N/A.</a:t>
            </a:r>
          </a:p>
          <a:p>
            <a:pPr algn="l"/>
            <a:endParaRPr lang="pt-BR" sz="1100" baseline="0">
              <a:solidFill>
                <a:sysClr val="windowText" lastClr="000000"/>
              </a:solidFill>
              <a:effectLst/>
              <a:latin typeface="+mn-lt"/>
              <a:ea typeface="+mn-ea"/>
              <a:cs typeface="+mn-cs"/>
            </a:endParaRPr>
          </a:p>
          <a:p>
            <a:pPr algn="l"/>
            <a:endParaRPr lang="pt-BR" sz="1100" baseline="0">
              <a:solidFill>
                <a:sysClr val="windowText" lastClr="000000"/>
              </a:solidFill>
            </a:endParaRPr>
          </a:p>
        </xdr:txBody>
      </xdr:sp>
      <xdr:pic>
        <xdr:nvPicPr>
          <xdr:cNvPr id="5" name="Picture 4">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29275" y="4282621"/>
            <a:ext cx="3886200" cy="148083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 name="Picture 6">
            <a:extLst>
              <a:ext uri="{FF2B5EF4-FFF2-40B4-BE49-F238E27FC236}">
                <a16:creationId xmlns:a16="http://schemas.microsoft.com/office/drawing/2014/main" id="{00000000-0008-0000-07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667375" y="5924545"/>
            <a:ext cx="3857625" cy="128587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8" name="Picture 7">
            <a:extLst>
              <a:ext uri="{FF2B5EF4-FFF2-40B4-BE49-F238E27FC236}">
                <a16:creationId xmlns:a16="http://schemas.microsoft.com/office/drawing/2014/main" id="{00000000-0008-0000-0700-00000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48326" y="7589044"/>
            <a:ext cx="3867150" cy="134440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1600200</xdr:colOff>
      <xdr:row>2</xdr:row>
      <xdr:rowOff>9525</xdr:rowOff>
    </xdr:to>
    <xdr:pic>
      <xdr:nvPicPr>
        <xdr:cNvPr id="2" name="Imagem 1">
          <a:extLst>
            <a:ext uri="{FF2B5EF4-FFF2-40B4-BE49-F238E27FC236}">
              <a16:creationId xmlns:a16="http://schemas.microsoft.com/office/drawing/2014/main" id="{9E21BDE1-E1E3-490E-B4F5-73037EB77AA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95250"/>
          <a:ext cx="160020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171449</xdr:colOff>
      <xdr:row>25</xdr:row>
      <xdr:rowOff>23805</xdr:rowOff>
    </xdr:from>
    <xdr:to>
      <xdr:col>16</xdr:col>
      <xdr:colOff>0</xdr:colOff>
      <xdr:row>58</xdr:row>
      <xdr:rowOff>14280</xdr:rowOff>
    </xdr:to>
    <xdr:grpSp>
      <xdr:nvGrpSpPr>
        <xdr:cNvPr id="3" name="Group 8">
          <a:extLst>
            <a:ext uri="{FF2B5EF4-FFF2-40B4-BE49-F238E27FC236}">
              <a16:creationId xmlns:a16="http://schemas.microsoft.com/office/drawing/2014/main" id="{D0141B05-D026-4FF4-AD2C-CEB8F8A86994}"/>
            </a:ext>
          </a:extLst>
        </xdr:cNvPr>
        <xdr:cNvGrpSpPr/>
      </xdr:nvGrpSpPr>
      <xdr:grpSpPr>
        <a:xfrm>
          <a:off x="18516599" y="5751505"/>
          <a:ext cx="4921251" cy="6067425"/>
          <a:chOff x="5410199" y="2809868"/>
          <a:chExt cx="4305301" cy="6276975"/>
        </a:xfrm>
      </xdr:grpSpPr>
      <xdr:sp macro="" textlink="">
        <xdr:nvSpPr>
          <xdr:cNvPr id="4" name="Rectangle: Rounded Corners 3">
            <a:extLst>
              <a:ext uri="{FF2B5EF4-FFF2-40B4-BE49-F238E27FC236}">
                <a16:creationId xmlns:a16="http://schemas.microsoft.com/office/drawing/2014/main" id="{3C177EEE-D7B3-4EFB-AA34-C9D1D8977B77}"/>
              </a:ext>
            </a:extLst>
          </xdr:cNvPr>
          <xdr:cNvSpPr/>
        </xdr:nvSpPr>
        <xdr:spPr>
          <a:xfrm>
            <a:off x="5410199" y="2809868"/>
            <a:ext cx="4305301" cy="6276975"/>
          </a:xfrm>
          <a:prstGeom prst="roundRect">
            <a:avLst>
              <a:gd name="adj" fmla="val 298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1800" b="1">
                <a:solidFill>
                  <a:sysClr val="windowText" lastClr="000000"/>
                </a:solidFill>
              </a:rPr>
              <a:t>Atualização da Tabela</a:t>
            </a:r>
          </a:p>
          <a:p>
            <a:pPr algn="l"/>
            <a:endParaRPr lang="pt-BR" sz="1100">
              <a:solidFill>
                <a:sysClr val="windowText" lastClr="000000"/>
              </a:solidFill>
            </a:endParaRPr>
          </a:p>
          <a:p>
            <a:pPr algn="l"/>
            <a:r>
              <a:rPr lang="pt-BR" sz="1100" baseline="0">
                <a:solidFill>
                  <a:sysClr val="windowText" lastClr="000000"/>
                </a:solidFill>
              </a:rPr>
              <a:t>Após finalizar o preenchimento das planilhas anteriores siga os seguintes passos.</a:t>
            </a:r>
          </a:p>
          <a:p>
            <a:pPr algn="l"/>
            <a:endParaRPr lang="pt-BR" sz="1100" baseline="0">
              <a:solidFill>
                <a:sysClr val="windowText" lastClr="000000"/>
              </a:solidFill>
            </a:endParaRPr>
          </a:p>
          <a:p>
            <a:pPr algn="l"/>
            <a:r>
              <a:rPr lang="pt-BR" sz="1100" baseline="0">
                <a:solidFill>
                  <a:sysClr val="windowText" lastClr="000000"/>
                </a:solidFill>
              </a:rPr>
              <a:t>1) Clique com o botão direito na tabela  com as fases e selecione a opção Atualizar.</a:t>
            </a: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r>
              <a:rPr lang="pt-BR" sz="1100" baseline="0">
                <a:solidFill>
                  <a:sysClr val="windowText" lastClr="000000"/>
                </a:solidFill>
              </a:rPr>
              <a:t>2) Clique na célula C5 selecione a opçõa TODAS.</a:t>
            </a: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r>
              <a:rPr lang="pt-BR" sz="1100" baseline="0">
                <a:solidFill>
                  <a:sysClr val="windowText" lastClr="000000"/>
                </a:solidFill>
              </a:rPr>
              <a:t>3) </a:t>
            </a:r>
            <a:r>
              <a:rPr lang="pt-BR" sz="1100" baseline="0">
                <a:solidFill>
                  <a:sysClr val="windowText" lastClr="000000"/>
                </a:solidFill>
                <a:effectLst/>
                <a:latin typeface="+mn-lt"/>
                <a:ea typeface="+mn-ea"/>
                <a:cs typeface="+mn-cs"/>
              </a:rPr>
              <a:t> Clique na célula C5 e desmarque a opção #N/A.</a:t>
            </a:r>
          </a:p>
          <a:p>
            <a:pPr algn="l"/>
            <a:endParaRPr lang="pt-BR" sz="1100" baseline="0">
              <a:solidFill>
                <a:sysClr val="windowText" lastClr="000000"/>
              </a:solidFill>
              <a:effectLst/>
              <a:latin typeface="+mn-lt"/>
              <a:ea typeface="+mn-ea"/>
              <a:cs typeface="+mn-cs"/>
            </a:endParaRPr>
          </a:p>
          <a:p>
            <a:pPr algn="l"/>
            <a:endParaRPr lang="pt-BR" sz="1100" baseline="0">
              <a:solidFill>
                <a:sysClr val="windowText" lastClr="000000"/>
              </a:solidFill>
            </a:endParaRPr>
          </a:p>
        </xdr:txBody>
      </xdr:sp>
      <xdr:pic>
        <xdr:nvPicPr>
          <xdr:cNvPr id="5" name="Picture 4">
            <a:extLst>
              <a:ext uri="{FF2B5EF4-FFF2-40B4-BE49-F238E27FC236}">
                <a16:creationId xmlns:a16="http://schemas.microsoft.com/office/drawing/2014/main" id="{75816032-2683-4246-B606-43F6AFC2AD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29275" y="4282621"/>
            <a:ext cx="3886200" cy="148083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Picture 6">
            <a:extLst>
              <a:ext uri="{FF2B5EF4-FFF2-40B4-BE49-F238E27FC236}">
                <a16:creationId xmlns:a16="http://schemas.microsoft.com/office/drawing/2014/main" id="{DD0710E0-6B3D-4C2C-8A31-80ED2388660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667375" y="5924545"/>
            <a:ext cx="3857625" cy="128587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 name="Picture 7">
            <a:extLst>
              <a:ext uri="{FF2B5EF4-FFF2-40B4-BE49-F238E27FC236}">
                <a16:creationId xmlns:a16="http://schemas.microsoft.com/office/drawing/2014/main" id="{0D40C611-BE2B-4A01-A021-E9B779418F0E}"/>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48326" y="7589044"/>
            <a:ext cx="3867150" cy="134440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1600200</xdr:colOff>
      <xdr:row>0</xdr:row>
      <xdr:rowOff>390525</xdr:rowOff>
    </xdr:to>
    <xdr:pic>
      <xdr:nvPicPr>
        <xdr:cNvPr id="2" name="Imagem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 y="95250"/>
          <a:ext cx="16002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171449</xdr:colOff>
      <xdr:row>18</xdr:row>
      <xdr:rowOff>71437</xdr:rowOff>
    </xdr:from>
    <xdr:to>
      <xdr:col>5</xdr:col>
      <xdr:colOff>628650</xdr:colOff>
      <xdr:row>51</xdr:row>
      <xdr:rowOff>61912</xdr:rowOff>
    </xdr:to>
    <xdr:grpSp>
      <xdr:nvGrpSpPr>
        <xdr:cNvPr id="3" name="Group 2">
          <a:extLst>
            <a:ext uri="{FF2B5EF4-FFF2-40B4-BE49-F238E27FC236}">
              <a16:creationId xmlns:a16="http://schemas.microsoft.com/office/drawing/2014/main" id="{00000000-0008-0000-0800-000003000000}"/>
            </a:ext>
          </a:extLst>
        </xdr:cNvPr>
        <xdr:cNvGrpSpPr/>
      </xdr:nvGrpSpPr>
      <xdr:grpSpPr>
        <a:xfrm>
          <a:off x="5084762" y="3857625"/>
          <a:ext cx="4799013" cy="6015037"/>
          <a:chOff x="5410199" y="2476500"/>
          <a:chExt cx="4305301" cy="6276975"/>
        </a:xfrm>
      </xdr:grpSpPr>
      <xdr:sp macro="" textlink="">
        <xdr:nvSpPr>
          <xdr:cNvPr id="4" name="Rectangle: Rounded Corners 3">
            <a:extLst>
              <a:ext uri="{FF2B5EF4-FFF2-40B4-BE49-F238E27FC236}">
                <a16:creationId xmlns:a16="http://schemas.microsoft.com/office/drawing/2014/main" id="{00000000-0008-0000-0800-000004000000}"/>
              </a:ext>
            </a:extLst>
          </xdr:cNvPr>
          <xdr:cNvSpPr/>
        </xdr:nvSpPr>
        <xdr:spPr>
          <a:xfrm>
            <a:off x="5410199" y="2476500"/>
            <a:ext cx="4305301" cy="6276975"/>
          </a:xfrm>
          <a:prstGeom prst="roundRect">
            <a:avLst>
              <a:gd name="adj" fmla="val 2983"/>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pt-BR" sz="1800" b="1">
                <a:solidFill>
                  <a:sysClr val="windowText" lastClr="000000"/>
                </a:solidFill>
              </a:rPr>
              <a:t>Atualização da Tabela</a:t>
            </a:r>
          </a:p>
          <a:p>
            <a:pPr algn="l"/>
            <a:endParaRPr lang="pt-BR" sz="1100">
              <a:solidFill>
                <a:sysClr val="windowText" lastClr="000000"/>
              </a:solidFill>
            </a:endParaRPr>
          </a:p>
          <a:p>
            <a:pPr algn="l"/>
            <a:r>
              <a:rPr lang="pt-BR" sz="1100" baseline="0">
                <a:solidFill>
                  <a:sysClr val="windowText" lastClr="000000"/>
                </a:solidFill>
              </a:rPr>
              <a:t>Após finalizar o preenchimento das planilhas anteriores siga os seguintes passos.</a:t>
            </a:r>
          </a:p>
          <a:p>
            <a:pPr algn="l"/>
            <a:endParaRPr lang="pt-BR" sz="1100" baseline="0">
              <a:solidFill>
                <a:sysClr val="windowText" lastClr="000000"/>
              </a:solidFill>
            </a:endParaRPr>
          </a:p>
          <a:p>
            <a:pPr algn="l"/>
            <a:r>
              <a:rPr lang="pt-BR" sz="1100" baseline="0">
                <a:solidFill>
                  <a:sysClr val="windowText" lastClr="000000"/>
                </a:solidFill>
              </a:rPr>
              <a:t>1) Clique com o botão direito na tabela  com as fases e selecione a opção Atualizar.</a:t>
            </a: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r>
              <a:rPr lang="pt-BR" sz="1100" baseline="0">
                <a:solidFill>
                  <a:sysClr val="windowText" lastClr="000000"/>
                </a:solidFill>
              </a:rPr>
              <a:t>2) Clique na célula C5 selecione a opçõa TODAS.</a:t>
            </a: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endParaRPr lang="pt-BR" sz="1100" baseline="0">
              <a:solidFill>
                <a:sysClr val="windowText" lastClr="000000"/>
              </a:solidFill>
            </a:endParaRPr>
          </a:p>
          <a:p>
            <a:pPr algn="l"/>
            <a:r>
              <a:rPr lang="pt-BR" sz="1100" baseline="0">
                <a:solidFill>
                  <a:sysClr val="windowText" lastClr="000000"/>
                </a:solidFill>
              </a:rPr>
              <a:t>3) </a:t>
            </a:r>
            <a:r>
              <a:rPr lang="pt-BR" sz="1100" baseline="0">
                <a:solidFill>
                  <a:sysClr val="windowText" lastClr="000000"/>
                </a:solidFill>
                <a:effectLst/>
                <a:latin typeface="+mn-lt"/>
                <a:ea typeface="+mn-ea"/>
                <a:cs typeface="+mn-cs"/>
              </a:rPr>
              <a:t> Clique na célula C5 e desmarque a opção #N/A.</a:t>
            </a:r>
          </a:p>
          <a:p>
            <a:pPr algn="l"/>
            <a:endParaRPr lang="pt-BR" sz="1100" baseline="0">
              <a:solidFill>
                <a:sysClr val="windowText" lastClr="000000"/>
              </a:solidFill>
              <a:effectLst/>
              <a:latin typeface="+mn-lt"/>
              <a:ea typeface="+mn-ea"/>
              <a:cs typeface="+mn-cs"/>
            </a:endParaRPr>
          </a:p>
          <a:p>
            <a:pPr algn="l"/>
            <a:endParaRPr lang="pt-BR" sz="1100" baseline="0">
              <a:solidFill>
                <a:sysClr val="windowText" lastClr="000000"/>
              </a:solidFill>
            </a:endParaRPr>
          </a:p>
        </xdr:txBody>
      </xdr:sp>
      <xdr:pic>
        <xdr:nvPicPr>
          <xdr:cNvPr id="5" name="Picture 4">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629275" y="3867151"/>
            <a:ext cx="3886200" cy="148083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6" name="Picture 5">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667375" y="5591175"/>
            <a:ext cx="3857625" cy="1285875"/>
          </a:xfrm>
          <a:prstGeom prst="rect">
            <a:avLst/>
          </a:prstGeom>
          <a:noFill/>
          <a:extLst>
            <a:ext uri="{909E8E84-426E-40DD-AFC4-6F175D3DCCD1}">
              <a14:hiddenFill xmlns:a14="http://schemas.microsoft.com/office/drawing/2010/main">
                <a:solidFill>
                  <a:srgbClr val="FFFFFF"/>
                </a:solidFill>
              </a14:hiddenFill>
            </a:ext>
          </a:extLst>
        </xdr:spPr>
      </xdr:pic>
      <xdr:pic>
        <xdr:nvPicPr>
          <xdr:cNvPr id="7" name="Picture 6">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48326" y="7172325"/>
            <a:ext cx="3867150" cy="1344408"/>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4</xdr:col>
      <xdr:colOff>0</xdr:colOff>
      <xdr:row>3</xdr:row>
      <xdr:rowOff>142875</xdr:rowOff>
    </xdr:from>
    <xdr:to>
      <xdr:col>6</xdr:col>
      <xdr:colOff>0</xdr:colOff>
      <xdr:row>6</xdr:row>
      <xdr:rowOff>76201</xdr:rowOff>
    </xdr:to>
    <xdr:sp macro="" textlink="">
      <xdr:nvSpPr>
        <xdr:cNvPr id="13" name="Rectangle 12">
          <a:extLst>
            <a:ext uri="{FF2B5EF4-FFF2-40B4-BE49-F238E27FC236}">
              <a16:creationId xmlns:a16="http://schemas.microsoft.com/office/drawing/2014/main" id="{00000000-0008-0000-0800-00000D000000}"/>
            </a:ext>
          </a:extLst>
        </xdr:cNvPr>
        <xdr:cNvSpPr/>
      </xdr:nvSpPr>
      <xdr:spPr>
        <a:xfrm>
          <a:off x="4933950" y="1190625"/>
          <a:ext cx="4991100" cy="476251"/>
        </a:xfrm>
        <a:prstGeom prst="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ctr"/>
          <a:r>
            <a:rPr lang="en-US" sz="1200" b="1">
              <a:solidFill>
                <a:schemeClr val="bg1"/>
              </a:solidFill>
            </a:rPr>
            <a:t>Após preenchimento das informações prévias, atualizar o resumo com o botão direito sob a tabela da estimativa</a:t>
          </a:r>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1600200</xdr:colOff>
      <xdr:row>3</xdr:row>
      <xdr:rowOff>28575</xdr:rowOff>
    </xdr:to>
    <xdr:pic>
      <xdr:nvPicPr>
        <xdr:cNvPr id="2" name="Imagem 1">
          <a:extLst>
            <a:ext uri="{FF2B5EF4-FFF2-40B4-BE49-F238E27FC236}">
              <a16:creationId xmlns:a16="http://schemas.microsoft.com/office/drawing/2014/main" id="{11832D2E-A774-47E1-A241-8E4DB14E84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533400"/>
          <a:ext cx="16002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3</xdr:col>
      <xdr:colOff>542925</xdr:colOff>
      <xdr:row>0</xdr:row>
      <xdr:rowOff>428625</xdr:rowOff>
    </xdr:to>
    <xdr:pic>
      <xdr:nvPicPr>
        <xdr:cNvPr id="15" name="Imagem 1">
          <a:extLst>
            <a:ext uri="{FF2B5EF4-FFF2-40B4-BE49-F238E27FC236}">
              <a16:creationId xmlns:a16="http://schemas.microsoft.com/office/drawing/2014/main" id="{00000000-0008-0000-09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5" y="95250"/>
          <a:ext cx="160020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1600200</xdr:colOff>
      <xdr:row>0</xdr:row>
      <xdr:rowOff>390525</xdr:rowOff>
    </xdr:to>
    <xdr:pic>
      <xdr:nvPicPr>
        <xdr:cNvPr id="2" name="Imagem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6700" y="95250"/>
          <a:ext cx="16002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25978</xdr:colOff>
      <xdr:row>0</xdr:row>
      <xdr:rowOff>129886</xdr:rowOff>
    </xdr:from>
    <xdr:to>
      <xdr:col>1</xdr:col>
      <xdr:colOff>1982321</xdr:colOff>
      <xdr:row>2</xdr:row>
      <xdr:rowOff>108809</xdr:rowOff>
    </xdr:to>
    <xdr:pic>
      <xdr:nvPicPr>
        <xdr:cNvPr id="2" name="Imagem 1">
          <a:extLst>
            <a:ext uri="{FF2B5EF4-FFF2-40B4-BE49-F238E27FC236}">
              <a16:creationId xmlns:a16="http://schemas.microsoft.com/office/drawing/2014/main" id="{930A9E47-698A-4D1A-A44C-1240674733C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778" y="129886"/>
          <a:ext cx="1956343" cy="3599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v-fs-01.whebdc.com.br\fs\emr\comercial\Gest&#227;o%20de%20Vendas\Suporte%20a%20Vendas\LTEP\LTEP%20-%20v24%20-%20Prestador%20+%20OPS%20Draft%2008.out.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rv-fs-01.whebdc.com.br\fs\Users\310218744\AppData\Local\Microsoft\Windows\INetCache\Content.Outlook\I7XU70XW\EMR%200060%20LTEPv20%20vs%20Tasy%20Official%20Portfolio%20-%20v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Old-Delete)"/>
      <sheetName val="Version Control "/>
      <sheetName val="General Information"/>
      <sheetName val="Proposal"/>
      <sheetName val="Modules"/>
      <sheetName val="Questions"/>
      <sheetName val="Hours Detail"/>
      <sheetName val="Integrations"/>
      <sheetName val="Summary"/>
      <sheetName val="Resume (English)"/>
      <sheetName val="TWS"/>
      <sheetName val="Alterações"/>
      <sheetName val="Listas (Hide)"/>
      <sheetName val="IDIOMA (hide)"/>
      <sheetName val="ESTRUTURA_MODULO(hide)"/>
      <sheetName val="Assumptions Suggestion"/>
      <sheetName val="BASE_FUNCOES (hide)"/>
      <sheetName val="BackOffice"/>
      <sheetName val="Funções Tasy Corp - 2020, Abril"/>
      <sheetName val="Anotações (Hide)"/>
    </sheetNames>
    <sheetDataSet>
      <sheetData sheetId="0"/>
      <sheetData sheetId="1"/>
      <sheetData sheetId="2">
        <row r="4">
          <cell r="F4" t="str">
            <v>Português</v>
          </cell>
        </row>
      </sheetData>
      <sheetData sheetId="3"/>
      <sheetData sheetId="4"/>
      <sheetData sheetId="5"/>
      <sheetData sheetId="6"/>
      <sheetData sheetId="7"/>
      <sheetData sheetId="8"/>
      <sheetData sheetId="9"/>
      <sheetData sheetId="10"/>
      <sheetData sheetId="11"/>
      <sheetData sheetId="12">
        <row r="4">
          <cell r="B4" t="str">
            <v>Português</v>
          </cell>
          <cell r="C4" t="str">
            <v>English</v>
          </cell>
          <cell r="D4" t="str">
            <v>Español</v>
          </cell>
        </row>
        <row r="13">
          <cell r="B13" t="str">
            <v>Português</v>
          </cell>
          <cell r="C13" t="str">
            <v>English</v>
          </cell>
          <cell r="D13" t="str">
            <v>Español</v>
          </cell>
        </row>
        <row r="17">
          <cell r="B17" t="str">
            <v>Português</v>
          </cell>
          <cell r="C17" t="str">
            <v>English</v>
          </cell>
          <cell r="D17" t="str">
            <v>Español</v>
          </cell>
        </row>
        <row r="43">
          <cell r="B43" t="str">
            <v>Português</v>
          </cell>
          <cell r="C43" t="str">
            <v>English</v>
          </cell>
          <cell r="D43" t="str">
            <v>Español</v>
          </cell>
        </row>
        <row r="50">
          <cell r="B50" t="str">
            <v>Português</v>
          </cell>
          <cell r="C50" t="str">
            <v>English</v>
          </cell>
          <cell r="D50" t="str">
            <v>Español</v>
          </cell>
        </row>
        <row r="56">
          <cell r="B56" t="str">
            <v>Português</v>
          </cell>
          <cell r="C56" t="str">
            <v>English</v>
          </cell>
          <cell r="D56" t="str">
            <v>Español</v>
          </cell>
        </row>
        <row r="65">
          <cell r="B65" t="str">
            <v>Português</v>
          </cell>
          <cell r="C65" t="str">
            <v>English</v>
          </cell>
          <cell r="D65" t="str">
            <v>Español</v>
          </cell>
        </row>
        <row r="72">
          <cell r="B72" t="str">
            <v>Português</v>
          </cell>
          <cell r="C72" t="str">
            <v>English</v>
          </cell>
          <cell r="D72" t="str">
            <v>Español</v>
          </cell>
        </row>
        <row r="80">
          <cell r="B80" t="str">
            <v>Português</v>
          </cell>
          <cell r="C80" t="str">
            <v>English</v>
          </cell>
          <cell r="D80" t="str">
            <v>Español</v>
          </cell>
        </row>
        <row r="89">
          <cell r="B89" t="str">
            <v>Português</v>
          </cell>
          <cell r="C89" t="str">
            <v>English</v>
          </cell>
          <cell r="D89" t="str">
            <v>Español</v>
          </cell>
        </row>
        <row r="98">
          <cell r="B98" t="str">
            <v>Português</v>
          </cell>
          <cell r="C98" t="str">
            <v>English</v>
          </cell>
          <cell r="D98" t="str">
            <v>Español</v>
          </cell>
        </row>
        <row r="116">
          <cell r="B116" t="str">
            <v>Português</v>
          </cell>
          <cell r="C116" t="str">
            <v>English</v>
          </cell>
          <cell r="D116" t="str">
            <v>Español</v>
          </cell>
        </row>
      </sheetData>
      <sheetData sheetId="13"/>
      <sheetData sheetId="14"/>
      <sheetData sheetId="15"/>
      <sheetData sheetId="16"/>
      <sheetData sheetId="17"/>
      <sheetData sheetId="18"/>
      <sheetData sheetId="1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rsion Control"/>
      <sheetName val="General Information"/>
      <sheetName val="Proposal"/>
      <sheetName val="modulo_implantacao_dbp"/>
      <sheetName val="Modules"/>
      <sheetName val="Questions"/>
      <sheetName val="Hours Detail"/>
      <sheetName val="Integrations"/>
      <sheetName val="Summary"/>
      <sheetName val="Resume (English)"/>
      <sheetName val="TWS"/>
      <sheetName val="Assumptions Suggestion"/>
      <sheetName val="Alterações"/>
      <sheetName val="Listas (Hide)"/>
      <sheetName val="IDIOMA (hide)"/>
      <sheetName val="ESTRUTURA_MODULO(hide)"/>
      <sheetName val="BASE_FUNCOES (hide)"/>
      <sheetName val="SQL_FUNCOES_MARCH2020"/>
      <sheetName val="Aux_Tab_&amp;_SQL_Script"/>
      <sheetName val="Aux_Modulos"/>
      <sheetName val="TasyCORP-2020-April-1st"/>
      <sheetName val="MODULO_IMPLANTACAO-2020-April-3"/>
      <sheetName val="Anotações (Hide)"/>
    </sheetNames>
    <sheetDataSet>
      <sheetData sheetId="0" refreshError="1"/>
      <sheetData sheetId="1">
        <row r="4">
          <cell r="F4" t="str">
            <v>English</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4">
          <cell r="B4" t="str">
            <v>Português</v>
          </cell>
          <cell r="C4" t="str">
            <v>English</v>
          </cell>
          <cell r="D4" t="str">
            <v>Español</v>
          </cell>
        </row>
        <row r="13">
          <cell r="B13" t="str">
            <v>Português</v>
          </cell>
          <cell r="C13" t="str">
            <v>English</v>
          </cell>
          <cell r="D13" t="str">
            <v>Español</v>
          </cell>
        </row>
        <row r="17">
          <cell r="B17" t="str">
            <v>Português</v>
          </cell>
          <cell r="C17" t="str">
            <v>English</v>
          </cell>
          <cell r="D17" t="str">
            <v>Español</v>
          </cell>
        </row>
        <row r="43">
          <cell r="B43" t="str">
            <v>Português</v>
          </cell>
          <cell r="C43" t="str">
            <v>English</v>
          </cell>
          <cell r="D43" t="str">
            <v>Español</v>
          </cell>
        </row>
        <row r="50">
          <cell r="B50" t="str">
            <v>Português</v>
          </cell>
          <cell r="C50" t="str">
            <v>English</v>
          </cell>
          <cell r="D50" t="str">
            <v>Español</v>
          </cell>
        </row>
        <row r="56">
          <cell r="B56" t="str">
            <v>Português</v>
          </cell>
          <cell r="C56" t="str">
            <v>English</v>
          </cell>
          <cell r="D56" t="str">
            <v>Español</v>
          </cell>
        </row>
        <row r="65">
          <cell r="B65" t="str">
            <v>Português</v>
          </cell>
          <cell r="C65" t="str">
            <v>English</v>
          </cell>
          <cell r="D65" t="str">
            <v>Español</v>
          </cell>
        </row>
        <row r="72">
          <cell r="B72" t="str">
            <v>Português</v>
          </cell>
          <cell r="C72" t="str">
            <v>English</v>
          </cell>
          <cell r="D72" t="str">
            <v>Español</v>
          </cell>
        </row>
        <row r="79">
          <cell r="B79" t="str">
            <v>Português</v>
          </cell>
          <cell r="C79" t="str">
            <v>English</v>
          </cell>
          <cell r="D79" t="str">
            <v>Español</v>
          </cell>
        </row>
        <row r="88">
          <cell r="B88" t="str">
            <v>Português</v>
          </cell>
          <cell r="C88" t="str">
            <v>English</v>
          </cell>
          <cell r="D88" t="str">
            <v>Español</v>
          </cell>
        </row>
        <row r="97">
          <cell r="B97" t="str">
            <v>Português</v>
          </cell>
          <cell r="C97" t="str">
            <v>English</v>
          </cell>
          <cell r="D97" t="str">
            <v>Español</v>
          </cell>
        </row>
        <row r="115">
          <cell r="B115" t="str">
            <v>Português</v>
          </cell>
          <cell r="C115" t="str">
            <v>English</v>
          </cell>
          <cell r="D115" t="str">
            <v>Español</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ilips" refreshedDate="43756.647378819442" createdVersion="6" refreshedVersion="6" minRefreshableVersion="3" recordCount="702" xr:uid="{00000000-000A-0000-FFFF-FFFF00000000}">
  <cacheSource type="worksheet">
    <worksheetSource ref="B6:N705" sheet="Hours Detail"/>
  </cacheSource>
  <cacheFields count="13">
    <cacheField name="ID MODULE" numFmtId="0">
      <sharedItems containsString="0" containsBlank="1" containsNumber="1" containsInteger="1" minValue="3" maxValue="999"/>
    </cacheField>
    <cacheField name="MODULE" numFmtId="0">
      <sharedItems containsBlank="1"/>
    </cacheField>
    <cacheField name="ID FUNCTION" numFmtId="0">
      <sharedItems containsString="0" containsBlank="1" containsNumber="1" containsInteger="1" minValue="-1004" maxValue="99072"/>
    </cacheField>
    <cacheField name="DESCRIPTION FUNCTION" numFmtId="0">
      <sharedItems containsBlank="1"/>
    </cacheField>
    <cacheField name="Escopo Original" numFmtId="0">
      <sharedItems containsBlank="1"/>
    </cacheField>
    <cacheField name="SCOPE" numFmtId="0">
      <sharedItems containsBlank="1"/>
    </cacheField>
    <cacheField name="HOURS STANDARD IMPLANTATION" numFmtId="0">
      <sharedItems containsString="0" containsBlank="1" containsNumber="1" containsInteger="1" minValue="0" maxValue="190"/>
    </cacheField>
    <cacheField name="ADDITIONAL HOURS (QUESTIONS)" numFmtId="0">
      <sharedItems containsString="0" containsBlank="1" containsNumber="1" containsInteger="1" minValue="0" maxValue="240"/>
    </cacheField>
    <cacheField name="STANDARD HOURS + ADDITIONAL HOURS + PLATFORM" numFmtId="1">
      <sharedItems containsMixedTypes="1" containsNumber="1" minValue="0" maxValue="400"/>
    </cacheField>
    <cacheField name="STANDARD HOURS + ADDITIONAL HOURS + PLATFORM + V&amp;V" numFmtId="1">
      <sharedItems containsBlank="1" containsMixedTypes="1" containsNumber="1" containsInteger="1" minValue="1" maxValue="400"/>
    </cacheField>
    <cacheField name="VARIABLE HOURS JUSTIFICATION" numFmtId="0">
      <sharedItems/>
    </cacheField>
    <cacheField name="PHASE" numFmtId="0">
      <sharedItems containsBlank="1"/>
    </cacheField>
    <cacheField name="Deployment Wav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ilips" refreshedDate="44284.760625578703" createdVersion="6" refreshedVersion="6" minRefreshableVersion="3" recordCount="70" xr:uid="{2CA020F1-D603-4DF8-8670-B11EEE4CFB3C}">
  <cacheSource type="worksheet">
    <worksheetSource ref="K5:M75" sheet="Modules"/>
  </cacheSource>
  <cacheFields count="3">
    <cacheField name="Módulo" numFmtId="0">
      <sharedItems count="70">
        <s v="Cadastros e Funções Gerais"/>
        <s v="Gerenciador do Sistema"/>
        <s v="Relatórios"/>
        <s v="Recepção e Internação"/>
        <s v="Administração de Contratos (Preços)"/>
        <s v="Faturamento (Convênios e Particular)"/>
        <s v="Almoxarifado"/>
        <s v="Estoque"/>
        <s v="Agenda"/>
        <s v="SAC"/>
        <s v="Visitas"/>
        <s v="Prontuário Eletrônico"/>
        <s v="Prescrição Eletrônica"/>
        <s v="Suporte a Decisão Clínica"/>
        <s v="Enfermagem"/>
        <s v="Pronto Atendimento"/>
        <s v="Consultório Médico (Ambulatório)"/>
        <s v="Centro Cirúrgico"/>
        <s v="Atenção Primária"/>
        <s v="Laboratório"/>
        <s v="Exames"/>
        <s v="Check-up"/>
        <s v="Imunização"/>
        <s v="Banco de Sangue"/>
        <s v="Banco de Leite"/>
        <s v="Quimioterapia"/>
        <s v="Radioterapia"/>
        <s v="Hemodiálise"/>
        <s v="Transplantes"/>
        <s v="Anatomia Patológica"/>
        <s v="Medicina Preventiva"/>
        <s v="Nutrição"/>
        <s v="Higienização"/>
        <s v="Rouparia"/>
        <s v="Home Care"/>
        <s v="SAME"/>
        <s v="Controle de Infecção Hospitalar"/>
        <s v="CME - Central de Material Esterilizado"/>
        <s v="Qualidade"/>
        <s v="Treinamentos"/>
        <s v="SOS"/>
        <s v="Manutenção"/>
        <s v="Comunicação"/>
        <s v="Compras"/>
        <s v="Licitação"/>
        <s v="Farmácia"/>
        <s v="SUS AIH"/>
        <s v="SUS APAC"/>
        <s v="SUS BPA"/>
        <s v="Auditoria"/>
        <s v="Gestão de Autorizações"/>
        <s v="Contas a Pagar"/>
        <s v="Contas a Receber"/>
        <s v="Controle Bancário"/>
        <s v="Tesouraria"/>
        <s v="Fluxo de Caixa"/>
        <s v="Retorno de Convênios"/>
        <s v="Repasse a Terceiros"/>
        <s v="Orçamento Contábil"/>
        <s v="Patrimônio"/>
        <s v="Fiscal"/>
        <s v="Contabilidade"/>
        <s v="Custos"/>
        <s v="Projetos de Investimento"/>
        <s v="EIS"/>
        <s v="BSC"/>
        <s v="Aplicação Tasy WEB"/>
        <s v="Aplicação Tasy Palm"/>
        <s v="Aplicação Tasy iOS"/>
        <s v="Tasy Web Suite"/>
      </sharedItems>
    </cacheField>
    <cacheField name="Interesse?" numFmtId="0">
      <sharedItems/>
    </cacheField>
    <cacheField name="Área" numFmtId="0">
      <sharedItems count="12">
        <s v="Core do sistema"/>
        <s v="Atendimento"/>
        <s v="Assistencial"/>
        <s v="Diagnose e Terapia"/>
        <s v="Hotelaria"/>
        <s v="Apoio"/>
        <s v="Suprimentos"/>
        <s v="Faturamento"/>
        <s v="Financeiro"/>
        <s v="Controladoria"/>
        <s v="Gerencial"/>
        <s v="Mobilidade"/>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ilips" refreshedDate="44286.961571296299" createdVersion="6" refreshedVersion="6" minRefreshableVersion="3" recordCount="699" xr:uid="{00000000-000A-0000-FFFF-FFFF01000000}">
  <cacheSource type="worksheet">
    <worksheetSource ref="B6:N705" sheet="Hours Detail"/>
  </cacheSource>
  <cacheFields count="13">
    <cacheField name="ID MODULE" numFmtId="0">
      <sharedItems containsString="0" containsBlank="1" containsNumber="1" containsInteger="1" minValue="1" maxValue="999"/>
    </cacheField>
    <cacheField name="Produto" numFmtId="0">
      <sharedItems containsBlank="1"/>
    </cacheField>
    <cacheField name="MODULE" numFmtId="0">
      <sharedItems containsBlank="1" count="241">
        <s v="Inicialização"/>
        <s v="Instalação"/>
        <s v="Go Live"/>
        <s v="Inicialização - 2ª Onda"/>
        <s v="Go Live - 2ª Onda"/>
        <m/>
        <s v="Cadastros e Funções Gerais"/>
        <s v="Gerenciador do Sistema"/>
        <s v="Relatórios"/>
        <s v="Recepção e Internação"/>
        <s v="Administração de Contratos (Preços)"/>
        <s v="Faturamento (Convênios e Particular)"/>
        <s v="Almoxarifado"/>
        <s v="Estoque"/>
        <s v="Agenda"/>
        <s v="SAC"/>
        <s v="Visitas"/>
        <s v="Prontuário Eletrônico"/>
        <s v="Prescrição Eletrônica"/>
        <s v="Suporte a Decisão Clínica"/>
        <s v="Enfermagem"/>
        <s v="Pronto Atendimento"/>
        <s v="Consultório Médico (Ambulatório)"/>
        <s v="Centro Cirúrgico"/>
        <s v="Atenção Primária"/>
        <s v="Laboratório"/>
        <s v="Exames"/>
        <s v="Check-up"/>
        <s v="Imunização"/>
        <s v="Banco de Sangue"/>
        <s v="Banco de Leite"/>
        <s v="Quimioterapia"/>
        <s v="Radioterapia"/>
        <s v="Hemodiálise"/>
        <s v="Transplantes"/>
        <s v="Anatomia Patológica"/>
        <s v="Medicina Preventiva"/>
        <s v="Nutrição"/>
        <s v="Higienização"/>
        <s v="Rouparia"/>
        <s v="Home Care"/>
        <s v="SAME"/>
        <s v="Controle de Infecção Hospitalar"/>
        <s v="CME - Central de Material Esterilizado"/>
        <s v="Qualidade"/>
        <s v="Treinamentos"/>
        <s v="SOS"/>
        <s v="Manutenção"/>
        <s v="Comunicação"/>
        <s v="Compras"/>
        <s v="Licitação"/>
        <s v="Farmácia"/>
        <s v="SUS AIH"/>
        <s v="SUS APAC"/>
        <s v="SUS BPA"/>
        <s v="Auditoria"/>
        <s v="Gestão de Autorizações"/>
        <s v="Contas a Pagar"/>
        <s v="Contas a Receber"/>
        <s v="Controle Bancário"/>
        <s v="Tesouraria"/>
        <s v="Fluxo de Caixa"/>
        <s v="Retorno de Convênios"/>
        <s v="Repasse a Terceiros"/>
        <s v="Orçamento Contábil"/>
        <s v="Patrimônio"/>
        <s v="Fiscal"/>
        <s v="Contabilidade"/>
        <s v="Custos"/>
        <s v="Projetos de Investimento"/>
        <s v="EIS"/>
        <s v="BSC"/>
        <s v="Aplicação Tasy WEB"/>
        <s v="Aplicação Tasy Palm"/>
        <s v="Aplicação Tasy iOS"/>
        <s v="Tasy Web Suite"/>
        <s v="Instalação do Produto"/>
        <s v="Produtos"/>
        <s v="Comercial"/>
        <s v="Contratos e Beneficiários"/>
        <s v="Produção de Contas Médicas"/>
        <s v="Mensalidades"/>
        <s v="Informações ANS"/>
        <s v="Portal Web"/>
        <s v="Relacionamento"/>
        <s v="Gestão de Cooperados"/>
        <s v="Prestadores"/>
        <s v="Autorizações"/>
        <s v="Autorizações de Intercâmbio"/>
        <s v="Call Center"/>
        <s v="Análise de Contas Médicas"/>
        <s v="Contratos de Intercâmbio"/>
        <s v="Regras"/>
        <s v="Produção de Contas Médicas - Intercâmbio"/>
        <s v="Faturamento"/>
        <e v="#N/A"/>
        <s v="Primary Care" u="1"/>
        <s v="Cuentas por Cobrar" u="1"/>
        <s v="Emergency Department" u="1"/>
        <s v="Pathological Anatomy" u="1"/>
        <s v="OPS - Rede credenciada" u="1"/>
        <s v="Physician's office (Ambulatory)" u="1"/>
        <s v="Contabilidad" u="1"/>
        <s v="Inicio" u="1"/>
        <s v="Schedule" u="1"/>
        <s v="Laboratorio" u="1"/>
        <s v="Inicialización - 2ª ola" u="1"/>
        <s v="Hemodialysis" u="1"/>
        <s v="Visits" u="1"/>
        <s v="Exámenes" u="1"/>
        <s v="Chemotherapy" u="1"/>
        <s v="Cuentas por pagar" u="1"/>
        <s v="Laboratory " u="1"/>
        <s v="Inmunización" u="1"/>
        <s v="Transfer to third parties" u="1"/>
        <s v="Gestión de autorizaciones" u="1"/>
        <s v="Nursing " u="1"/>
        <s v="SUS BPA " u="1"/>
        <s v="Patrimonio" u="1"/>
        <s v="Radiotherapy" u="1"/>
        <s v="Operating Room" u="1"/>
        <s v="Consultório Médico (Ambulatorio)" u="1"/>
        <s v="Tasy Palm Aplication" u="1"/>
        <s v="Pharmacy" u="1"/>
        <s v="Go Live - 2ª ola" u="1"/>
        <s v="Hemodiálisis" u="1"/>
        <s v="Inicialización" u="1"/>
        <s v="Electronic Medical Record" u="1"/>
        <s v="OPS - Cooperativas médicas" u="1"/>
        <s v="Calidad" u="1"/>
        <s v="Palm" u="1"/>
        <s v="SUS AHA" u="1"/>
        <s v="Trasplantes" u="1"/>
        <s v="OPS - Intercâmbio" u="1"/>
        <s v="Cash Flow" u="1"/>
        <s v="Urgencias" u="1"/>
        <s v="Instalación" u="1"/>
        <s v="Initialization" u="1"/>
        <s v="OPS - Contratos e beneficiários" u="1"/>
        <s v="Asset" u="1"/>
        <s v="Licitación" u="1"/>
        <s v="Entrenamientos" u="1"/>
        <s v="OPS - Portal Web" u="1"/>
        <s v="Milk Bank" u="1"/>
        <s v="Anatomía Patológica" u="1"/>
        <s v="Aplicación Palm Tasy" u="1"/>
        <s v="Farmacia" u="1"/>
        <s v="Enfermería" u="1"/>
        <s v="Conventional Medical Record Archive" u="1"/>
        <s v="Health and Disease Management" u="1"/>
        <s v="Communication " u="1"/>
        <s v="Go Live - 2ª etapa" u="1"/>
        <s v="Facturación (Convenios y Particular)" u="1"/>
        <s v="iOS" u="1"/>
        <s v="Tesorería" u="1"/>
        <s v="Exams/Tests" u="1"/>
        <s v="Centro Quirúrgico" u="1"/>
        <s v="Go Live - 2nd Wave" u="1"/>
        <s v="Accounting Budget" u="1"/>
        <s v="Proyectos de Inversión" u="1"/>
        <s v="Electronic Prescription (orders)" u="1"/>
        <s v="EIS " u="1"/>
        <s v="Control Bancario" u="1"/>
        <s v="Gestión del sistema" u="1"/>
        <s v="Inicio - 2ª etapa" u="1"/>
        <s v="Administración de Contractos (Precios)" u="1"/>
        <s v="OPS - Contas médicas" u="1"/>
        <s v="Warehouse" u="1"/>
        <s v="Flujo de Efectivo" u="1"/>
        <s v="Prescripción electrónica" u="1"/>
        <s v="General Records and Functions" u="1"/>
        <s v="Registros y Funciones Generales" u="1"/>
        <s v="Tasy iOS Aplication" u="1"/>
        <s v="Tasy WEB Aplication" u="1"/>
        <s v="Nutrición" u="1"/>
        <s v="Ordenanza" u="1"/>
        <s v="OPS - Financeiro" u="1"/>
        <s v="Audit" u="1"/>
        <s v="Accounting " u="1"/>
        <s v="Archivo Clínico" u="1"/>
        <s v="Banking Management" u="1"/>
        <s v="OPS - Informações ANS" u="1"/>
        <s v="OPS - Web" u="1"/>
        <s v="Installation" u="1"/>
        <s v="OPS - Faturamento" u="1"/>
        <s v="Pago de Convenios" u="1"/>
        <s v="WEB" u="1"/>
        <s v="Higienización" u="1"/>
        <s v="Atención Primaria" u="1"/>
        <s v="Immunization " u="1"/>
        <s v="Billing (Insurance and Selfpayment)" u="1"/>
        <s v="Trainings" u="1"/>
        <s v="Traspaso a la terceros" u="1"/>
        <s v="Treasury" u="1"/>
        <s v="Maintenance" u="1"/>
        <s v="Health Insurance Refund" u="1"/>
        <s v="Reception and Admission" u="1"/>
        <s v="Soporte a la Decisión Clínica" u="1"/>
        <s v="Reports" u="1"/>
        <s v="OPS - Comercial" u="1"/>
        <s v="Accounts payable " u="1"/>
        <s v="Sanitization" u="1"/>
        <s v="Laundry" u="1"/>
        <s v="Aplicación WEB Tasy" u="1"/>
        <s v="OPS - Contabilidade" u="1"/>
        <s v="Clinical Decision Support" u="1"/>
        <s v="Costs" u="1"/>
        <s v="System Manager" u="1"/>
        <s v="Expediente electrónico" u="1"/>
        <s v="SMC - Sterilized Material Center" u="1"/>
        <s v="Investment Projects" u="1"/>
        <s v="Transplants" u="1"/>
        <s v="Banco de Leche" u="1"/>
        <s v="OPS - Mensalidades" u="1"/>
        <s v="Control de Infección Hospitalaria" u="1"/>
        <s v="Comunicación" u="1"/>
        <s v="Nosocomial Infection Surveillance" u="1"/>
        <s v="Informes" u="1"/>
        <s v="Authorization Management" u="1"/>
        <s v="Initialization - 2nd Wave" u="1"/>
        <s v="Recepción e Hospitalización" u="1"/>
        <s v="Purchases" u="1"/>
        <s v="Administration of Contracts (Prices)" u="1"/>
        <s v="Costos" u="1"/>
        <s v="Presupuesto Contable" u="1"/>
        <s v="Stock" u="1"/>
        <s v="Quality " u="1"/>
        <s v="Accounts receivable " u="1"/>
        <s v="BSC " u="1"/>
        <s v="Bidding " u="1"/>
        <s v="OPS - Atendimento" u="1"/>
        <s v="Aplicación iOS Tasy" u="1"/>
        <s v="Blood Bank" u="1"/>
        <s v="Mantenimiento" u="1"/>
        <s v="OPS - Produtos" u="1"/>
        <s v="Banco de Sangre" u="1"/>
        <s v="Customer Service" u="1"/>
        <s v="Ropería" u="1"/>
        <s v="Auditoría" u="1"/>
        <s v="Nutrition " u="1"/>
        <s v="OPS - Cadastro de pessoas" u="1"/>
      </sharedItems>
    </cacheField>
    <cacheField name="ID FUNCTION" numFmtId="0">
      <sharedItems containsBlank="1" containsMixedTypes="1" containsNumber="1" containsInteger="1" minValue="-1004" maxValue="99072"/>
    </cacheField>
    <cacheField name="DESCRIPTION FUNCTION" numFmtId="0">
      <sharedItems containsBlank="1" count="1085">
        <s v="Lançamento de Projetos"/>
        <s v="Validação da Instalação do Produto"/>
        <s v="Teste Piloto"/>
        <s v="Processo de Virada"/>
        <s v="Acompanhamento Pós-Virada"/>
        <m/>
        <s v="Cadastro Médico"/>
        <s v="Cadastro de CEP"/>
        <s v="Cadastro de Materiais"/>
        <s v="Cargas"/>
        <s v="Empresa/Estabelecimento/Contas/CC"/>
        <s v="Estrutura Atendimento"/>
        <s v="Exames e Procedimentos Internos"/>
        <s v="Pessoa Jurídica"/>
        <s v="Procedimentos"/>
        <s v="Tipos de Acomodação"/>
        <s v="Cadastro de Funcionários"/>
        <s v="Questionário"/>
        <s v="Avaliações "/>
        <s v="Cadastro Avaliações"/>
        <s v="Cadastro de Estrutura da Conta Paciente"/>
        <s v="Cadastro de Estruturas Internas"/>
        <s v="Cadastro de Transações Financeiras"/>
        <s v="Cadastros Financeiros"/>
        <s v="Protocolo Documento"/>
        <s v="Administração do Sistema"/>
        <s v="4Test"/>
        <s v="Data Privacy"/>
        <s v="Dashboard 4Test"/>
        <s v="Schematic4Test"/>
        <s v="Administração de Logs"/>
        <s v="Controle de Acesso"/>
        <s v="Gerenciador de Relatórios"/>
        <s v="Cadastro Completo de Pessoas"/>
        <s v="Entrada Única de Pacientes"/>
        <s v="Controle de Achados e Perdidos"/>
        <s v="Cadastro simplificado de Pessoas"/>
        <s v="Escala de Plantões e Sobreavisos"/>
        <s v="CIHA - Controle de Informação Hospitalar e Ambulatorial"/>
        <s v="Gerenciamento de Senhas"/>
        <s v="Mapa dos Setores"/>
        <s v="Gestão de Vagas"/>
        <s v="Movimentação de Pacientes"/>
        <s v="Ocupação Hospitalar"/>
        <s v="Recepção"/>
        <s v="Orçamento de Pacientes"/>
        <s v="Cadastro de Convênios, Preços e Regras"/>
        <s v="Parâmetros Faturamento"/>
        <s v="Simulador de Contas de Convênio"/>
        <s v="Regras de Lançamento Automático"/>
        <s v="Tabelas de Preços"/>
        <s v="Conta Paciente"/>
        <s v="Análise de Contas"/>
        <s v="Central de Faturamento"/>
        <s v="Gestão de Pendências da Conta do Paciente"/>
        <s v="Protocolo de pesquisa"/>
        <s v="Gestão de Pacotes"/>
        <s v="Protocolo Convênio"/>
        <s v="TISS - Reapresentação de Contas"/>
        <s v="Transferência entre Atendimentos"/>
        <s v="Atendimento da Requisição"/>
        <s v="Inspeção Recebimento"/>
        <s v="Nota fiscal"/>
        <s v="Requisição de Materiais e Medicamentos"/>
        <s v="Administração de Estoques"/>
        <s v="Controle Transferências de Estoque"/>
        <s v="Dispensário Eletrônico"/>
        <s v="Gestão das Caixas de OPME"/>
        <s v="Gestão de Produção de OPM"/>
        <s v="Agenda de Consultas"/>
        <s v="Agenda de Exames"/>
        <s v="Agenda de Serviços"/>
        <s v="Agenda Integrada"/>
        <s v="Gestão da Agenda Cirúrgica"/>
        <s v="Gestão de Atendimento Futuro"/>
        <s v="Painel de Chamadas do Agendamento"/>
        <s v="Boletim de Ocorrência"/>
        <s v="Controle de Sugestões"/>
        <s v="Controle de Visitas"/>
        <s v="Cadastros PEP"/>
        <s v="Prontuário Eletrônico Paciente - PEP"/>
        <s v="Emissão de Prontuários"/>
        <s v="Análise dos Parâmetros Assistenciais do Paciente - APAP"/>
        <s v="Cadastro de Protocolos"/>
        <s v="Oftalmologia"/>
        <s v="Diagnóstico Médico"/>
        <s v="Gestão de Acessos PEP"/>
        <s v="Certificação Digital"/>
        <s v="Gestão de Qualidade Assistencial  -  GQA"/>
        <s v="Gestão dos Planos Terapêuticos"/>
        <s v="Panorama Clínico"/>
        <s v="CPOE"/>
        <s v="Prescrição Eletrônica Paciente - Plano Terapêutico (REP - PT)"/>
        <s v="Mentor"/>
        <s v="Suporte à Decisão Clínica (SDC) - Mentor"/>
        <s v="Adm. Eletrônica da Prescrição - ADEP"/>
        <s v="Gestão da Administração Eletrônica da Prescrição"/>
        <s v="Gestão das Prescrições pela Enfermagem"/>
        <s v="Ocorrências no Turno de Trabalho"/>
        <s v="SAE - Sistematização da Assistência de Enfermagem"/>
        <s v="Classificação de Risco Manchester"/>
        <s v="Execução do Cartão Emergencial"/>
        <s v="Painel do Pronto Atendimento"/>
        <s v="Pronto atendimento"/>
        <s v="Prontuário Eletrônico Paciente (Ambulatório) "/>
        <s v="Avaliação pré-anestésica eletrônica - APAE"/>
        <s v="Cadastro dos Itens Peroperatórios"/>
        <s v="Ficha Anestésica Eletrônica do Paciente - FANEP"/>
        <s v="Gestão da Escala de Anestesistas"/>
        <s v="Gestão de Cirurgias"/>
        <s v="Prontuário Eletrônico Peroperatório - PEPO"/>
        <s v="Gestão populacional"/>
        <s v="Consulta de Exames"/>
        <s v="Consulta de Exames do Paciente"/>
        <s v="Consulta de Resultados"/>
        <s v="Digitação de Resultado de Exames Laboratoriais Externos"/>
        <s v="Emissão de Exames do Laboratório"/>
        <s v="Exames de Laboratório"/>
        <s v="Exames Pendentes"/>
        <s v="Gestão das Amostras"/>
        <s v="Impressão de Mapa de Exames Laboratoriais"/>
        <s v="Lote de Exame"/>
        <s v="Lote de Exames Externos"/>
        <s v="Painel de chamadas do laboratório"/>
        <s v="Painel de Informações Laboratoriais"/>
        <s v="Acompanhamento de Laudos"/>
        <s v="Central de Laudos"/>
        <s v="Digitação de Resultados de Exames No Laboratoriais Externos"/>
        <s v="Gestão de Entregas de Laudos"/>
        <s v="Gestão de Exames"/>
        <s v="Laudo Paciente"/>
        <s v="Medidas de Laudos"/>
        <s v="Painel de chamadas de exames"/>
        <s v="Registro da Localização dos Laudos"/>
        <s v="Infraestrutura Laudo"/>
        <s v="Check-up"/>
        <s v="Controle de Imunizações"/>
        <s v="Hemoterapia"/>
        <s v="Gestão de Banco de Leite "/>
        <s v="Agenda de Quimioterapia"/>
        <s v="Quimioterapia"/>
        <s v="Registro Hospitalar de Câncer"/>
        <s v="Ressuprimento quimioterapia"/>
        <s v="Transferência Estoque Quimioterapia"/>
        <s v="Gestão de Radioterapia"/>
        <s v="Painel de chamadas da radioterapia"/>
        <s v="Controle de Água"/>
        <s v="Gestão de Insuficiência Renal"/>
        <s v="Gestão de Transplante"/>
        <s v="Laudo de Anatomia patológica"/>
        <s v="HDM - Acompanhamento do Plano de Atendimento"/>
        <s v="HDM - Agenda"/>
        <s v="HDM - Atendimento"/>
        <s v="HDM - Cadastros Gerais"/>
        <s v="HDM - Captação"/>
        <s v="HDM - Configurações Gerais"/>
        <s v="HDM - Controle de Campanhas"/>
        <s v="HDM - Controle de Equipes e Papéis"/>
        <s v="HDM - Controle de Participantes"/>
        <s v="HDM - Grupos de Atendimento Coletivo"/>
        <s v="HDM - Pesquisa de População Alvo"/>
        <s v="HDM - Programas"/>
        <s v="HDM - Telemonitoramento"/>
        <s v="Cadastros de Nutrição"/>
        <s v="Gestão da Nutrição"/>
        <s v="Gestão de Reserva de Refeições"/>
        <s v="Painel de Serviços da Nutrição "/>
        <s v="Controle de Resíduos Hospitalares e Lixo"/>
        <s v="Gestão de Serviços de Leito"/>
        <s v="Rouparia"/>
        <s v="Gestão de Home Care"/>
        <s v="Controle de Prontuários"/>
        <s v="Gestão de Prontuários"/>
        <s v="Cadastro de Dispositivos Utilizados no Paciente"/>
        <s v="Ficha de Ocorrência  CIH"/>
        <s v="Gestão de CCIH"/>
        <s v="Gestão NISS"/>
        <s v="Liberação Medicamentos CIH"/>
        <s v="Registro de Ficha de Ocorrência"/>
        <s v="SINAN - Ficha de Notificação e Investigação"/>
        <s v="Cadastro de Itens Físicos"/>
        <s v="Gestão de CME"/>
        <s v="Requisição de Conjuntos"/>
        <s v="Avaliação de Profissionais"/>
        <s v="Gestão da Qualidade"/>
        <s v="Gestão de Acesso de Profissionais"/>
        <s v="Consulta da Qualidade"/>
        <s v="Gestão de Alertas e Eventos"/>
        <s v="Gestão de Treinamento"/>
        <s v="Treinamento"/>
        <s v="Serviços de Emergência"/>
        <s v="Cadastros da manutenção"/>
        <s v="Controle de Equipamentos"/>
        <s v="Controle de Temperatura dos Setores"/>
        <s v="Gestão de Ordens de Serviço"/>
        <s v="Ordem de Serviço (Nova)"/>
        <s v="Rota de inspeção"/>
        <s v="Comunicação interna"/>
        <s v="Particular"/>
        <s v="Aprovações Pendentes"/>
        <s v="Controle de Contratos"/>
        <s v="Cotação de Compra"/>
        <s v="Emissão da Solicitação de Compra"/>
        <s v="Emissão Solicitações/Ordem/Autorizações"/>
        <s v="Gestão da Avaliação de Produtos"/>
        <s v="Gestão de Fornecimento"/>
        <s v="Ordem compra"/>
        <s v="Solicitação de Compra"/>
        <s v="Registro de Licitação"/>
        <s v="Atendimento da Prescrição"/>
        <s v="Atendimento do Lote da Prescrição"/>
        <s v="Devolução Material Paciente"/>
        <s v="Emissão do Lote da Prescrição"/>
        <s v="Emissão dos Atendimentos (Req/Presc)"/>
        <s v="Execução Prescrição"/>
        <s v="Farmácia Ambulatorial"/>
        <s v="Gestão das Prescrições pela Farmácia Clínica"/>
        <s v="Gestão de Dispensação dos Processos ADEP - GEDIPA"/>
        <s v="Gestão dos Lotes da Dispensação"/>
        <s v="Liberação Medicamentos No Padronizados"/>
        <s v="Prescrição de Emergência"/>
        <s v="Produção de Medicamentos"/>
        <s v="Gestão SUS Unificado - GSU"/>
        <s v="SUS AIH"/>
        <s v="SUS APAC"/>
        <s v="SUS BPA"/>
        <s v="SUS FPO"/>
        <s v="Auditoria Conta Paciente"/>
        <s v="Autorização Convênio"/>
        <s v="Autorização de materiais especiais"/>
        <s v="Gerenciamento de Autorizações"/>
        <s v="Gestão de Autorizações SUS"/>
        <s v="Adiantamento Pago"/>
        <s v="Aprovação de Pagamentos"/>
        <s v="Borderô a Pagar"/>
        <s v="Controle de Notas de Crédito (a pagar)"/>
        <s v="Digitação de Cheques"/>
        <s v="Pagamento Escritural"/>
        <s v="Títulos a Pagar"/>
        <s v="Administração de Cheques"/>
        <s v="Borderô recebimento"/>
        <s v="Cobrança"/>
        <s v="Cobrança Escritural"/>
        <s v="Comunicação de Cobrança ao Paciente"/>
        <s v="Controle de Perdas do Contas a Receber"/>
        <s v="Digitação de Adiantamentos"/>
        <s v="Ficha Financeira"/>
        <s v="Gestão de Envio ao Órgão de Cobrança"/>
        <s v="Gestão de SPA (Solicitação de Providência Administrativa)"/>
        <s v="Manutenção de Títulos a Receber"/>
        <s v="Negociação de Contas a Receber"/>
        <s v="Parâmetros do Contas a Receber"/>
        <s v="Registro de Cobrança"/>
        <s v="Controle Bancário"/>
        <s v="Controle de Créditos No Identificados"/>
        <s v="Controle de Depósitos Identificados"/>
        <s v="Administração de Cartões"/>
        <s v="Tesouraria"/>
        <s v="Fluxo de Caixa"/>
        <s v="Gestão de Recurso de Glosas"/>
        <s v="Retorno Convênio"/>
        <s v="Cadastro de Plantões Médicos"/>
        <s v="Controle de Terceiros"/>
        <s v="Produção por Plantão Médico"/>
        <s v="Regras e Critérios de Repasse"/>
        <s v="Repasse para Terceiros"/>
        <s v="Orçamento Contábil"/>
        <s v="Planejamento Orçamentário"/>
        <s v="Controle de Patrimônio"/>
        <s v="Acompanhamento de Nota Fiscal Eletrônica"/>
        <s v="Acompanhamento de Tributos"/>
        <s v="Controle de Arrecadações"/>
        <s v="Fiscal"/>
        <s v="Contabilidade"/>
        <s v="Encontro de Contas"/>
        <s v="Geração do Lote Contábil"/>
        <s v="Parâmetros Contabilidade"/>
        <s v="Apuração de Custo"/>
        <s v="Cadastros Custos"/>
        <s v="Controle de Projetos e Recursos Externos"/>
        <s v="Gestão de Projetos e Investimentos"/>
        <s v="Cadastro de Indicadores"/>
        <s v="Dashboards"/>
        <s v="EIS Contas pendentes (nova)"/>
        <s v="Indicadores de Gestão"/>
        <s v="BSC - Balanced Scorecard"/>
        <s v="Avaliação Paciente Web"/>
        <s v="Boletim Ocorrência Web"/>
        <s v="Laboratório Web"/>
        <s v="Marcação agenda paciente Web"/>
        <s v="Portal Compras Web"/>
        <s v="Palm Web"/>
        <s v="iOS - Diagnósticos"/>
        <s v="iOS - Evoluções"/>
        <s v="iOS - Exames Laboratoriais"/>
        <s v="iOS - Exames No Laboratoriais"/>
        <s v="iOS - PEP"/>
        <s v="iOS - Sinais Vitais e Monitorização"/>
        <s v="Web Suite Agendamento do Paciente"/>
        <s v="Web Suite Resultado de Exames"/>
        <s v="Integrações"/>
        <s v="Sumário Eletrônico do Paciente - SUEP"/>
        <s v="Mapa de ocupação da quimioterapia"/>
        <s v="Prontuário Eletrônico de Paciente Ambulatorial - PEPA"/>
        <s v="Plano de Cuidado"/>
        <s v="OPS - Gestão de Dados Atuariais"/>
        <s v="OPS - Atualização do Movimento Contábil"/>
        <s v="OPS - Critérios Contábeis"/>
        <s v="OPS - Envio de arquivo GISS"/>
        <s v="OPS - Transferência Eletrônica de Dados (TED)"/>
        <s v="OPS - Auditoria Concorrente"/>
        <s v="OPS - Solicitação de Proposta Online"/>
        <s v="OPS - Aviso de Cobrança (A520)"/>
        <s v="OPS - Manutenção de Tabelas de Preço"/>
        <s v="OPS - Localizador de Grupos de Produtos"/>
        <s v="OPS - Localizador de Produtos de Saúde"/>
        <s v="OPS - Serviços e Coberturas Adicionais"/>
        <s v="OPS - Gestão de Operadoras"/>
        <s v="OPS - Cadastro de Produtos"/>
        <s v="OPS - Gestão de Vendedores e Comissões"/>
        <s v="OPS - Simulador de Preços"/>
        <s v="OPS - Declaração de Saúde"/>
        <s v="OPS - Proposta de Adesão Eletrônica"/>
        <s v="OPS - Portabilidade"/>
        <s v="OPS - Controle de Perícia Médica"/>
        <s v="OPS - Doenças e Lesões Preexistentes (DLP)"/>
        <s v="OPS - Controle de Comissões de Venda"/>
        <s v="OPS - Agravo"/>
        <s v="OPS - Análise para Adesão de Beneficiários"/>
        <s v="OPS - Gestão Comercial"/>
        <s v="OPS - Controle de Carteira de Identificação"/>
        <s v="OPS - Identificação de Beneficiários"/>
        <s v="OPS - Localizador de Beneficiários"/>
        <s v="OPS - Revisão de Cadastros de Pessoas"/>
        <s v="OPS - Mala Direta para Correspondência"/>
        <s v="OPS - Bonificações"/>
        <s v="OPS - Localizador de Tabelas de Preços"/>
        <s v="OPS - Cadastro Pessoa Física"/>
        <s v="OPS - Dossiê Beneficiário"/>
        <s v="OPS - Localizador de Serviços e Coberturas Adicionais"/>
        <s v="OPS - Localizador de Grupos de Contratos"/>
        <s v="OPS - Relacionamento com o Cliente (PJ)"/>
        <s v="OPS - Gestão de Contratos"/>
        <s v="OPS - Análise de Resultados"/>
        <s v="OPS - RPC - Reajuste de Planos Coletivos"/>
        <s v="OPS - Manutenção de Bonificações"/>
        <s v="OPS - Programação de Reajuste Coletivo"/>
        <s v="OPS - Manutenção de Carências"/>
        <s v="OPS - Reajuste de Preços de Beneficiários (Nova)"/>
        <s v="OPS - Gestão de Rescisão de Contrato"/>
        <s v="OPS - Produção - Digitação de Consultas"/>
        <s v="OPS - Produção - Digitação de SP/SADT"/>
        <s v="OPS - Produção - Digitação de Internações"/>
        <s v="OPS - Controle de Processos de Ressarcimento"/>
        <s v="OPS - Controle de Reembolsos"/>
        <s v="OPS - Gestão de Contas Médicas"/>
        <s v="OPS - Análise de Contas Médicas"/>
        <s v="OPS - Odontograma"/>
        <s v="OPS - Produção - Processos de Contas Médicas"/>
        <s v="OPS - Produção - Recurso de Glosa"/>
        <s v="OPS - Pagamentos de Prestadores"/>
        <s v="OPS - Controle de Produção Médica"/>
        <s v="OPS - Registro de Devolução de Guias de Cobrança"/>
        <s v="OPS - Produção - Ajuste de Valorização"/>
        <s v="OPS - Controle de Eventos e Ocorrências Financeiras"/>
        <s v="OPS - Localizador de Pagadores"/>
        <s v="OPS - Mensalidade"/>
        <s v="OPS - Controle de Notificações de Atraso"/>
        <s v="OPS - Lançamentos Programados"/>
        <s v="OPS - Geração de Boletos"/>
        <s v="OPS - AME - Arquivos de Mensalidade Empresarial"/>
        <s v="OPS - Gestão de Envio de E-mails"/>
        <s v="OPS - Valores Pendentes"/>
        <s v="OPS - Manutenção do Cadastro do Pagador"/>
        <s v="OPS - Monitoramento ANS - Envio de dados para ANS"/>
        <s v="OPS - SIB ANS - Sistema de Informação de Beneficiários"/>
        <s v="OPS - Taxa de Saúde Suplementar"/>
        <s v="OPS - DIOPS - Documento de Informações Periódicas"/>
        <s v="OPS - Provisões Técnicas"/>
        <s v="OPS - Registro de Planos de Saúde (RPS)"/>
        <s v="OPS - Radar TISS"/>
        <s v="OPS - SIP - Sistema de Informações de Produtos"/>
        <s v="OPS - Envio de Informações Cadastrais de Prestadores Médicos (CPM)"/>
        <s v="OPS - Portal Web"/>
        <s v="OPS - Gestão de Contratos Coletivos para Relacionamento"/>
        <s v="OPS - Escriturações de Quotas de Cooperados"/>
        <s v="OPS - Gestão de Cooperados"/>
        <s v="OPS - Geração do SEFIP e E-Social"/>
        <s v="OPS - Prestadores"/>
        <s v="OPS - Localizador de Grupos de Prestadores"/>
        <s v="OPS - Manutenção de Conversões de Itens"/>
        <s v="OPS - Localizador de Grupos de Serviços"/>
        <s v="OPS - Gestão de Pacotes"/>
        <s v="OPS - Controle de Locais de Atendimento"/>
        <s v="OPS - Movimentação Cadastral de Prestador (A400)"/>
        <s v="OPS - Tabelas de Preços"/>
        <s v="OPS - Localizador de Prestadores"/>
        <s v="OPS - Guia Médico"/>
        <s v="OPS - Cadastro de Materiais"/>
        <s v="OPS - Consulta de Preços"/>
        <s v="OPS - Cargas"/>
        <s v="OPS - Localizador de Operadoras"/>
        <s v="OPS - Cooperativas Médicas"/>
        <s v="OPS - Processo Judicial"/>
        <s v="OPS - Autorizações"/>
        <s v="OPS - Solicitações Elegibilidade TISS"/>
        <s v="OPS - Execução da Requisição para Autorização"/>
        <s v="OPS - Autorização Anexo Guias"/>
        <s v="OPS - Emissão de Requisição/Guia em Lote"/>
        <s v="OPS - Controle de Liberação de Atendimento Web"/>
        <s v="OPS - Comunicação de Internação ou Alta do Beneficiário"/>
        <s v="OPS - Comunicação de Acidente de Trabalho (CAT)"/>
        <s v="OPS - Requisições para Autorização"/>
        <s v="OPS - Gestão de Análise de Autorizações"/>
        <s v="OPS - Orçamento"/>
        <s v="OPS - Comunicação Externa Web"/>
        <s v="OPS - Beneficiário em Tratamento"/>
        <s v="OPS - Gestão de Alertas e Eventos"/>
        <s v="OPS - Localizador de Guia Referência"/>
        <s v="OPS - Serviço SCS"/>
        <s v="OPS - Software de Comunicação Segura (SCS)"/>
        <s v="OPS - Autorizações Intercâmbio"/>
        <s v="OPS - Controle de Usuários Eventuais"/>
        <s v="OPS - Ordem de Serviço Intercâmbio"/>
        <s v="OPS - Manutenção de Processos Operacionais do Autorizador"/>
        <s v="OPS - Gestão de Protocolos de Atendimento"/>
        <s v="OPS - Painel de Ocorrências"/>
        <s v="OPS - Gestão de Análise de Produção Médica"/>
        <s v="OPS - Análise de Contas Médicas (Nova)"/>
        <s v="OPS - Análise de Custo Pós-Estabelecido"/>
        <s v="OPS - Controle dos Grupos de Análise"/>
        <s v="OPS - Movimentação Cadastral de Beneficiários"/>
        <s v="OPS - Consulta Dados Beneficiário Intercâmbio"/>
        <s v="OPS - Operadoras Congêneres"/>
        <s v="OPS - Contratos de Intercâmbio"/>
        <s v="OPS - Movimentação Cadastral de SCA"/>
        <s v="OPS - Regras de Lançamento Automático"/>
        <s v="OPS - Cadastro de Regras"/>
        <s v="OPS - Glosas e Ocorrências"/>
        <s v="OPS - Regras e Critérios de Preço"/>
        <s v="OPS - Análise de Discussão da Contestação e Recurso de Glosa"/>
        <s v="OPS - Seleção de Itens da Contestação e Recurso de Glosa"/>
        <s v="OPS - Inconsistências de Intercâmbio"/>
        <s v="OPS - Fatura de Uso Geral (A580)"/>
        <s v="OPS - Prestadores de Intercâmbio"/>
        <s v="OPS - Controle de Contestações"/>
        <s v="OPS - Consulta Dados Prestador Intercâmbio"/>
        <s v="OPS - Contas de Intercâmbio"/>
        <s v="OPS - Câmara de Compensação"/>
        <s v="OPS - Faturamento Intercâmbio de Pré-Pagamento"/>
        <s v="OPS - Movimentação de Serviços Prestados em Pré-Pagamento"/>
        <s v="OPS - Faturas para Câmara de Compensação (A600)"/>
        <s v="OPS - Monitoramento Financeiro"/>
        <s v="OPS - Faturamento"/>
        <s v="OPS - Ajustes para Refaturamento"/>
        <s v="OPS - Recursos de Glosas de Empresas"/>
        <s v="OPS - Módulo de Inadimplência (A510)"/>
        <s v="OPS - Controle de Coparticipações e Pós-estabelecidos"/>
        <s v="Gestión de Proyectos e Inversiones" u="1"/>
        <s v="Traspaso para Terceros" u="1"/>
        <s v="Gestión de los Lotes de la Dispensación" u="1"/>
        <s v="Incident Report" u="1"/>
        <s v="Ficha Financiera" u="1"/>
        <s v="Registro de Transacciones Financieras" u="1"/>
        <s v="Notification and Investigation Form" u="1"/>
        <s v="Prueba piloto" u="1"/>
        <s v="Comunicación de Cobranza para el Paciente" u="1"/>
        <s v="iOS - Non-Laboratory Tests" u="1"/>
        <s v="Registro de Hospitales de Cáncer" u="1"/>
        <s v="Acompañamiento después de Go Live" u="1"/>
        <s v="Medical report Location Registry" u="1"/>
        <e v="#N/A" u="1"/>
        <s v="Lost and Found Control" u="1"/>
        <s v="Contract Control" u="1"/>
        <s v="Liberación Medicamentos CIH" u="1"/>
        <s v="Atención al cliente" u="1"/>
        <s v="Electronic Dispensary" u="1"/>
        <s v="Product Installation Validation" u="1"/>
        <s v="Electronic Patient Record (Ambulatory)" u="1"/>
        <s v="HDM - Programs" u="1"/>
        <s v="Control de Terceros" u="1"/>
        <s v="Internal Structure Record" u="1"/>
        <s v="Report Delivery Management" u="1"/>
        <s v="Receivables negotiation" u="1"/>
        <s v="iOS - Estudios de Gabinete" u="1"/>
        <s v="Meal Reservation Management" u="1"/>
        <s v="Financial transaction record" u="1"/>
        <s v="OPSW - Simulador de Preços" u="1"/>
        <s v="Expediente Clínico Quirúrgico - ECEO" u="1"/>
        <s v="Gestión de Accesos ECE" u="1"/>
        <s v="Autorización Convenio" u="1"/>
        <s v="Auditoría Cuenta Paciente" u="1"/>
        <s v="Gestión de actualizaciones de SUS" u="1"/>
        <s v="Department Map" u="1"/>
        <s v="Company/Establishment/Accounts/Cost Center" u="1"/>
        <s v="Invoice" u="1"/>
        <s v="Registro de ítems Físicos" u="1"/>
        <s v="OPSW - Chat" u="1"/>
        <s v="Flujo de Efectivo" u="1"/>
        <s v="Healthcare Quality Management - HQM" u="1"/>
        <s v="Supply Management" u="1"/>
        <s v="HDM - Atención" u="1"/>
        <s v="System Administration " u="1"/>
        <s v="Digitación de Anticipos" u="1"/>
        <s v="Internal Communication" u="1"/>
        <s v="Private " u="1"/>
        <s v="Gestión de la Agenda Quirúrgica" u="1"/>
        <s v="Control de Temperatura de los Sectores" u="1"/>
        <s v="Billing Center" u="1"/>
        <s v="Receipt inspection" u="1"/>
        <s v="Parámetros Facturación" u="1"/>
        <s v="Aprobaciones Pendientes" u="1"/>
        <s v="OPS - Mensalidades Portal Web" u="1"/>
        <s v="Cotización de Compra" u="1"/>
        <s v="HDM - Core Tables Settings" u="1"/>
        <s v="OPSW - Solicitações Pendentes" u="1"/>
        <s v="Immunization Control" u="1"/>
        <s v="Gestión de Atención Futura" u="1"/>
        <s v="Package Requisition" u="1"/>
        <s v="Accounting Parameters" u="1"/>
        <s v="Structured Assessments Settings" u="1"/>
        <s v="Escala de Guardias y Sobreavisos" u="1"/>
        <s v="OPSW - Digitação de Contas Médicas" u="1"/>
        <s v="Registro Evaluaciones" u="1"/>
        <s v="Master Person Index" u="1"/>
        <s v="Medical report measures" u="1"/>
        <s v="Radiotherapy call panel" u="1"/>
        <s v="Ficha Anestésica Electrónica del Paciente - FAEP" u="1"/>
        <s v="HDM - Captación" u="1"/>
        <s v="Gestión de Hemodiálisis" u="1"/>
        <s v="Account Analysis" u="1"/>
        <s v="Registro de Licitación" u="1"/>
        <s v="Registros Financieros" u="1"/>
        <s v="Order Batch Dispensation" u="1"/>
        <s v="Requisición de Materiales y Medicamentos" u="1"/>
        <s v="TISS - Account Forwarding" u="1"/>
        <s v="Cash Flow" u="1"/>
        <s v="Therapeutic Plans Management" u="1"/>
        <s v="Sample Management" u="1"/>
        <s v="iOS - Exámenes de Laboratorio" u="1"/>
        <s v="HDM - Control de Equipos y Papeles" u="1"/>
        <s v="Digital Certification" u="1"/>
        <s v="Consulta de Exámenes del Paciente" u="1"/>
        <s v="OPS - Reajuste de Preços de Beneficiários" u="1"/>
        <s v="Gestión de la Nutrición" u="1"/>
        <s v="Chemotherapy Stock Transfer" u="1"/>
        <s v="Agenda de Exámenes" u="1"/>
        <s v="Issuing Requests/Order/Authorizations" u="1"/>
        <s v="Visitor Control" u="1"/>
        <s v="OPSW - Comunicação de Internação ou Alta do Beneficiário" u="1"/>
        <s v="Interpretaciones de exámenes" u="1"/>
        <s v="Bed Management" u="1"/>
        <s v="Structured Assessments" u="1"/>
        <s v="OPS - Controle de Correspondência Digital" u="1"/>
        <s v="Gestor de Reportes" u="1"/>
        <s v="Prescription Electronic Administration Management" u="1"/>
        <s v="Structured Nursing Care Process - SNCP" u="1"/>
        <s v="Casos no Turno de Trabajo" u="1"/>
        <s v="Cobranza escritural" u="1"/>
        <s v="Ejecución Prescripción" u="1"/>
        <s v="Receivables Loss Control" u="1"/>
        <s v="Accounting Batch Generation" u="1"/>
        <s v="Gestión de Planes Terapéuticos" u="1"/>
        <s v="OPSM Boxes Management" u="1"/>
        <s v="Indicator Record" u="1"/>
        <s v="HDM - General Settings" u="1"/>
        <s v="Gestión de Cuentas por Cobrar" u="1"/>
        <s v="Electronic Patient Chart Access Management" u="1"/>
        <s v="NIS Incident Form" u="1"/>
        <s v="Accounts Receivable Parameters" u="1"/>
        <s v="Banco de sangre" u="1"/>
        <s v="OPS - Desconto em Folha" u="1"/>
        <s v="Financial Records" u="1"/>
        <s v="Evaluación de Profesionales" u="1"/>
        <s v="Catálogo Completo de Personas" u="1"/>
        <s v="Digitación de Cheques" u="1"/>
        <s v="Issuance of Lab Tests" u="1"/>
        <s v="Exámenes de Laboratorio" u="1"/>
        <s v="Electronic Pre-Anesthetic Assessment" u="1"/>
        <s v="OPSW - Contas Médicas" u="1"/>
        <s v="Gestión unificada del SUS - SUM" u="1"/>
        <s v="Registro de los ítems Quirúrgicos" u="1"/>
        <s v="Hemotherapy" u="1"/>
        <s v="Integrations" u="1"/>
        <s v="iOS - Laboratory Tests" u="1"/>
        <s v="Management of Patient Account Pendencies" u="1"/>
        <s v="OPSW - Médicos" u="1"/>
        <s v="Accounting Budget" u="1"/>
        <s v="Tipos de Unidad de Atención" u="1"/>
        <s v="HDM - Telemonitoreo" u="1"/>
        <s v="OPSW - Gestão de Cooperados" u="1"/>
        <s v="Ocupación Hospitalaria" u="1"/>
        <s v="E-Collection" u="1"/>
        <s v="Gestión de la Administración Electrónica de la Prescripción" u="1"/>
        <s v="OPSW - Controle de Locais de Atendimento" u="1"/>
        <s v="Control de Proyectos y Recursos Externos" u="1"/>
        <s v="Transplant Management" u="1"/>
        <s v="Lab call panel" u="1"/>
        <s v="Reglas y Criterios de Traspaso" u="1"/>
        <s v="Registro de Guardias Médicas" u="1"/>
        <s v="Acompañamiento de Impuestos" u="1"/>
        <s v="HDM - Target Population Search" u="1"/>
        <s v="Medical diagnosis" u="1"/>
        <s v="Gestión de Autorizaciones" u="1"/>
        <s v="Panel de Informaciones de Laboratorio" u="1"/>
        <s v="OPSW - Prestadores" u="1"/>
        <s v="Control de Residuos Hospitalarios y Basura" u="1"/>
        <s v="Farmacia ambulatorial" u="1"/>
        <s v="Order Processing" u="1"/>
        <s v="Prescripción Electrónica Paciente - Plan Terapéutico (REP - PT)" u="1"/>
        <s v="Expediente Clínico Electrónico - ECE" u="1"/>
        <s v="Registro de Ficha de Caso" u="1"/>
        <s v="Agenda de Servicios" u="1"/>
        <s v="OPSW - Portal Web" u="1"/>
        <s v="Billing Parameters" u="1"/>
        <s v="OPSW - Comunicação de Acidente de Trabalho (CAT)" u="1"/>
        <s v="Radiotherapy Management" u="1"/>
        <s v="NIS Management" u="1"/>
        <s v="Shift and On-call Schedule" u="1"/>
        <s v="Orden compra" u="1"/>
        <s v="Third Party Control" u="1"/>
        <s v="Ficha de Caso CIH" u="1"/>
        <s v="Empresa/Establecimiento/Cuentas/CC" u="1"/>
        <s v="Purchase Request" u="1"/>
        <s v="Document Protocol" u="1"/>
        <s v="Transfer between encounters" u="1"/>
        <s v="Electronic Patient Chart" u="1"/>
        <s v="Control de recaudaciones" u="1"/>
        <s v="OPSW - Guia Médico" u="1"/>
        <s v="Physical Items Record" u="1"/>
        <s v="Report Manager" u="1"/>
        <s v="Suggestion Control" u="1"/>
        <s v="Gestión de Paquetes" u="1"/>
        <s v="OPS - Cargas (Nova)" u="1"/>
        <s v="Nutrition Services Panel" u="1"/>
        <s v="Laboratory Tests" u="1"/>
        <s v="Electronic Outpatient Record" u="1"/>
        <s v="Entrenamiento" u="1"/>
        <s v="Non-Standard Medicines Release" u="1"/>
        <s v="Gestión de las Prescripciones por la Farmacia Clínica" u="1"/>
        <s v="Presupuesto Contable" u="1"/>
        <s v="Anesthetist Work Schedule Management" u="1"/>
        <s v="Panel de Llamadas de la Programación" u="1"/>
        <s v="Facturas" u="1"/>
        <s v="Evaluación Paciente Web" u="1"/>
        <s v="Autorización de materiales especiales" u="1"/>
        <s v="Hospital Occupancy" u="1"/>
        <s v="iOS - Vital Signs and Monitoring" u="1"/>
        <s v="Gestión de la población" u="1"/>
        <s v="Pending Approvals" u="1"/>
        <s v="Cost Records" u="1"/>
        <s v="Panel de llamadas de exámenes" u="1"/>
        <s v="Protocolo de Encuesta" u="1"/>
        <s v="Patient Account Audit" u="1"/>
        <s v="HDM - Campaign Control" u="1"/>
        <s v="Validación de la instalación del producto" u="1"/>
        <s v="Kick Off de Proyectos" u="1"/>
        <s v="Exámenes Pendientes" u="1"/>
        <s v="Questionnaire" u="1"/>
        <s v="Transferencia Stock Quimioterapia" u="1"/>
        <s v="Medicine Production" u="1"/>
        <s v="Clinical Decision Support - Mentor" u="1"/>
        <s v="Log's Administration" u="1"/>
        <s v="Banking Management" u="1"/>
        <s v="Service Order" u="1"/>
        <s v="Gestión de CEYE" u="1"/>
        <s v="Clinical Panorama" u="1"/>
        <s v="Emisión del Lote de la Prescripción" u="1"/>
        <s v="Atención de la Requisición" u="1"/>
        <s v="Prescripción de Emergencia" u="1"/>
        <s v="Registro de Estructuras Internas" u="1"/>
        <s v="Follow-up After Go Live" u="1"/>
        <s v="Tablas de Precios" u="1"/>
        <s v="Administración de Tarjetas" u="1"/>
        <s v="Order Dispensation" u="1"/>
        <s v="Control de Expedientes" u="1"/>
        <s v="Results Check" u="1"/>
        <s v="Authorization Management" u="1"/>
        <s v="iOS - Diagnosis" u="1"/>
        <s v="Cadastro Yesplificado de Pessoas" u="1"/>
        <s v="Integrated Schedule" u="1"/>
        <s v="Cálculo de Costos" u="1"/>
        <s v="Parámetros Contabilidad" u="1"/>
        <s v="Certificación Digital" u="1"/>
        <s v="OPSW - Recurso de Glosa de Conta Médica" u="1"/>
        <s v="Patient medical report" u="1"/>
        <s v="HDM - Participant Control" u="1"/>
        <s v="iOS - Signos Vitales y Monitorización" u="1"/>
        <s v="CSSD Management" u="1"/>
        <s v="Registro de Protocolos" u="1"/>
        <s v="Chemotherapy" u="1"/>
        <s v="Persona Moral" u="1"/>
        <s v="Estructura Atención" u="1"/>
        <s v="OPSW - Localizador de Beneficiários" u="1"/>
        <s v="Liberação Medicamentos Não Padronizados" u="1"/>
        <s v="Charging Notification to Patient" u="1"/>
        <s v="eMAR - Electronic Medication Administration Record" u="1"/>
        <s v="Schedule Call Panel " u="1"/>
        <s v="Orden de Servicio (Nueva)" u="1"/>
        <s v="Acompañamiento de Factura Electrónica" u="1"/>
        <s v="Panel de Servicios de Nutrición" u="1"/>
        <s v="Chemotherapy Resupply" u="1"/>
        <s v="Simulador de Cuentas de Convenio" u="1"/>
        <s v="Registros Costos" u="1"/>
        <s v="Bidding Register" u="1"/>
        <s v="Gestión NIS" u="1"/>
        <s v="Ficha de Notificación e Investigación" u="1"/>
        <s v="Exam Schedule " u="1"/>
        <s v="Registro de Cobranza" u="1"/>
        <s v="Registro de Indicadores" u="1"/>
        <s v="Movimiento de Pacientes" u="1"/>
        <s v="External Non-Lab Results Entry" u="1"/>
        <s v="Employees Record" u="1"/>
        <s v="Generación de la Póliza" u="1"/>
        <s v="Patient Account Structure Record" u="1"/>
        <s v="Inspección Recepción" u="1"/>
        <s v="OPSW - Rol de Procedimentos" u="1"/>
        <s v="Comunicación Interna" u="1"/>
        <s v="Cuenta Paciente" u="1"/>
        <s v="Access Control" u="1"/>
        <s v="Control de Pérdidas de Cuentas por Cobrar" u="1"/>
        <s v="Research Protocol" u="1"/>
        <s v="Calificación de riesgo Manchester" u="1"/>
        <s v="Consulta de Exámenes" u="1"/>
        <s v="Laboratory Management/LIS" u="1"/>
        <s v="Kidney Failure Management" u="1"/>
        <s v="Suite de Programación de Pacientes Web" u="1"/>
        <s v="Emisión de la Solicitud de Compra" u="1"/>
        <s v="Cost Calculation" u="1"/>
        <s v="Aprobación de Pagos" u="1"/>
        <s v="Quality Management " u="1"/>
        <s v="Administración de logs" u="1"/>
        <s v="Integraciones" u="1"/>
        <s v="Yesulador de Cuentas de Convenio" u="1"/>
        <s v="Dispensación de Prescripciones" u="1"/>
        <s v="OPS - Controle de cotação" u="1"/>
        <s v="Inspection Route" u="1"/>
        <s v="Transfer Rules and Criteria" u="1"/>
        <s v="Web Patient Assessment" u="1"/>
        <s v="OPSW - Execução da Requisição para Autorização" u="1"/>
        <s v="Emisión Solicitudes/Orden/Autorizaciones" u="1"/>
        <s v="Web Laboratory" u="1"/>
        <s v="HDM - Encounter" u="1"/>
        <s v="Registro de Convenios, Precios y Normas" u="1"/>
        <s v="Risk Rating Manchester" u="1"/>
        <s v="Transfer to Third Parties" u="1"/>
        <s v="Lab tests check" u="1"/>
        <s v="Gestión de Cirugías" u="1"/>
        <s v="EIS Cuentas pendientes (nueva)" u="1"/>
        <s v="Approval of Payments" u="1"/>
        <s v="Perioperative Electronic Patient Chart" u="1"/>
        <s v="Registro de CP" u="1"/>
        <s v="Infraestructura Interpretación" u="1"/>
        <s v="Controle de Créditos não Identificados" u="1"/>
        <s v="Mapa de ocupación de quimioterapia" u="1"/>
        <s v="Impresión de Mapa de Exámenes ce Laboratorio" u="1"/>
        <s v="OPSW - Autorizações" u="1"/>
        <s v="Web patient schedule consultation" u="1"/>
        <s v="Alerts and Events Management" u="1"/>
        <s v="Price Chart" u="1"/>
        <s v="HDM - Investigación de Población Objetivo" u="1"/>
        <s v="Servicios de Emergencia" u="1"/>
        <s v="Exam Batch" u="1"/>
        <s v="Collection Record" u="1"/>
        <s v="OPSW - Identificação de beneficiário" u="1"/>
        <s v="Bordereau Payable" u="1"/>
        <s v="OPS - Faturamento Intercâmbio de Pré-Pagamento (A800)" u="1"/>
        <s v="Surgical Schedule Management" u="1"/>
        <s v="Análisis de Cuentas" u="1"/>
        <s v="Check Entry" u="1"/>
        <s v="Requisition Processing" u="1"/>
        <s v="Anticipo Pago" u="1"/>
        <s v="Attendance Issuing (Reg/Presc)" u="1"/>
        <s v="Gestión de Recurso de Rechazos" u="1"/>
        <s v="Gestión de Servicios de Cama" u="1"/>
        <s v="OPSW - Comunicação Externa Web" u="1"/>
        <s v="EIS Pending Accounts" u="1"/>
        <s v="Digitação de Resultados de Exames Não Laboratoriais Externos" u="1"/>
        <s v="Dispensario Electrónico" u="1"/>
        <s v="Patient Exams Consultation" u="1"/>
        <s v="Assessment of Professionals" u="1"/>
        <s v="Hospital Cancer Registry" u="1"/>
        <s v="NIS Management " u="1"/>
        <s v="Postal Code Record" u="1"/>
        <s v="Accounts Payable" u="1"/>
        <s v="OPSW - Questionário" u="1"/>
        <s v="Encuentro de Cuentas" u="1"/>
        <s v="Advance Paid" u="1"/>
        <s v="Loads" u="1"/>
        <s v="Rota de Inspección" u="1"/>
        <s v="Resultados del examen Web Suite" u="1"/>
        <s v="Gestión de Home Care" u="1"/>
        <s v="Requisición de Conjuntos" u="1"/>
        <s v="Pago de Convenio" u="1"/>
        <s v="SAE - Sistematización de la Asistencia de Enfermería" u="1"/>
        <s v="iOS - ECE" u="1"/>
        <s v="Incident Form Register" u="1"/>
        <s v="Tax Follow-Up" u="1"/>
        <s v="Call panel for exams" u="1"/>
        <s v="Internal Exams and Procedures" u="1"/>
        <s v="Indicadores de Gestión" u="1"/>
        <s v="Electronic Patient Summary" u="1"/>
        <s v="Ropería" u="1"/>
        <s v="Registro electrónico del paciente (ambulatorio)" u="1"/>
        <s v="Medidas de Interpretaciones" u="1"/>
        <s v="Transferencia entre Atenciones" u="1"/>
        <s v="Adm. Electrónica de la Prescripción - ADEP" u="1"/>
        <s v="Deed Payment" u="1"/>
        <s v="Emergency Services" u="1"/>
        <s v="OPS - Controle de Inadimplência" u="1"/>
        <s v="Identified Cash Deposits Control" u="1"/>
        <s v="Gestión de las Cajas de OPME" u="1"/>
        <s v="Patient Quotation" u="1"/>
        <s v="Emergency Department" u="1"/>
        <s v="Urgencias" u="1"/>
        <s v="OPSW - Relatórios" u="1"/>
        <s v="Management of future encounter" u="1"/>
        <s v="Purchase order" u="1"/>
        <s v="Gestión de Pendientes de la Cuenta del Paciente" u="1"/>
        <s v="HDM - Invitation" u="1"/>
        <s v="Printing of Laboratory Tests Map" u="1"/>
        <s v="Accommodation Types" u="1"/>
        <s v="Administración del Sistema" u="1"/>
        <s v="Ophthalmology " u="1"/>
        <s v="TISS - Reenvío de Cuentas" u="1"/>
        <s v="Tesorería" u="1"/>
        <s v="Billing" u="1"/>
        <s v="Insurance, Prices and Rules Record" u="1"/>
        <s v="Physician Record" u="1"/>
        <s v="Report Monitoring" u="1"/>
        <s v="Nutrition Management" u="1"/>
        <s v="Computerized Provider Order Entry - Therapeutic Plan (CPOE)" u="1"/>
        <s v="Hospital Waste and Garbage Control" u="1"/>
        <s v="AAR (Administrative Action Request) Management" u="1"/>
        <s v="Emergency Order" u="1"/>
        <s v="Automatic Entry Rules" u="1"/>
        <s v="Exámenes y Procedimientos Internos" u="1"/>
        <s v="Project Launching" u="1"/>
        <s v="Resurtimiento quimioterapia" u="1"/>
        <s v="Medical Report Processing" u="1"/>
        <s v="Control Transferencias de Stock" u="1"/>
        <s v="Ejecución de la Tarjeta de Emergencia" u="1"/>
        <s v="Material Record" u="1"/>
        <s v="Panel de Urgencias" u="1"/>
        <s v="Gestión del banco de leche" u="1"/>
        <s v="Gestión de Vacantes" u="1"/>
        <s v="Parámetros del Cuentas por cobrar" u="1"/>
        <s v="Organizational Structure" u="1"/>
        <s v="Gestión de Entregas de Interpretaciones" u="1"/>
        <s v="Water Control" u="1"/>
        <s v="Execution of Emergency Card" u="1"/>
        <s v="Procedures" u="1"/>
        <s v="Go Live Process" u="1"/>
        <s v="Department Temperature Control" u="1"/>
        <s v="SUS Autorization Management" u="1"/>
        <s v="OPSW - Gestão de Contratos" u="1"/>
        <s v="Project and Investment Management" u="1"/>
        <s v="Tax Control" u="1"/>
        <s v="Contabilidad" u="1"/>
        <s v="Home Care Management" u="1"/>
        <s v="Registros del Mantenimiento" u="1"/>
        <s v="SUS BPF" u="1"/>
        <s v="Consultation Schedule" u="1"/>
        <s v="Evaluaciones Estructuradas" u="1"/>
        <s v="Card Administration" u="1"/>
        <s v="Protocolo Convenio" u="1"/>
        <s v="Marcación agenda paciente Web" u="1"/>
        <s v="Registros de Nutrición" u="1"/>
        <s v="OPSW - Proposta de Adesão Eletrônica" u="1"/>
        <s v="iOS - Clinical notes" u="1"/>
        <s v="Control de Inmunizaciones" u="1"/>
        <s v="Lista por Pagar" u="1"/>
        <s v="OPSW - Mensalidade" u="1"/>
        <s v="Hospital and Outpatient Information Control" u="1"/>
        <s v="HDM - Collective Encounter Groups" u="1"/>
        <s v="OPS - Execução Cirúrgica" u="1"/>
        <s v="HDM ¿ Control de Campañas" u="1"/>
        <s v="SUS BPA " u="1"/>
        <s v="Maintenance of Accounts Receivable" u="1"/>
        <s v="Gestión de Producción de OPM" u="1"/>
        <s v="Multiparameter Flowsheet" u="1"/>
        <s v="External Lab Results Entry" u="1"/>
        <s v="Insurance Authorization" u="1"/>
        <s v="Issuance of the Order Batch" u="1"/>
        <s v="SUS AHA" u="1"/>
        <s v="Laundry" u="1"/>
        <s v="Population management" u="1"/>
        <s v="Lista recibimiento" u="1"/>
        <s v="Accounts Reconciliation" u="1"/>
        <s v="Emisión de Exámenes del Laboratorio" u="1"/>
        <s v="OPSW - Medicina preventiva" u="1"/>
        <s v="Patient Account " u="1"/>
        <s v="E-Invoice Follow-Up" u="1"/>
        <s v="Legal Entity" u="1"/>
        <s v="Lanzamiento de proyecto" u="1"/>
        <s v="Expediente Clínico Electrónico de Paciente Ambulatorio - ECEA" u="1"/>
        <s v="Medical Record Issue" u="1"/>
        <s v="OPSW - Declaração de Saúde" u="1"/>
        <s v="OPS - Controle de Pagamentos por Franquia" u="1"/>
        <s v="Yesulador de Contas de Convênio" u="1"/>
        <s v="Medical Record Control" u="1"/>
        <s v="Health Information Management" u="1"/>
        <s v="Atención del Lote de la Prescripción" u="1"/>
        <s v="Sending to Charging Agency Management" u="1"/>
        <s v="Medical Shift Record" u="1"/>
        <s v="Materials and Medicines Requisition" u="1"/>
        <s v="Perspectiva Clínica" u="1"/>
        <s v="Insurance Protocol" u="1"/>
        <s v="Lanzamiento de Proyectos" u="1"/>
        <s v="OPS - Controle de Produção X Nota Fiscal" u="1"/>
        <s v="Control de Depósitos Identificados" u="1"/>
        <s v="CIHA - Control de Información Hospitalaria y Ambulatoria" u="1"/>
        <s v="Advance Payment Entry" u="1"/>
        <s v="Insurance Accounts Simulator" u="1"/>
        <s v="Product Evaluation Management" u="1"/>
        <s v="OPM Production Management" u="1"/>
        <s v="Gestión de CCIH" u="1"/>
        <s v="Presupuesto de Pacientes" u="1"/>
        <s v="Digitación de Resultados de Estudios de Gabinete Externos" u="1"/>
        <s v="Surgery Management" u="1"/>
        <s v="Registro de Estructura de la Cuenta Paciente" u="1"/>
        <s v="Procedimientos" u="1"/>
        <s v="Professional Access Management" u="1"/>
        <s v="Waiting Number Management" u="1"/>
        <s v="Registro de Empleados" u="1"/>
        <s v="Purchase quotation" u="1"/>
        <s v="Electronic Medication Administration Record - Dispensing Management - eMAR-DM" u="1"/>
        <s v="SUS AHCP" u="1"/>
        <s v="OPSW - Gestão de arquivos" u="1"/>
        <s v="Medical Report Infrastructure" u="1"/>
        <s v="OPS - SIB - Sistema de Informação de Beneficiários" u="1"/>
        <s v="External Exam Batch" u="1"/>
        <s v="Gestión de Acceso de Profesionales" u="1"/>
        <s v="Maintenance Records" u="1"/>
        <s v="Receivable bordereau" u="1"/>
        <s v="Control of External Projects and Resources" u="1"/>
        <s v="Incidents during Working Hours" u="1"/>
        <s v="Authorization of Special Materials" u="1"/>
        <s v="HDM - Schedule" u="1"/>
        <s v="Cobranza" u="1"/>
        <s v="Gestión de Alertas y Eventos" u="1"/>
        <s v="Gestión de Provisión" u="1"/>
        <s v="Care Plan" u="1"/>
        <s v="Chemotherapy Schedule " u="1"/>
        <s v="Unidentified Credit Control" u="1"/>
        <s v="Control de Acceso" u="1"/>
        <s v="Control de Equipos" u="1"/>
        <s v="HDM - Acompañamiento del Plan de Atención" u="1"/>
        <s v="Perioperative Items Settings" u="1"/>
        <s v="Producción por Turno Médico" u="1"/>
        <s v="Insurance Return" u="1"/>
        <s v="Lote de Examen" u="1"/>
        <s v="Laboratory Information Panel" u="1"/>
        <s v="Gestión de Envío al Órgano de Cobro" u="1"/>
        <s v="Registros ECE" u="1"/>
        <s v="Incident Report Web" u="1"/>
        <s v="Nutrition Records" u="1"/>
        <s v="Insurance Accounts Yesulator" u="1"/>
        <s v="Equipment Control" u="1"/>
        <s v="Stock Transfer Control" u="1"/>
        <s v="Patient Chart Settings" u="1"/>
        <s v="Chemotherapy occupancy map" u="1"/>
        <s v="Protocol Record" u="1"/>
        <s v="Bed Services Management" u="1"/>
        <s v="Gestión de Órdenes de Servicio" u="1"/>
        <s v="Control de Visitas" u="1"/>
        <s v="OPS - Pagamentos de Produção Médica" u="1"/>
        <s v="Dispensation Batch Management" u="1"/>
        <s v="Gestión de Calidad Asistencial  -  GQA" u="1"/>
        <s v="Emisión de Expedientes" u="1"/>
        <s v="Gestión de Exámenes" u="1"/>
        <s v="SUS Unified Management - SUM" u="1"/>
        <s v="iOS - Exames Não Laboratoriais" u="1"/>
        <s v="HDM - Encounter Plan Monitoring" u="1"/>
        <s v="Gestión de Dispensación de los Procesos ADEP - GEDIPA" u="1"/>
        <s v="Oftalmología" u="1"/>
        <s v="Controlling of the credit note (to pay)" u="1"/>
        <s v="Evaluación preanestésica electrónica - EPAE" u="1"/>
        <s v="NIS medicine Control" u="1"/>
        <s v="Control de Notas de Crédito (a pagar)" u="1"/>
        <s v="Central de Interpretaciones" u="1"/>
        <s v="Registro Médico" u="1"/>
        <s v="Gestión de la Evaluación de Productos" u="1"/>
        <s v="OPSW - Dossiê beneficiário" u="1"/>
        <s v="Registro de Materiales" u="1"/>
        <s v="Atención al cliente Web" u="1"/>
        <s v="OPSW - Transação Complementar" u="1"/>
        <s v="Treasury" u="1"/>
        <s v="Simplified Register of People" u="1"/>
        <s v="Control de Hallazgos y Perdidos" u="1"/>
        <s v="Check Management" u="1"/>
        <s v="OPSW - Dossiê contrato" u="1"/>
        <s v="HDM - Team Control and Roles" u="1"/>
        <s v="Gestión de SPA (Solicitud de Providencia Administrativa)" u="1"/>
        <s v="Movement of Patients" u="1"/>
        <s v="Histopathology Report" u="1"/>
        <s v="Solicitud de Compra" u="1"/>
        <s v="OPS - Solicitação de Autorização Portal Web" u="1"/>
        <s v="HDM - Grupos de Atención Colectiva" u="1"/>
        <s v="Outpatient Pharmacy" u="1"/>
        <s v="Purchase Request Issue" u="1"/>
        <s v="OPSW - Requisições para Autorização" u="1"/>
        <s v="Tubes and Lines Record" u="1"/>
        <s v="Gestión de las Prescripciones por Enfermería" u="1"/>
        <s v="iOS - Evoluciones" u="1"/>
        <s v="Emergency Department Panel" u="1"/>
        <s v="iOS - Electronic Patient Chart" u="1"/>
        <s v="Exam Management" u="1"/>
        <s v="Lote de Exámenes Externos" u="1"/>
        <s v="Administración de Cheques" u="1"/>
        <s v="Devolución Material Paciente" u="1"/>
        <s v="Gestión de Reserva de Colaciones" u="1"/>
        <s v="Laboratorio Web" u="1"/>
        <s v="Pagos Registrados" u="1"/>
        <s v="Gestión de Radioterapia" u="1"/>
        <s v="Gestión de Trasplante" u="1"/>
        <s v="Gestión de las Muestras" u="1"/>
        <s v="Accounting " u="1"/>
        <s v="Registro de la Localización de los Interpretaciones" u="1"/>
        <s v="Patient Anesthetic Form" u="1"/>
        <s v="Milk Bank Management" u="1"/>
        <s v="OPSW - Beneficiários" u="1"/>
        <s v="Acompañamiento de Interpretaciones" u="1"/>
        <s v="Gestión de Cuentas por Pagar" u="1"/>
        <s v="Cuestionario" u="1"/>
        <s v="Digitación de Resultado de Exámenes de Laboratorio Externos" u="1"/>
        <s v="Yesplified Register of People" u="1"/>
        <s v="Pilot test" u="1"/>
        <s v="Gestión de Expedientes" u="1"/>
        <s v="Patient Scheduling Web Suite" u="1"/>
        <s v="Activo Fijo" u="1"/>
        <s v="Control de Contratos" u="1"/>
        <s v="HDM - Control de Participantes" u="1"/>
        <s v="OPS - Análise de Autorização" u="1"/>
        <s v="Asset Control" u="1"/>
        <s v="Gestión de la Escala de Anestesiólogos" u="1"/>
        <s v="Producción de Medicamentos" u="1"/>
        <s v="Stock Management" u="1"/>
        <s v="Control de Créditos no Identificados" u="1"/>
        <s v="Registro de Dispositivos Utilizados en el Paciente" u="1"/>
        <s v="Control de Agua" u="1"/>
        <s v="Production by Medical Shift" u="1"/>
        <s v="HDM - Telemonitoring" u="1"/>
        <s v="Gestión de la Calidad" u="1"/>
        <s v="Registro simplificado de Personas" u="1"/>
        <s v="Registro Yesplificado de Personas" u="1"/>
        <s v="HDM - Registros Generales" u="1"/>
        <s v="Gestión de Turnos" u="1"/>
        <s v="Resumen Electrónico del Paciente" u="1"/>
        <s v="Plan de Cuidado" u="1"/>
        <s v="Proceso Go Live" u="1"/>
        <s v="Denial Appeal Management" u="1"/>
        <s v="Control Bancario" u="1"/>
        <s v="Control de Sugerencias" u="1"/>
        <s v="Management Indicators " u="1"/>
        <s v="Prescription Management by the Clinical Pharmacy" u="1"/>
        <s v="Panel de llamadas del laboratorio" u="1"/>
        <s v="Kick off de proyecto" u="1"/>
        <s v="Reception" u="1"/>
        <s v="Training" u="1"/>
        <s v="Negociación de Cuentas por cobrar" u="1"/>
        <s v="Emisión de los Atenciones (Req/Presc)" u="1"/>
        <s v="Order Management by the Nursing Team" u="1"/>
        <s v="OPS - Movimentação Cadastral de SCA (A300)" u="1"/>
        <s v="HDM - Configuraciones Generales" u="1"/>
        <s v="Interpretación de Anatomía patológica" u="1"/>
        <s v="Reglas de Lanzamiento Automático" u="1"/>
        <s v="Packs Management" u="1"/>
        <s v="Service Schedule" u="1"/>
        <s v="Recepción" u="1"/>
        <s v="Web Suite Exam Results" u="1"/>
        <s v="Mapa de los Sectores" u="1"/>
        <s v="Service Order Management" u="1"/>
        <s v="Training Management" u="1"/>
        <s v="Soporte a la Decisión Clínica (SDC) - Mentor" u="1"/>
        <s v="Financial sheet" u="1"/>
        <s v="Central de Facturación" u="1"/>
        <s v="Patient Material Return" u="1"/>
        <s v="Análisis de los Parámetros Asistenciales del Paciente - APAP" u="1"/>
        <s v="Gestión de Capacitación" u="1"/>
        <s v="Patient Registration" u="1"/>
        <s v="Purchase Portal Web" u="1"/>
        <s v="Panel de llamadas de la radioterapia" u="1"/>
        <s v="Administración de Stocks" u="1"/>
        <s v="Liberación Medicamentos no Estandarizados" u="1"/>
      </sharedItems>
    </cacheField>
    <cacheField name="Escopo Original" numFmtId="0">
      <sharedItems containsBlank="1"/>
    </cacheField>
    <cacheField name="SCOPE" numFmtId="0">
      <sharedItems containsBlank="1" containsMixedTypes="1" containsNumber="1" containsInteger="1" minValue="0" maxValue="0" count="5">
        <s v="Yes"/>
        <m/>
        <s v="No"/>
        <e v="#N/A"/>
        <n v="0" u="1"/>
      </sharedItems>
    </cacheField>
    <cacheField name="HOURS STANDARD IMPLANTATION" numFmtId="0">
      <sharedItems containsBlank="1" containsMixedTypes="1" containsNumber="1" containsInteger="1" minValue="0" maxValue="160"/>
    </cacheField>
    <cacheField name="ADDITIONAL HOURS (QUESTIONS)" numFmtId="0">
      <sharedItems containsString="0" containsBlank="1" containsNumber="1" containsInteger="1" minValue="0" maxValue="3"/>
    </cacheField>
    <cacheField name="TOTAL HOURS (STANDARD HOURS + ADDITIONAL HOURS)" numFmtId="1">
      <sharedItems containsMixedTypes="1" containsNumber="1" containsInteger="1" minValue="0" maxValue="320"/>
    </cacheField>
    <cacheField name="VARIABLE HOURS JUSTIFICATION" numFmtId="0">
      <sharedItems containsMixedTypes="1" containsNumber="1" containsInteger="1" minValue="0" maxValue="0"/>
    </cacheField>
    <cacheField name="PHASE" numFmtId="0">
      <sharedItems containsBlank="1" count="5">
        <s v="Fase: Lançamento do Projeto"/>
        <s v="Fase: Instalação"/>
        <s v="Fase: Liberação e Acompanhamento"/>
        <m/>
        <s v="Fase: Aderência, Parametrização e Treinamentos"/>
      </sharedItems>
    </cacheField>
    <cacheField name="Deployment Wave" numFmtId="0">
      <sharedItems containsBlank="1" count="3">
        <s v="1ª Onda"/>
        <s v="2ª Onda"/>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2">
  <r>
    <m/>
    <s v="Inicialização"/>
    <m/>
    <s v="Lançamento de Projetos"/>
    <s v="Yes"/>
    <s v="Yes"/>
    <n v="0"/>
    <m/>
    <n v="0"/>
    <m/>
    <s v=""/>
    <s v="Fase: Lançamento do Projeto"/>
    <s v="1ª Onda"/>
  </r>
  <r>
    <m/>
    <s v="Instalação"/>
    <m/>
    <s v="Validação da Instalação do Produto"/>
    <s v="Yes"/>
    <s v="Yes"/>
    <n v="8"/>
    <m/>
    <n v="8"/>
    <m/>
    <s v=""/>
    <s v="Fase: Instalação"/>
    <s v="1ª Onda"/>
  </r>
  <r>
    <m/>
    <s v="Go Live"/>
    <m/>
    <s v="Teste Piloto"/>
    <s v="Yes"/>
    <s v="Yes"/>
    <n v="0"/>
    <m/>
    <n v="0"/>
    <m/>
    <s v=""/>
    <s v="Fase: Liberação e Acompanhamento"/>
    <s v="1ª Onda"/>
  </r>
  <r>
    <m/>
    <s v="Go Live"/>
    <m/>
    <s v="Processo de Virada"/>
    <s v="Yes"/>
    <s v="Yes"/>
    <n v="0"/>
    <m/>
    <n v="0"/>
    <m/>
    <s v=""/>
    <s v="Fase: Liberação e Acompanhamento"/>
    <s v="1ª Onda"/>
  </r>
  <r>
    <m/>
    <s v="Go Live"/>
    <m/>
    <s v="Acompanhamento Pós-Virada"/>
    <s v="Yes"/>
    <s v="Yes"/>
    <n v="0"/>
    <m/>
    <n v="0"/>
    <m/>
    <s v=""/>
    <s v="Fase: Liberação e Acompanhamento"/>
    <s v="1ª Onda"/>
  </r>
  <r>
    <m/>
    <s v="Inicialização - 2ª Onda"/>
    <m/>
    <s v="Lançamento de Projetos"/>
    <s v="Yes"/>
    <s v="Yes"/>
    <n v="0"/>
    <m/>
    <n v="0"/>
    <m/>
    <s v=""/>
    <s v="Fase: Lançamento do Projeto"/>
    <s v="2ª Onda"/>
  </r>
  <r>
    <m/>
    <s v="Go Live - 2ª Onda"/>
    <m/>
    <s v="Teste Piloto"/>
    <s v="Yes"/>
    <s v="Yes"/>
    <n v="0"/>
    <m/>
    <n v="0"/>
    <m/>
    <s v=""/>
    <s v="Fase: Liberação e Acompanhamento"/>
    <s v="2ª Onda"/>
  </r>
  <r>
    <m/>
    <s v="Go Live - 2ª Onda"/>
    <m/>
    <s v="Processo de Virada"/>
    <s v="Yes"/>
    <s v="Yes"/>
    <n v="0"/>
    <m/>
    <n v="0"/>
    <m/>
    <s v=""/>
    <s v="Fase: Liberação e Acompanhamento"/>
    <s v="2ª Onda"/>
  </r>
  <r>
    <m/>
    <s v="Go Live - 2ª Onda"/>
    <m/>
    <s v="Acompanhamento Pós-Virada"/>
    <s v="Yes"/>
    <s v="Yes"/>
    <n v="0"/>
    <m/>
    <n v="0"/>
    <m/>
    <s v=""/>
    <s v="Fase: Liberação e Acompanhamento"/>
    <s v="2ª Onda"/>
  </r>
  <r>
    <m/>
    <m/>
    <m/>
    <m/>
    <m/>
    <m/>
    <m/>
    <m/>
    <n v="0"/>
    <m/>
    <s v=""/>
    <m/>
    <m/>
  </r>
  <r>
    <n v="3"/>
    <s v="Cadastros e Funções Gerais"/>
    <n v="4"/>
    <s v="Cadastro Médico"/>
    <s v="Yes"/>
    <s v="Yes"/>
    <n v="8"/>
    <n v="0"/>
    <n v="9.6"/>
    <n v="11"/>
    <s v=""/>
    <s v="Fase: Aderência, Parametrização e Treinamentos"/>
    <s v="1ª Onda"/>
  </r>
  <r>
    <n v="3"/>
    <s v="Cadastros e Funções Gerais"/>
    <n v="53"/>
    <s v="Cadastro de CEP"/>
    <s v="Yes"/>
    <s v="Yes"/>
    <n v="4"/>
    <n v="0"/>
    <n v="4.8"/>
    <n v="6"/>
    <s v=""/>
    <s v="Fase: Aderência, Parametrização e Treinamentos"/>
    <s v="1ª Onda"/>
  </r>
  <r>
    <n v="3"/>
    <s v="Cadastros e Funções Gerais"/>
    <n v="132"/>
    <s v="Cadastro de Materiais"/>
    <s v="Yes"/>
    <s v="Yes"/>
    <n v="32"/>
    <n v="0"/>
    <n v="38.4"/>
    <n v="43"/>
    <s v=""/>
    <s v="Fase: Aderência, Parametrização e Treinamentos"/>
    <s v="1ª Onda"/>
  </r>
  <r>
    <n v="3"/>
    <s v="Cadastros e Funções Gerais"/>
    <n v="705"/>
    <s v="Cargas"/>
    <s v="Yes"/>
    <s v="Yes"/>
    <n v="12"/>
    <n v="0"/>
    <n v="14.4"/>
    <n v="16"/>
    <s v=""/>
    <s v="Fase: Aderência, Parametrização e Treinamentos"/>
    <s v="1ª Onda"/>
  </r>
  <r>
    <n v="3"/>
    <s v="Cadastros e Funções Gerais"/>
    <n v="911"/>
    <s v="Empresa/Estabelecimento/Contas/CC"/>
    <s v="Yes"/>
    <s v="Yes"/>
    <n v="24"/>
    <n v="0"/>
    <n v="28.8"/>
    <n v="32"/>
    <s v=""/>
    <s v="Fase: Aderência, Parametrização e Treinamentos"/>
    <s v="1ª Onda"/>
  </r>
  <r>
    <n v="3"/>
    <s v="Cadastros e Funções Gerais"/>
    <n v="1"/>
    <s v="Estrutura Atendimento"/>
    <s v="Yes"/>
    <s v="Yes"/>
    <n v="8"/>
    <n v="0"/>
    <n v="9.6"/>
    <n v="11"/>
    <s v=""/>
    <s v="Fase: Aderência, Parametrização e Treinamentos"/>
    <s v="1ª Onda"/>
  </r>
  <r>
    <n v="3"/>
    <s v="Cadastros e Funções Gerais"/>
    <n v="947"/>
    <s v="Exames e Procedimentos Internos"/>
    <s v="Yes"/>
    <s v="Yes"/>
    <n v="16"/>
    <n v="0"/>
    <n v="19.2"/>
    <n v="22"/>
    <s v=""/>
    <s v="Fase: Aderência, Parametrização e Treinamentos"/>
    <s v="1ª Onda"/>
  </r>
  <r>
    <n v="3"/>
    <s v="Cadastros e Funções Gerais"/>
    <n v="6"/>
    <s v="Pessoa Jurídica"/>
    <s v="Yes"/>
    <s v="Yes"/>
    <n v="12"/>
    <n v="0"/>
    <n v="14.4"/>
    <n v="16"/>
    <s v=""/>
    <s v="Fase: Aderência, Parametrização e Treinamentos"/>
    <s v="1ª Onda"/>
  </r>
  <r>
    <n v="3"/>
    <s v="Cadastros e Funções Gerais"/>
    <n v="25"/>
    <s v="Procedimentos"/>
    <s v="Yes"/>
    <s v="Yes"/>
    <n v="10"/>
    <n v="0"/>
    <n v="12"/>
    <n v="14"/>
    <s v=""/>
    <s v="Fase: Aderência, Parametrização e Treinamentos"/>
    <s v="1ª Onda"/>
  </r>
  <r>
    <n v="3"/>
    <s v="Cadastros e Funções Gerais"/>
    <n v="15"/>
    <s v="Tipos de Acomodação"/>
    <s v="Yes"/>
    <s v="Yes"/>
    <n v="2"/>
    <n v="0"/>
    <n v="2.4"/>
    <n v="3"/>
    <s v=""/>
    <s v="Fase: Aderência, Parametrização e Treinamentos"/>
    <s v="1ª Onda"/>
  </r>
  <r>
    <n v="3"/>
    <s v="Cadastros e Funções Gerais"/>
    <n v="230"/>
    <s v="Cadastro de Funcionários"/>
    <s v="Yes"/>
    <s v="Yes"/>
    <n v="4"/>
    <n v="0"/>
    <n v="4"/>
    <n v="5"/>
    <s v=""/>
    <s v="Fase: Aderência, Parametrização e Treinamentos"/>
    <s v="1ª Onda"/>
  </r>
  <r>
    <n v="3"/>
    <s v="Cadastros e Funções Gerais"/>
    <n v="100"/>
    <s v="Questionário"/>
    <s v="No"/>
    <s v="No"/>
    <n v="4"/>
    <n v="0"/>
    <n v="4"/>
    <n v="4"/>
    <s v=""/>
    <s v="Fase: Aderência, Parametrização e Treinamentos"/>
    <s v="1ª Onda"/>
  </r>
  <r>
    <n v="3"/>
    <s v="Cadastros e Funções Gerais"/>
    <n v="944"/>
    <s v="Avaliações "/>
    <s v="Yes"/>
    <s v="Yes"/>
    <n v="2"/>
    <n v="0"/>
    <n v="2.4"/>
    <n v="3"/>
    <s v=""/>
    <s v="Fase: Aderência, Parametrização e Treinamentos"/>
    <s v="1ª Onda"/>
  </r>
  <r>
    <n v="3"/>
    <s v="Cadastros e Funções Gerais"/>
    <n v="909"/>
    <s v="Cadastro Avaliações"/>
    <s v="Yes"/>
    <s v="Yes"/>
    <n v="8"/>
    <n v="0"/>
    <n v="9.6"/>
    <n v="11"/>
    <s v=""/>
    <s v="Fase: Aderência, Parametrização e Treinamentos"/>
    <s v="1ª Onda"/>
  </r>
  <r>
    <n v="3"/>
    <s v="Cadastros e Funções Gerais"/>
    <n v="18"/>
    <s v="Cadastro de Estrutura da Conta Paciente"/>
    <s v="Yes"/>
    <s v="Yes"/>
    <n v="8"/>
    <n v="0"/>
    <n v="9.6"/>
    <n v="11"/>
    <s v=""/>
    <s v="Fase: Aderência, Parametrização e Treinamentos"/>
    <s v="1ª Onda"/>
  </r>
  <r>
    <n v="3"/>
    <s v="Cadastros e Funções Gerais"/>
    <n v="7023"/>
    <s v="Cadastro de Estruturas Internas"/>
    <s v="Yes"/>
    <s v="Yes"/>
    <n v="2"/>
    <n v="0"/>
    <n v="2"/>
    <n v="3"/>
    <s v=""/>
    <s v="Fase: Aderência, Parametrização e Treinamentos"/>
    <s v="1ª Onda"/>
  </r>
  <r>
    <n v="3"/>
    <s v="Cadastros e Funções Gerais"/>
    <n v="1120"/>
    <s v="Cadastro de Transações Financeiras"/>
    <s v="Yes"/>
    <s v="Yes"/>
    <n v="24"/>
    <n v="0"/>
    <n v="28.8"/>
    <n v="32"/>
    <s v=""/>
    <s v="Fase: Aderência, Parametrização e Treinamentos"/>
    <s v="1ª Onda"/>
  </r>
  <r>
    <n v="3"/>
    <s v="Cadastros e Funções Gerais"/>
    <n v="5513"/>
    <s v="Cadastros Financeiros"/>
    <s v="Yes"/>
    <s v="Yes"/>
    <n v="4"/>
    <n v="0"/>
    <n v="4.8"/>
    <n v="6"/>
    <s v=""/>
    <s v="Fase: Aderência, Parametrização e Treinamentos"/>
    <s v="1ª Onda"/>
  </r>
  <r>
    <n v="3"/>
    <s v="Cadastros e Funções Gerais"/>
    <n v="290"/>
    <s v="Protocolo Documento"/>
    <s v="Yes"/>
    <s v="Yes"/>
    <n v="4"/>
    <n v="0"/>
    <n v="4.8"/>
    <n v="6"/>
    <s v=""/>
    <s v="Fase: Aderência, Parametrização e Treinamentos"/>
    <s v="1ª Onda"/>
  </r>
  <r>
    <n v="36"/>
    <s v="Gerenciador do Sistema"/>
    <n v="6001"/>
    <s v="Administração do Sistema"/>
    <s v="Yes"/>
    <s v="Yes"/>
    <n v="32"/>
    <n v="0"/>
    <n v="38.4"/>
    <n v="43"/>
    <s v=""/>
    <s v="Fase: Aderência, Parametrização e Treinamentos"/>
    <s v="1ª Onda"/>
  </r>
  <r>
    <n v="36"/>
    <s v="Gerenciador do Sistema"/>
    <n v="211"/>
    <s v="4Test"/>
    <s v="No"/>
    <s v="No"/>
    <n v="40"/>
    <n v="0"/>
    <n v="40"/>
    <n v="40"/>
    <s v=""/>
    <s v="Fase: Aderência, Parametrização e Treinamentos"/>
    <s v="1ª Onda"/>
  </r>
  <r>
    <n v="36"/>
    <s v="Gerenciador do Sistema"/>
    <n v="3291"/>
    <s v="Data Privacy"/>
    <s v="No"/>
    <s v="No"/>
    <n v="40"/>
    <n v="0"/>
    <n v="40"/>
    <n v="40"/>
    <s v=""/>
    <s v="Fase: Aderência, Parametrização e Treinamentos"/>
    <s v="1ª Onda"/>
  </r>
  <r>
    <n v="36"/>
    <s v="Gerenciador do Sistema"/>
    <n v="240"/>
    <s v="Dashboard 4Test"/>
    <s v="No"/>
    <s v="No"/>
    <n v="4"/>
    <n v="0"/>
    <n v="4"/>
    <n v="4"/>
    <s v=""/>
    <s v="Fase: Aderência, Parametrização e Treinamentos"/>
    <s v="1ª Onda"/>
  </r>
  <r>
    <n v="36"/>
    <s v="Gerenciador do Sistema"/>
    <n v="99030"/>
    <s v="Schematic4Test"/>
    <s v="No"/>
    <s v="No"/>
    <n v="40"/>
    <n v="0"/>
    <n v="40"/>
    <n v="40"/>
    <s v=""/>
    <s v="Fase: Aderência, Parametrização e Treinamentos"/>
    <s v="1ª Onda"/>
  </r>
  <r>
    <n v="36"/>
    <s v="Gerenciador do Sistema"/>
    <n v="284"/>
    <s v="Administração de Logs"/>
    <s v="Yes"/>
    <s v="Yes"/>
    <n v="8"/>
    <n v="0"/>
    <n v="8"/>
    <n v="9"/>
    <s v=""/>
    <s v="Fase: Aderência, Parametrização e Treinamentos"/>
    <s v="1ª Onda"/>
  </r>
  <r>
    <n v="36"/>
    <s v="Gerenciador do Sistema"/>
    <n v="329"/>
    <s v="Controle de Acesso"/>
    <s v="Yes"/>
    <s v="Yes"/>
    <n v="8"/>
    <n v="0"/>
    <n v="9.6"/>
    <n v="11"/>
    <s v=""/>
    <s v="Fase: Aderência, Parametrização e Treinamentos"/>
    <s v="1ª Onda"/>
  </r>
  <r>
    <n v="631"/>
    <s v="Relatórios"/>
    <n v="260"/>
    <s v="Gerenciador de Relatórios"/>
    <s v="Yes"/>
    <s v="Yes"/>
    <n v="32"/>
    <n v="0"/>
    <n v="38.4"/>
    <n v="43"/>
    <s v=""/>
    <s v="Fase: Aderência, Parametrização e Treinamentos"/>
    <s v="1ª Onda"/>
  </r>
  <r>
    <n v="5"/>
    <s v="Recepção e Internação"/>
    <n v="5"/>
    <s v="Cadastro Completo de Pessoas"/>
    <s v="Yes"/>
    <s v="Yes"/>
    <n v="4"/>
    <n v="0"/>
    <n v="4.8"/>
    <n v="6"/>
    <s v=""/>
    <s v="Fase: Aderência, Parametrização e Treinamentos"/>
    <s v="1ª Onda"/>
  </r>
  <r>
    <n v="5"/>
    <s v="Recepção e Internação"/>
    <n v="916"/>
    <s v="Entrada Única de Pacientes"/>
    <s v="Yes"/>
    <s v="Yes"/>
    <n v="24"/>
    <n v="0"/>
    <n v="28.8"/>
    <n v="32"/>
    <s v=""/>
    <s v="Fase: Aderência, Parametrização e Treinamentos"/>
    <s v="1ª Onda"/>
  </r>
  <r>
    <n v="5"/>
    <s v="Recepção e Internação"/>
    <n v="10020"/>
    <s v="Controle de Achados e Perdidos"/>
    <s v="No"/>
    <s v="No"/>
    <n v="2"/>
    <n v="0"/>
    <n v="2"/>
    <n v="2"/>
    <s v=""/>
    <s v="Fase: Aderência, Parametrização e Treinamentos"/>
    <s v="1ª Onda"/>
  </r>
  <r>
    <n v="5"/>
    <s v="Recepção e Internação"/>
    <n v="32"/>
    <s v="Cadastro simplificado de Pessoas"/>
    <s v="Yes"/>
    <s v="Yes"/>
    <n v="2"/>
    <n v="0"/>
    <n v="2.4"/>
    <n v="3"/>
    <s v=""/>
    <s v="Fase: Aderência, Parametrização e Treinamentos"/>
    <s v="1ª Onda"/>
  </r>
  <r>
    <n v="5"/>
    <s v="Recepção e Internação"/>
    <n v="3009"/>
    <s v="Escala de Plantões e Sobreavisos"/>
    <s v="Yes"/>
    <s v="Yes"/>
    <n v="8"/>
    <n v="0"/>
    <n v="8"/>
    <n v="9"/>
    <s v=""/>
    <s v="Fase: Aderência, Parametrização e Treinamentos"/>
    <s v="1ª Onda"/>
  </r>
  <r>
    <n v="5"/>
    <s v="Recepção e Internação"/>
    <n v="8009"/>
    <s v="CIHA - Controle de Informação Hospitalar e Ambulatorial"/>
    <s v="Yes"/>
    <s v="Yes"/>
    <n v="8"/>
    <n v="0"/>
    <n v="8"/>
    <n v="9"/>
    <s v=""/>
    <s v="Fase: Aderência, Parametrização e Treinamentos"/>
    <s v="1ª Onda"/>
  </r>
  <r>
    <n v="5"/>
    <s v="Recepção e Internação"/>
    <n v="10021"/>
    <s v="Gerenciamento de Senhas"/>
    <s v="Yes"/>
    <s v="Yes"/>
    <n v="16"/>
    <n v="0"/>
    <n v="19.2"/>
    <n v="22"/>
    <s v=""/>
    <s v="Fase: Aderência, Parametrização e Treinamentos"/>
    <s v="1ª Onda"/>
  </r>
  <r>
    <n v="5"/>
    <s v="Recepção e Internação"/>
    <n v="9042"/>
    <s v="Mapa dos Setores"/>
    <s v="Yes"/>
    <s v="Yes"/>
    <n v="4"/>
    <n v="0"/>
    <n v="4"/>
    <n v="5"/>
    <s v=""/>
    <s v="Fase: Aderência, Parametrização e Treinamentos"/>
    <s v="1ª Onda"/>
  </r>
  <r>
    <n v="5"/>
    <s v="Recepção e Internação"/>
    <n v="1002"/>
    <s v="Gestão de Vagas"/>
    <s v="Yes"/>
    <s v="Yes"/>
    <n v="8"/>
    <n v="0"/>
    <n v="8"/>
    <n v="9"/>
    <s v=""/>
    <s v="Fase: Aderência, Parametrização e Treinamentos"/>
    <s v="1ª Onda"/>
  </r>
  <r>
    <n v="5"/>
    <s v="Recepção e Internação"/>
    <n v="3111"/>
    <s v="Movimentação de Pacientes"/>
    <s v="Yes"/>
    <s v="Yes"/>
    <n v="8"/>
    <n v="0"/>
    <n v="9.6"/>
    <n v="11"/>
    <s v=""/>
    <s v="Fase: Aderência, Parametrização e Treinamentos"/>
    <s v="1ª Onda"/>
  </r>
  <r>
    <n v="5"/>
    <s v="Recepção e Internação"/>
    <n v="44"/>
    <s v="Ocupação Hospitalar"/>
    <s v="Yes"/>
    <s v="Yes"/>
    <n v="16"/>
    <n v="0"/>
    <n v="16"/>
    <n v="18"/>
    <s v=""/>
    <s v="Fase: Aderência, Parametrização e Treinamentos"/>
    <s v="1ª Onda"/>
  </r>
  <r>
    <n v="5"/>
    <s v="Recepção e Internação"/>
    <n v="914"/>
    <s v="Recepção"/>
    <s v="No"/>
    <s v="No"/>
    <n v="4"/>
    <n v="0"/>
    <n v="4"/>
    <n v="4"/>
    <s v=""/>
    <s v="Fase: Aderência, Parametrização e Treinamentos"/>
    <s v="1ª Onda"/>
  </r>
  <r>
    <n v="5"/>
    <s v="Recepção e Internação"/>
    <n v="106"/>
    <s v="Orçamento de Pacientes"/>
    <s v="Yes"/>
    <s v="Yes"/>
    <n v="8"/>
    <n v="0"/>
    <n v="9.6"/>
    <n v="11"/>
    <s v=""/>
    <s v="Fase: Aderência, Parametrização e Treinamentos"/>
    <s v="1ª Onda"/>
  </r>
  <r>
    <n v="16"/>
    <s v="Administração de Contratos (Preços)"/>
    <n v="921"/>
    <s v="Cadastro de Convênios, Preços e Regras"/>
    <s v="Yes"/>
    <s v="Yes"/>
    <n v="40"/>
    <n v="0"/>
    <n v="48"/>
    <n v="53"/>
    <s v=""/>
    <s v="Fase: Aderência, Parametrização e Treinamentos"/>
    <s v="1ª Onda"/>
  </r>
  <r>
    <n v="16"/>
    <s v="Administração de Contratos (Preços)"/>
    <n v="7028"/>
    <s v="Parâmetros Faturamento"/>
    <s v="Yes"/>
    <s v="Yes"/>
    <n v="4"/>
    <n v="0"/>
    <n v="4.8"/>
    <n v="6"/>
    <s v=""/>
    <s v="Fase: Aderência, Parametrização e Treinamentos"/>
    <s v="1ª Onda"/>
  </r>
  <r>
    <n v="16"/>
    <s v="Administração de Contratos (Preços)"/>
    <n v="1800"/>
    <s v="Simulador de Contas de Convênio"/>
    <s v="No"/>
    <s v="No"/>
    <n v="6"/>
    <n v="0"/>
    <n v="6"/>
    <n v="6"/>
    <s v=""/>
    <s v="Fase: Aderência, Parametrização e Treinamentos"/>
    <s v="1ª Onda"/>
  </r>
  <r>
    <n v="16"/>
    <s v="Administração de Contratos (Preços)"/>
    <n v="905"/>
    <s v="Regras de Lançamento Automático"/>
    <s v="Yes"/>
    <s v="Yes"/>
    <n v="8"/>
    <n v="0"/>
    <n v="9.6"/>
    <n v="11"/>
    <s v=""/>
    <s v="Fase: Aderência, Parametrização e Treinamentos"/>
    <s v="1ª Onda"/>
  </r>
  <r>
    <n v="16"/>
    <s v="Administração de Contratos (Preços)"/>
    <n v="3110"/>
    <s v="Tabelas de Preços"/>
    <s v="Yes"/>
    <s v="Yes"/>
    <n v="8"/>
    <n v="0"/>
    <n v="9.6"/>
    <n v="11"/>
    <s v=""/>
    <s v="Fase: Aderência, Parametrização e Treinamentos"/>
    <s v="1ª Onda"/>
  </r>
  <r>
    <n v="6"/>
    <s v="Faturamento (Convênios e Particular)"/>
    <n v="67"/>
    <s v="Conta Paciente"/>
    <s v="Yes"/>
    <s v="Yes"/>
    <n v="24"/>
    <n v="0"/>
    <n v="28.8"/>
    <n v="32"/>
    <s v=""/>
    <s v="Fase: Aderência, Parametrização e Treinamentos"/>
    <s v="1ª Onda"/>
  </r>
  <r>
    <n v="6"/>
    <s v="Faturamento (Convênios e Particular)"/>
    <n v="232"/>
    <s v="Análise de Contas"/>
    <s v="Yes"/>
    <s v="Yes"/>
    <n v="4"/>
    <n v="0"/>
    <n v="4"/>
    <n v="5"/>
    <s v=""/>
    <s v="Fase: Aderência, Parametrização e Treinamentos"/>
    <s v="1ª Onda"/>
  </r>
  <r>
    <n v="6"/>
    <s v="Faturamento (Convênios e Particular)"/>
    <n v="3013"/>
    <s v="Central de Faturamento"/>
    <s v="No"/>
    <s v="No"/>
    <n v="18"/>
    <n v="0"/>
    <n v="18"/>
    <n v="18"/>
    <s v=""/>
    <s v="Fase: Aderência, Parametrização e Treinamentos"/>
    <s v="1ª Onda"/>
  </r>
  <r>
    <n v="6"/>
    <s v="Faturamento (Convênios e Particular)"/>
    <n v="7042"/>
    <s v="Gestão de Pendências da Conta do Paciente"/>
    <s v="Yes"/>
    <s v="Yes"/>
    <n v="8"/>
    <n v="0"/>
    <n v="8"/>
    <n v="9"/>
    <s v=""/>
    <s v="Fase: Aderência, Parametrização e Treinamentos"/>
    <s v="1ª Onda"/>
  </r>
  <r>
    <n v="6"/>
    <s v="Faturamento (Convênios e Particular)"/>
    <n v="1112"/>
    <s v="Protocolo de pesquisa"/>
    <s v="No"/>
    <s v="No"/>
    <n v="2"/>
    <n v="0"/>
    <n v="2"/>
    <n v="2"/>
    <s v=""/>
    <s v="Fase: Aderência, Parametrização e Treinamentos"/>
    <s v="1ª Onda"/>
  </r>
  <r>
    <n v="6"/>
    <s v="Faturamento (Convênios e Particular)"/>
    <n v="7021"/>
    <s v="Gestão de Pacotes"/>
    <s v="Yes"/>
    <s v="Yes"/>
    <n v="8"/>
    <n v="0"/>
    <n v="8"/>
    <n v="9"/>
    <s v=""/>
    <s v="Fase: Aderência, Parametrização e Treinamentos"/>
    <s v="1ª Onda"/>
  </r>
  <r>
    <n v="6"/>
    <s v="Faturamento (Convênios e Particular)"/>
    <n v="85"/>
    <s v="Protocolo Convênio"/>
    <s v="Yes"/>
    <s v="Yes"/>
    <n v="8"/>
    <n v="0"/>
    <n v="9.6"/>
    <n v="11"/>
    <s v=""/>
    <s v="Fase: Aderência, Parametrização e Treinamentos"/>
    <s v="1ª Onda"/>
  </r>
  <r>
    <n v="6"/>
    <s v="Faturamento (Convênios e Particular)"/>
    <n v="3400"/>
    <s v="TISS - Reapresentação de Contas"/>
    <s v="Yes"/>
    <s v="Yes"/>
    <n v="6"/>
    <n v="0"/>
    <n v="7.2"/>
    <n v="8"/>
    <s v=""/>
    <s v="Fase: Aderência, Parametrização e Treinamentos"/>
    <s v="1ª Onda"/>
  </r>
  <r>
    <n v="6"/>
    <s v="Faturamento (Convênios e Particular)"/>
    <n v="48"/>
    <s v="Transferência entre Atendimentos"/>
    <s v="Yes"/>
    <s v="Yes"/>
    <n v="2"/>
    <n v="0"/>
    <n v="2"/>
    <n v="3"/>
    <s v=""/>
    <s v="Fase: Aderência, Parametrização e Treinamentos"/>
    <s v="1ª Onda"/>
  </r>
  <r>
    <n v="99"/>
    <s v="Almoxarifado"/>
    <n v="109"/>
    <s v="Atendimento da Requisição"/>
    <s v="Yes"/>
    <s v="Yes"/>
    <n v="8"/>
    <n v="0"/>
    <n v="9.6"/>
    <n v="11"/>
    <s v=""/>
    <s v="Fase: Aderência, Parametrização e Treinamentos"/>
    <s v="1ª Onda"/>
  </r>
  <r>
    <n v="99"/>
    <s v="Almoxarifado"/>
    <n v="270"/>
    <s v="Inspeção Recebimento"/>
    <s v="Yes"/>
    <s v="Yes"/>
    <n v="8"/>
    <n v="0"/>
    <n v="8"/>
    <n v="9"/>
    <s v=""/>
    <s v="Fase: Aderência, Parametrização e Treinamentos"/>
    <s v="1ª Onda"/>
  </r>
  <r>
    <n v="99"/>
    <s v="Almoxarifado"/>
    <n v="40"/>
    <s v="Nota fiscal"/>
    <s v="Yes"/>
    <s v="Yes"/>
    <n v="24"/>
    <n v="0"/>
    <n v="28.8"/>
    <n v="32"/>
    <s v=""/>
    <s v="Fase: Aderência, Parametrização e Treinamentos"/>
    <s v="1ª Onda"/>
  </r>
  <r>
    <n v="99"/>
    <s v="Almoxarifado"/>
    <n v="919"/>
    <s v="Requisição de Materiais e Medicamentos"/>
    <s v="Yes"/>
    <s v="Yes"/>
    <n v="8"/>
    <n v="0"/>
    <n v="9.6"/>
    <n v="11"/>
    <s v=""/>
    <s v="Fase: Aderência, Parametrização e Treinamentos"/>
    <s v="1ª Onda"/>
  </r>
  <r>
    <n v="4"/>
    <s v="Estoque"/>
    <n v="143"/>
    <s v="Administração de Estoques"/>
    <s v="Yes"/>
    <s v="Yes"/>
    <n v="24"/>
    <n v="0"/>
    <n v="28.8"/>
    <n v="32"/>
    <s v=""/>
    <s v="Fase: Aderência, Parametrização e Treinamentos"/>
    <s v="1ª Onda"/>
  </r>
  <r>
    <n v="4"/>
    <s v="Estoque"/>
    <n v="146"/>
    <s v="Controle Transferências de Estoque"/>
    <s v="Yes"/>
    <s v="Yes"/>
    <n v="12"/>
    <n v="0"/>
    <n v="12"/>
    <n v="14"/>
    <s v=""/>
    <s v="Fase: Aderência, Parametrização e Treinamentos"/>
    <s v="1ª Onda"/>
  </r>
  <r>
    <n v="4"/>
    <s v="Estoque"/>
    <n v="147"/>
    <s v="Dispensário Eletrônico"/>
    <s v="Yes"/>
    <s v="Yes"/>
    <n v="16"/>
    <n v="0"/>
    <n v="16"/>
    <n v="18"/>
    <s v=""/>
    <s v="Fase: Aderência, Parametrização e Treinamentos"/>
    <s v="1ª Onda"/>
  </r>
  <r>
    <n v="4"/>
    <s v="Estoque"/>
    <n v="7005"/>
    <s v="Gestão das Caixas de OPME"/>
    <s v="Yes"/>
    <s v="Yes"/>
    <n v="4"/>
    <n v="0"/>
    <n v="4"/>
    <n v="5"/>
    <s v=""/>
    <s v="Fase: Aderência, Parametrização e Treinamentos"/>
    <s v="1ª Onda"/>
  </r>
  <r>
    <n v="4"/>
    <s v="Estoque"/>
    <n v="10025"/>
    <s v="Gestão de Produção de OPM"/>
    <s v="Yes"/>
    <s v="Yes"/>
    <n v="40"/>
    <n v="0"/>
    <n v="40"/>
    <n v="44"/>
    <s v=""/>
    <s v="Fase: Aderência, Parametrização e Treinamentos"/>
    <s v="1ª Onda"/>
  </r>
  <r>
    <n v="87"/>
    <s v="Agenda"/>
    <n v="821"/>
    <s v="Agenda de Consultas"/>
    <s v="No"/>
    <s v="No"/>
    <n v="16"/>
    <n v="0"/>
    <n v="16"/>
    <n v="16"/>
    <s v=""/>
    <s v="Fase: Aderência, Parametrização e Treinamentos"/>
    <s v="1ª Onda"/>
  </r>
  <r>
    <n v="87"/>
    <s v="Agenda"/>
    <n v="820"/>
    <s v="Agenda de Exames"/>
    <s v="No"/>
    <s v="No"/>
    <n v="16"/>
    <n v="0"/>
    <n v="16"/>
    <n v="16"/>
    <s v=""/>
    <s v="Fase: Aderência, Parametrização e Treinamentos"/>
    <s v="1ª Onda"/>
  </r>
  <r>
    <n v="87"/>
    <s v="Agenda"/>
    <n v="866"/>
    <s v="Agenda de Serviços"/>
    <s v="No"/>
    <s v="No"/>
    <n v="16"/>
    <n v="0"/>
    <n v="16"/>
    <n v="16"/>
    <s v=""/>
    <s v="Fase: Aderência, Parametrização e Treinamentos"/>
    <s v="1ª Onda"/>
  </r>
  <r>
    <n v="87"/>
    <s v="Agenda"/>
    <n v="869"/>
    <s v="Agenda Integrada"/>
    <s v="No"/>
    <s v="No"/>
    <n v="24"/>
    <n v="0"/>
    <n v="24"/>
    <n v="24"/>
    <s v=""/>
    <s v="Fase: Aderência, Parametrização e Treinamentos"/>
    <s v="1ª Onda"/>
  </r>
  <r>
    <n v="87"/>
    <s v="Agenda"/>
    <n v="871"/>
    <s v="Gestão da Agenda Cirúrgica"/>
    <s v="No"/>
    <s v="No"/>
    <n v="32"/>
    <n v="0"/>
    <n v="32"/>
    <n v="32"/>
    <s v=""/>
    <s v="Fase: Aderência, Parametrização e Treinamentos"/>
    <s v="1ª Onda"/>
  </r>
  <r>
    <n v="87"/>
    <s v="Agenda"/>
    <n v="10000"/>
    <s v="Gestão de Atendimento Futuro"/>
    <s v="No"/>
    <s v="No"/>
    <n v="16"/>
    <n v="0"/>
    <n v="16"/>
    <n v="16"/>
    <s v=""/>
    <s v="Fase: Aderência, Parametrização e Treinamentos"/>
    <s v="1ª Onda"/>
  </r>
  <r>
    <n v="87"/>
    <s v="Agenda"/>
    <n v="9021"/>
    <s v="Painel de Chamadas do Agendamento"/>
    <s v="No"/>
    <s v="No"/>
    <n v="4"/>
    <n v="0"/>
    <n v="4"/>
    <n v="4"/>
    <s v=""/>
    <s v="Fase: Aderência, Parametrização e Treinamentos"/>
    <s v="1ª Onda"/>
  </r>
  <r>
    <n v="20"/>
    <s v="SAC"/>
    <n v="2000"/>
    <s v="Boletim de Ocorrência"/>
    <s v="No"/>
    <s v="No"/>
    <n v="16"/>
    <n v="0"/>
    <n v="16"/>
    <n v="16"/>
    <s v=""/>
    <s v="Fase: Aderência, Parametrização e Treinamentos"/>
    <s v="1ª Onda"/>
  </r>
  <r>
    <n v="20"/>
    <s v="SAC"/>
    <n v="2500"/>
    <s v="Controle de Sugestões"/>
    <s v="No"/>
    <s v="No"/>
    <n v="8"/>
    <n v="0"/>
    <n v="8"/>
    <n v="8"/>
    <s v=""/>
    <s v="Fase: Aderência, Parametrização e Treinamentos"/>
    <s v="1ª Onda"/>
  </r>
  <r>
    <n v="455"/>
    <s v="Visitas"/>
    <n v="8014"/>
    <s v="Controle de Visitas"/>
    <s v="No"/>
    <s v="No"/>
    <n v="24"/>
    <n v="0"/>
    <n v="24"/>
    <n v="24"/>
    <s v=""/>
    <s v="Fase: Aderência, Parametrização e Treinamentos"/>
    <s v="1ª Onda"/>
  </r>
  <r>
    <n v="88"/>
    <s v="Prontuário Eletrônico"/>
    <n v="99023"/>
    <s v="Cadastros PEP"/>
    <s v="Yes"/>
    <s v="Yes"/>
    <n v="1"/>
    <n v="0"/>
    <n v="1.2"/>
    <n v="2"/>
    <s v=""/>
    <s v="Fase: Aderência, Parametrização e Treinamentos"/>
    <s v="1ª Onda"/>
  </r>
  <r>
    <n v="88"/>
    <s v="Prontuário Eletrônico"/>
    <n v="281"/>
    <s v="Prontuário Eletrônico Paciente - PEP"/>
    <s v="Yes"/>
    <s v="Yes"/>
    <n v="120"/>
    <n v="180"/>
    <n v="360"/>
    <n v="396"/>
    <s v=""/>
    <s v="Fase: Aderência, Parametrização e Treinamentos"/>
    <s v="1ª Onda"/>
  </r>
  <r>
    <n v="88"/>
    <s v="Prontuário Eletrônico"/>
    <n v="4200"/>
    <s v="Emissão de Prontuários"/>
    <s v="No"/>
    <s v="No"/>
    <n v="1"/>
    <n v="0"/>
    <n v="1"/>
    <n v="1"/>
    <s v=""/>
    <s v="Fase: Aderência, Parametrização e Treinamentos"/>
    <s v="1ª Onda"/>
  </r>
  <r>
    <n v="88"/>
    <s v="Prontuário Eletrônico"/>
    <n v="1355"/>
    <s v="Análise dos Parâmetros Assistenciais do Paciente - APAP"/>
    <s v="Yes"/>
    <s v="Yes"/>
    <n v="8"/>
    <n v="0"/>
    <n v="8"/>
    <n v="9"/>
    <s v=""/>
    <s v="Fase: Aderência, Parametrização e Treinamentos"/>
    <s v="1ª Onda"/>
  </r>
  <r>
    <n v="88"/>
    <s v="Prontuário Eletrônico"/>
    <n v="99024"/>
    <s v="Cadastro de Protocolos"/>
    <s v="Yes"/>
    <s v="Yes"/>
    <n v="1"/>
    <n v="0"/>
    <n v="1.2"/>
    <n v="2"/>
    <s v=""/>
    <s v="Fase: Aderência, Parametrização e Treinamentos"/>
    <s v="1ª Onda"/>
  </r>
  <r>
    <n v="88"/>
    <s v="Prontuário Eletrônico"/>
    <n v="3010"/>
    <s v="Oftalmologia"/>
    <s v="No"/>
    <s v="No"/>
    <n v="40"/>
    <n v="0"/>
    <n v="40"/>
    <n v="40"/>
    <s v=""/>
    <s v="Fase: Aderência, Parametrização e Treinamentos"/>
    <s v="1ª Onda"/>
  </r>
  <r>
    <n v="88"/>
    <s v="Prontuário Eletrônico"/>
    <n v="34"/>
    <s v="Diagnóstico Médico"/>
    <s v="Yes"/>
    <s v="Yes"/>
    <n v="1"/>
    <n v="0"/>
    <n v="1.2"/>
    <n v="2"/>
    <s v=""/>
    <s v="Fase: Aderência, Parametrização e Treinamentos"/>
    <s v="1ª Onda"/>
  </r>
  <r>
    <n v="88"/>
    <s v="Prontuário Eletrônico"/>
    <n v="1011"/>
    <s v="Gestão de Acessos PEP"/>
    <s v="Yes"/>
    <s v="Yes"/>
    <n v="6"/>
    <n v="0"/>
    <n v="6"/>
    <n v="7"/>
    <s v=""/>
    <s v="Fase: Aderência, Parametrização e Treinamentos"/>
    <s v="1ª Onda"/>
  </r>
  <r>
    <n v="88"/>
    <s v="Prontuário Eletrônico"/>
    <n v="28188"/>
    <s v="Certificação Digital"/>
    <s v="No"/>
    <s v="No"/>
    <n v="120"/>
    <n v="0"/>
    <n v="120"/>
    <n v="120"/>
    <s v=""/>
    <s v="Fase: Aderência, Parametrização e Treinamentos"/>
    <s v="1ª Onda"/>
  </r>
  <r>
    <n v="88"/>
    <s v="Prontuário Eletrônico"/>
    <n v="275"/>
    <s v="Gestão de Qualidade Assistencial  -  GQA"/>
    <s v="Yes"/>
    <s v="Yes"/>
    <n v="24"/>
    <n v="0"/>
    <n v="24"/>
    <n v="27"/>
    <s v=""/>
    <s v="Fase: Aderência, Parametrização e Treinamentos"/>
    <s v="1ª Onda"/>
  </r>
  <r>
    <n v="88"/>
    <s v="Prontuário Eletrônico"/>
    <n v="252"/>
    <s v="Gestão dos Planos Terapêuticos"/>
    <s v="Yes"/>
    <s v="Yes"/>
    <n v="32"/>
    <n v="0"/>
    <n v="38.4"/>
    <n v="43"/>
    <s v=""/>
    <s v="Fase: Aderência, Parametrização e Treinamentos"/>
    <s v="1ª Onda"/>
  </r>
  <r>
    <n v="88"/>
    <s v="Prontuário Eletrônico"/>
    <n v="338"/>
    <s v="Panorama Clínico"/>
    <s v="Yes"/>
    <s v="Yes"/>
    <n v="80"/>
    <n v="0"/>
    <n v="96"/>
    <n v="106"/>
    <s v=""/>
    <s v="Fase: Aderência, Parametrização e Treinamentos"/>
    <s v="1ª Onda"/>
  </r>
  <r>
    <n v="10"/>
    <s v="Prescrição Eletrônica"/>
    <n v="2314"/>
    <s v="CPOE"/>
    <s v="No"/>
    <s v="No"/>
    <n v="160"/>
    <n v="240"/>
    <n v="400"/>
    <n v="400"/>
    <s v=""/>
    <s v="Fase: Aderência, Parametrização e Treinamentos"/>
    <s v="1ª Onda"/>
  </r>
  <r>
    <n v="10"/>
    <s v="Prescrição Eletrônica"/>
    <n v="950"/>
    <s v="Prescrição Eletrônica Paciente - Plano Terapêutico (REP - PT)"/>
    <s v="No"/>
    <s v="No"/>
    <n v="40"/>
    <n v="0"/>
    <n v="40"/>
    <n v="40"/>
    <s v=""/>
    <s v="Fase: Aderência, Parametrização e Treinamentos"/>
    <s v="1ª Onda"/>
  </r>
  <r>
    <n v="870"/>
    <s v="Suporte a Decisão Clínica"/>
    <n v="355"/>
    <s v="Mentor"/>
    <s v="No"/>
    <s v="No"/>
    <n v="40"/>
    <n v="0"/>
    <n v="40"/>
    <n v="40"/>
    <s v=""/>
    <s v="Fase: Aderência, Parametrização e Treinamentos"/>
    <s v="1ª Onda"/>
  </r>
  <r>
    <n v="870"/>
    <s v="Suporte a Decisão Clínica"/>
    <n v="354"/>
    <s v="Suporte à Decisão Clínica (SDC) - Mentor"/>
    <s v="No"/>
    <s v="No"/>
    <n v="40"/>
    <n v="0"/>
    <n v="40"/>
    <n v="40"/>
    <s v=""/>
    <s v="Fase: Aderência, Parametrização e Treinamentos"/>
    <s v="1ª Onda"/>
  </r>
  <r>
    <n v="38"/>
    <s v="Enfermagem"/>
    <n v="1113"/>
    <s v="Adm. Eletrônica da Prescrição - ADEP"/>
    <s v="No"/>
    <s v="No"/>
    <n v="40"/>
    <n v="60"/>
    <n v="100"/>
    <n v="100"/>
    <s v=""/>
    <s v="Fase: Aderência, Parametrização e Treinamentos"/>
    <s v="1ª Onda"/>
  </r>
  <r>
    <n v="38"/>
    <s v="Enfermagem"/>
    <n v="1290"/>
    <s v="Gestão da Administração Eletrônica da Prescrição"/>
    <s v="No"/>
    <s v="No"/>
    <n v="8"/>
    <n v="0"/>
    <n v="8"/>
    <n v="8"/>
    <s v=""/>
    <s v="Fase: Aderência, Parametrização e Treinamentos"/>
    <s v="1ª Onda"/>
  </r>
  <r>
    <n v="38"/>
    <s v="Enfermagem"/>
    <n v="7015"/>
    <s v="Gestão das Prescrições pela Enfermagem"/>
    <s v="No"/>
    <s v="No"/>
    <n v="16"/>
    <n v="0"/>
    <n v="16"/>
    <n v="16"/>
    <s v=""/>
    <s v="Fase: Aderência, Parametrização e Treinamentos"/>
    <s v="1ª Onda"/>
  </r>
  <r>
    <n v="38"/>
    <s v="Enfermagem"/>
    <n v="932"/>
    <s v="Ocorrências no Turno de Trabalho"/>
    <s v="No"/>
    <s v="No"/>
    <n v="4"/>
    <n v="0"/>
    <n v="4"/>
    <n v="4"/>
    <s v=""/>
    <s v="Fase: Aderência, Parametrização e Treinamentos"/>
    <s v="1ª Onda"/>
  </r>
  <r>
    <n v="38"/>
    <s v="Enfermagem"/>
    <n v="-1004"/>
    <s v="SAE - Sistematização da Assistência de Enfermagem"/>
    <s v="No"/>
    <s v="No"/>
    <n v="24"/>
    <n v="0"/>
    <n v="24"/>
    <n v="24"/>
    <s v=""/>
    <s v="Fase: Aderência, Parametrização e Treinamentos"/>
    <s v="1ª Onda"/>
  </r>
  <r>
    <n v="89"/>
    <s v="Pronto Atendimento"/>
    <n v="2815"/>
    <s v="Classificação de Risco Manchester"/>
    <s v="No"/>
    <s v="No"/>
    <n v="40"/>
    <n v="0"/>
    <n v="40"/>
    <n v="40"/>
    <s v=""/>
    <s v="Fase: Aderência, Parametrização e Treinamentos"/>
    <s v="1ª Onda"/>
  </r>
  <r>
    <n v="89"/>
    <s v="Pronto Atendimento"/>
    <n v="440"/>
    <s v="Execução do Cartão Emergencial"/>
    <s v="No"/>
    <s v="No"/>
    <n v="6"/>
    <n v="0"/>
    <n v="6"/>
    <n v="6"/>
    <s v=""/>
    <s v="Fase: Aderência, Parametrização e Treinamentos"/>
    <s v="1ª Onda"/>
  </r>
  <r>
    <n v="89"/>
    <s v="Pronto Atendimento"/>
    <n v="9030"/>
    <s v="Painel do Pronto Atendimento"/>
    <s v="No"/>
    <s v="No"/>
    <n v="4"/>
    <n v="0"/>
    <n v="4"/>
    <n v="4"/>
    <s v=""/>
    <s v="Fase: Aderência, Parametrização e Treinamentos"/>
    <s v="1ª Onda"/>
  </r>
  <r>
    <n v="89"/>
    <s v="Pronto Atendimento"/>
    <n v="935"/>
    <s v="Pronto atendimento"/>
    <s v="No"/>
    <s v="No"/>
    <n v="40"/>
    <n v="0"/>
    <n v="40"/>
    <n v="40"/>
    <s v=""/>
    <s v="Fase: Aderência, Parametrização e Treinamentos"/>
    <s v="1ª Onda"/>
  </r>
  <r>
    <n v="22"/>
    <s v="Consultório Médico (Ambulatório)"/>
    <n v="28122"/>
    <s v="Prontuário Eletrônico Paciente (Ambulatório) "/>
    <s v="No"/>
    <s v="No"/>
    <n v="80"/>
    <n v="0"/>
    <n v="80"/>
    <n v="80"/>
    <s v=""/>
    <s v="Fase: Aderência, Parametrização e Treinamentos"/>
    <s v="1ª Onda"/>
  </r>
  <r>
    <n v="26"/>
    <s v="Centro Cirúrgico"/>
    <n v="874"/>
    <s v="Avaliação pré-anestésica eletrônica - APAE"/>
    <s v="No"/>
    <s v="No"/>
    <n v="12"/>
    <n v="0"/>
    <n v="12"/>
    <n v="12"/>
    <s v=""/>
    <s v="Fase: Aderência, Parametrização e Treinamentos"/>
    <s v="1ª Onda"/>
  </r>
  <r>
    <n v="26"/>
    <s v="Centro Cirúrgico"/>
    <n v="873"/>
    <s v="Cadastro dos Itens Peroperatórios"/>
    <s v="No"/>
    <s v="No"/>
    <n v="12"/>
    <n v="0"/>
    <n v="12"/>
    <n v="12"/>
    <s v=""/>
    <s v="Fase: Aderência, Parametrização e Treinamentos"/>
    <s v="1ª Onda"/>
  </r>
  <r>
    <n v="26"/>
    <s v="Centro Cirúrgico"/>
    <n v="10026"/>
    <s v="Ficha Anestésica Eletrônica do Paciente - FANEP"/>
    <s v="No"/>
    <s v="No"/>
    <n v="12"/>
    <n v="0"/>
    <n v="12"/>
    <n v="12"/>
    <s v=""/>
    <s v="Fase: Aderência, Parametrização e Treinamentos"/>
    <s v="1ª Onda"/>
  </r>
  <r>
    <n v="26"/>
    <s v="Centro Cirúrgico"/>
    <n v="8010"/>
    <s v="Gestão da Escala de Anestesistas"/>
    <s v="No"/>
    <s v="No"/>
    <n v="8"/>
    <n v="0"/>
    <n v="8"/>
    <n v="8"/>
    <s v=""/>
    <s v="Fase: Aderência, Parametrização e Treinamentos"/>
    <s v="1ª Onda"/>
  </r>
  <r>
    <n v="26"/>
    <s v="Centro Cirúrgico"/>
    <n v="900"/>
    <s v="Gestão de Cirurgias"/>
    <s v="No"/>
    <s v="No"/>
    <n v="24"/>
    <n v="0"/>
    <n v="24"/>
    <n v="24"/>
    <s v=""/>
    <s v="Fase: Aderência, Parametrização e Treinamentos"/>
    <s v="1ª Onda"/>
  </r>
  <r>
    <n v="26"/>
    <s v="Centro Cirúrgico"/>
    <n v="872"/>
    <s v="Prontuário Eletrônico Peroperatório - PEPO"/>
    <s v="No"/>
    <s v="No"/>
    <n v="40"/>
    <n v="0"/>
    <n v="40"/>
    <n v="40"/>
    <s v=""/>
    <s v="Fase: Aderência, Parametrização e Treinamentos"/>
    <s v="1ª Onda"/>
  </r>
  <r>
    <n v="998"/>
    <s v="Atenção Primária"/>
    <n v="341"/>
    <s v="Gestão populacional"/>
    <s v="No"/>
    <s v="No"/>
    <n v="40"/>
    <n v="0"/>
    <n v="40"/>
    <n v="40"/>
    <s v=""/>
    <s v="Fase: Aderência, Parametrização e Treinamentos"/>
    <s v="1ª Onda"/>
  </r>
  <r>
    <n v="23"/>
    <s v="Laboratório"/>
    <n v="723"/>
    <s v="Consulta de Exames"/>
    <s v="No"/>
    <s v="No"/>
    <n v="2"/>
    <n v="0"/>
    <n v="2"/>
    <n v="2"/>
    <s v=""/>
    <s v="Fase: Aderência, Parametrização e Treinamentos"/>
    <s v="1ª Onda"/>
  </r>
  <r>
    <n v="23"/>
    <s v="Laboratório"/>
    <n v="9032"/>
    <s v="Consulta de Exames do Paciente"/>
    <s v="No"/>
    <s v="No"/>
    <n v="2"/>
    <n v="0"/>
    <n v="2"/>
    <n v="2"/>
    <s v=""/>
    <s v="Fase: Aderência, Parametrização e Treinamentos"/>
    <s v="1ª Onda"/>
  </r>
  <r>
    <n v="23"/>
    <s v="Laboratório"/>
    <n v="7008"/>
    <s v="Consulta de Resultados"/>
    <s v="No"/>
    <s v="No"/>
    <n v="2"/>
    <n v="0"/>
    <n v="2"/>
    <n v="2"/>
    <s v=""/>
    <s v="Fase: Aderência, Parametrização e Treinamentos"/>
    <s v="1ª Onda"/>
  </r>
  <r>
    <n v="23"/>
    <s v="Laboratório"/>
    <n v="7012"/>
    <s v="Digitação de Resultado de Exames Laboratoriais Externos"/>
    <s v="No"/>
    <s v="No"/>
    <n v="4"/>
    <n v="0"/>
    <n v="4"/>
    <n v="4"/>
    <s v=""/>
    <s v="Fase: Aderência, Parametrização e Treinamentos"/>
    <s v="1ª Onda"/>
  </r>
  <r>
    <n v="23"/>
    <s v="Laboratório"/>
    <n v="56"/>
    <s v="Emissão de Exames do Laboratório"/>
    <s v="No"/>
    <s v="No"/>
    <n v="2"/>
    <n v="0"/>
    <n v="2"/>
    <n v="2"/>
    <s v=""/>
    <s v="Fase: Aderência, Parametrização e Treinamentos"/>
    <s v="1ª Onda"/>
  </r>
  <r>
    <n v="23"/>
    <s v="Laboratório"/>
    <n v="746"/>
    <s v="Exames de Laboratório"/>
    <s v="No"/>
    <s v="No"/>
    <n v="24"/>
    <n v="0"/>
    <n v="24"/>
    <n v="24"/>
    <s v=""/>
    <s v="Fase: Aderência, Parametrização e Treinamentos"/>
    <s v="1ª Onda"/>
  </r>
  <r>
    <n v="23"/>
    <s v="Laboratório"/>
    <n v="722"/>
    <s v="Exames Pendentes"/>
    <s v="No"/>
    <s v="No"/>
    <n v="24"/>
    <n v="0"/>
    <n v="24"/>
    <n v="24"/>
    <s v=""/>
    <s v="Fase: Aderência, Parametrização e Treinamentos"/>
    <s v="1ª Onda"/>
  </r>
  <r>
    <n v="23"/>
    <s v="Laboratório"/>
    <n v="1950"/>
    <s v="Gestão das Amostras"/>
    <s v="No"/>
    <s v="No"/>
    <n v="12"/>
    <n v="0"/>
    <n v="12"/>
    <n v="12"/>
    <s v=""/>
    <s v="Fase: Aderência, Parametrização e Treinamentos"/>
    <s v="1ª Onda"/>
  </r>
  <r>
    <n v="23"/>
    <s v="Laboratório"/>
    <n v="10209"/>
    <s v="Impressão de Mapa de Exames Laboratoriais"/>
    <s v="No"/>
    <s v="No"/>
    <n v="8"/>
    <n v="0"/>
    <n v="8"/>
    <n v="8"/>
    <s v=""/>
    <s v="Fase: Aderência, Parametrização e Treinamentos"/>
    <s v="1ª Onda"/>
  </r>
  <r>
    <n v="23"/>
    <s v="Laboratório"/>
    <n v="725"/>
    <s v="Lote de Exame"/>
    <s v="No"/>
    <s v="No"/>
    <n v="4"/>
    <n v="0"/>
    <n v="4"/>
    <n v="4"/>
    <s v=""/>
    <s v="Fase: Aderência, Parametrização e Treinamentos"/>
    <s v="1ª Onda"/>
  </r>
  <r>
    <n v="23"/>
    <s v="Laboratório"/>
    <n v="718"/>
    <s v="Lote de Exames Externos"/>
    <s v="No"/>
    <s v="No"/>
    <n v="4"/>
    <n v="0"/>
    <n v="4"/>
    <n v="4"/>
    <s v=""/>
    <s v="Fase: Aderência, Parametrização e Treinamentos"/>
    <s v="1ª Onda"/>
  </r>
  <r>
    <n v="23"/>
    <s v="Laboratório"/>
    <n v="9048"/>
    <s v="Painel de chamadas do laboratório"/>
    <s v="No"/>
    <s v="No"/>
    <n v="2"/>
    <n v="0"/>
    <n v="2"/>
    <n v="2"/>
    <s v=""/>
    <s v="Fase: Aderência, Parametrização e Treinamentos"/>
    <s v="1ª Onda"/>
  </r>
  <r>
    <n v="23"/>
    <s v="Laboratório"/>
    <n v="10210"/>
    <s v="Painel de Informações Laboratoriais"/>
    <s v="No"/>
    <s v="No"/>
    <n v="2"/>
    <n v="0"/>
    <n v="2"/>
    <n v="2"/>
    <s v=""/>
    <s v="Fase: Aderência, Parametrização e Treinamentos"/>
    <s v="1ª Onda"/>
  </r>
  <r>
    <n v="9"/>
    <s v="Exames"/>
    <n v="148"/>
    <s v="Acompanhamento de Laudos"/>
    <s v="No"/>
    <s v="No"/>
    <n v="2"/>
    <n v="0"/>
    <n v="2"/>
    <n v="2"/>
    <s v=""/>
    <s v="Fase: Aderência, Parametrização e Treinamentos"/>
    <s v="1ª Onda"/>
  </r>
  <r>
    <n v="9"/>
    <s v="Exames"/>
    <n v="99010"/>
    <s v="Central de Laudos"/>
    <s v="No"/>
    <s v="No"/>
    <n v="24"/>
    <n v="0"/>
    <n v="24"/>
    <n v="24"/>
    <s v=""/>
    <s v="Fase: Aderência, Parametrização e Treinamentos"/>
    <s v="1ª Onda"/>
  </r>
  <r>
    <n v="9"/>
    <s v="Exames"/>
    <n v="7011"/>
    <s v="Digitação de Resultados de Exames No Laboratoriais Externos"/>
    <s v="No"/>
    <s v="No"/>
    <n v="2"/>
    <n v="0"/>
    <n v="2"/>
    <n v="2"/>
    <s v=""/>
    <s v="Fase: Aderência, Parametrização e Treinamentos"/>
    <s v="1ª Onda"/>
  </r>
  <r>
    <n v="9"/>
    <s v="Exames"/>
    <n v="9047"/>
    <s v="Gestão de Entregas de Laudos"/>
    <s v="No"/>
    <s v="No"/>
    <n v="8"/>
    <n v="0"/>
    <n v="8"/>
    <n v="8"/>
    <s v=""/>
    <s v="Fase: Aderência, Parametrização e Treinamentos"/>
    <s v="1ª Onda"/>
  </r>
  <r>
    <n v="9"/>
    <s v="Exames"/>
    <n v="942"/>
    <s v="Gestão de Exames"/>
    <s v="No"/>
    <s v="No"/>
    <n v="8"/>
    <n v="0"/>
    <n v="8"/>
    <n v="8"/>
    <s v=""/>
    <s v="Fase: Aderência, Parametrização e Treinamentos"/>
    <s v="1ª Onda"/>
  </r>
  <r>
    <n v="9"/>
    <s v="Exames"/>
    <n v="28"/>
    <s v="Laudo Paciente"/>
    <s v="No"/>
    <s v="No"/>
    <n v="12"/>
    <n v="0"/>
    <n v="12"/>
    <n v="12"/>
    <s v=""/>
    <s v="Fase: Aderência, Parametrização e Treinamentos"/>
    <s v="1ª Onda"/>
  </r>
  <r>
    <n v="9"/>
    <s v="Exames"/>
    <n v="951"/>
    <s v="Medidas de Laudos"/>
    <s v="No"/>
    <s v="No"/>
    <n v="2"/>
    <n v="0"/>
    <n v="2"/>
    <n v="2"/>
    <s v=""/>
    <s v="Fase: Aderência, Parametrização e Treinamentos"/>
    <s v="1ª Onda"/>
  </r>
  <r>
    <n v="9"/>
    <s v="Exames"/>
    <n v="9039"/>
    <s v="Painel de chamadas de exames"/>
    <s v="No"/>
    <s v="No"/>
    <n v="2"/>
    <n v="0"/>
    <n v="2"/>
    <n v="2"/>
    <s v=""/>
    <s v="Fase: Aderência, Parametrização e Treinamentos"/>
    <s v="1ª Onda"/>
  </r>
  <r>
    <n v="9"/>
    <s v="Exames"/>
    <n v="994"/>
    <s v="Registro da Localização dos Laudos"/>
    <s v="No"/>
    <s v="No"/>
    <n v="2"/>
    <n v="0"/>
    <n v="2"/>
    <n v="2"/>
    <s v=""/>
    <s v="Fase: Aderência, Parametrização e Treinamentos"/>
    <s v="1ª Onda"/>
  </r>
  <r>
    <n v="9"/>
    <s v="Exames"/>
    <n v="99013"/>
    <s v="Infraestrutura Laudo"/>
    <s v="No"/>
    <s v="No"/>
    <n v="12"/>
    <n v="0"/>
    <n v="12"/>
    <n v="12"/>
    <s v=""/>
    <s v="Fase: Aderência, Parametrização e Treinamentos"/>
    <s v="1ª Onda"/>
  </r>
  <r>
    <n v="95"/>
    <s v="Check-up"/>
    <n v="996"/>
    <s v="Check-up"/>
    <s v="No"/>
    <s v="No"/>
    <n v="40"/>
    <n v="0"/>
    <n v="40"/>
    <n v="40"/>
    <s v=""/>
    <s v="Fase: Aderência, Parametrização e Treinamentos"/>
    <s v="1ª Onda"/>
  </r>
  <r>
    <n v="96"/>
    <s v="Imunização"/>
    <n v="903"/>
    <s v="Controle de Imunizações"/>
    <s v="No"/>
    <s v="No"/>
    <n v="16"/>
    <n v="0"/>
    <n v="16"/>
    <n v="16"/>
    <s v=""/>
    <s v="Fase: Aderência, Parametrização e Treinamentos"/>
    <s v="1ª Onda"/>
  </r>
  <r>
    <n v="24"/>
    <s v="Banco de Sangue"/>
    <n v="450"/>
    <s v="Hemoterapia"/>
    <s v="No"/>
    <s v="No"/>
    <n v="24"/>
    <n v="0"/>
    <n v="24"/>
    <n v="24"/>
    <s v=""/>
    <s v="Fase: Aderência, Parametrização e Treinamentos"/>
    <s v="1ª Onda"/>
  </r>
  <r>
    <n v="945"/>
    <s v="Banco de Leite"/>
    <n v="9902"/>
    <s v="Gestão de Banco de Leite "/>
    <s v="No"/>
    <s v="No"/>
    <n v="40"/>
    <n v="0"/>
    <n v="40"/>
    <n v="40"/>
    <s v=""/>
    <s v="Fase: Aderência, Parametrização e Treinamentos"/>
    <s v="1ª Onda"/>
  </r>
  <r>
    <n v="90"/>
    <s v="Quimioterapia"/>
    <n v="865"/>
    <s v="Agenda de Quimioterapia"/>
    <s v="No"/>
    <s v="No"/>
    <n v="24"/>
    <n v="0"/>
    <n v="24"/>
    <n v="24"/>
    <s v=""/>
    <s v="Fase: Aderência, Parametrização e Treinamentos"/>
    <s v="1ª Onda"/>
  </r>
  <r>
    <n v="90"/>
    <s v="Quimioterapia"/>
    <n v="3130"/>
    <s v="Quimioterapia"/>
    <s v="No"/>
    <s v="No"/>
    <n v="40"/>
    <n v="0"/>
    <n v="40"/>
    <n v="40"/>
    <s v=""/>
    <s v="Fase: Aderência, Parametrização e Treinamentos"/>
    <s v="1ª Onda"/>
  </r>
  <r>
    <n v="90"/>
    <s v="Quimioterapia"/>
    <n v="3131"/>
    <s v="Registro Hospitalar de Câncer"/>
    <s v="No"/>
    <s v="No"/>
    <n v="8"/>
    <n v="0"/>
    <n v="8"/>
    <n v="8"/>
    <s v=""/>
    <s v="Fase: Aderência, Parametrização e Treinamentos"/>
    <s v="1ª Onda"/>
  </r>
  <r>
    <n v="90"/>
    <s v="Quimioterapia"/>
    <n v="220"/>
    <s v="Ressuprimento quimioterapia"/>
    <s v="No"/>
    <s v="No"/>
    <n v="8"/>
    <n v="0"/>
    <n v="8"/>
    <n v="8"/>
    <s v=""/>
    <s v="Fase: Aderência, Parametrização e Treinamentos"/>
    <s v="1ª Onda"/>
  </r>
  <r>
    <n v="90"/>
    <s v="Quimioterapia"/>
    <n v="221"/>
    <s v="Transferência Estoque Quimioterapia"/>
    <s v="No"/>
    <s v="No"/>
    <n v="8"/>
    <n v="0"/>
    <n v="8"/>
    <n v="8"/>
    <s v=""/>
    <s v="Fase: Aderência, Parametrização e Treinamentos"/>
    <s v="1ª Onda"/>
  </r>
  <r>
    <n v="451"/>
    <s v="Radioterapia"/>
    <n v="3030"/>
    <s v="Gestão de Radioterapia"/>
    <s v="No"/>
    <s v="No"/>
    <n v="40"/>
    <n v="0"/>
    <n v="40"/>
    <n v="40"/>
    <s v=""/>
    <s v="Fase: Aderência, Parametrização e Treinamentos"/>
    <s v="1ª Onda"/>
  </r>
  <r>
    <n v="451"/>
    <s v="Radioterapia"/>
    <n v="99009"/>
    <s v="Painel de chamadas da radioterapia"/>
    <s v="No"/>
    <s v="No"/>
    <n v="2"/>
    <n v="0"/>
    <n v="2"/>
    <n v="2"/>
    <s v=""/>
    <s v="Fase: Aderência, Parametrização e Treinamentos"/>
    <s v="1ª Onda"/>
  </r>
  <r>
    <n v="212"/>
    <s v="Hemodiálise"/>
    <n v="9901"/>
    <s v="Controle de Água"/>
    <s v="No"/>
    <s v="No"/>
    <n v="4"/>
    <n v="0"/>
    <n v="4"/>
    <n v="4"/>
    <s v=""/>
    <s v="Fase: Aderência, Parametrização e Treinamentos"/>
    <s v="1ª Onda"/>
  </r>
  <r>
    <n v="212"/>
    <s v="Hemodiálise"/>
    <n v="7009"/>
    <s v="Gestão de Insuficiência Renal"/>
    <s v="No"/>
    <s v="No"/>
    <n v="40"/>
    <n v="0"/>
    <n v="40"/>
    <n v="40"/>
    <s v=""/>
    <s v="Fase: Aderência, Parametrização e Treinamentos"/>
    <s v="1ª Onda"/>
  </r>
  <r>
    <n v="681"/>
    <s v="Transplantes"/>
    <n v="7006"/>
    <s v="Gestão de Transplante"/>
    <s v="No"/>
    <s v="No"/>
    <n v="40"/>
    <n v="0"/>
    <n v="40"/>
    <n v="40"/>
    <s v=""/>
    <s v="Fase: Aderência, Parametrização e Treinamentos"/>
    <s v="1ª Onda"/>
  </r>
  <r>
    <n v="999"/>
    <s v="Anatomia Patológica"/>
    <n v="945"/>
    <s v="Laudo de Anatomia patológica"/>
    <s v="No"/>
    <s v="No"/>
    <n v="16"/>
    <n v="0"/>
    <n v="16"/>
    <n v="16"/>
    <s v=""/>
    <s v="Fase: Aderência, Parametrização e Treinamentos"/>
    <s v="1ª Onda"/>
  </r>
  <r>
    <n v="904"/>
    <s v="Medicina Preventiva"/>
    <n v="10159"/>
    <s v="HDM - Acompanhamento do Plano de Atendimento"/>
    <s v="No"/>
    <s v="No"/>
    <n v="12"/>
    <n v="0"/>
    <n v="12"/>
    <n v="12"/>
    <s v=""/>
    <s v="Fase: Aderência, Parametrização e Treinamentos"/>
    <s v="1ª Onda"/>
  </r>
  <r>
    <n v="904"/>
    <s v="Medicina Preventiva"/>
    <n v="10158"/>
    <s v="HDM - Agenda"/>
    <s v="No"/>
    <s v="No"/>
    <n v="16"/>
    <n v="0"/>
    <n v="16"/>
    <n v="16"/>
    <s v=""/>
    <s v="Fase: Aderência, Parametrização e Treinamentos"/>
    <s v="1ª Onda"/>
  </r>
  <r>
    <n v="904"/>
    <s v="Medicina Preventiva"/>
    <n v="10160"/>
    <s v="HDM - Atendimento"/>
    <s v="No"/>
    <s v="No"/>
    <n v="16"/>
    <n v="0"/>
    <n v="16"/>
    <n v="16"/>
    <s v=""/>
    <s v="Fase: Aderência, Parametrização e Treinamentos"/>
    <s v="1ª Onda"/>
  </r>
  <r>
    <n v="904"/>
    <s v="Medicina Preventiva"/>
    <n v="10150"/>
    <s v="HDM - Cadastros Gerais"/>
    <s v="No"/>
    <s v="No"/>
    <n v="12"/>
    <n v="0"/>
    <n v="12"/>
    <n v="12"/>
    <s v=""/>
    <s v="Fase: Aderência, Parametrização e Treinamentos"/>
    <s v="1ª Onda"/>
  </r>
  <r>
    <n v="904"/>
    <s v="Medicina Preventiva"/>
    <n v="10155"/>
    <s v="HDM - Captação"/>
    <s v="No"/>
    <s v="No"/>
    <n v="16"/>
    <n v="0"/>
    <n v="16"/>
    <n v="16"/>
    <s v=""/>
    <s v="Fase: Aderência, Parametrização e Treinamentos"/>
    <s v="1ª Onda"/>
  </r>
  <r>
    <n v="904"/>
    <s v="Medicina Preventiva"/>
    <n v="10200"/>
    <s v="HDM - Configurações Gerais"/>
    <s v="No"/>
    <s v="No"/>
    <n v="12"/>
    <n v="0"/>
    <n v="12"/>
    <n v="12"/>
    <s v=""/>
    <s v="Fase: Aderência, Parametrização e Treinamentos"/>
    <s v="1ª Onda"/>
  </r>
  <r>
    <n v="904"/>
    <s v="Medicina Preventiva"/>
    <n v="10151"/>
    <s v="HDM - Controle de Campanhas"/>
    <s v="No"/>
    <s v="No"/>
    <n v="16"/>
    <n v="0"/>
    <n v="16"/>
    <n v="16"/>
    <s v=""/>
    <s v="Fase: Aderência, Parametrização e Treinamentos"/>
    <s v="1ª Onda"/>
  </r>
  <r>
    <n v="904"/>
    <s v="Medicina Preventiva"/>
    <n v="10153"/>
    <s v="HDM - Controle de Equipes e Papéis"/>
    <s v="No"/>
    <s v="No"/>
    <n v="12"/>
    <n v="0"/>
    <n v="12"/>
    <n v="12"/>
    <s v=""/>
    <s v="Fase: Aderência, Parametrização e Treinamentos"/>
    <s v="1ª Onda"/>
  </r>
  <r>
    <n v="904"/>
    <s v="Medicina Preventiva"/>
    <n v="10157"/>
    <s v="HDM - Controle de Participantes"/>
    <s v="No"/>
    <s v="No"/>
    <n v="12"/>
    <n v="0"/>
    <n v="12"/>
    <n v="12"/>
    <s v=""/>
    <s v="Fase: Aderência, Parametrização e Treinamentos"/>
    <s v="1ª Onda"/>
  </r>
  <r>
    <n v="904"/>
    <s v="Medicina Preventiva"/>
    <n v="10154"/>
    <s v="HDM - Grupos de Atendimento Coletivo"/>
    <s v="No"/>
    <s v="No"/>
    <n v="12"/>
    <n v="0"/>
    <n v="12"/>
    <n v="12"/>
    <s v=""/>
    <s v="Fase: Aderência, Parametrização e Treinamentos"/>
    <s v="1ª Onda"/>
  </r>
  <r>
    <n v="904"/>
    <s v="Medicina Preventiva"/>
    <n v="10156"/>
    <s v="HDM - Pesquisa de População Alvo"/>
    <s v="No"/>
    <s v="No"/>
    <n v="16"/>
    <n v="0"/>
    <n v="16"/>
    <n v="16"/>
    <s v=""/>
    <s v="Fase: Aderência, Parametrização e Treinamentos"/>
    <s v="1ª Onda"/>
  </r>
  <r>
    <n v="904"/>
    <s v="Medicina Preventiva"/>
    <n v="10152"/>
    <s v="HDM - Programas"/>
    <s v="No"/>
    <s v="No"/>
    <n v="16"/>
    <n v="0"/>
    <n v="16"/>
    <n v="16"/>
    <s v=""/>
    <s v="Fase: Aderência, Parametrização e Treinamentos"/>
    <s v="1ª Onda"/>
  </r>
  <r>
    <n v="904"/>
    <s v="Medicina Preventiva"/>
    <n v="10161"/>
    <s v="HDM - Telemonitoramento"/>
    <s v="No"/>
    <s v="No"/>
    <n v="12"/>
    <n v="0"/>
    <n v="12"/>
    <n v="12"/>
    <s v=""/>
    <s v="Fase: Aderência, Parametrização e Treinamentos"/>
    <s v="1ª Onda"/>
  </r>
  <r>
    <n v="71"/>
    <s v="Nutrição"/>
    <n v="1133"/>
    <s v="Cadastros de Nutrição"/>
    <s v="No"/>
    <s v="No"/>
    <n v="16"/>
    <n v="0"/>
    <n v="16"/>
    <n v="16"/>
    <s v=""/>
    <s v="Fase: Aderência, Parametrização e Treinamentos"/>
    <s v="1ª Onda"/>
  </r>
  <r>
    <n v="71"/>
    <s v="Nutrição"/>
    <n v="1003"/>
    <s v="Gestão da Nutrição"/>
    <s v="No"/>
    <s v="No"/>
    <n v="40"/>
    <n v="0"/>
    <n v="40"/>
    <n v="40"/>
    <s v=""/>
    <s v="Fase: Aderência, Parametrização e Treinamentos"/>
    <s v="1ª Onda"/>
  </r>
  <r>
    <n v="71"/>
    <s v="Nutrição"/>
    <n v="7026"/>
    <s v="Gestão de Reserva de Refeições"/>
    <s v="No"/>
    <s v="No"/>
    <n v="4"/>
    <n v="0"/>
    <n v="4"/>
    <n v="4"/>
    <s v=""/>
    <s v="Fase: Aderência, Parametrização e Treinamentos"/>
    <s v="1ª Onda"/>
  </r>
  <r>
    <n v="71"/>
    <s v="Nutrição"/>
    <n v="373"/>
    <s v="Painel de Serviços da Nutrição "/>
    <s v="No"/>
    <s v="No"/>
    <n v="40"/>
    <n v="0"/>
    <n v="40"/>
    <n v="40"/>
    <s v=""/>
    <s v="Fase: Aderência, Parametrização e Treinamentos"/>
    <s v="1ª Onda"/>
  </r>
  <r>
    <n v="93"/>
    <s v="Higienização"/>
    <n v="1350"/>
    <s v="Controle de Resíduos Hospitalares e Lixo"/>
    <s v="No"/>
    <s v="No"/>
    <n v="8"/>
    <n v="0"/>
    <n v="8"/>
    <n v="8"/>
    <s v=""/>
    <s v="Fase: Aderência, Parametrização e Treinamentos"/>
    <s v="1ª Onda"/>
  </r>
  <r>
    <n v="93"/>
    <s v="Higienização"/>
    <n v="75"/>
    <s v="Gestão de Serviços de Leito"/>
    <s v="No"/>
    <s v="No"/>
    <n v="24"/>
    <n v="0"/>
    <n v="24"/>
    <n v="24"/>
    <s v=""/>
    <s v="Fase: Aderência, Parametrização e Treinamentos"/>
    <s v="1ª Onda"/>
  </r>
  <r>
    <n v="312"/>
    <s v="Rouparia"/>
    <n v="1301"/>
    <s v="Rouparia"/>
    <s v="No"/>
    <s v="No"/>
    <n v="24"/>
    <n v="0"/>
    <n v="24"/>
    <n v="24"/>
    <s v=""/>
    <s v="Fase: Aderência, Parametrização e Treinamentos"/>
    <s v="1ª Onda"/>
  </r>
  <r>
    <n v="391"/>
    <s v="Home Care"/>
    <n v="867"/>
    <s v="Gestão de Home Care"/>
    <s v="No"/>
    <s v="No"/>
    <n v="32"/>
    <n v="0"/>
    <n v="32"/>
    <n v="32"/>
    <s v=""/>
    <s v="Fase: Aderência, Parametrização e Treinamentos"/>
    <s v="1ª Onda"/>
  </r>
  <r>
    <n v="98"/>
    <s v="SAME"/>
    <n v="46"/>
    <s v="Controle de Prontuários"/>
    <s v="No"/>
    <s v="No"/>
    <n v="16"/>
    <n v="0"/>
    <n v="16"/>
    <n v="16"/>
    <s v=""/>
    <s v="Fase: Aderência, Parametrização e Treinamentos"/>
    <s v="1ª Onda"/>
  </r>
  <r>
    <n v="98"/>
    <s v="SAME"/>
    <n v="941"/>
    <s v="Gestão de Prontuários"/>
    <s v="No"/>
    <s v="No"/>
    <n v="32"/>
    <n v="0"/>
    <n v="32"/>
    <n v="32"/>
    <s v=""/>
    <s v="Fase: Aderência, Parametrização e Treinamentos"/>
    <s v="1ª Onda"/>
  </r>
  <r>
    <n v="15"/>
    <s v="Controle de Infecção Hospitalar"/>
    <n v="7020"/>
    <s v="Cadastro de Dispositivos Utilizados no Paciente"/>
    <s v="No"/>
    <s v="No"/>
    <n v="6"/>
    <n v="0"/>
    <n v="6"/>
    <n v="6"/>
    <s v=""/>
    <s v="Fase: Aderência, Parametrização e Treinamentos"/>
    <s v="1ª Onda"/>
  </r>
  <r>
    <n v="15"/>
    <s v="Controle de Infecção Hospitalar"/>
    <n v="936"/>
    <s v="Ficha de Ocorrência  CIH"/>
    <s v="No"/>
    <s v="No"/>
    <n v="16"/>
    <n v="0"/>
    <n v="16"/>
    <n v="16"/>
    <s v=""/>
    <s v="Fase: Aderência, Parametrização e Treinamentos"/>
    <s v="1ª Onda"/>
  </r>
  <r>
    <n v="15"/>
    <s v="Controle de Infecção Hospitalar"/>
    <n v="7043"/>
    <s v="Gestão de CCIH"/>
    <s v="No"/>
    <s v="No"/>
    <n v="12"/>
    <n v="0"/>
    <n v="12"/>
    <n v="12"/>
    <s v=""/>
    <s v="Fase: Aderência, Parametrização e Treinamentos"/>
    <s v="1ª Onda"/>
  </r>
  <r>
    <n v="15"/>
    <s v="Controle de Infecção Hospitalar"/>
    <n v="7022"/>
    <s v="Gestão NISS"/>
    <s v="No"/>
    <s v="No"/>
    <n v="12"/>
    <n v="0"/>
    <n v="12"/>
    <n v="12"/>
    <s v=""/>
    <s v="Fase: Aderência, Parametrização e Treinamentos"/>
    <s v="1ª Onda"/>
  </r>
  <r>
    <n v="15"/>
    <s v="Controle de Infecção Hospitalar"/>
    <n v="896"/>
    <s v="Liberação Medicamentos CIH"/>
    <s v="No"/>
    <s v="No"/>
    <n v="8"/>
    <n v="0"/>
    <n v="8"/>
    <n v="8"/>
    <s v=""/>
    <s v="Fase: Aderência, Parametrização e Treinamentos"/>
    <s v="1ª Onda"/>
  </r>
  <r>
    <n v="15"/>
    <s v="Controle de Infecção Hospitalar"/>
    <n v="1302"/>
    <s v="Registro de Ficha de Ocorrência"/>
    <s v="No"/>
    <s v="No"/>
    <n v="4"/>
    <n v="0"/>
    <n v="4"/>
    <n v="4"/>
    <s v=""/>
    <s v="Fase: Aderência, Parametrização e Treinamentos"/>
    <s v="1ª Onda"/>
  </r>
  <r>
    <n v="15"/>
    <s v="Controle de Infecção Hospitalar"/>
    <n v="1137"/>
    <s v="SINAN - Ficha de Notificação e Investigação"/>
    <s v="No"/>
    <s v="No"/>
    <n v="4"/>
    <n v="0"/>
    <n v="4"/>
    <n v="4"/>
    <s v=""/>
    <s v="Fase: Aderência, Parametrização e Treinamentos"/>
    <s v="1ª Onda"/>
  </r>
  <r>
    <n v="91"/>
    <s v="CME - Central de Material Esterilizado"/>
    <n v="407"/>
    <s v="Cadastro de Itens Físicos"/>
    <s v="No"/>
    <s v="No"/>
    <n v="4"/>
    <n v="0"/>
    <n v="4"/>
    <n v="4"/>
    <s v=""/>
    <s v="Fase: Aderência, Parametrização e Treinamentos"/>
    <s v="1ª Onda"/>
  </r>
  <r>
    <n v="91"/>
    <s v="CME - Central de Material Esterilizado"/>
    <n v="406"/>
    <s v="Gestão de CME"/>
    <s v="No"/>
    <s v="No"/>
    <n v="40"/>
    <n v="0"/>
    <n v="40"/>
    <n v="40"/>
    <s v=""/>
    <s v="Fase: Aderência, Parametrização e Treinamentos"/>
    <s v="1ª Onda"/>
  </r>
  <r>
    <n v="91"/>
    <s v="CME - Central de Material Esterilizado"/>
    <n v="410"/>
    <s v="Requisição de Conjuntos"/>
    <s v="No"/>
    <s v="No"/>
    <n v="4"/>
    <n v="0"/>
    <n v="4"/>
    <n v="4"/>
    <s v=""/>
    <s v="Fase: Aderência, Parametrização e Treinamentos"/>
    <s v="1ª Onda"/>
  </r>
  <r>
    <n v="105"/>
    <s v="Qualidade"/>
    <n v="7007"/>
    <s v="Avaliação de Profissionais"/>
    <s v="No"/>
    <s v="No"/>
    <n v="8"/>
    <n v="0"/>
    <n v="8"/>
    <n v="8"/>
    <s v=""/>
    <s v="Fase: Aderência, Parametrização e Treinamentos"/>
    <s v="1ª Onda"/>
  </r>
  <r>
    <n v="105"/>
    <s v="Qualidade"/>
    <n v="4000"/>
    <s v="Gestão da Qualidade"/>
    <s v="No"/>
    <s v="No"/>
    <n v="40"/>
    <n v="0"/>
    <n v="40"/>
    <n v="40"/>
    <s v=""/>
    <s v="Fase: Aderência, Parametrização e Treinamentos"/>
    <s v="1ª Onda"/>
  </r>
  <r>
    <n v="105"/>
    <s v="Qualidade"/>
    <n v="63"/>
    <s v="Gestão de Acesso de Profissionais"/>
    <s v="No"/>
    <s v="No"/>
    <n v="32"/>
    <n v="0"/>
    <n v="32"/>
    <n v="32"/>
    <s v=""/>
    <s v="Fase: Aderência, Parametrização e Treinamentos"/>
    <s v="1ª Onda"/>
  </r>
  <r>
    <n v="105"/>
    <s v="Qualidade"/>
    <n v="7032"/>
    <s v="Gestão de Alertas e Eventos"/>
    <s v="No"/>
    <s v="No"/>
    <n v="8"/>
    <n v="0"/>
    <n v="8"/>
    <n v="8"/>
    <s v=""/>
    <s v="Fase: Aderência, Parametrização e Treinamentos"/>
    <s v="1ª Onda"/>
  </r>
  <r>
    <n v="322"/>
    <s v="Treinamentos"/>
    <n v="7041"/>
    <s v="Gestão de Treinamento"/>
    <s v="No"/>
    <s v="No"/>
    <n v="12"/>
    <n v="0"/>
    <n v="12"/>
    <n v="12"/>
    <s v=""/>
    <s v="Fase: Aderência, Parametrização e Treinamentos"/>
    <s v="1ª Onda"/>
  </r>
  <r>
    <n v="322"/>
    <s v="Treinamentos"/>
    <n v="7004"/>
    <s v="Treinamento"/>
    <s v="No"/>
    <s v="No"/>
    <n v="12"/>
    <n v="0"/>
    <n v="12"/>
    <n v="12"/>
    <s v=""/>
    <s v="Fase: Aderência, Parametrização e Treinamentos"/>
    <s v="1ª Onda"/>
  </r>
  <r>
    <n v="94"/>
    <s v="SOS"/>
    <n v="929"/>
    <s v="Serviços de Emergência"/>
    <s v="No"/>
    <s v="No"/>
    <n v="40"/>
    <n v="0"/>
    <n v="40"/>
    <n v="40"/>
    <s v=""/>
    <s v="Fase: Aderência, Parametrização e Treinamentos"/>
    <s v="1ª Onda"/>
  </r>
  <r>
    <n v="18"/>
    <s v="Manutenção"/>
    <n v="295"/>
    <s v="Cadastros da manutenção"/>
    <s v="No"/>
    <s v="No"/>
    <n v="8"/>
    <n v="0"/>
    <n v="8"/>
    <n v="8"/>
    <s v=""/>
    <s v="Fase: Aderência, Parametrização e Treinamentos"/>
    <s v="1ª Onda"/>
  </r>
  <r>
    <n v="18"/>
    <s v="Manutenção"/>
    <n v="298"/>
    <s v="Controle de Equipamentos"/>
    <s v="No"/>
    <s v="No"/>
    <n v="12"/>
    <n v="0"/>
    <n v="12"/>
    <n v="12"/>
    <s v=""/>
    <s v="Fase: Aderência, Parametrização e Treinamentos"/>
    <s v="1ª Onda"/>
  </r>
  <r>
    <n v="18"/>
    <s v="Manutenção"/>
    <n v="1300"/>
    <s v="Controle de Temperatura dos Setores"/>
    <s v="No"/>
    <s v="No"/>
    <n v="4"/>
    <n v="0"/>
    <n v="4"/>
    <n v="4"/>
    <s v=""/>
    <s v="Fase: Aderência, Parametrização e Treinamentos"/>
    <s v="1ª Onda"/>
  </r>
  <r>
    <n v="18"/>
    <s v="Manutenção"/>
    <n v="296"/>
    <s v="Gestão de Ordens de Serviço"/>
    <s v="No"/>
    <s v="No"/>
    <n v="4"/>
    <n v="0"/>
    <n v="4"/>
    <n v="4"/>
    <s v=""/>
    <s v="Fase: Aderência, Parametrização e Treinamentos"/>
    <s v="1ª Onda"/>
  </r>
  <r>
    <n v="18"/>
    <s v="Manutenção"/>
    <n v="297"/>
    <s v="Ordem de Serviço (Nova)"/>
    <s v="No"/>
    <s v="No"/>
    <n v="24"/>
    <n v="0"/>
    <n v="24"/>
    <n v="24"/>
    <s v=""/>
    <s v="Fase: Aderência, Parametrização e Treinamentos"/>
    <s v="1ª Onda"/>
  </r>
  <r>
    <n v="18"/>
    <s v="Manutenção"/>
    <n v="294"/>
    <s v="Rota de inspeção"/>
    <s v="No"/>
    <s v="No"/>
    <n v="16"/>
    <n v="0"/>
    <n v="16"/>
    <n v="16"/>
    <s v=""/>
    <s v="Fase: Aderência, Parametrização e Treinamentos"/>
    <s v="1ª Onda"/>
  </r>
  <r>
    <n v="182"/>
    <s v="Comunicação"/>
    <n v="87"/>
    <s v="Comunicação interna"/>
    <s v="No"/>
    <s v="No"/>
    <n v="2"/>
    <n v="0"/>
    <n v="2"/>
    <n v="2"/>
    <s v=""/>
    <s v="Fase: Aderência, Parametrização e Treinamentos"/>
    <s v="1ª Onda"/>
  </r>
  <r>
    <n v="182"/>
    <s v="Comunicação"/>
    <n v="791"/>
    <s v="Particular"/>
    <s v="No"/>
    <s v="No"/>
    <n v="4"/>
    <n v="0"/>
    <n v="4"/>
    <n v="4"/>
    <s v=""/>
    <s v="Fase: Aderência, Parametrização e Treinamentos"/>
    <s v="1ª Onda"/>
  </r>
  <r>
    <n v="7"/>
    <s v="Compras"/>
    <n v="267"/>
    <s v="Aprovações Pendentes"/>
    <s v="No"/>
    <s v="No"/>
    <n v="12"/>
    <n v="0"/>
    <n v="12"/>
    <n v="12"/>
    <s v=""/>
    <s v="Fase: Aderência, Parametrização e Treinamentos"/>
    <s v="1ª Onda"/>
  </r>
  <r>
    <n v="7"/>
    <s v="Compras"/>
    <n v="1200"/>
    <s v="Controle de Contratos"/>
    <s v="No"/>
    <s v="No"/>
    <n v="16"/>
    <n v="0"/>
    <n v="16"/>
    <n v="16"/>
    <s v=""/>
    <s v="Fase: Aderência, Parametrização e Treinamentos"/>
    <s v="1ª Onda"/>
  </r>
  <r>
    <n v="7"/>
    <s v="Compras"/>
    <n v="915"/>
    <s v="Cotação de Compra"/>
    <s v="No"/>
    <s v="No"/>
    <n v="12"/>
    <n v="0"/>
    <n v="12"/>
    <n v="12"/>
    <s v=""/>
    <s v="Fase: Aderência, Parametrização e Treinamentos"/>
    <s v="1ª Onda"/>
  </r>
  <r>
    <n v="7"/>
    <s v="Compras"/>
    <n v="124"/>
    <s v="Emissão da Solicitação de Compra"/>
    <s v="No"/>
    <s v="No"/>
    <n v="1"/>
    <n v="0"/>
    <n v="1"/>
    <n v="1"/>
    <s v=""/>
    <s v="Fase: Aderência, Parametrização e Treinamentos"/>
    <s v="1ª Onda"/>
  </r>
  <r>
    <n v="7"/>
    <s v="Compras"/>
    <n v="126"/>
    <s v="Emissão Solicitações/Ordem/Autorizações"/>
    <s v="No"/>
    <s v="No"/>
    <n v="1"/>
    <n v="0"/>
    <n v="1"/>
    <n v="1"/>
    <s v=""/>
    <s v="Fase: Aderência, Parametrização e Treinamentos"/>
    <s v="1ª Onda"/>
  </r>
  <r>
    <n v="7"/>
    <s v="Compras"/>
    <n v="4100"/>
    <s v="Gestão da Avaliação de Produtos"/>
    <s v="No"/>
    <s v="No"/>
    <n v="4"/>
    <n v="0"/>
    <n v="4"/>
    <n v="4"/>
    <s v=""/>
    <s v="Fase: Aderência, Parametrização e Treinamentos"/>
    <s v="1ª Onda"/>
  </r>
  <r>
    <n v="7"/>
    <s v="Compras"/>
    <n v="920"/>
    <s v="Gestão de Fornecimento"/>
    <s v="No"/>
    <s v="No"/>
    <n v="4"/>
    <n v="0"/>
    <n v="4"/>
    <n v="4"/>
    <s v=""/>
    <s v="Fase: Aderência, Parametrização e Treinamentos"/>
    <s v="1ª Onda"/>
  </r>
  <r>
    <n v="7"/>
    <s v="Compras"/>
    <n v="917"/>
    <s v="Ordem compra"/>
    <s v="No"/>
    <s v="No"/>
    <n v="12"/>
    <n v="0"/>
    <n v="12"/>
    <n v="12"/>
    <s v=""/>
    <s v="Fase: Aderência, Parametrização e Treinamentos"/>
    <s v="1ª Onda"/>
  </r>
  <r>
    <n v="7"/>
    <s v="Compras"/>
    <n v="913"/>
    <s v="Solicitação de Compra"/>
    <s v="No"/>
    <s v="No"/>
    <n v="12"/>
    <n v="0"/>
    <n v="12"/>
    <n v="12"/>
    <s v=""/>
    <s v="Fase: Aderência, Parametrização e Treinamentos"/>
    <s v="1ª Onda"/>
  </r>
  <r>
    <n v="100"/>
    <s v="Licitação"/>
    <n v="952"/>
    <s v="Registro de Licitação"/>
    <s v="No"/>
    <s v="No"/>
    <n v="40"/>
    <n v="0"/>
    <n v="40"/>
    <n v="40"/>
    <s v=""/>
    <s v="Fase: Aderência, Parametrização e Treinamentos"/>
    <s v="1ª Onda"/>
  </r>
  <r>
    <n v="8"/>
    <s v="Farmácia"/>
    <n v="36"/>
    <s v="Atendimento da Prescrição"/>
    <s v="No"/>
    <s v="No"/>
    <n v="8"/>
    <n v="0"/>
    <n v="8"/>
    <n v="8"/>
    <s v=""/>
    <s v="Fase: Aderência, Parametrização e Treinamentos"/>
    <s v="1ª Onda"/>
  </r>
  <r>
    <n v="8"/>
    <s v="Farmácia"/>
    <n v="7029"/>
    <s v="Atendimento do Lote da Prescrição"/>
    <s v="No"/>
    <s v="No"/>
    <n v="24"/>
    <n v="0"/>
    <n v="24"/>
    <n v="24"/>
    <s v=""/>
    <s v="Fase: Aderência, Parametrização e Treinamentos"/>
    <s v="1ª Onda"/>
  </r>
  <r>
    <n v="8"/>
    <s v="Farmácia"/>
    <n v="42"/>
    <s v="Devolução Material Paciente"/>
    <s v="No"/>
    <s v="No"/>
    <n v="8"/>
    <n v="0"/>
    <n v="8"/>
    <n v="8"/>
    <s v=""/>
    <s v="Fase: Aderência, Parametrização e Treinamentos"/>
    <s v="1ª Onda"/>
  </r>
  <r>
    <n v="8"/>
    <s v="Farmácia"/>
    <n v="7031"/>
    <s v="Emissão do Lote da Prescrição"/>
    <s v="No"/>
    <s v="No"/>
    <n v="2"/>
    <n v="0"/>
    <n v="2"/>
    <n v="2"/>
    <s v=""/>
    <s v="Fase: Aderência, Parametrização e Treinamentos"/>
    <s v="1ª Onda"/>
  </r>
  <r>
    <n v="8"/>
    <s v="Farmácia"/>
    <n v="122"/>
    <s v="Emissão dos Atendimentos (Req/Presc)"/>
    <s v="No"/>
    <s v="No"/>
    <n v="1"/>
    <n v="0"/>
    <n v="1"/>
    <n v="1"/>
    <s v=""/>
    <s v="Fase: Aderência, Parametrização e Treinamentos"/>
    <s v="1ª Onda"/>
  </r>
  <r>
    <n v="8"/>
    <s v="Farmácia"/>
    <n v="24"/>
    <s v="Execução Prescrição"/>
    <s v="No"/>
    <s v="No"/>
    <n v="8"/>
    <n v="0"/>
    <n v="8"/>
    <n v="8"/>
    <s v=""/>
    <s v="Fase: Aderência, Parametrização e Treinamentos"/>
    <s v="1ª Onda"/>
  </r>
  <r>
    <n v="8"/>
    <s v="Farmácia"/>
    <n v="10015"/>
    <s v="Farmácia Ambulatorial"/>
    <s v="No"/>
    <s v="No"/>
    <n v="24"/>
    <n v="0"/>
    <n v="24"/>
    <n v="24"/>
    <s v=""/>
    <s v="Fase: Aderência, Parametrização e Treinamentos"/>
    <s v="1ª Onda"/>
  </r>
  <r>
    <n v="8"/>
    <s v="Farmácia"/>
    <n v="7010"/>
    <s v="Gestão das Prescrições pela Farmácia Clínica"/>
    <s v="No"/>
    <s v="No"/>
    <n v="16"/>
    <n v="0"/>
    <n v="16"/>
    <n v="16"/>
    <s v=""/>
    <s v="Fase: Aderência, Parametrização e Treinamentos"/>
    <s v="1ª Onda"/>
  </r>
  <r>
    <n v="8"/>
    <s v="Farmácia"/>
    <n v="3112"/>
    <s v="Gestão de Dispensação dos Processos ADEP - GEDIPA"/>
    <s v="No"/>
    <s v="No"/>
    <n v="16"/>
    <n v="0"/>
    <n v="16"/>
    <n v="16"/>
    <s v=""/>
    <s v="Fase: Aderência, Parametrização e Treinamentos"/>
    <s v="1ª Onda"/>
  </r>
  <r>
    <n v="8"/>
    <s v="Farmácia"/>
    <n v="7030"/>
    <s v="Gestão dos Lotes da Dispensação"/>
    <s v="No"/>
    <s v="No"/>
    <n v="8"/>
    <n v="0"/>
    <n v="8"/>
    <n v="8"/>
    <s v=""/>
    <s v="Fase: Aderência, Parametrização e Treinamentos"/>
    <s v="1ª Onda"/>
  </r>
  <r>
    <n v="8"/>
    <s v="Farmácia"/>
    <n v="47"/>
    <s v="Liberação Medicamentos No Padronizados"/>
    <s v="No"/>
    <s v="No"/>
    <n v="2"/>
    <n v="0"/>
    <n v="2"/>
    <n v="2"/>
    <s v=""/>
    <s v="Fase: Aderência, Parametrização e Treinamentos"/>
    <s v="1ª Onda"/>
  </r>
  <r>
    <n v="8"/>
    <s v="Farmácia"/>
    <n v="998"/>
    <s v="Prescrição de Emergência"/>
    <s v="No"/>
    <s v="No"/>
    <n v="6"/>
    <n v="0"/>
    <n v="6"/>
    <n v="6"/>
    <s v=""/>
    <s v="Fase: Aderência, Parametrização e Treinamentos"/>
    <s v="1ª Onda"/>
  </r>
  <r>
    <n v="8"/>
    <s v="Farmácia"/>
    <n v="9044"/>
    <s v="Produção de Medicamentos"/>
    <s v="No"/>
    <s v="No"/>
    <n v="4"/>
    <n v="0"/>
    <n v="4"/>
    <n v="4"/>
    <s v=""/>
    <s v="Fase: Aderência, Parametrização e Treinamentos"/>
    <s v="1ª Onda"/>
  </r>
  <r>
    <n v="31"/>
    <s v="SUS AIH"/>
    <n v="1126"/>
    <s v="Gestão SUS Unificado - GSU"/>
    <s v="No"/>
    <s v="No"/>
    <n v="16"/>
    <n v="0"/>
    <n v="16"/>
    <n v="16"/>
    <s v=""/>
    <s v="Fase: Aderência, Parametrização e Treinamentos"/>
    <s v="1ª Onda"/>
  </r>
  <r>
    <n v="31"/>
    <s v="SUS AIH"/>
    <n v="1123"/>
    <s v="SUS AIH"/>
    <s v="No"/>
    <s v="No"/>
    <n v="40"/>
    <n v="0"/>
    <n v="40"/>
    <n v="40"/>
    <s v=""/>
    <s v="Fase: Aderência, Parametrização e Treinamentos"/>
    <s v="1ª Onda"/>
  </r>
  <r>
    <n v="82"/>
    <s v="SUS APAC"/>
    <n v="1124"/>
    <s v="SUS APAC"/>
    <s v="No"/>
    <s v="No"/>
    <n v="24"/>
    <n v="0"/>
    <n v="24"/>
    <n v="24"/>
    <s v=""/>
    <s v="Fase: Aderência, Parametrização e Treinamentos"/>
    <s v="1ª Onda"/>
  </r>
  <r>
    <n v="32"/>
    <s v="SUS BPA"/>
    <n v="1125"/>
    <s v="SUS BPA"/>
    <s v="No"/>
    <s v="No"/>
    <n v="16"/>
    <n v="0"/>
    <n v="16"/>
    <n v="16"/>
    <s v=""/>
    <s v="Fase: Aderência, Parametrização e Treinamentos"/>
    <s v="1ª Onda"/>
  </r>
  <r>
    <n v="32"/>
    <s v="SUS BPA"/>
    <n v="1131"/>
    <s v="SUS FPO"/>
    <s v="No"/>
    <s v="No"/>
    <n v="8"/>
    <n v="0"/>
    <n v="8"/>
    <n v="8"/>
    <s v=""/>
    <s v="Fase: Aderência, Parametrização e Treinamentos"/>
    <s v="1ª Onda"/>
  </r>
  <r>
    <n v="101"/>
    <s v="Auditoria"/>
    <n v="1116"/>
    <s v="Auditoria Conta Paciente"/>
    <s v="No"/>
    <s v="No"/>
    <n v="32"/>
    <n v="0"/>
    <n v="32"/>
    <n v="32"/>
    <s v=""/>
    <s v="Fase: Aderência, Parametrização e Treinamentos"/>
    <s v="1ª Onda"/>
  </r>
  <r>
    <n v="102"/>
    <s v="Gestão de Autorizações"/>
    <n v="3004"/>
    <s v="Autorização Convênio"/>
    <s v="No"/>
    <s v="No"/>
    <n v="16"/>
    <n v="0"/>
    <n v="16"/>
    <n v="16"/>
    <s v=""/>
    <s v="Fase: Aderência, Parametrização e Treinamentos"/>
    <s v="1ª Onda"/>
  </r>
  <r>
    <n v="102"/>
    <s v="Gestão de Autorizações"/>
    <n v="3006"/>
    <s v="Autorização de materiais especiais"/>
    <s v="No"/>
    <s v="No"/>
    <n v="16"/>
    <n v="0"/>
    <n v="16"/>
    <n v="16"/>
    <s v=""/>
    <s v="Fase: Aderência, Parametrização e Treinamentos"/>
    <s v="1ª Onda"/>
  </r>
  <r>
    <n v="102"/>
    <s v="Gestão de Autorizações"/>
    <n v="988"/>
    <s v="Gerenciamento de Autorizações"/>
    <s v="No"/>
    <s v="No"/>
    <n v="8"/>
    <n v="0"/>
    <n v="8"/>
    <n v="8"/>
    <s v=""/>
    <s v="Fase: Aderência, Parametrização e Treinamentos"/>
    <s v="1ª Onda"/>
  </r>
  <r>
    <n v="102"/>
    <s v="Gestão de Autorizações"/>
    <n v="1006"/>
    <s v="Gestão de Autorizações SUS"/>
    <s v="No"/>
    <s v="No"/>
    <n v="8"/>
    <n v="0"/>
    <n v="8"/>
    <n v="8"/>
    <s v=""/>
    <s v="Fase: Aderência, Parametrização e Treinamentos"/>
    <s v="1ª Onda"/>
  </r>
  <r>
    <n v="12"/>
    <s v="Contas a Pagar"/>
    <n v="858"/>
    <s v="Adiantamento Pago"/>
    <s v="No"/>
    <s v="No"/>
    <n v="8"/>
    <n v="0"/>
    <n v="8"/>
    <n v="8"/>
    <s v=""/>
    <s v="Fase: Aderência, Parametrização e Treinamentos"/>
    <s v="1ª Onda"/>
  </r>
  <r>
    <n v="12"/>
    <s v="Contas a Pagar"/>
    <n v="8559"/>
    <s v="Aprovação de Pagamentos"/>
    <s v="No"/>
    <s v="No"/>
    <n v="8"/>
    <n v="0"/>
    <n v="8"/>
    <n v="8"/>
    <s v=""/>
    <s v="Fase: Aderência, Parametrização e Treinamentos"/>
    <s v="1ª Onda"/>
  </r>
  <r>
    <n v="12"/>
    <s v="Contas a Pagar"/>
    <n v="855"/>
    <s v="Borderô a Pagar"/>
    <s v="No"/>
    <s v="No"/>
    <n v="8"/>
    <n v="0"/>
    <n v="8"/>
    <n v="8"/>
    <s v=""/>
    <s v="Fase: Aderência, Parametrização e Treinamentos"/>
    <s v="1ª Onda"/>
  </r>
  <r>
    <n v="12"/>
    <s v="Contas a Pagar"/>
    <n v="9051"/>
    <s v="Controle de Notas de Crédito (a pagar)"/>
    <s v="No"/>
    <s v="No"/>
    <n v="4"/>
    <n v="0"/>
    <n v="4"/>
    <n v="4"/>
    <s v=""/>
    <s v="Fase: Aderência, Parametrização e Treinamentos"/>
    <s v="1ª Onda"/>
  </r>
  <r>
    <n v="12"/>
    <s v="Contas a Pagar"/>
    <n v="127"/>
    <s v="Digitação de Cheques"/>
    <s v="No"/>
    <s v="No"/>
    <n v="4"/>
    <n v="0"/>
    <n v="4"/>
    <n v="4"/>
    <s v=""/>
    <s v="Fase: Aderência, Parametrização e Treinamentos"/>
    <s v="1ª Onda"/>
  </r>
  <r>
    <n v="12"/>
    <s v="Contas a Pagar"/>
    <n v="857"/>
    <s v="Pagamento Escritural"/>
    <s v="No"/>
    <s v="No"/>
    <n v="24"/>
    <n v="0"/>
    <n v="24"/>
    <n v="24"/>
    <s v=""/>
    <s v="Fase: Aderência, Parametrização e Treinamentos"/>
    <s v="1ª Onda"/>
  </r>
  <r>
    <n v="12"/>
    <s v="Contas a Pagar"/>
    <n v="851"/>
    <s v="Títulos a Pagar"/>
    <s v="No"/>
    <s v="No"/>
    <n v="16"/>
    <n v="0"/>
    <n v="16"/>
    <n v="16"/>
    <s v=""/>
    <s v="Fase: Aderência, Parametrização e Treinamentos"/>
    <s v="1ª Onda"/>
  </r>
  <r>
    <n v="28"/>
    <s v="Contas a Receber"/>
    <n v="810"/>
    <s v="Administração de Cheques"/>
    <s v="No"/>
    <s v="No"/>
    <n v="8"/>
    <n v="0"/>
    <n v="8"/>
    <n v="8"/>
    <s v=""/>
    <s v="Fase: Aderência, Parametrização e Treinamentos"/>
    <s v="1ª Onda"/>
  </r>
  <r>
    <n v="28"/>
    <s v="Contas a Receber"/>
    <n v="809"/>
    <s v="Borderô recebimento"/>
    <s v="No"/>
    <s v="No"/>
    <n v="4"/>
    <n v="0"/>
    <n v="4"/>
    <n v="4"/>
    <s v=""/>
    <s v="Fase: Aderência, Parametrização e Treinamentos"/>
    <s v="1ª Onda"/>
  </r>
  <r>
    <n v="28"/>
    <s v="Contas a Receber"/>
    <n v="860"/>
    <s v="Cobrança"/>
    <s v="No"/>
    <s v="No"/>
    <n v="16"/>
    <n v="0"/>
    <n v="16"/>
    <n v="16"/>
    <s v=""/>
    <s v="Fase: Aderência, Parametrização e Treinamentos"/>
    <s v="1ª Onda"/>
  </r>
  <r>
    <n v="28"/>
    <s v="Contas a Receber"/>
    <n v="815"/>
    <s v="Cobrança Escritural"/>
    <s v="No"/>
    <s v="No"/>
    <n v="24"/>
    <n v="0"/>
    <n v="24"/>
    <n v="24"/>
    <s v=""/>
    <s v="Fase: Aderência, Parametrização e Treinamentos"/>
    <s v="1ª Onda"/>
  </r>
  <r>
    <n v="28"/>
    <s v="Contas a Receber"/>
    <n v="861"/>
    <s v="Comunicação de Cobrança ao Paciente"/>
    <s v="No"/>
    <s v="No"/>
    <n v="4"/>
    <n v="0"/>
    <n v="4"/>
    <n v="4"/>
    <s v=""/>
    <s v="Fase: Aderência, Parametrização e Treinamentos"/>
    <s v="1ª Onda"/>
  </r>
  <r>
    <n v="28"/>
    <s v="Contas a Receber"/>
    <n v="880"/>
    <s v="Controle de Perdas do Contas a Receber"/>
    <s v="No"/>
    <s v="No"/>
    <n v="4"/>
    <n v="0"/>
    <n v="4"/>
    <n v="4"/>
    <s v=""/>
    <s v="Fase: Aderência, Parametrização e Treinamentos"/>
    <s v="1ª Onda"/>
  </r>
  <r>
    <n v="28"/>
    <s v="Contas a Receber"/>
    <n v="802"/>
    <s v="Digitação de Adiantamentos"/>
    <s v="No"/>
    <s v="No"/>
    <n v="8"/>
    <n v="0"/>
    <n v="8"/>
    <n v="8"/>
    <s v=""/>
    <s v="Fase: Aderência, Parametrização e Treinamentos"/>
    <s v="1ª Onda"/>
  </r>
  <r>
    <n v="28"/>
    <s v="Contas a Receber"/>
    <n v="5512"/>
    <s v="Ficha Financeira"/>
    <s v="No"/>
    <s v="No"/>
    <n v="4"/>
    <n v="0"/>
    <n v="4"/>
    <n v="4"/>
    <s v=""/>
    <s v="Fase: Aderência, Parametrização e Treinamentos"/>
    <s v="1ª Onda"/>
  </r>
  <r>
    <n v="28"/>
    <s v="Contas a Receber"/>
    <n v="835"/>
    <s v="Gestão de Envio ao Órgão de Cobrança"/>
    <s v="No"/>
    <s v="No"/>
    <n v="4"/>
    <n v="0"/>
    <n v="4"/>
    <n v="4"/>
    <s v=""/>
    <s v="Fase: Aderência, Parametrização e Treinamentos"/>
    <s v="1ª Onda"/>
  </r>
  <r>
    <n v="28"/>
    <s v="Contas a Receber"/>
    <n v="7053"/>
    <s v="Gestão de SPA (Solicitação de Providência Administrativa)"/>
    <s v="No"/>
    <s v="No"/>
    <n v="4"/>
    <n v="0"/>
    <n v="4"/>
    <n v="4"/>
    <s v=""/>
    <s v="Fase: Aderência, Parametrização e Treinamentos"/>
    <s v="1ª Onda"/>
  </r>
  <r>
    <n v="28"/>
    <s v="Contas a Receber"/>
    <n v="801"/>
    <s v="Manutenção de Títulos a Receber"/>
    <s v="No"/>
    <s v="No"/>
    <n v="16"/>
    <n v="0"/>
    <n v="16"/>
    <n v="16"/>
    <s v=""/>
    <s v="Fase: Aderência, Parametrização e Treinamentos"/>
    <s v="1ª Onda"/>
  </r>
  <r>
    <n v="28"/>
    <s v="Contas a Receber"/>
    <n v="5514"/>
    <s v="Negociação de Contas a Receber"/>
    <s v="No"/>
    <s v="No"/>
    <n v="4"/>
    <n v="0"/>
    <n v="4"/>
    <n v="4"/>
    <s v=""/>
    <s v="Fase: Aderência, Parametrização e Treinamentos"/>
    <s v="1ª Onda"/>
  </r>
  <r>
    <n v="28"/>
    <s v="Contas a Receber"/>
    <n v="5516"/>
    <s v="Parâmetros do Contas a Receber"/>
    <s v="No"/>
    <s v="No"/>
    <n v="4"/>
    <n v="0"/>
    <n v="4"/>
    <n v="4"/>
    <s v=""/>
    <s v="Fase: Aderência, Parametrização e Treinamentos"/>
    <s v="1ª Onda"/>
  </r>
  <r>
    <n v="28"/>
    <s v="Contas a Receber"/>
    <n v="9053"/>
    <s v="Registro de Cobrança"/>
    <s v="No"/>
    <s v="No"/>
    <n v="4"/>
    <n v="0"/>
    <n v="4"/>
    <n v="4"/>
    <s v=""/>
    <s v="Fase: Aderência, Parametrização e Treinamentos"/>
    <s v="1ª Onda"/>
  </r>
  <r>
    <n v="86"/>
    <s v="Controle Bancário"/>
    <n v="814"/>
    <s v="Controle Bancário"/>
    <s v="No"/>
    <s v="No"/>
    <n v="40"/>
    <n v="0"/>
    <n v="40"/>
    <n v="40"/>
    <s v=""/>
    <s v="Fase: Aderência, Parametrização e Treinamentos"/>
    <s v="1ª Onda"/>
  </r>
  <r>
    <n v="86"/>
    <s v="Controle Bancário"/>
    <n v="5515"/>
    <s v="Controle de Créditos No Identificados"/>
    <s v="No"/>
    <s v="No"/>
    <n v="4"/>
    <n v="0"/>
    <n v="4"/>
    <n v="4"/>
    <s v=""/>
    <s v="Fase: Aderência, Parametrização e Treinamentos"/>
    <s v="1ª Onda"/>
  </r>
  <r>
    <n v="86"/>
    <s v="Controle Bancário"/>
    <n v="9054"/>
    <s v="Controle de Depósitos Identificados"/>
    <s v="No"/>
    <s v="No"/>
    <n v="4"/>
    <n v="0"/>
    <n v="4"/>
    <n v="4"/>
    <s v=""/>
    <s v="Fase: Aderência, Parametrização e Treinamentos"/>
    <s v="1ª Onda"/>
  </r>
  <r>
    <n v="29"/>
    <s v="Tesouraria"/>
    <n v="3020"/>
    <s v="Administração de Cartões"/>
    <s v="No"/>
    <s v="No"/>
    <n v="16"/>
    <n v="0"/>
    <n v="16"/>
    <n v="16"/>
    <s v=""/>
    <s v="Fase: Aderência, Parametrização e Treinamentos"/>
    <s v="1ª Onda"/>
  </r>
  <r>
    <n v="29"/>
    <s v="Tesouraria"/>
    <n v="813"/>
    <s v="Tesouraria"/>
    <s v="No"/>
    <s v="No"/>
    <n v="24"/>
    <n v="0"/>
    <n v="24"/>
    <n v="24"/>
    <s v=""/>
    <s v="Fase: Aderência, Parametrização e Treinamentos"/>
    <s v="1ª Onda"/>
  </r>
  <r>
    <n v="30"/>
    <s v="Fluxo de Caixa"/>
    <n v="830"/>
    <s v="Fluxo de Caixa"/>
    <s v="No"/>
    <s v="No"/>
    <n v="40"/>
    <n v="0"/>
    <n v="40"/>
    <n v="40"/>
    <s v=""/>
    <s v="Fase: Aderência, Parametrização e Treinamentos"/>
    <s v="1ª Onda"/>
  </r>
  <r>
    <n v="103"/>
    <s v="Retorno de Convênios"/>
    <n v="69"/>
    <s v="Gestão de Recurso de Glosas"/>
    <s v="No"/>
    <s v="No"/>
    <n v="24"/>
    <n v="0"/>
    <n v="24"/>
    <n v="24"/>
    <s v=""/>
    <s v="Fase: Aderência, Parametrização e Treinamentos"/>
    <s v="1ª Onda"/>
  </r>
  <r>
    <n v="103"/>
    <s v="Retorno de Convênios"/>
    <n v="27"/>
    <s v="Retorno Convênio"/>
    <s v="No"/>
    <s v="No"/>
    <n v="24"/>
    <n v="0"/>
    <n v="24"/>
    <n v="24"/>
    <s v=""/>
    <s v="Fase: Aderência, Parametrização e Treinamentos"/>
    <s v="1ª Onda"/>
  </r>
  <r>
    <n v="104"/>
    <s v="Repasse a Terceiros"/>
    <n v="1008"/>
    <s v="Cadastro de Plantões Médicos"/>
    <s v="No"/>
    <s v="No"/>
    <n v="8"/>
    <n v="0"/>
    <n v="8"/>
    <n v="8"/>
    <s v=""/>
    <s v="Fase: Aderência, Parametrização e Treinamentos"/>
    <s v="1ª Onda"/>
  </r>
  <r>
    <n v="104"/>
    <s v="Repasse a Terceiros"/>
    <n v="907"/>
    <s v="Controle de Terceiros"/>
    <s v="No"/>
    <s v="No"/>
    <n v="8"/>
    <n v="0"/>
    <n v="8"/>
    <n v="8"/>
    <s v=""/>
    <s v="Fase: Aderência, Parametrização e Treinamentos"/>
    <s v="1ª Onda"/>
  </r>
  <r>
    <n v="104"/>
    <s v="Repasse a Terceiros"/>
    <n v="9920"/>
    <s v="Produção por Plantão Médico"/>
    <s v="No"/>
    <s v="No"/>
    <n v="6"/>
    <n v="0"/>
    <n v="6"/>
    <n v="6"/>
    <s v=""/>
    <s v="Fase: Aderência, Parametrização e Treinamentos"/>
    <s v="1ª Onda"/>
  </r>
  <r>
    <n v="104"/>
    <s v="Repasse a Terceiros"/>
    <n v="92"/>
    <s v="Regras e Critérios de Repasse"/>
    <s v="No"/>
    <s v="No"/>
    <n v="24"/>
    <n v="0"/>
    <n v="24"/>
    <n v="24"/>
    <s v=""/>
    <s v="Fase: Aderência, Parametrização e Treinamentos"/>
    <s v="1ª Onda"/>
  </r>
  <r>
    <n v="104"/>
    <s v="Repasse a Terceiros"/>
    <n v="89"/>
    <s v="Repasse para Terceiros"/>
    <s v="No"/>
    <s v="No"/>
    <n v="24"/>
    <n v="0"/>
    <n v="24"/>
    <n v="24"/>
    <s v=""/>
    <s v="Fase: Aderência, Parametrização e Treinamentos"/>
    <s v="1ª Onda"/>
  </r>
  <r>
    <n v="84"/>
    <s v="Orçamento Contábil"/>
    <n v="925"/>
    <s v="Orçamento Contábil"/>
    <s v="No"/>
    <s v="No"/>
    <n v="40"/>
    <n v="0"/>
    <n v="40"/>
    <n v="40"/>
    <s v=""/>
    <s v="Fase: Aderência, Parametrização e Treinamentos"/>
    <s v="1ª Onda"/>
  </r>
  <r>
    <n v="85"/>
    <s v="Patrimônio"/>
    <n v="937"/>
    <s v="Controle de Patrimônio"/>
    <s v="No"/>
    <s v="No"/>
    <n v="40"/>
    <n v="0"/>
    <n v="40"/>
    <n v="40"/>
    <s v=""/>
    <s v="Fase: Aderência, Parametrização e Treinamentos"/>
    <s v="1ª Onda"/>
  </r>
  <r>
    <n v="685"/>
    <s v="Fiscal"/>
    <n v="9909"/>
    <s v="Acompanhamento de Nota Fiscal Eletrônica"/>
    <s v="No"/>
    <s v="No"/>
    <n v="24"/>
    <n v="0"/>
    <n v="24"/>
    <n v="24"/>
    <s v=""/>
    <s v="Fase: Aderência, Parametrização e Treinamentos"/>
    <s v="1ª Onda"/>
  </r>
  <r>
    <n v="685"/>
    <s v="Fiscal"/>
    <n v="3050"/>
    <s v="Acompanhamento de Tributos"/>
    <s v="No"/>
    <s v="No"/>
    <n v="12"/>
    <n v="0"/>
    <n v="12"/>
    <n v="12"/>
    <s v=""/>
    <s v="Fase: Aderência, Parametrização e Treinamentos"/>
    <s v="1ª Onda"/>
  </r>
  <r>
    <n v="685"/>
    <s v="Fiscal"/>
    <n v="5500"/>
    <s v="Controle de Arrecadações"/>
    <s v="No"/>
    <s v="No"/>
    <n v="40"/>
    <n v="0"/>
    <n v="40"/>
    <n v="40"/>
    <s v=""/>
    <s v="Fase: Aderência, Parametrização e Treinamentos"/>
    <s v="1ª Onda"/>
  </r>
  <r>
    <n v="685"/>
    <s v="Fiscal"/>
    <n v="9899"/>
    <s v="Fiscal"/>
    <s v="No"/>
    <s v="No"/>
    <n v="24"/>
    <n v="0"/>
    <n v="24"/>
    <n v="24"/>
    <s v=""/>
    <s v="Fase: Aderência, Parametrização e Treinamentos"/>
    <s v="1ª Onda"/>
  </r>
  <r>
    <n v="11"/>
    <s v="Contabilidade"/>
    <n v="923"/>
    <s v="Contabilidade"/>
    <s v="No"/>
    <s v="No"/>
    <n v="80"/>
    <n v="0"/>
    <n v="80"/>
    <n v="80"/>
    <s v=""/>
    <s v="Fase: Aderência, Parametrização e Treinamentos"/>
    <s v="1ª Onda"/>
  </r>
  <r>
    <n v="11"/>
    <s v="Contabilidade"/>
    <n v="9056"/>
    <s v="Encontro de Contas"/>
    <s v="No"/>
    <s v="No"/>
    <n v="8"/>
    <n v="0"/>
    <n v="8"/>
    <n v="8"/>
    <s v=""/>
    <s v="Fase: Aderência, Parametrização e Treinamentos"/>
    <s v="1ª Onda"/>
  </r>
  <r>
    <n v="11"/>
    <s v="Contabilidade"/>
    <n v="135"/>
    <s v="Geração do Lote Contábil"/>
    <s v="No"/>
    <s v="No"/>
    <n v="24"/>
    <n v="0"/>
    <n v="24"/>
    <n v="24"/>
    <s v=""/>
    <s v="Fase: Aderência, Parametrização e Treinamentos"/>
    <s v="1ª Onda"/>
  </r>
  <r>
    <n v="11"/>
    <s v="Contabilidade"/>
    <n v="7050"/>
    <s v="Parâmetros Contabilidade"/>
    <s v="No"/>
    <s v="No"/>
    <n v="16"/>
    <n v="0"/>
    <n v="16"/>
    <n v="16"/>
    <s v=""/>
    <s v="Fase: Aderência, Parametrização e Treinamentos"/>
    <s v="1ª Onda"/>
  </r>
  <r>
    <n v="13"/>
    <s v="Custos"/>
    <n v="927"/>
    <s v="Apuração de Custo"/>
    <s v="No"/>
    <s v="No"/>
    <n v="60"/>
    <n v="0"/>
    <n v="60"/>
    <n v="60"/>
    <s v=""/>
    <s v="Fase: Aderência, Parametrização e Treinamentos"/>
    <s v="1ª Onda"/>
  </r>
  <r>
    <n v="13"/>
    <s v="Custos"/>
    <n v="590"/>
    <s v="Cadastros Custos"/>
    <s v="No"/>
    <s v="No"/>
    <n v="24"/>
    <n v="0"/>
    <n v="24"/>
    <n v="24"/>
    <s v=""/>
    <s v="Fase: Aderência, Parametrização e Treinamentos"/>
    <s v="1ª Onda"/>
  </r>
  <r>
    <n v="456"/>
    <s v="Projetos de Investimento"/>
    <n v="928"/>
    <s v="Controle de Projetos e Recursos Externos"/>
    <s v="No"/>
    <s v="No"/>
    <n v="40"/>
    <n v="0"/>
    <n v="40"/>
    <n v="40"/>
    <s v=""/>
    <s v="Fase: Aderência, Parametrização e Treinamentos"/>
    <s v="1ª Onda"/>
  </r>
  <r>
    <n v="456"/>
    <s v="Projetos de Investimento"/>
    <n v="7027"/>
    <s v="Gestão de Projetos e Investimentos"/>
    <s v="No"/>
    <s v="No"/>
    <n v="40"/>
    <n v="0"/>
    <n v="40"/>
    <n v="40"/>
    <s v=""/>
    <s v="Fase: Aderência, Parametrização e Treinamentos"/>
    <s v="1ª Onda"/>
  </r>
  <r>
    <n v="14"/>
    <s v="EIS"/>
    <n v="292"/>
    <s v="Cadastro de Indicadores"/>
    <s v="No"/>
    <s v="No"/>
    <n v="32"/>
    <n v="0"/>
    <n v="32"/>
    <n v="32"/>
    <s v=""/>
    <s v="Fase: Aderência, Parametrização e Treinamentos"/>
    <s v="1ª Onda"/>
  </r>
  <r>
    <n v="14"/>
    <s v="EIS"/>
    <n v="49"/>
    <s v="Dashboards"/>
    <s v="No"/>
    <s v="No"/>
    <n v="40"/>
    <n v="0"/>
    <n v="40"/>
    <n v="40"/>
    <s v=""/>
    <s v="Fase: Aderência, Parametrização e Treinamentos"/>
    <s v="1ª Onda"/>
  </r>
  <r>
    <n v="14"/>
    <s v="EIS"/>
    <n v="1121"/>
    <s v="EIS Contas pendentes (nova)"/>
    <s v="No"/>
    <s v="No"/>
    <n v="4"/>
    <n v="0"/>
    <n v="4"/>
    <n v="4"/>
    <s v=""/>
    <s v="Fase: Aderência, Parametrização e Treinamentos"/>
    <s v="1ª Onda"/>
  </r>
  <r>
    <n v="14"/>
    <s v="EIS"/>
    <n v="291"/>
    <s v="Indicadores de Gestão"/>
    <s v="No"/>
    <s v="No"/>
    <n v="40"/>
    <n v="0"/>
    <n v="40"/>
    <n v="40"/>
    <s v=""/>
    <s v="Fase: Aderência, Parametrização e Treinamentos"/>
    <s v="1ª Onda"/>
  </r>
  <r>
    <n v="453"/>
    <s v="BSC"/>
    <n v="7024"/>
    <s v="BSC - Balanced Scorecard"/>
    <s v="No"/>
    <s v="No"/>
    <n v="40"/>
    <n v="0"/>
    <n v="40"/>
    <n v="40"/>
    <s v=""/>
    <s v="Fase: Aderência, Parametrização e Treinamentos"/>
    <s v="1ª Onda"/>
  </r>
  <r>
    <n v="331"/>
    <s v="Aplicação Tasy WEB"/>
    <n v="9045"/>
    <s v="Avaliação Paciente Web"/>
    <s v="No"/>
    <s v="No"/>
    <n v="12"/>
    <n v="0"/>
    <n v="12"/>
    <n v="12"/>
    <s v=""/>
    <s v="Fase: Aderência, Parametrização e Treinamentos"/>
    <s v="1ª Onda"/>
  </r>
  <r>
    <n v="331"/>
    <s v="Aplicação Tasy WEB"/>
    <n v="9046"/>
    <s v="Boletim Ocorrência Web"/>
    <s v="No"/>
    <s v="No"/>
    <n v="12"/>
    <n v="0"/>
    <n v="12"/>
    <n v="12"/>
    <s v=""/>
    <s v="Fase: Aderência, Parametrização e Treinamentos"/>
    <s v="1ª Onda"/>
  </r>
  <r>
    <n v="331"/>
    <s v="Aplicação Tasy WEB"/>
    <n v="80"/>
    <s v="Laboratório Web"/>
    <s v="No"/>
    <s v="No"/>
    <n v="12"/>
    <n v="0"/>
    <n v="12"/>
    <n v="12"/>
    <s v=""/>
    <s v="Fase: Aderência, Parametrização e Treinamentos"/>
    <s v="1ª Onda"/>
  </r>
  <r>
    <n v="331"/>
    <s v="Aplicação Tasy WEB"/>
    <n v="9061"/>
    <s v="Marcação agenda paciente Web"/>
    <s v="No"/>
    <s v="No"/>
    <n v="8"/>
    <n v="0"/>
    <n v="8"/>
    <n v="8"/>
    <s v=""/>
    <s v="Fase: Aderência, Parametrização e Treinamentos"/>
    <s v="1ª Onda"/>
  </r>
  <r>
    <n v="331"/>
    <s v="Aplicação Tasy WEB"/>
    <n v="121"/>
    <s v="Portal Compras Web"/>
    <s v="No"/>
    <s v="No"/>
    <n v="12"/>
    <n v="0"/>
    <n v="12"/>
    <n v="12"/>
    <s v="FUNÇÃO DISPONÍVEL APENAS PARA BRASIL"/>
    <s v="Fase: Aderência, Parametrização e Treinamentos"/>
    <s v="1ª Onda"/>
  </r>
  <r>
    <n v="935"/>
    <s v="Aplicação Tasy Palm"/>
    <n v="88"/>
    <s v="Palm Web"/>
    <s v="No"/>
    <s v="No"/>
    <n v="12"/>
    <n v="0"/>
    <n v="12"/>
    <n v="12"/>
    <s v="FUNÇÃO DISPONÍVEL APENAS PARA BRASIL"/>
    <s v="Fase: Aderência, Parametrização e Treinamentos"/>
    <s v="1ª Onda"/>
  </r>
  <r>
    <n v="944"/>
    <s v="Aplicação Tasy iOS"/>
    <n v="2682"/>
    <s v="iOS - Diagnósticos"/>
    <s v="No"/>
    <s v="No"/>
    <n v="4"/>
    <n v="0"/>
    <n v="4"/>
    <n v="4"/>
    <s v="FUNÇÃO DISPONÍVEL APENAS PARA BRASIL"/>
    <s v="Fase: Aderência, Parametrização e Treinamentos"/>
    <s v="1ª Onda"/>
  </r>
  <r>
    <n v="944"/>
    <s v="Aplicação Tasy iOS"/>
    <n v="2703"/>
    <s v="iOS - Evoluções"/>
    <s v="No"/>
    <s v="No"/>
    <n v="4"/>
    <n v="0"/>
    <n v="4"/>
    <n v="4"/>
    <s v="FUNÇÃO DISPONÍVEL APENAS PARA BRASIL"/>
    <s v="Fase: Aderência, Parametrização e Treinamentos"/>
    <s v="1ª Onda"/>
  </r>
  <r>
    <n v="944"/>
    <s v="Aplicação Tasy iOS"/>
    <n v="2687"/>
    <s v="iOS - Exames Laboratoriais"/>
    <s v="No"/>
    <s v="No"/>
    <n v="4"/>
    <n v="0"/>
    <n v="4"/>
    <n v="4"/>
    <s v="FUNÇÃO DISPONÍVEL APENAS PARA BRASIL"/>
    <s v="Fase: Aderência, Parametrização e Treinamentos"/>
    <s v="1ª Onda"/>
  </r>
  <r>
    <n v="944"/>
    <s v="Aplicação Tasy iOS"/>
    <n v="2689"/>
    <s v="iOS - Exames No Laboratoriais"/>
    <s v="No"/>
    <s v="No"/>
    <n v="4"/>
    <n v="0"/>
    <n v="4"/>
    <n v="4"/>
    <s v="FUNÇÃO DISPONÍVEL APENAS PARA BRASIL"/>
    <s v="Fase: Aderência, Parametrização e Treinamentos"/>
    <s v="1ª Onda"/>
  </r>
  <r>
    <n v="944"/>
    <s v="Aplicação Tasy iOS"/>
    <n v="2681"/>
    <s v="iOS - PEP"/>
    <s v="No"/>
    <s v="No"/>
    <n v="4"/>
    <n v="0"/>
    <n v="4"/>
    <n v="4"/>
    <s v="FUNÇÃO DISPONÍVEL APENAS PARA BRASIL"/>
    <s v="Fase: Aderência, Parametrização e Treinamentos"/>
    <s v="1ª Onda"/>
  </r>
  <r>
    <n v="944"/>
    <s v="Aplicação Tasy iOS"/>
    <n v="2685"/>
    <s v="iOS - Sinais Vitais e Monitorização"/>
    <s v="No"/>
    <s v="No"/>
    <n v="4"/>
    <n v="0"/>
    <n v="4"/>
    <n v="4"/>
    <s v="FUNÇÃO DISPONÍVEL APENAS PARA BRASIL"/>
    <s v="Fase: Aderência, Parametrização e Treinamentos"/>
    <s v="1ª Onda"/>
  </r>
  <r>
    <n v="283"/>
    <s v="Tasy Web Suite"/>
    <n v="9113"/>
    <s v="Web Suite Agendamento do Paciente"/>
    <s v="No"/>
    <s v="No"/>
    <n v="40"/>
    <n v="0"/>
    <n v="40"/>
    <n v="40"/>
    <s v=""/>
    <s v="Fase: Aderência, Parametrização e Treinamentos"/>
    <s v="1ª Onda"/>
  </r>
  <r>
    <n v="283"/>
    <s v="Tasy Web Suite"/>
    <n v="9114"/>
    <s v="Web Suite Resultado de Exames"/>
    <s v="No"/>
    <s v="No"/>
    <n v="40"/>
    <n v="0"/>
    <n v="40"/>
    <n v="40"/>
    <s v=""/>
    <s v="Fase: Aderência, Parametrização e Treinamentos"/>
    <s v="1ª Onda"/>
  </r>
  <r>
    <n v="36"/>
    <s v="Gerenciador do Sistema"/>
    <n v="99072"/>
    <s v="Integrações"/>
    <s v="Yes"/>
    <s v="Yes"/>
    <n v="190"/>
    <n v="0"/>
    <n v="228"/>
    <n v="251"/>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r>
    <m/>
    <m/>
    <m/>
    <m/>
    <e v="#N/A"/>
    <e v="#N/A"/>
    <n v="0"/>
    <n v="0"/>
    <e v="#N/A"/>
    <e v="#N/A"/>
    <s v=""/>
    <s v="Fase: Aderência, Parametrização e Treinamentos"/>
    <s v="1ª On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s v="Yes"/>
    <x v="0"/>
  </r>
  <r>
    <x v="1"/>
    <s v="Yes"/>
    <x v="0"/>
  </r>
  <r>
    <x v="2"/>
    <s v="Yes"/>
    <x v="0"/>
  </r>
  <r>
    <x v="3"/>
    <s v="Yes"/>
    <x v="0"/>
  </r>
  <r>
    <x v="4"/>
    <s v="Yes"/>
    <x v="0"/>
  </r>
  <r>
    <x v="5"/>
    <s v="Yes"/>
    <x v="0"/>
  </r>
  <r>
    <x v="6"/>
    <s v="Yes"/>
    <x v="0"/>
  </r>
  <r>
    <x v="7"/>
    <s v="Yes"/>
    <x v="0"/>
  </r>
  <r>
    <x v="8"/>
    <s v="No"/>
    <x v="1"/>
  </r>
  <r>
    <x v="9"/>
    <s v="No"/>
    <x v="1"/>
  </r>
  <r>
    <x v="10"/>
    <s v="No"/>
    <x v="1"/>
  </r>
  <r>
    <x v="11"/>
    <s v="No"/>
    <x v="2"/>
  </r>
  <r>
    <x v="12"/>
    <s v="No"/>
    <x v="2"/>
  </r>
  <r>
    <x v="13"/>
    <s v="No"/>
    <x v="2"/>
  </r>
  <r>
    <x v="14"/>
    <s v="No"/>
    <x v="2"/>
  </r>
  <r>
    <x v="15"/>
    <s v="No"/>
    <x v="2"/>
  </r>
  <r>
    <x v="16"/>
    <s v="No"/>
    <x v="2"/>
  </r>
  <r>
    <x v="17"/>
    <s v="No"/>
    <x v="2"/>
  </r>
  <r>
    <x v="18"/>
    <s v="No"/>
    <x v="2"/>
  </r>
  <r>
    <x v="19"/>
    <s v="No"/>
    <x v="3"/>
  </r>
  <r>
    <x v="20"/>
    <s v="No"/>
    <x v="3"/>
  </r>
  <r>
    <x v="21"/>
    <s v="No"/>
    <x v="3"/>
  </r>
  <r>
    <x v="22"/>
    <s v="No"/>
    <x v="3"/>
  </r>
  <r>
    <x v="23"/>
    <s v="No"/>
    <x v="3"/>
  </r>
  <r>
    <x v="24"/>
    <s v="No"/>
    <x v="3"/>
  </r>
  <r>
    <x v="25"/>
    <s v="No"/>
    <x v="3"/>
  </r>
  <r>
    <x v="26"/>
    <s v="No"/>
    <x v="3"/>
  </r>
  <r>
    <x v="27"/>
    <s v="No"/>
    <x v="3"/>
  </r>
  <r>
    <x v="28"/>
    <s v="No"/>
    <x v="3"/>
  </r>
  <r>
    <x v="29"/>
    <s v="No"/>
    <x v="3"/>
  </r>
  <r>
    <x v="30"/>
    <s v="No"/>
    <x v="3"/>
  </r>
  <r>
    <x v="31"/>
    <s v="No"/>
    <x v="4"/>
  </r>
  <r>
    <x v="32"/>
    <s v="No"/>
    <x v="4"/>
  </r>
  <r>
    <x v="33"/>
    <s v="No"/>
    <x v="4"/>
  </r>
  <r>
    <x v="34"/>
    <s v="No"/>
    <x v="5"/>
  </r>
  <r>
    <x v="35"/>
    <s v="No"/>
    <x v="5"/>
  </r>
  <r>
    <x v="36"/>
    <s v="No"/>
    <x v="5"/>
  </r>
  <r>
    <x v="37"/>
    <s v="No"/>
    <x v="5"/>
  </r>
  <r>
    <x v="38"/>
    <s v="No"/>
    <x v="5"/>
  </r>
  <r>
    <x v="39"/>
    <s v="No"/>
    <x v="5"/>
  </r>
  <r>
    <x v="40"/>
    <s v="No"/>
    <x v="5"/>
  </r>
  <r>
    <x v="41"/>
    <s v="No"/>
    <x v="5"/>
  </r>
  <r>
    <x v="42"/>
    <s v="No"/>
    <x v="5"/>
  </r>
  <r>
    <x v="43"/>
    <s v="No"/>
    <x v="6"/>
  </r>
  <r>
    <x v="44"/>
    <s v="No"/>
    <x v="6"/>
  </r>
  <r>
    <x v="45"/>
    <s v="No"/>
    <x v="6"/>
  </r>
  <r>
    <x v="46"/>
    <s v="No"/>
    <x v="7"/>
  </r>
  <r>
    <x v="47"/>
    <s v="No"/>
    <x v="7"/>
  </r>
  <r>
    <x v="48"/>
    <s v="No"/>
    <x v="7"/>
  </r>
  <r>
    <x v="49"/>
    <s v="No"/>
    <x v="7"/>
  </r>
  <r>
    <x v="50"/>
    <s v="No"/>
    <x v="7"/>
  </r>
  <r>
    <x v="51"/>
    <s v="No"/>
    <x v="8"/>
  </r>
  <r>
    <x v="52"/>
    <s v="No"/>
    <x v="8"/>
  </r>
  <r>
    <x v="53"/>
    <s v="No"/>
    <x v="8"/>
  </r>
  <r>
    <x v="54"/>
    <s v="No"/>
    <x v="8"/>
  </r>
  <r>
    <x v="55"/>
    <s v="No"/>
    <x v="8"/>
  </r>
  <r>
    <x v="56"/>
    <s v="No"/>
    <x v="8"/>
  </r>
  <r>
    <x v="57"/>
    <s v="No"/>
    <x v="8"/>
  </r>
  <r>
    <x v="58"/>
    <s v="Yes"/>
    <x v="9"/>
  </r>
  <r>
    <x v="59"/>
    <s v="No"/>
    <x v="9"/>
  </r>
  <r>
    <x v="60"/>
    <s v="No"/>
    <x v="9"/>
  </r>
  <r>
    <x v="61"/>
    <s v="No"/>
    <x v="9"/>
  </r>
  <r>
    <x v="62"/>
    <s v="No"/>
    <x v="9"/>
  </r>
  <r>
    <x v="63"/>
    <s v="No"/>
    <x v="9"/>
  </r>
  <r>
    <x v="64"/>
    <s v="No"/>
    <x v="10"/>
  </r>
  <r>
    <x v="65"/>
    <s v="No"/>
    <x v="10"/>
  </r>
  <r>
    <x v="66"/>
    <s v="No"/>
    <x v="11"/>
  </r>
  <r>
    <x v="67"/>
    <s v="No"/>
    <x v="11"/>
  </r>
  <r>
    <x v="68"/>
    <s v="No"/>
    <x v="11"/>
  </r>
  <r>
    <x v="69"/>
    <s v="Yes"/>
    <x v="1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9">
  <r>
    <m/>
    <m/>
    <x v="0"/>
    <m/>
    <x v="0"/>
    <s v="Yes"/>
    <x v="0"/>
    <n v="8"/>
    <m/>
    <n v="8"/>
    <s v=""/>
    <x v="0"/>
    <x v="0"/>
  </r>
  <r>
    <m/>
    <m/>
    <x v="1"/>
    <m/>
    <x v="1"/>
    <s v="Yes"/>
    <x v="0"/>
    <n v="8"/>
    <m/>
    <n v="8"/>
    <s v=""/>
    <x v="1"/>
    <x v="0"/>
  </r>
  <r>
    <m/>
    <m/>
    <x v="2"/>
    <m/>
    <x v="2"/>
    <s v="Yes"/>
    <x v="0"/>
    <n v="40"/>
    <m/>
    <n v="40"/>
    <s v=""/>
    <x v="2"/>
    <x v="0"/>
  </r>
  <r>
    <m/>
    <m/>
    <x v="2"/>
    <m/>
    <x v="3"/>
    <s v="Yes"/>
    <x v="0"/>
    <n v="16"/>
    <m/>
    <n v="16"/>
    <s v=""/>
    <x v="2"/>
    <x v="0"/>
  </r>
  <r>
    <m/>
    <m/>
    <x v="2"/>
    <m/>
    <x v="4"/>
    <s v="Yes"/>
    <x v="0"/>
    <n v="160"/>
    <m/>
    <n v="160"/>
    <s v=""/>
    <x v="2"/>
    <x v="0"/>
  </r>
  <r>
    <m/>
    <m/>
    <x v="3"/>
    <m/>
    <x v="0"/>
    <s v="Yes"/>
    <x v="0"/>
    <n v="8"/>
    <m/>
    <n v="8"/>
    <s v=""/>
    <x v="0"/>
    <x v="1"/>
  </r>
  <r>
    <m/>
    <m/>
    <x v="4"/>
    <m/>
    <x v="2"/>
    <s v="Yes"/>
    <x v="0"/>
    <n v="40"/>
    <m/>
    <n v="40"/>
    <s v=""/>
    <x v="2"/>
    <x v="1"/>
  </r>
  <r>
    <m/>
    <m/>
    <x v="4"/>
    <m/>
    <x v="3"/>
    <s v="Yes"/>
    <x v="0"/>
    <n v="16"/>
    <m/>
    <n v="16"/>
    <s v=""/>
    <x v="2"/>
    <x v="1"/>
  </r>
  <r>
    <m/>
    <m/>
    <x v="4"/>
    <s v="010"/>
    <x v="4"/>
    <s v="Yes"/>
    <x v="0"/>
    <n v="160"/>
    <n v="0"/>
    <n v="320"/>
    <s v="(acrescer 40 horas), normalmente o envio do primeiro monitoramento ocorre 2 meses após a virada."/>
    <x v="2"/>
    <x v="1"/>
  </r>
  <r>
    <m/>
    <m/>
    <x v="5"/>
    <m/>
    <x v="5"/>
    <m/>
    <x v="1"/>
    <m/>
    <m/>
    <n v="0"/>
    <s v=""/>
    <x v="3"/>
    <x v="2"/>
  </r>
  <r>
    <n v="3"/>
    <s v="Prestador"/>
    <x v="6"/>
    <n v="4"/>
    <x v="6"/>
    <s v="No"/>
    <x v="2"/>
    <n v="8"/>
    <n v="0"/>
    <n v="8"/>
    <s v=""/>
    <x v="4"/>
    <x v="0"/>
  </r>
  <r>
    <n v="3"/>
    <s v="Prestador"/>
    <x v="6"/>
    <n v="53"/>
    <x v="7"/>
    <s v="No"/>
    <x v="2"/>
    <n v="4"/>
    <n v="0"/>
    <n v="4"/>
    <s v=""/>
    <x v="4"/>
    <x v="0"/>
  </r>
  <r>
    <n v="3"/>
    <s v="Prestador"/>
    <x v="6"/>
    <n v="132"/>
    <x v="8"/>
    <s v="No"/>
    <x v="2"/>
    <n v="32"/>
    <n v="0"/>
    <n v="32"/>
    <s v=""/>
    <x v="4"/>
    <x v="0"/>
  </r>
  <r>
    <n v="3"/>
    <s v="Prestador"/>
    <x v="6"/>
    <n v="705"/>
    <x v="9"/>
    <s v="No"/>
    <x v="2"/>
    <n v="12"/>
    <n v="0"/>
    <n v="12"/>
    <s v=""/>
    <x v="4"/>
    <x v="0"/>
  </r>
  <r>
    <n v="3"/>
    <s v="Prestador"/>
    <x v="6"/>
    <n v="911"/>
    <x v="10"/>
    <s v="No"/>
    <x v="2"/>
    <n v="24"/>
    <n v="0"/>
    <n v="24"/>
    <s v=""/>
    <x v="4"/>
    <x v="0"/>
  </r>
  <r>
    <n v="3"/>
    <s v="Prestador"/>
    <x v="6"/>
    <n v="1"/>
    <x v="11"/>
    <s v="No"/>
    <x v="2"/>
    <n v="8"/>
    <n v="0"/>
    <n v="8"/>
    <s v=""/>
    <x v="4"/>
    <x v="0"/>
  </r>
  <r>
    <n v="3"/>
    <s v="Prestador"/>
    <x v="6"/>
    <n v="947"/>
    <x v="12"/>
    <s v="No"/>
    <x v="2"/>
    <n v="16"/>
    <n v="0"/>
    <n v="16"/>
    <s v=""/>
    <x v="4"/>
    <x v="0"/>
  </r>
  <r>
    <n v="3"/>
    <s v="Prestador"/>
    <x v="6"/>
    <n v="6"/>
    <x v="13"/>
    <s v="No"/>
    <x v="2"/>
    <n v="12"/>
    <n v="0"/>
    <n v="12"/>
    <s v=""/>
    <x v="4"/>
    <x v="0"/>
  </r>
  <r>
    <n v="3"/>
    <s v="Prestador"/>
    <x v="6"/>
    <n v="25"/>
    <x v="14"/>
    <s v="No"/>
    <x v="2"/>
    <n v="10"/>
    <n v="0"/>
    <n v="10"/>
    <s v=""/>
    <x v="4"/>
    <x v="0"/>
  </r>
  <r>
    <n v="3"/>
    <s v="Prestador"/>
    <x v="6"/>
    <n v="15"/>
    <x v="15"/>
    <s v="No"/>
    <x v="2"/>
    <n v="2"/>
    <n v="0"/>
    <n v="2"/>
    <s v=""/>
    <x v="4"/>
    <x v="0"/>
  </r>
  <r>
    <n v="3"/>
    <s v="Prestador"/>
    <x v="6"/>
    <n v="230"/>
    <x v="16"/>
    <s v="No"/>
    <x v="2"/>
    <n v="4"/>
    <n v="0"/>
    <n v="4"/>
    <s v=""/>
    <x v="4"/>
    <x v="0"/>
  </r>
  <r>
    <n v="3"/>
    <s v="Prestador"/>
    <x v="6"/>
    <n v="100"/>
    <x v="17"/>
    <s v="No"/>
    <x v="2"/>
    <n v="4"/>
    <n v="0"/>
    <n v="4"/>
    <s v=""/>
    <x v="4"/>
    <x v="0"/>
  </r>
  <r>
    <n v="3"/>
    <s v="Prestador"/>
    <x v="6"/>
    <n v="944"/>
    <x v="18"/>
    <s v="No"/>
    <x v="2"/>
    <n v="2"/>
    <n v="0"/>
    <n v="2"/>
    <s v=""/>
    <x v="4"/>
    <x v="0"/>
  </r>
  <r>
    <n v="3"/>
    <s v="Prestador"/>
    <x v="6"/>
    <n v="909"/>
    <x v="19"/>
    <s v="No"/>
    <x v="2"/>
    <n v="8"/>
    <n v="0"/>
    <n v="8"/>
    <s v=""/>
    <x v="4"/>
    <x v="0"/>
  </r>
  <r>
    <n v="3"/>
    <s v="Prestador"/>
    <x v="6"/>
    <n v="18"/>
    <x v="20"/>
    <s v="No"/>
    <x v="2"/>
    <n v="8"/>
    <n v="0"/>
    <n v="8"/>
    <s v=""/>
    <x v="4"/>
    <x v="0"/>
  </r>
  <r>
    <n v="3"/>
    <s v="Prestador"/>
    <x v="6"/>
    <n v="7023"/>
    <x v="21"/>
    <s v="No"/>
    <x v="2"/>
    <n v="2"/>
    <n v="0"/>
    <n v="2"/>
    <s v=""/>
    <x v="4"/>
    <x v="0"/>
  </r>
  <r>
    <n v="3"/>
    <s v="Prestador"/>
    <x v="6"/>
    <n v="1120"/>
    <x v="22"/>
    <s v="No"/>
    <x v="2"/>
    <n v="24"/>
    <n v="0"/>
    <n v="24"/>
    <s v=""/>
    <x v="4"/>
    <x v="0"/>
  </r>
  <r>
    <n v="3"/>
    <s v="Prestador"/>
    <x v="6"/>
    <n v="5513"/>
    <x v="23"/>
    <s v="No"/>
    <x v="2"/>
    <n v="4"/>
    <n v="0"/>
    <n v="4"/>
    <s v=""/>
    <x v="4"/>
    <x v="0"/>
  </r>
  <r>
    <n v="3"/>
    <s v="Prestador"/>
    <x v="6"/>
    <n v="290"/>
    <x v="24"/>
    <s v="No"/>
    <x v="2"/>
    <n v="4"/>
    <n v="0"/>
    <n v="4"/>
    <s v=""/>
    <x v="4"/>
    <x v="0"/>
  </r>
  <r>
    <n v="36"/>
    <s v="Prestador"/>
    <x v="7"/>
    <n v="6001"/>
    <x v="25"/>
    <s v="No"/>
    <x v="2"/>
    <n v="32"/>
    <n v="3"/>
    <n v="35"/>
    <s v=""/>
    <x v="4"/>
    <x v="0"/>
  </r>
  <r>
    <n v="36"/>
    <s v="Prestador"/>
    <x v="7"/>
    <n v="211"/>
    <x v="26"/>
    <s v="No"/>
    <x v="2"/>
    <n v="40"/>
    <n v="0"/>
    <n v="40"/>
    <s v=""/>
    <x v="4"/>
    <x v="0"/>
  </r>
  <r>
    <n v="36"/>
    <s v="Prestador"/>
    <x v="7"/>
    <n v="3291"/>
    <x v="27"/>
    <s v="No"/>
    <x v="2"/>
    <n v="40"/>
    <n v="0"/>
    <n v="40"/>
    <s v=""/>
    <x v="4"/>
    <x v="0"/>
  </r>
  <r>
    <n v="36"/>
    <s v="Prestador"/>
    <x v="7"/>
    <n v="240"/>
    <x v="28"/>
    <s v="No"/>
    <x v="2"/>
    <n v="4"/>
    <n v="0"/>
    <n v="4"/>
    <s v=""/>
    <x v="4"/>
    <x v="0"/>
  </r>
  <r>
    <n v="36"/>
    <s v="Prestador"/>
    <x v="7"/>
    <n v="99030"/>
    <x v="29"/>
    <s v="No"/>
    <x v="2"/>
    <n v="40"/>
    <n v="0"/>
    <n v="40"/>
    <s v=""/>
    <x v="4"/>
    <x v="0"/>
  </r>
  <r>
    <n v="36"/>
    <s v="Prestador"/>
    <x v="7"/>
    <n v="284"/>
    <x v="30"/>
    <s v="No"/>
    <x v="2"/>
    <n v="8"/>
    <n v="0"/>
    <n v="8"/>
    <s v=""/>
    <x v="4"/>
    <x v="0"/>
  </r>
  <r>
    <n v="36"/>
    <s v="Prestador"/>
    <x v="7"/>
    <n v="329"/>
    <x v="31"/>
    <s v="No"/>
    <x v="2"/>
    <n v="8"/>
    <n v="0"/>
    <n v="8"/>
    <s v=""/>
    <x v="4"/>
    <x v="0"/>
  </r>
  <r>
    <n v="631"/>
    <s v="Prestador"/>
    <x v="8"/>
    <n v="260"/>
    <x v="32"/>
    <s v="No"/>
    <x v="2"/>
    <n v="32"/>
    <n v="0"/>
    <n v="32"/>
    <s v=""/>
    <x v="4"/>
    <x v="0"/>
  </r>
  <r>
    <n v="5"/>
    <s v="Prestador"/>
    <x v="9"/>
    <n v="5"/>
    <x v="33"/>
    <s v="No"/>
    <x v="2"/>
    <n v="4"/>
    <n v="0"/>
    <n v="4"/>
    <s v=""/>
    <x v="4"/>
    <x v="0"/>
  </r>
  <r>
    <n v="5"/>
    <s v="Prestador"/>
    <x v="9"/>
    <n v="916"/>
    <x v="34"/>
    <s v="No"/>
    <x v="2"/>
    <n v="24"/>
    <n v="0"/>
    <n v="24"/>
    <s v=""/>
    <x v="4"/>
    <x v="0"/>
  </r>
  <r>
    <n v="5"/>
    <s v="Prestador"/>
    <x v="9"/>
    <n v="10020"/>
    <x v="35"/>
    <s v="No"/>
    <x v="2"/>
    <n v="2"/>
    <n v="0"/>
    <n v="2"/>
    <s v=""/>
    <x v="4"/>
    <x v="0"/>
  </r>
  <r>
    <n v="5"/>
    <s v="Prestador"/>
    <x v="9"/>
    <n v="32"/>
    <x v="36"/>
    <s v="No"/>
    <x v="2"/>
    <n v="2"/>
    <n v="0"/>
    <n v="2"/>
    <s v=""/>
    <x v="4"/>
    <x v="0"/>
  </r>
  <r>
    <n v="5"/>
    <s v="Prestador"/>
    <x v="9"/>
    <n v="3009"/>
    <x v="37"/>
    <s v="No"/>
    <x v="2"/>
    <n v="8"/>
    <n v="0"/>
    <n v="8"/>
    <s v=""/>
    <x v="4"/>
    <x v="0"/>
  </r>
  <r>
    <n v="5"/>
    <s v="Prestador"/>
    <x v="9"/>
    <n v="8009"/>
    <x v="38"/>
    <s v="No"/>
    <x v="2"/>
    <n v="8"/>
    <n v="0"/>
    <n v="8"/>
    <s v=""/>
    <x v="4"/>
    <x v="0"/>
  </r>
  <r>
    <n v="5"/>
    <s v="Prestador"/>
    <x v="9"/>
    <n v="10021"/>
    <x v="39"/>
    <s v="No"/>
    <x v="2"/>
    <n v="16"/>
    <n v="0"/>
    <n v="16"/>
    <s v=""/>
    <x v="4"/>
    <x v="0"/>
  </r>
  <r>
    <n v="5"/>
    <s v="Prestador"/>
    <x v="9"/>
    <n v="9042"/>
    <x v="40"/>
    <s v="No"/>
    <x v="2"/>
    <n v="4"/>
    <n v="0"/>
    <n v="4"/>
    <s v=""/>
    <x v="4"/>
    <x v="0"/>
  </r>
  <r>
    <n v="5"/>
    <s v="Prestador"/>
    <x v="9"/>
    <n v="1002"/>
    <x v="41"/>
    <s v="No"/>
    <x v="2"/>
    <n v="8"/>
    <n v="0"/>
    <n v="8"/>
    <s v=""/>
    <x v="4"/>
    <x v="0"/>
  </r>
  <r>
    <n v="5"/>
    <s v="Prestador"/>
    <x v="9"/>
    <n v="3111"/>
    <x v="42"/>
    <s v="No"/>
    <x v="2"/>
    <n v="8"/>
    <n v="0"/>
    <n v="8"/>
    <s v=""/>
    <x v="4"/>
    <x v="0"/>
  </r>
  <r>
    <n v="5"/>
    <s v="Prestador"/>
    <x v="9"/>
    <n v="44"/>
    <x v="43"/>
    <s v="No"/>
    <x v="2"/>
    <n v="4"/>
    <n v="0"/>
    <n v="4"/>
    <s v=""/>
    <x v="4"/>
    <x v="0"/>
  </r>
  <r>
    <n v="5"/>
    <s v="Prestador"/>
    <x v="9"/>
    <n v="914"/>
    <x v="44"/>
    <s v="No"/>
    <x v="2"/>
    <n v="16"/>
    <n v="0"/>
    <n v="16"/>
    <s v=""/>
    <x v="4"/>
    <x v="0"/>
  </r>
  <r>
    <n v="5"/>
    <s v="Prestador"/>
    <x v="9"/>
    <n v="106"/>
    <x v="45"/>
    <s v="No"/>
    <x v="2"/>
    <n v="8"/>
    <n v="0"/>
    <n v="8"/>
    <s v=""/>
    <x v="4"/>
    <x v="0"/>
  </r>
  <r>
    <n v="16"/>
    <s v="Prestador"/>
    <x v="10"/>
    <n v="921"/>
    <x v="46"/>
    <s v="No"/>
    <x v="2"/>
    <n v="40"/>
    <n v="0"/>
    <n v="40"/>
    <s v=""/>
    <x v="4"/>
    <x v="0"/>
  </r>
  <r>
    <n v="16"/>
    <s v="Prestador"/>
    <x v="10"/>
    <n v="7028"/>
    <x v="47"/>
    <s v="No"/>
    <x v="2"/>
    <n v="4"/>
    <n v="0"/>
    <n v="4"/>
    <s v=""/>
    <x v="4"/>
    <x v="0"/>
  </r>
  <r>
    <n v="16"/>
    <s v="Prestador"/>
    <x v="10"/>
    <n v="1800"/>
    <x v="48"/>
    <s v="No"/>
    <x v="2"/>
    <n v="6"/>
    <n v="0"/>
    <n v="6"/>
    <s v=""/>
    <x v="4"/>
    <x v="0"/>
  </r>
  <r>
    <n v="16"/>
    <s v="Prestador"/>
    <x v="10"/>
    <n v="905"/>
    <x v="49"/>
    <s v="No"/>
    <x v="2"/>
    <n v="8"/>
    <n v="0"/>
    <n v="8"/>
    <s v=""/>
    <x v="4"/>
    <x v="0"/>
  </r>
  <r>
    <n v="16"/>
    <s v="Prestador"/>
    <x v="10"/>
    <n v="3110"/>
    <x v="50"/>
    <s v="No"/>
    <x v="2"/>
    <n v="8"/>
    <n v="0"/>
    <n v="8"/>
    <s v=""/>
    <x v="4"/>
    <x v="0"/>
  </r>
  <r>
    <n v="6"/>
    <s v="Prestador"/>
    <x v="11"/>
    <n v="67"/>
    <x v="51"/>
    <s v="No"/>
    <x v="2"/>
    <n v="24"/>
    <n v="0"/>
    <n v="24"/>
    <s v=""/>
    <x v="4"/>
    <x v="0"/>
  </r>
  <r>
    <n v="6"/>
    <s v="Prestador"/>
    <x v="11"/>
    <n v="232"/>
    <x v="52"/>
    <s v="No"/>
    <x v="2"/>
    <n v="4"/>
    <n v="0"/>
    <n v="4"/>
    <s v=""/>
    <x v="4"/>
    <x v="0"/>
  </r>
  <r>
    <n v="6"/>
    <s v="Prestador"/>
    <x v="11"/>
    <n v="3013"/>
    <x v="53"/>
    <s v="No"/>
    <x v="2"/>
    <n v="18"/>
    <n v="0"/>
    <n v="18"/>
    <s v=""/>
    <x v="4"/>
    <x v="0"/>
  </r>
  <r>
    <n v="6"/>
    <s v="Prestador"/>
    <x v="11"/>
    <n v="7042"/>
    <x v="54"/>
    <s v="No"/>
    <x v="2"/>
    <n v="8"/>
    <n v="0"/>
    <n v="8"/>
    <s v=""/>
    <x v="4"/>
    <x v="0"/>
  </r>
  <r>
    <n v="6"/>
    <s v="Prestador"/>
    <x v="11"/>
    <n v="1112"/>
    <x v="55"/>
    <s v="No"/>
    <x v="2"/>
    <n v="2"/>
    <n v="0"/>
    <n v="2"/>
    <s v=""/>
    <x v="4"/>
    <x v="0"/>
  </r>
  <r>
    <n v="6"/>
    <s v="Prestador"/>
    <x v="11"/>
    <n v="7021"/>
    <x v="56"/>
    <s v="No"/>
    <x v="2"/>
    <n v="8"/>
    <n v="0"/>
    <n v="8"/>
    <s v=""/>
    <x v="4"/>
    <x v="0"/>
  </r>
  <r>
    <n v="6"/>
    <s v="Prestador"/>
    <x v="11"/>
    <n v="85"/>
    <x v="57"/>
    <s v="No"/>
    <x v="2"/>
    <n v="8"/>
    <n v="0"/>
    <n v="8"/>
    <s v=""/>
    <x v="4"/>
    <x v="0"/>
  </r>
  <r>
    <n v="6"/>
    <s v="Prestador"/>
    <x v="11"/>
    <n v="3400"/>
    <x v="58"/>
    <s v="No"/>
    <x v="2"/>
    <n v="6"/>
    <n v="0"/>
    <n v="6"/>
    <s v=""/>
    <x v="4"/>
    <x v="0"/>
  </r>
  <r>
    <n v="6"/>
    <s v="Prestador"/>
    <x v="11"/>
    <n v="48"/>
    <x v="59"/>
    <s v="No"/>
    <x v="2"/>
    <n v="2"/>
    <n v="0"/>
    <n v="2"/>
    <s v=""/>
    <x v="4"/>
    <x v="0"/>
  </r>
  <r>
    <n v="99"/>
    <s v="Prestador"/>
    <x v="12"/>
    <n v="109"/>
    <x v="60"/>
    <s v="No"/>
    <x v="2"/>
    <n v="8"/>
    <n v="0"/>
    <n v="8"/>
    <s v=""/>
    <x v="4"/>
    <x v="0"/>
  </r>
  <r>
    <n v="99"/>
    <s v="Prestador"/>
    <x v="12"/>
    <n v="270"/>
    <x v="61"/>
    <s v="No"/>
    <x v="2"/>
    <n v="8"/>
    <n v="0"/>
    <n v="8"/>
    <s v=""/>
    <x v="4"/>
    <x v="0"/>
  </r>
  <r>
    <n v="99"/>
    <s v="Prestador"/>
    <x v="12"/>
    <n v="40"/>
    <x v="62"/>
    <s v="No"/>
    <x v="2"/>
    <n v="24"/>
    <n v="0"/>
    <n v="24"/>
    <s v=""/>
    <x v="4"/>
    <x v="0"/>
  </r>
  <r>
    <n v="99"/>
    <s v="Prestador"/>
    <x v="12"/>
    <n v="919"/>
    <x v="63"/>
    <s v="No"/>
    <x v="2"/>
    <n v="8"/>
    <n v="0"/>
    <n v="8"/>
    <s v=""/>
    <x v="4"/>
    <x v="0"/>
  </r>
  <r>
    <n v="4"/>
    <s v="Prestador"/>
    <x v="13"/>
    <n v="143"/>
    <x v="64"/>
    <s v="No"/>
    <x v="2"/>
    <n v="24"/>
    <n v="0"/>
    <n v="24"/>
    <s v=""/>
    <x v="4"/>
    <x v="0"/>
  </r>
  <r>
    <n v="4"/>
    <s v="Prestador"/>
    <x v="13"/>
    <n v="146"/>
    <x v="65"/>
    <s v="No"/>
    <x v="2"/>
    <n v="12"/>
    <n v="0"/>
    <n v="12"/>
    <s v=""/>
    <x v="4"/>
    <x v="0"/>
  </r>
  <r>
    <n v="4"/>
    <s v="Prestador"/>
    <x v="13"/>
    <n v="147"/>
    <x v="66"/>
    <s v="No"/>
    <x v="2"/>
    <n v="16"/>
    <n v="0"/>
    <n v="16"/>
    <s v=""/>
    <x v="4"/>
    <x v="0"/>
  </r>
  <r>
    <n v="4"/>
    <s v="Prestador"/>
    <x v="13"/>
    <n v="7005"/>
    <x v="67"/>
    <s v="No"/>
    <x v="2"/>
    <n v="4"/>
    <n v="0"/>
    <n v="4"/>
    <s v=""/>
    <x v="4"/>
    <x v="0"/>
  </r>
  <r>
    <n v="4"/>
    <s v="Prestador"/>
    <x v="13"/>
    <n v="10025"/>
    <x v="68"/>
    <s v="No"/>
    <x v="2"/>
    <n v="40"/>
    <n v="0"/>
    <n v="40"/>
    <s v=""/>
    <x v="4"/>
    <x v="0"/>
  </r>
  <r>
    <n v="87"/>
    <s v="Prestador"/>
    <x v="14"/>
    <n v="821"/>
    <x v="69"/>
    <s v="No"/>
    <x v="2"/>
    <n v="16"/>
    <n v="0"/>
    <n v="16"/>
    <s v=""/>
    <x v="4"/>
    <x v="0"/>
  </r>
  <r>
    <n v="87"/>
    <s v="Prestador"/>
    <x v="14"/>
    <n v="820"/>
    <x v="70"/>
    <s v="No"/>
    <x v="2"/>
    <n v="16"/>
    <n v="0"/>
    <n v="16"/>
    <s v=""/>
    <x v="4"/>
    <x v="0"/>
  </r>
  <r>
    <n v="87"/>
    <s v="Prestador"/>
    <x v="14"/>
    <n v="866"/>
    <x v="71"/>
    <s v="No"/>
    <x v="2"/>
    <n v="16"/>
    <n v="0"/>
    <n v="16"/>
    <s v=""/>
    <x v="4"/>
    <x v="0"/>
  </r>
  <r>
    <n v="87"/>
    <s v="Prestador"/>
    <x v="14"/>
    <n v="869"/>
    <x v="72"/>
    <s v="No"/>
    <x v="2"/>
    <n v="24"/>
    <n v="0"/>
    <n v="24"/>
    <s v=""/>
    <x v="4"/>
    <x v="0"/>
  </r>
  <r>
    <n v="87"/>
    <s v="Prestador"/>
    <x v="14"/>
    <n v="871"/>
    <x v="73"/>
    <s v="No"/>
    <x v="2"/>
    <n v="32"/>
    <n v="0"/>
    <n v="32"/>
    <s v=""/>
    <x v="4"/>
    <x v="0"/>
  </r>
  <r>
    <n v="87"/>
    <s v="Prestador"/>
    <x v="14"/>
    <n v="10000"/>
    <x v="74"/>
    <s v="No"/>
    <x v="2"/>
    <n v="16"/>
    <n v="0"/>
    <n v="16"/>
    <s v=""/>
    <x v="4"/>
    <x v="0"/>
  </r>
  <r>
    <n v="87"/>
    <s v="Prestador"/>
    <x v="14"/>
    <n v="9021"/>
    <x v="75"/>
    <s v="No"/>
    <x v="2"/>
    <n v="4"/>
    <n v="0"/>
    <n v="4"/>
    <s v=""/>
    <x v="4"/>
    <x v="0"/>
  </r>
  <r>
    <n v="20"/>
    <s v="Prestador"/>
    <x v="15"/>
    <n v="2000"/>
    <x v="76"/>
    <s v="No"/>
    <x v="2"/>
    <n v="16"/>
    <n v="0"/>
    <n v="16"/>
    <s v=""/>
    <x v="4"/>
    <x v="0"/>
  </r>
  <r>
    <n v="20"/>
    <s v="Prestador"/>
    <x v="15"/>
    <n v="2500"/>
    <x v="77"/>
    <s v="No"/>
    <x v="2"/>
    <n v="8"/>
    <n v="0"/>
    <n v="8"/>
    <s v=""/>
    <x v="4"/>
    <x v="0"/>
  </r>
  <r>
    <n v="455"/>
    <s v="Prestador"/>
    <x v="16"/>
    <n v="8014"/>
    <x v="78"/>
    <s v="No"/>
    <x v="2"/>
    <n v="24"/>
    <n v="0"/>
    <n v="24"/>
    <s v=""/>
    <x v="4"/>
    <x v="0"/>
  </r>
  <r>
    <n v="88"/>
    <s v="Prestador"/>
    <x v="17"/>
    <n v="99023"/>
    <x v="79"/>
    <s v="No"/>
    <x v="2"/>
    <n v="1"/>
    <n v="0"/>
    <n v="1"/>
    <s v=""/>
    <x v="4"/>
    <x v="0"/>
  </r>
  <r>
    <n v="88"/>
    <s v="Prestador"/>
    <x v="17"/>
    <n v="281"/>
    <x v="80"/>
    <s v="No"/>
    <x v="2"/>
    <n v="120"/>
    <n v="0"/>
    <n v="120"/>
    <s v=""/>
    <x v="4"/>
    <x v="0"/>
  </r>
  <r>
    <n v="88"/>
    <s v="Prestador"/>
    <x v="17"/>
    <n v="4200"/>
    <x v="81"/>
    <s v="No"/>
    <x v="2"/>
    <n v="1"/>
    <n v="0"/>
    <n v="1"/>
    <s v=""/>
    <x v="4"/>
    <x v="0"/>
  </r>
  <r>
    <n v="88"/>
    <s v="Prestador"/>
    <x v="17"/>
    <n v="1355"/>
    <x v="82"/>
    <s v="No"/>
    <x v="2"/>
    <n v="8"/>
    <n v="0"/>
    <n v="8"/>
    <s v=""/>
    <x v="4"/>
    <x v="0"/>
  </r>
  <r>
    <n v="88"/>
    <s v="Prestador"/>
    <x v="17"/>
    <n v="99024"/>
    <x v="83"/>
    <s v="No"/>
    <x v="2"/>
    <n v="1"/>
    <n v="0"/>
    <n v="1"/>
    <s v=""/>
    <x v="4"/>
    <x v="0"/>
  </r>
  <r>
    <n v="88"/>
    <s v="Prestador"/>
    <x v="17"/>
    <n v="3010"/>
    <x v="84"/>
    <s v="No"/>
    <x v="2"/>
    <n v="40"/>
    <n v="0"/>
    <n v="40"/>
    <s v=""/>
    <x v="4"/>
    <x v="0"/>
  </r>
  <r>
    <n v="88"/>
    <s v="Prestador"/>
    <x v="17"/>
    <n v="34"/>
    <x v="85"/>
    <s v="No"/>
    <x v="2"/>
    <n v="1"/>
    <n v="0"/>
    <n v="1"/>
    <s v=""/>
    <x v="4"/>
    <x v="0"/>
  </r>
  <r>
    <n v="88"/>
    <s v="Prestador"/>
    <x v="17"/>
    <n v="1011"/>
    <x v="86"/>
    <s v="No"/>
    <x v="2"/>
    <n v="6"/>
    <n v="0"/>
    <n v="6"/>
    <s v=""/>
    <x v="4"/>
    <x v="0"/>
  </r>
  <r>
    <n v="88"/>
    <s v="Prestador"/>
    <x v="17"/>
    <n v="28188"/>
    <x v="87"/>
    <s v="No"/>
    <x v="2"/>
    <n v="120"/>
    <n v="0"/>
    <n v="120"/>
    <s v=""/>
    <x v="4"/>
    <x v="0"/>
  </r>
  <r>
    <n v="88"/>
    <s v="Prestador"/>
    <x v="17"/>
    <n v="275"/>
    <x v="88"/>
    <s v="No"/>
    <x v="2"/>
    <n v="24"/>
    <n v="0"/>
    <n v="24"/>
    <s v=""/>
    <x v="4"/>
    <x v="0"/>
  </r>
  <r>
    <n v="88"/>
    <s v="Prestador"/>
    <x v="17"/>
    <n v="252"/>
    <x v="89"/>
    <s v="No"/>
    <x v="2"/>
    <n v="32"/>
    <n v="0"/>
    <n v="32"/>
    <s v=""/>
    <x v="4"/>
    <x v="0"/>
  </r>
  <r>
    <n v="88"/>
    <s v="Prestador"/>
    <x v="17"/>
    <n v="338"/>
    <x v="90"/>
    <s v="No"/>
    <x v="2"/>
    <n v="80"/>
    <n v="0"/>
    <n v="80"/>
    <s v=""/>
    <x v="4"/>
    <x v="0"/>
  </r>
  <r>
    <n v="10"/>
    <s v="Prestador"/>
    <x v="18"/>
    <n v="2314"/>
    <x v="91"/>
    <s v="No"/>
    <x v="2"/>
    <n v="160"/>
    <n v="0"/>
    <n v="160"/>
    <s v=""/>
    <x v="4"/>
    <x v="0"/>
  </r>
  <r>
    <n v="10"/>
    <s v="Prestador"/>
    <x v="18"/>
    <n v="950"/>
    <x v="92"/>
    <s v="No"/>
    <x v="2"/>
    <n v="40"/>
    <n v="0"/>
    <n v="40"/>
    <s v=""/>
    <x v="4"/>
    <x v="0"/>
  </r>
  <r>
    <n v="870"/>
    <s v="Prestador"/>
    <x v="19"/>
    <n v="355"/>
    <x v="93"/>
    <s v="No"/>
    <x v="2"/>
    <n v="40"/>
    <n v="0"/>
    <n v="40"/>
    <s v=""/>
    <x v="4"/>
    <x v="0"/>
  </r>
  <r>
    <n v="870"/>
    <s v="Prestador"/>
    <x v="19"/>
    <n v="354"/>
    <x v="94"/>
    <s v="No"/>
    <x v="2"/>
    <n v="40"/>
    <n v="0"/>
    <n v="40"/>
    <s v=""/>
    <x v="4"/>
    <x v="0"/>
  </r>
  <r>
    <n v="38"/>
    <s v="Prestador"/>
    <x v="20"/>
    <n v="1113"/>
    <x v="95"/>
    <s v="No"/>
    <x v="2"/>
    <n v="40"/>
    <n v="0"/>
    <n v="40"/>
    <s v=""/>
    <x v="4"/>
    <x v="0"/>
  </r>
  <r>
    <n v="38"/>
    <s v="Prestador"/>
    <x v="20"/>
    <n v="1290"/>
    <x v="96"/>
    <s v="No"/>
    <x v="2"/>
    <n v="8"/>
    <n v="0"/>
    <n v="8"/>
    <s v=""/>
    <x v="4"/>
    <x v="0"/>
  </r>
  <r>
    <n v="38"/>
    <s v="Prestador"/>
    <x v="20"/>
    <n v="7015"/>
    <x v="97"/>
    <s v="No"/>
    <x v="2"/>
    <n v="16"/>
    <n v="0"/>
    <n v="16"/>
    <s v=""/>
    <x v="4"/>
    <x v="0"/>
  </r>
  <r>
    <n v="38"/>
    <s v="Prestador"/>
    <x v="20"/>
    <n v="932"/>
    <x v="98"/>
    <s v="No"/>
    <x v="2"/>
    <n v="4"/>
    <n v="0"/>
    <n v="4"/>
    <s v=""/>
    <x v="4"/>
    <x v="0"/>
  </r>
  <r>
    <n v="38"/>
    <s v="Prestador"/>
    <x v="20"/>
    <n v="-1004"/>
    <x v="99"/>
    <s v="No"/>
    <x v="2"/>
    <n v="24"/>
    <n v="0"/>
    <n v="24"/>
    <s v=""/>
    <x v="4"/>
    <x v="0"/>
  </r>
  <r>
    <n v="89"/>
    <s v="Prestador"/>
    <x v="21"/>
    <n v="2815"/>
    <x v="100"/>
    <s v="No"/>
    <x v="2"/>
    <n v="40"/>
    <n v="0"/>
    <n v="40"/>
    <s v=""/>
    <x v="4"/>
    <x v="0"/>
  </r>
  <r>
    <n v="89"/>
    <s v="Prestador"/>
    <x v="21"/>
    <n v="440"/>
    <x v="101"/>
    <s v="No"/>
    <x v="2"/>
    <n v="6"/>
    <n v="0"/>
    <n v="6"/>
    <s v=""/>
    <x v="4"/>
    <x v="0"/>
  </r>
  <r>
    <n v="89"/>
    <s v="Prestador"/>
    <x v="21"/>
    <n v="9030"/>
    <x v="102"/>
    <s v="No"/>
    <x v="2"/>
    <n v="4"/>
    <n v="0"/>
    <n v="4"/>
    <s v=""/>
    <x v="4"/>
    <x v="0"/>
  </r>
  <r>
    <n v="89"/>
    <s v="Prestador"/>
    <x v="21"/>
    <n v="935"/>
    <x v="103"/>
    <s v="No"/>
    <x v="2"/>
    <n v="40"/>
    <n v="0"/>
    <n v="40"/>
    <s v=""/>
    <x v="4"/>
    <x v="0"/>
  </r>
  <r>
    <n v="22"/>
    <s v="Prestador"/>
    <x v="22"/>
    <n v="28122"/>
    <x v="104"/>
    <s v="No"/>
    <x v="2"/>
    <n v="80"/>
    <n v="0"/>
    <n v="80"/>
    <s v=""/>
    <x v="4"/>
    <x v="0"/>
  </r>
  <r>
    <n v="26"/>
    <s v="Prestador"/>
    <x v="23"/>
    <n v="874"/>
    <x v="105"/>
    <s v="No"/>
    <x v="2"/>
    <n v="12"/>
    <n v="0"/>
    <n v="12"/>
    <s v=""/>
    <x v="4"/>
    <x v="0"/>
  </r>
  <r>
    <n v="26"/>
    <s v="Prestador"/>
    <x v="23"/>
    <n v="873"/>
    <x v="106"/>
    <s v="No"/>
    <x v="2"/>
    <n v="12"/>
    <n v="0"/>
    <n v="12"/>
    <s v=""/>
    <x v="4"/>
    <x v="0"/>
  </r>
  <r>
    <n v="26"/>
    <s v="Prestador"/>
    <x v="23"/>
    <n v="10026"/>
    <x v="107"/>
    <s v="No"/>
    <x v="2"/>
    <n v="12"/>
    <n v="0"/>
    <n v="12"/>
    <s v=""/>
    <x v="4"/>
    <x v="0"/>
  </r>
  <r>
    <n v="26"/>
    <s v="Prestador"/>
    <x v="23"/>
    <n v="8010"/>
    <x v="108"/>
    <s v="No"/>
    <x v="2"/>
    <n v="8"/>
    <n v="0"/>
    <n v="8"/>
    <s v=""/>
    <x v="4"/>
    <x v="0"/>
  </r>
  <r>
    <n v="26"/>
    <s v="Prestador"/>
    <x v="23"/>
    <n v="900"/>
    <x v="109"/>
    <s v="No"/>
    <x v="2"/>
    <n v="24"/>
    <n v="0"/>
    <n v="24"/>
    <s v=""/>
    <x v="4"/>
    <x v="0"/>
  </r>
  <r>
    <n v="26"/>
    <s v="Prestador"/>
    <x v="23"/>
    <n v="872"/>
    <x v="110"/>
    <s v="No"/>
    <x v="2"/>
    <n v="40"/>
    <n v="0"/>
    <n v="40"/>
    <s v=""/>
    <x v="4"/>
    <x v="0"/>
  </r>
  <r>
    <n v="998"/>
    <s v="Prestador"/>
    <x v="24"/>
    <n v="341"/>
    <x v="111"/>
    <s v="No"/>
    <x v="2"/>
    <n v="40"/>
    <n v="0"/>
    <n v="40"/>
    <s v=""/>
    <x v="4"/>
    <x v="0"/>
  </r>
  <r>
    <n v="23"/>
    <s v="Prestador"/>
    <x v="25"/>
    <n v="723"/>
    <x v="112"/>
    <s v="No"/>
    <x v="2"/>
    <n v="2"/>
    <n v="0"/>
    <n v="2"/>
    <s v=""/>
    <x v="4"/>
    <x v="0"/>
  </r>
  <r>
    <n v="23"/>
    <s v="Prestador"/>
    <x v="25"/>
    <n v="9032"/>
    <x v="113"/>
    <s v="No"/>
    <x v="2"/>
    <n v="2"/>
    <n v="0"/>
    <n v="2"/>
    <s v=""/>
    <x v="4"/>
    <x v="0"/>
  </r>
  <r>
    <n v="23"/>
    <s v="Prestador"/>
    <x v="25"/>
    <n v="7008"/>
    <x v="114"/>
    <s v="No"/>
    <x v="2"/>
    <n v="2"/>
    <n v="0"/>
    <n v="2"/>
    <s v=""/>
    <x v="4"/>
    <x v="0"/>
  </r>
  <r>
    <n v="23"/>
    <s v="Prestador"/>
    <x v="25"/>
    <n v="7012"/>
    <x v="115"/>
    <s v="No"/>
    <x v="2"/>
    <n v="4"/>
    <n v="0"/>
    <n v="4"/>
    <s v=""/>
    <x v="4"/>
    <x v="0"/>
  </r>
  <r>
    <n v="23"/>
    <s v="Prestador"/>
    <x v="25"/>
    <n v="56"/>
    <x v="116"/>
    <s v="No"/>
    <x v="2"/>
    <n v="2"/>
    <n v="0"/>
    <n v="2"/>
    <s v=""/>
    <x v="4"/>
    <x v="0"/>
  </r>
  <r>
    <n v="23"/>
    <s v="Prestador"/>
    <x v="25"/>
    <n v="746"/>
    <x v="117"/>
    <s v="No"/>
    <x v="2"/>
    <n v="24"/>
    <n v="0"/>
    <n v="24"/>
    <s v=""/>
    <x v="4"/>
    <x v="0"/>
  </r>
  <r>
    <n v="23"/>
    <s v="Prestador"/>
    <x v="25"/>
    <n v="722"/>
    <x v="118"/>
    <s v="No"/>
    <x v="2"/>
    <n v="24"/>
    <n v="0"/>
    <n v="24"/>
    <s v=""/>
    <x v="4"/>
    <x v="0"/>
  </r>
  <r>
    <n v="23"/>
    <s v="Prestador"/>
    <x v="25"/>
    <n v="1950"/>
    <x v="119"/>
    <s v="No"/>
    <x v="2"/>
    <n v="12"/>
    <n v="0"/>
    <n v="12"/>
    <s v=""/>
    <x v="4"/>
    <x v="0"/>
  </r>
  <r>
    <n v="23"/>
    <s v="Prestador"/>
    <x v="25"/>
    <n v="10209"/>
    <x v="120"/>
    <s v="No"/>
    <x v="2"/>
    <n v="8"/>
    <n v="0"/>
    <n v="8"/>
    <s v=""/>
    <x v="4"/>
    <x v="0"/>
  </r>
  <r>
    <n v="23"/>
    <s v="Prestador"/>
    <x v="25"/>
    <n v="725"/>
    <x v="121"/>
    <s v="No"/>
    <x v="2"/>
    <n v="4"/>
    <n v="0"/>
    <n v="4"/>
    <s v=""/>
    <x v="4"/>
    <x v="0"/>
  </r>
  <r>
    <n v="23"/>
    <s v="Prestador"/>
    <x v="25"/>
    <n v="718"/>
    <x v="122"/>
    <s v="No"/>
    <x v="2"/>
    <n v="4"/>
    <n v="0"/>
    <n v="4"/>
    <s v=""/>
    <x v="4"/>
    <x v="0"/>
  </r>
  <r>
    <n v="23"/>
    <s v="Prestador"/>
    <x v="25"/>
    <n v="9048"/>
    <x v="123"/>
    <s v="No"/>
    <x v="2"/>
    <n v="2"/>
    <n v="0"/>
    <n v="2"/>
    <s v=""/>
    <x v="4"/>
    <x v="0"/>
  </r>
  <r>
    <n v="23"/>
    <s v="Prestador"/>
    <x v="25"/>
    <n v="10210"/>
    <x v="124"/>
    <s v="No"/>
    <x v="2"/>
    <n v="2"/>
    <n v="0"/>
    <n v="2"/>
    <s v=""/>
    <x v="4"/>
    <x v="0"/>
  </r>
  <r>
    <n v="9"/>
    <s v="Prestador"/>
    <x v="26"/>
    <n v="148"/>
    <x v="125"/>
    <s v="No"/>
    <x v="2"/>
    <n v="2"/>
    <n v="0"/>
    <n v="2"/>
    <s v=""/>
    <x v="4"/>
    <x v="0"/>
  </r>
  <r>
    <n v="9"/>
    <s v="Prestador"/>
    <x v="26"/>
    <n v="99010"/>
    <x v="126"/>
    <s v="No"/>
    <x v="2"/>
    <n v="24"/>
    <n v="0"/>
    <n v="24"/>
    <s v=""/>
    <x v="4"/>
    <x v="0"/>
  </r>
  <r>
    <n v="9"/>
    <s v="Prestador"/>
    <x v="26"/>
    <n v="7011"/>
    <x v="127"/>
    <s v="No"/>
    <x v="2"/>
    <n v="2"/>
    <n v="0"/>
    <n v="2"/>
    <s v=""/>
    <x v="4"/>
    <x v="0"/>
  </r>
  <r>
    <n v="9"/>
    <s v="Prestador"/>
    <x v="26"/>
    <n v="9047"/>
    <x v="128"/>
    <s v="No"/>
    <x v="2"/>
    <n v="8"/>
    <n v="0"/>
    <n v="8"/>
    <s v=""/>
    <x v="4"/>
    <x v="0"/>
  </r>
  <r>
    <n v="9"/>
    <s v="Prestador"/>
    <x v="26"/>
    <n v="942"/>
    <x v="129"/>
    <s v="No"/>
    <x v="2"/>
    <n v="8"/>
    <n v="0"/>
    <n v="8"/>
    <s v=""/>
    <x v="4"/>
    <x v="0"/>
  </r>
  <r>
    <n v="9"/>
    <s v="Prestador"/>
    <x v="26"/>
    <n v="28"/>
    <x v="130"/>
    <s v="No"/>
    <x v="2"/>
    <n v="12"/>
    <n v="0"/>
    <n v="12"/>
    <s v=""/>
    <x v="4"/>
    <x v="0"/>
  </r>
  <r>
    <n v="9"/>
    <s v="Prestador"/>
    <x v="26"/>
    <n v="951"/>
    <x v="131"/>
    <s v="No"/>
    <x v="2"/>
    <n v="2"/>
    <n v="0"/>
    <n v="2"/>
    <s v=""/>
    <x v="4"/>
    <x v="0"/>
  </r>
  <r>
    <n v="9"/>
    <s v="Prestador"/>
    <x v="26"/>
    <n v="9039"/>
    <x v="132"/>
    <s v="No"/>
    <x v="2"/>
    <n v="2"/>
    <n v="0"/>
    <n v="2"/>
    <s v=""/>
    <x v="4"/>
    <x v="0"/>
  </r>
  <r>
    <n v="9"/>
    <s v="Prestador"/>
    <x v="26"/>
    <n v="994"/>
    <x v="133"/>
    <s v="No"/>
    <x v="2"/>
    <n v="2"/>
    <n v="0"/>
    <n v="2"/>
    <s v=""/>
    <x v="4"/>
    <x v="0"/>
  </r>
  <r>
    <n v="9"/>
    <s v="Prestador"/>
    <x v="26"/>
    <n v="99013"/>
    <x v="134"/>
    <s v="No"/>
    <x v="2"/>
    <n v="12"/>
    <n v="0"/>
    <n v="12"/>
    <s v=""/>
    <x v="4"/>
    <x v="0"/>
  </r>
  <r>
    <n v="95"/>
    <s v="Prestador"/>
    <x v="27"/>
    <n v="996"/>
    <x v="135"/>
    <s v="No"/>
    <x v="2"/>
    <n v="40"/>
    <n v="0"/>
    <n v="40"/>
    <s v=""/>
    <x v="4"/>
    <x v="0"/>
  </r>
  <r>
    <n v="96"/>
    <s v="Prestador"/>
    <x v="28"/>
    <n v="903"/>
    <x v="136"/>
    <s v="No"/>
    <x v="2"/>
    <n v="16"/>
    <n v="0"/>
    <n v="16"/>
    <s v=""/>
    <x v="4"/>
    <x v="0"/>
  </r>
  <r>
    <n v="24"/>
    <s v="Prestador"/>
    <x v="29"/>
    <n v="450"/>
    <x v="137"/>
    <s v="No"/>
    <x v="2"/>
    <n v="24"/>
    <n v="0"/>
    <n v="24"/>
    <s v=""/>
    <x v="4"/>
    <x v="0"/>
  </r>
  <r>
    <n v="945"/>
    <s v="Prestador"/>
    <x v="30"/>
    <n v="9902"/>
    <x v="138"/>
    <s v="No"/>
    <x v="2"/>
    <n v="40"/>
    <n v="0"/>
    <n v="40"/>
    <s v=""/>
    <x v="4"/>
    <x v="0"/>
  </r>
  <r>
    <n v="90"/>
    <s v="Prestador"/>
    <x v="31"/>
    <n v="865"/>
    <x v="139"/>
    <s v="No"/>
    <x v="2"/>
    <n v="24"/>
    <n v="0"/>
    <n v="24"/>
    <s v=""/>
    <x v="4"/>
    <x v="0"/>
  </r>
  <r>
    <n v="90"/>
    <s v="Prestador"/>
    <x v="31"/>
    <n v="3130"/>
    <x v="140"/>
    <s v="No"/>
    <x v="2"/>
    <n v="40"/>
    <n v="0"/>
    <n v="40"/>
    <s v=""/>
    <x v="4"/>
    <x v="0"/>
  </r>
  <r>
    <n v="90"/>
    <s v="Prestador"/>
    <x v="31"/>
    <n v="3131"/>
    <x v="141"/>
    <s v="No"/>
    <x v="2"/>
    <n v="8"/>
    <n v="0"/>
    <n v="8"/>
    <s v=""/>
    <x v="4"/>
    <x v="0"/>
  </r>
  <r>
    <n v="90"/>
    <s v="Prestador"/>
    <x v="31"/>
    <n v="220"/>
    <x v="142"/>
    <s v="No"/>
    <x v="2"/>
    <n v="8"/>
    <n v="0"/>
    <n v="8"/>
    <s v=""/>
    <x v="4"/>
    <x v="0"/>
  </r>
  <r>
    <n v="90"/>
    <s v="Prestador"/>
    <x v="31"/>
    <n v="221"/>
    <x v="143"/>
    <s v="No"/>
    <x v="2"/>
    <n v="8"/>
    <n v="0"/>
    <n v="8"/>
    <s v=""/>
    <x v="4"/>
    <x v="0"/>
  </r>
  <r>
    <n v="451"/>
    <s v="Prestador"/>
    <x v="32"/>
    <n v="3030"/>
    <x v="144"/>
    <s v="No"/>
    <x v="2"/>
    <n v="40"/>
    <n v="0"/>
    <n v="40"/>
    <s v=""/>
    <x v="4"/>
    <x v="0"/>
  </r>
  <r>
    <n v="451"/>
    <s v="Prestador"/>
    <x v="32"/>
    <n v="99009"/>
    <x v="145"/>
    <s v="No"/>
    <x v="2"/>
    <n v="2"/>
    <n v="0"/>
    <n v="2"/>
    <s v=""/>
    <x v="4"/>
    <x v="0"/>
  </r>
  <r>
    <n v="212"/>
    <s v="Prestador"/>
    <x v="33"/>
    <n v="9901"/>
    <x v="146"/>
    <s v="No"/>
    <x v="2"/>
    <n v="4"/>
    <n v="0"/>
    <n v="4"/>
    <s v=""/>
    <x v="4"/>
    <x v="0"/>
  </r>
  <r>
    <n v="212"/>
    <s v="Prestador"/>
    <x v="33"/>
    <n v="7009"/>
    <x v="147"/>
    <s v="No"/>
    <x v="2"/>
    <n v="40"/>
    <n v="0"/>
    <n v="40"/>
    <s v=""/>
    <x v="4"/>
    <x v="0"/>
  </r>
  <r>
    <n v="681"/>
    <s v="Prestador"/>
    <x v="34"/>
    <n v="7006"/>
    <x v="148"/>
    <s v="No"/>
    <x v="2"/>
    <n v="40"/>
    <n v="0"/>
    <n v="40"/>
    <s v=""/>
    <x v="4"/>
    <x v="0"/>
  </r>
  <r>
    <n v="999"/>
    <s v="Prestador"/>
    <x v="35"/>
    <n v="945"/>
    <x v="149"/>
    <s v="No"/>
    <x v="2"/>
    <n v="16"/>
    <n v="0"/>
    <n v="16"/>
    <s v=""/>
    <x v="4"/>
    <x v="0"/>
  </r>
  <r>
    <n v="904"/>
    <s v="Prestador"/>
    <x v="36"/>
    <n v="10159"/>
    <x v="150"/>
    <s v="No"/>
    <x v="2"/>
    <n v="12"/>
    <n v="0"/>
    <n v="12"/>
    <s v=""/>
    <x v="4"/>
    <x v="0"/>
  </r>
  <r>
    <n v="904"/>
    <s v="Prestador"/>
    <x v="36"/>
    <n v="10158"/>
    <x v="151"/>
    <s v="No"/>
    <x v="2"/>
    <n v="16"/>
    <n v="0"/>
    <n v="16"/>
    <s v=""/>
    <x v="4"/>
    <x v="0"/>
  </r>
  <r>
    <n v="904"/>
    <s v="Prestador"/>
    <x v="36"/>
    <n v="10160"/>
    <x v="152"/>
    <s v="No"/>
    <x v="2"/>
    <n v="16"/>
    <n v="0"/>
    <n v="16"/>
    <s v=""/>
    <x v="4"/>
    <x v="0"/>
  </r>
  <r>
    <n v="904"/>
    <s v="Prestador"/>
    <x v="36"/>
    <n v="10150"/>
    <x v="153"/>
    <s v="No"/>
    <x v="2"/>
    <n v="12"/>
    <n v="0"/>
    <n v="12"/>
    <s v=""/>
    <x v="4"/>
    <x v="0"/>
  </r>
  <r>
    <n v="904"/>
    <s v="Prestador"/>
    <x v="36"/>
    <n v="10155"/>
    <x v="154"/>
    <s v="No"/>
    <x v="2"/>
    <n v="16"/>
    <n v="0"/>
    <n v="16"/>
    <s v=""/>
    <x v="4"/>
    <x v="0"/>
  </r>
  <r>
    <n v="904"/>
    <s v="Prestador"/>
    <x v="36"/>
    <n v="10200"/>
    <x v="155"/>
    <s v="No"/>
    <x v="2"/>
    <n v="12"/>
    <n v="0"/>
    <n v="12"/>
    <s v=""/>
    <x v="4"/>
    <x v="0"/>
  </r>
  <r>
    <n v="904"/>
    <s v="Prestador"/>
    <x v="36"/>
    <n v="10151"/>
    <x v="156"/>
    <s v="No"/>
    <x v="2"/>
    <n v="16"/>
    <n v="0"/>
    <n v="16"/>
    <s v=""/>
    <x v="4"/>
    <x v="0"/>
  </r>
  <r>
    <n v="904"/>
    <s v="Prestador"/>
    <x v="36"/>
    <n v="10153"/>
    <x v="157"/>
    <s v="No"/>
    <x v="2"/>
    <n v="12"/>
    <n v="0"/>
    <n v="12"/>
    <s v=""/>
    <x v="4"/>
    <x v="0"/>
  </r>
  <r>
    <n v="904"/>
    <s v="Prestador"/>
    <x v="36"/>
    <n v="10157"/>
    <x v="158"/>
    <s v="No"/>
    <x v="2"/>
    <n v="12"/>
    <n v="0"/>
    <n v="12"/>
    <s v=""/>
    <x v="4"/>
    <x v="0"/>
  </r>
  <r>
    <n v="904"/>
    <s v="Prestador"/>
    <x v="36"/>
    <n v="10154"/>
    <x v="159"/>
    <s v="No"/>
    <x v="2"/>
    <n v="12"/>
    <n v="0"/>
    <n v="12"/>
    <s v=""/>
    <x v="4"/>
    <x v="0"/>
  </r>
  <r>
    <n v="904"/>
    <s v="Prestador"/>
    <x v="36"/>
    <n v="10156"/>
    <x v="160"/>
    <s v="No"/>
    <x v="2"/>
    <n v="16"/>
    <n v="0"/>
    <n v="16"/>
    <s v=""/>
    <x v="4"/>
    <x v="0"/>
  </r>
  <r>
    <n v="904"/>
    <s v="Prestador"/>
    <x v="36"/>
    <n v="10152"/>
    <x v="161"/>
    <s v="No"/>
    <x v="2"/>
    <n v="16"/>
    <n v="0"/>
    <n v="16"/>
    <s v=""/>
    <x v="4"/>
    <x v="0"/>
  </r>
  <r>
    <n v="904"/>
    <s v="Prestador"/>
    <x v="36"/>
    <n v="10161"/>
    <x v="162"/>
    <s v="No"/>
    <x v="2"/>
    <n v="12"/>
    <n v="0"/>
    <n v="12"/>
    <s v=""/>
    <x v="4"/>
    <x v="0"/>
  </r>
  <r>
    <n v="71"/>
    <s v="Prestador"/>
    <x v="37"/>
    <n v="1133"/>
    <x v="163"/>
    <s v="No"/>
    <x v="2"/>
    <n v="16"/>
    <n v="0"/>
    <n v="16"/>
    <s v=""/>
    <x v="4"/>
    <x v="0"/>
  </r>
  <r>
    <n v="71"/>
    <s v="Prestador"/>
    <x v="37"/>
    <n v="1003"/>
    <x v="164"/>
    <s v="No"/>
    <x v="2"/>
    <n v="40"/>
    <n v="0"/>
    <n v="40"/>
    <s v=""/>
    <x v="4"/>
    <x v="0"/>
  </r>
  <r>
    <n v="71"/>
    <s v="Prestador"/>
    <x v="37"/>
    <n v="7026"/>
    <x v="165"/>
    <s v="No"/>
    <x v="2"/>
    <n v="4"/>
    <n v="0"/>
    <n v="4"/>
    <s v=""/>
    <x v="4"/>
    <x v="0"/>
  </r>
  <r>
    <n v="71"/>
    <s v="Prestador"/>
    <x v="37"/>
    <n v="373"/>
    <x v="166"/>
    <s v="No"/>
    <x v="2"/>
    <n v="40"/>
    <n v="0"/>
    <n v="40"/>
    <s v=""/>
    <x v="4"/>
    <x v="0"/>
  </r>
  <r>
    <n v="93"/>
    <s v="Prestador"/>
    <x v="38"/>
    <n v="1350"/>
    <x v="167"/>
    <s v="No"/>
    <x v="2"/>
    <n v="8"/>
    <n v="0"/>
    <n v="8"/>
    <s v=""/>
    <x v="4"/>
    <x v="0"/>
  </r>
  <r>
    <n v="93"/>
    <s v="Prestador"/>
    <x v="38"/>
    <n v="75"/>
    <x v="168"/>
    <s v="No"/>
    <x v="2"/>
    <n v="24"/>
    <n v="0"/>
    <n v="24"/>
    <s v=""/>
    <x v="4"/>
    <x v="0"/>
  </r>
  <r>
    <n v="312"/>
    <s v="Prestador"/>
    <x v="39"/>
    <n v="1301"/>
    <x v="169"/>
    <s v="No"/>
    <x v="2"/>
    <n v="24"/>
    <n v="0"/>
    <n v="24"/>
    <s v=""/>
    <x v="4"/>
    <x v="0"/>
  </r>
  <r>
    <n v="391"/>
    <s v="Prestador"/>
    <x v="40"/>
    <n v="867"/>
    <x v="170"/>
    <s v="No"/>
    <x v="2"/>
    <n v="32"/>
    <n v="0"/>
    <n v="32"/>
    <s v=""/>
    <x v="4"/>
    <x v="0"/>
  </r>
  <r>
    <n v="98"/>
    <s v="Prestador"/>
    <x v="41"/>
    <n v="46"/>
    <x v="171"/>
    <s v="No"/>
    <x v="2"/>
    <n v="16"/>
    <n v="0"/>
    <n v="16"/>
    <s v=""/>
    <x v="4"/>
    <x v="0"/>
  </r>
  <r>
    <n v="98"/>
    <s v="Prestador"/>
    <x v="41"/>
    <n v="941"/>
    <x v="172"/>
    <s v="No"/>
    <x v="2"/>
    <n v="32"/>
    <n v="0"/>
    <n v="32"/>
    <s v=""/>
    <x v="4"/>
    <x v="0"/>
  </r>
  <r>
    <n v="15"/>
    <s v="Prestador"/>
    <x v="42"/>
    <n v="7020"/>
    <x v="173"/>
    <s v="No"/>
    <x v="2"/>
    <n v="6"/>
    <n v="0"/>
    <n v="6"/>
    <s v=""/>
    <x v="4"/>
    <x v="0"/>
  </r>
  <r>
    <n v="15"/>
    <s v="Prestador"/>
    <x v="42"/>
    <n v="936"/>
    <x v="174"/>
    <s v="No"/>
    <x v="2"/>
    <n v="16"/>
    <n v="0"/>
    <n v="16"/>
    <s v=""/>
    <x v="4"/>
    <x v="0"/>
  </r>
  <r>
    <n v="15"/>
    <s v="Prestador"/>
    <x v="42"/>
    <n v="7043"/>
    <x v="175"/>
    <s v="No"/>
    <x v="2"/>
    <n v="12"/>
    <n v="0"/>
    <n v="12"/>
    <s v=""/>
    <x v="4"/>
    <x v="0"/>
  </r>
  <r>
    <n v="15"/>
    <s v="Prestador"/>
    <x v="42"/>
    <n v="7022"/>
    <x v="176"/>
    <s v="No"/>
    <x v="2"/>
    <n v="12"/>
    <n v="0"/>
    <n v="12"/>
    <s v=""/>
    <x v="4"/>
    <x v="0"/>
  </r>
  <r>
    <n v="15"/>
    <s v="Prestador"/>
    <x v="42"/>
    <n v="896"/>
    <x v="177"/>
    <s v="No"/>
    <x v="2"/>
    <n v="8"/>
    <n v="0"/>
    <n v="8"/>
    <s v=""/>
    <x v="4"/>
    <x v="0"/>
  </r>
  <r>
    <n v="15"/>
    <s v="Prestador"/>
    <x v="42"/>
    <n v="1302"/>
    <x v="178"/>
    <s v="No"/>
    <x v="2"/>
    <n v="4"/>
    <n v="0"/>
    <n v="4"/>
    <s v=""/>
    <x v="4"/>
    <x v="0"/>
  </r>
  <r>
    <n v="15"/>
    <s v="Prestador"/>
    <x v="42"/>
    <n v="1137"/>
    <x v="179"/>
    <s v="No"/>
    <x v="2"/>
    <n v="4"/>
    <n v="0"/>
    <n v="4"/>
    <s v=""/>
    <x v="4"/>
    <x v="0"/>
  </r>
  <r>
    <n v="91"/>
    <s v="Prestador"/>
    <x v="43"/>
    <n v="407"/>
    <x v="180"/>
    <s v="No"/>
    <x v="2"/>
    <n v="4"/>
    <n v="0"/>
    <n v="4"/>
    <s v=""/>
    <x v="4"/>
    <x v="0"/>
  </r>
  <r>
    <n v="91"/>
    <s v="Prestador"/>
    <x v="43"/>
    <n v="406"/>
    <x v="181"/>
    <s v="No"/>
    <x v="2"/>
    <n v="40"/>
    <n v="0"/>
    <n v="40"/>
    <s v=""/>
    <x v="4"/>
    <x v="0"/>
  </r>
  <r>
    <n v="91"/>
    <s v="Prestador"/>
    <x v="43"/>
    <n v="410"/>
    <x v="182"/>
    <s v="No"/>
    <x v="2"/>
    <n v="4"/>
    <n v="0"/>
    <n v="4"/>
    <s v=""/>
    <x v="4"/>
    <x v="0"/>
  </r>
  <r>
    <n v="105"/>
    <s v="Prestador"/>
    <x v="44"/>
    <n v="7007"/>
    <x v="183"/>
    <s v="No"/>
    <x v="2"/>
    <n v="8"/>
    <n v="0"/>
    <n v="8"/>
    <s v=""/>
    <x v="4"/>
    <x v="0"/>
  </r>
  <r>
    <n v="105"/>
    <s v="Prestador"/>
    <x v="44"/>
    <n v="4000"/>
    <x v="184"/>
    <s v="No"/>
    <x v="2"/>
    <n v="40"/>
    <n v="0"/>
    <n v="40"/>
    <s v=""/>
    <x v="4"/>
    <x v="0"/>
  </r>
  <r>
    <n v="105"/>
    <s v="Prestador"/>
    <x v="44"/>
    <n v="63"/>
    <x v="185"/>
    <s v="No"/>
    <x v="2"/>
    <n v="32"/>
    <n v="0"/>
    <n v="32"/>
    <s v=""/>
    <x v="4"/>
    <x v="0"/>
  </r>
  <r>
    <n v="105"/>
    <s v="Prestador"/>
    <x v="44"/>
    <n v="4003"/>
    <x v="186"/>
    <s v="No"/>
    <x v="2"/>
    <n v="0"/>
    <n v="0"/>
    <n v="0"/>
    <s v=""/>
    <x v="4"/>
    <x v="0"/>
  </r>
  <r>
    <n v="105"/>
    <s v="Prestador"/>
    <x v="44"/>
    <n v="7032"/>
    <x v="187"/>
    <s v="No"/>
    <x v="2"/>
    <n v="8"/>
    <n v="0"/>
    <n v="8"/>
    <s v=""/>
    <x v="4"/>
    <x v="0"/>
  </r>
  <r>
    <n v="322"/>
    <s v="Prestador"/>
    <x v="45"/>
    <n v="7041"/>
    <x v="188"/>
    <s v="No"/>
    <x v="2"/>
    <n v="12"/>
    <n v="0"/>
    <n v="12"/>
    <s v=""/>
    <x v="4"/>
    <x v="0"/>
  </r>
  <r>
    <n v="322"/>
    <s v="Prestador"/>
    <x v="45"/>
    <n v="7004"/>
    <x v="189"/>
    <s v="No"/>
    <x v="2"/>
    <n v="12"/>
    <n v="0"/>
    <n v="12"/>
    <s v=""/>
    <x v="4"/>
    <x v="0"/>
  </r>
  <r>
    <n v="94"/>
    <s v="Prestador"/>
    <x v="46"/>
    <n v="929"/>
    <x v="190"/>
    <s v="No"/>
    <x v="2"/>
    <n v="40"/>
    <n v="0"/>
    <n v="40"/>
    <s v=""/>
    <x v="4"/>
    <x v="0"/>
  </r>
  <r>
    <n v="18"/>
    <s v="Prestador"/>
    <x v="47"/>
    <n v="295"/>
    <x v="191"/>
    <s v="No"/>
    <x v="2"/>
    <n v="8"/>
    <n v="0"/>
    <n v="8"/>
    <s v=""/>
    <x v="4"/>
    <x v="0"/>
  </r>
  <r>
    <n v="18"/>
    <s v="Prestador"/>
    <x v="47"/>
    <n v="298"/>
    <x v="192"/>
    <s v="No"/>
    <x v="2"/>
    <n v="12"/>
    <n v="0"/>
    <n v="12"/>
    <s v=""/>
    <x v="4"/>
    <x v="0"/>
  </r>
  <r>
    <n v="18"/>
    <s v="Prestador"/>
    <x v="47"/>
    <n v="1300"/>
    <x v="193"/>
    <s v="No"/>
    <x v="2"/>
    <n v="4"/>
    <n v="0"/>
    <n v="4"/>
    <s v=""/>
    <x v="4"/>
    <x v="0"/>
  </r>
  <r>
    <n v="18"/>
    <s v="Prestador"/>
    <x v="47"/>
    <n v="296"/>
    <x v="194"/>
    <s v="No"/>
    <x v="2"/>
    <n v="4"/>
    <n v="0"/>
    <n v="4"/>
    <s v=""/>
    <x v="4"/>
    <x v="0"/>
  </r>
  <r>
    <n v="18"/>
    <s v="Prestador"/>
    <x v="47"/>
    <n v="297"/>
    <x v="195"/>
    <s v="No"/>
    <x v="2"/>
    <n v="24"/>
    <n v="0"/>
    <n v="24"/>
    <s v=""/>
    <x v="4"/>
    <x v="0"/>
  </r>
  <r>
    <n v="18"/>
    <s v="Prestador"/>
    <x v="47"/>
    <n v="294"/>
    <x v="196"/>
    <s v="No"/>
    <x v="2"/>
    <n v="16"/>
    <n v="0"/>
    <n v="16"/>
    <s v=""/>
    <x v="4"/>
    <x v="0"/>
  </r>
  <r>
    <n v="182"/>
    <s v="Prestador"/>
    <x v="48"/>
    <n v="87"/>
    <x v="197"/>
    <s v="No"/>
    <x v="2"/>
    <n v="2"/>
    <n v="0"/>
    <n v="2"/>
    <s v=""/>
    <x v="4"/>
    <x v="0"/>
  </r>
  <r>
    <n v="182"/>
    <s v="Prestador"/>
    <x v="48"/>
    <n v="791"/>
    <x v="198"/>
    <s v="No"/>
    <x v="2"/>
    <n v="4"/>
    <n v="0"/>
    <n v="4"/>
    <s v=""/>
    <x v="4"/>
    <x v="0"/>
  </r>
  <r>
    <n v="7"/>
    <s v="Prestador"/>
    <x v="49"/>
    <n v="267"/>
    <x v="199"/>
    <s v="No"/>
    <x v="2"/>
    <n v="12"/>
    <n v="0"/>
    <n v="12"/>
    <s v=""/>
    <x v="4"/>
    <x v="0"/>
  </r>
  <r>
    <n v="7"/>
    <s v="Prestador"/>
    <x v="49"/>
    <n v="1200"/>
    <x v="200"/>
    <s v="No"/>
    <x v="2"/>
    <n v="16"/>
    <n v="0"/>
    <n v="16"/>
    <s v=""/>
    <x v="4"/>
    <x v="0"/>
  </r>
  <r>
    <n v="7"/>
    <s v="Prestador"/>
    <x v="49"/>
    <n v="915"/>
    <x v="201"/>
    <s v="No"/>
    <x v="2"/>
    <n v="12"/>
    <n v="0"/>
    <n v="12"/>
    <s v=""/>
    <x v="4"/>
    <x v="0"/>
  </r>
  <r>
    <n v="7"/>
    <s v="Prestador"/>
    <x v="49"/>
    <n v="124"/>
    <x v="202"/>
    <s v="No"/>
    <x v="2"/>
    <n v="1"/>
    <n v="0"/>
    <n v="1"/>
    <s v=""/>
    <x v="4"/>
    <x v="0"/>
  </r>
  <r>
    <n v="7"/>
    <s v="Prestador"/>
    <x v="49"/>
    <n v="126"/>
    <x v="203"/>
    <s v="No"/>
    <x v="2"/>
    <n v="1"/>
    <n v="0"/>
    <n v="1"/>
    <s v=""/>
    <x v="4"/>
    <x v="0"/>
  </r>
  <r>
    <n v="7"/>
    <s v="Prestador"/>
    <x v="49"/>
    <n v="4100"/>
    <x v="204"/>
    <s v="No"/>
    <x v="2"/>
    <n v="4"/>
    <n v="0"/>
    <n v="4"/>
    <s v=""/>
    <x v="4"/>
    <x v="0"/>
  </r>
  <r>
    <n v="7"/>
    <s v="Prestador"/>
    <x v="49"/>
    <n v="920"/>
    <x v="205"/>
    <s v="No"/>
    <x v="2"/>
    <n v="4"/>
    <n v="0"/>
    <n v="4"/>
    <s v=""/>
    <x v="4"/>
    <x v="0"/>
  </r>
  <r>
    <n v="7"/>
    <s v="Prestador"/>
    <x v="49"/>
    <n v="917"/>
    <x v="206"/>
    <s v="No"/>
    <x v="2"/>
    <n v="12"/>
    <n v="0"/>
    <n v="12"/>
    <s v=""/>
    <x v="4"/>
    <x v="0"/>
  </r>
  <r>
    <n v="7"/>
    <s v="Prestador"/>
    <x v="49"/>
    <n v="913"/>
    <x v="207"/>
    <s v="No"/>
    <x v="2"/>
    <n v="12"/>
    <n v="0"/>
    <n v="12"/>
    <s v=""/>
    <x v="4"/>
    <x v="0"/>
  </r>
  <r>
    <n v="100"/>
    <s v="Prestador"/>
    <x v="50"/>
    <n v="952"/>
    <x v="208"/>
    <s v="No"/>
    <x v="2"/>
    <n v="40"/>
    <n v="0"/>
    <n v="40"/>
    <s v=""/>
    <x v="4"/>
    <x v="0"/>
  </r>
  <r>
    <n v="8"/>
    <s v="Prestador"/>
    <x v="51"/>
    <n v="36"/>
    <x v="209"/>
    <s v="No"/>
    <x v="2"/>
    <n v="8"/>
    <n v="0"/>
    <n v="8"/>
    <s v=""/>
    <x v="4"/>
    <x v="0"/>
  </r>
  <r>
    <n v="8"/>
    <s v="Prestador"/>
    <x v="51"/>
    <n v="7029"/>
    <x v="210"/>
    <s v="No"/>
    <x v="2"/>
    <n v="24"/>
    <n v="0"/>
    <n v="24"/>
    <s v=""/>
    <x v="4"/>
    <x v="0"/>
  </r>
  <r>
    <n v="8"/>
    <s v="Prestador"/>
    <x v="51"/>
    <n v="42"/>
    <x v="211"/>
    <s v="No"/>
    <x v="2"/>
    <n v="8"/>
    <n v="0"/>
    <n v="8"/>
    <s v=""/>
    <x v="4"/>
    <x v="0"/>
  </r>
  <r>
    <n v="8"/>
    <s v="Prestador"/>
    <x v="51"/>
    <n v="7031"/>
    <x v="212"/>
    <s v="No"/>
    <x v="2"/>
    <n v="2"/>
    <n v="0"/>
    <n v="2"/>
    <s v=""/>
    <x v="4"/>
    <x v="0"/>
  </r>
  <r>
    <n v="8"/>
    <s v="Prestador"/>
    <x v="51"/>
    <n v="122"/>
    <x v="213"/>
    <s v="No"/>
    <x v="2"/>
    <n v="1"/>
    <n v="0"/>
    <n v="1"/>
    <s v=""/>
    <x v="4"/>
    <x v="0"/>
  </r>
  <r>
    <n v="8"/>
    <s v="Prestador"/>
    <x v="51"/>
    <n v="24"/>
    <x v="214"/>
    <s v="No"/>
    <x v="2"/>
    <n v="8"/>
    <n v="0"/>
    <n v="8"/>
    <s v=""/>
    <x v="4"/>
    <x v="0"/>
  </r>
  <r>
    <n v="8"/>
    <s v="Prestador"/>
    <x v="51"/>
    <n v="10015"/>
    <x v="215"/>
    <s v="No"/>
    <x v="2"/>
    <n v="24"/>
    <n v="0"/>
    <n v="24"/>
    <s v=""/>
    <x v="4"/>
    <x v="0"/>
  </r>
  <r>
    <n v="8"/>
    <s v="Prestador"/>
    <x v="51"/>
    <n v="7010"/>
    <x v="216"/>
    <s v="No"/>
    <x v="2"/>
    <n v="16"/>
    <n v="0"/>
    <n v="16"/>
    <s v=""/>
    <x v="4"/>
    <x v="0"/>
  </r>
  <r>
    <n v="8"/>
    <s v="Prestador"/>
    <x v="51"/>
    <n v="3112"/>
    <x v="217"/>
    <s v="No"/>
    <x v="2"/>
    <n v="16"/>
    <n v="0"/>
    <n v="16"/>
    <s v=""/>
    <x v="4"/>
    <x v="0"/>
  </r>
  <r>
    <n v="8"/>
    <s v="Prestador"/>
    <x v="51"/>
    <n v="7030"/>
    <x v="218"/>
    <s v="No"/>
    <x v="2"/>
    <n v="8"/>
    <n v="0"/>
    <n v="8"/>
    <s v=""/>
    <x v="4"/>
    <x v="0"/>
  </r>
  <r>
    <n v="8"/>
    <s v="Prestador"/>
    <x v="51"/>
    <n v="47"/>
    <x v="219"/>
    <s v="No"/>
    <x v="2"/>
    <n v="2"/>
    <n v="0"/>
    <n v="2"/>
    <s v=""/>
    <x v="4"/>
    <x v="0"/>
  </r>
  <r>
    <n v="8"/>
    <s v="Prestador"/>
    <x v="51"/>
    <n v="998"/>
    <x v="220"/>
    <s v="No"/>
    <x v="2"/>
    <n v="6"/>
    <n v="0"/>
    <n v="6"/>
    <s v=""/>
    <x v="4"/>
    <x v="0"/>
  </r>
  <r>
    <n v="8"/>
    <s v="Prestador"/>
    <x v="51"/>
    <n v="9044"/>
    <x v="221"/>
    <s v="No"/>
    <x v="2"/>
    <n v="4"/>
    <n v="0"/>
    <n v="4"/>
    <s v=""/>
    <x v="4"/>
    <x v="0"/>
  </r>
  <r>
    <n v="31"/>
    <s v="Prestador"/>
    <x v="52"/>
    <n v="1126"/>
    <x v="222"/>
    <s v="No"/>
    <x v="2"/>
    <n v="16"/>
    <n v="0"/>
    <n v="16"/>
    <s v=""/>
    <x v="4"/>
    <x v="0"/>
  </r>
  <r>
    <n v="31"/>
    <s v="Prestador"/>
    <x v="52"/>
    <n v="1123"/>
    <x v="223"/>
    <s v="No"/>
    <x v="2"/>
    <n v="40"/>
    <n v="0"/>
    <n v="40"/>
    <s v=""/>
    <x v="4"/>
    <x v="0"/>
  </r>
  <r>
    <n v="82"/>
    <s v="Prestador"/>
    <x v="53"/>
    <n v="1124"/>
    <x v="224"/>
    <s v="No"/>
    <x v="2"/>
    <n v="24"/>
    <n v="0"/>
    <n v="24"/>
    <s v=""/>
    <x v="4"/>
    <x v="0"/>
  </r>
  <r>
    <n v="32"/>
    <s v="Prestador"/>
    <x v="54"/>
    <n v="1125"/>
    <x v="225"/>
    <s v="No"/>
    <x v="2"/>
    <n v="16"/>
    <n v="0"/>
    <n v="16"/>
    <s v=""/>
    <x v="4"/>
    <x v="0"/>
  </r>
  <r>
    <n v="32"/>
    <s v="Prestador"/>
    <x v="54"/>
    <n v="1131"/>
    <x v="226"/>
    <s v="No"/>
    <x v="2"/>
    <n v="8"/>
    <n v="0"/>
    <n v="8"/>
    <s v=""/>
    <x v="4"/>
    <x v="0"/>
  </r>
  <r>
    <n v="101"/>
    <s v="Prestador"/>
    <x v="55"/>
    <n v="1116"/>
    <x v="227"/>
    <s v="No"/>
    <x v="2"/>
    <n v="32"/>
    <n v="0"/>
    <n v="32"/>
    <s v=""/>
    <x v="4"/>
    <x v="0"/>
  </r>
  <r>
    <n v="102"/>
    <s v="Prestador"/>
    <x v="56"/>
    <n v="3004"/>
    <x v="228"/>
    <s v="No"/>
    <x v="2"/>
    <n v="16"/>
    <n v="0"/>
    <n v="16"/>
    <s v=""/>
    <x v="4"/>
    <x v="0"/>
  </r>
  <r>
    <n v="102"/>
    <s v="Prestador"/>
    <x v="56"/>
    <n v="3006"/>
    <x v="229"/>
    <s v="No"/>
    <x v="2"/>
    <n v="16"/>
    <n v="0"/>
    <n v="16"/>
    <s v=""/>
    <x v="4"/>
    <x v="0"/>
  </r>
  <r>
    <n v="102"/>
    <s v="Prestador"/>
    <x v="56"/>
    <n v="988"/>
    <x v="230"/>
    <s v="No"/>
    <x v="2"/>
    <n v="8"/>
    <n v="0"/>
    <n v="8"/>
    <s v=""/>
    <x v="4"/>
    <x v="0"/>
  </r>
  <r>
    <n v="102"/>
    <s v="Prestador"/>
    <x v="56"/>
    <n v="1006"/>
    <x v="231"/>
    <s v="No"/>
    <x v="2"/>
    <n v="8"/>
    <n v="0"/>
    <n v="8"/>
    <s v=""/>
    <x v="4"/>
    <x v="0"/>
  </r>
  <r>
    <n v="12"/>
    <s v="Prestador"/>
    <x v="57"/>
    <n v="858"/>
    <x v="232"/>
    <s v="No"/>
    <x v="2"/>
    <n v="8"/>
    <n v="0"/>
    <n v="8"/>
    <s v=""/>
    <x v="4"/>
    <x v="0"/>
  </r>
  <r>
    <n v="12"/>
    <s v="Prestador"/>
    <x v="57"/>
    <n v="8559"/>
    <x v="233"/>
    <s v="No"/>
    <x v="2"/>
    <n v="8"/>
    <n v="0"/>
    <n v="8"/>
    <s v=""/>
    <x v="4"/>
    <x v="0"/>
  </r>
  <r>
    <n v="12"/>
    <s v="Prestador"/>
    <x v="57"/>
    <n v="855"/>
    <x v="234"/>
    <s v="No"/>
    <x v="2"/>
    <n v="8"/>
    <n v="0"/>
    <n v="8"/>
    <s v=""/>
    <x v="4"/>
    <x v="0"/>
  </r>
  <r>
    <n v="12"/>
    <s v="Prestador"/>
    <x v="57"/>
    <n v="9051"/>
    <x v="235"/>
    <s v="No"/>
    <x v="2"/>
    <n v="4"/>
    <n v="0"/>
    <n v="4"/>
    <s v=""/>
    <x v="4"/>
    <x v="0"/>
  </r>
  <r>
    <n v="12"/>
    <s v="Prestador"/>
    <x v="57"/>
    <n v="127"/>
    <x v="236"/>
    <s v="No"/>
    <x v="2"/>
    <n v="4"/>
    <n v="0"/>
    <n v="4"/>
    <s v=""/>
    <x v="4"/>
    <x v="0"/>
  </r>
  <r>
    <n v="12"/>
    <s v="Prestador"/>
    <x v="57"/>
    <n v="857"/>
    <x v="237"/>
    <s v="No"/>
    <x v="2"/>
    <n v="24"/>
    <n v="0"/>
    <n v="24"/>
    <s v=""/>
    <x v="4"/>
    <x v="0"/>
  </r>
  <r>
    <n v="12"/>
    <s v="Prestador"/>
    <x v="57"/>
    <n v="851"/>
    <x v="238"/>
    <s v="No"/>
    <x v="2"/>
    <n v="16"/>
    <n v="0"/>
    <n v="16"/>
    <s v=""/>
    <x v="4"/>
    <x v="0"/>
  </r>
  <r>
    <n v="28"/>
    <s v="Prestador"/>
    <x v="58"/>
    <n v="810"/>
    <x v="239"/>
    <s v="No"/>
    <x v="2"/>
    <n v="8"/>
    <n v="0"/>
    <n v="8"/>
    <s v=""/>
    <x v="4"/>
    <x v="0"/>
  </r>
  <r>
    <n v="28"/>
    <s v="Prestador"/>
    <x v="58"/>
    <n v="809"/>
    <x v="240"/>
    <s v="No"/>
    <x v="2"/>
    <n v="4"/>
    <n v="0"/>
    <n v="4"/>
    <s v=""/>
    <x v="4"/>
    <x v="0"/>
  </r>
  <r>
    <n v="28"/>
    <s v="Prestador"/>
    <x v="58"/>
    <n v="860"/>
    <x v="241"/>
    <s v="No"/>
    <x v="2"/>
    <n v="16"/>
    <n v="0"/>
    <n v="16"/>
    <s v=""/>
    <x v="4"/>
    <x v="0"/>
  </r>
  <r>
    <n v="28"/>
    <s v="Prestador"/>
    <x v="58"/>
    <n v="815"/>
    <x v="242"/>
    <s v="No"/>
    <x v="2"/>
    <n v="24"/>
    <n v="0"/>
    <n v="24"/>
    <s v=""/>
    <x v="4"/>
    <x v="0"/>
  </r>
  <r>
    <n v="28"/>
    <s v="Prestador"/>
    <x v="58"/>
    <n v="861"/>
    <x v="243"/>
    <s v="No"/>
    <x v="2"/>
    <n v="4"/>
    <n v="0"/>
    <n v="4"/>
    <s v=""/>
    <x v="4"/>
    <x v="0"/>
  </r>
  <r>
    <n v="28"/>
    <s v="Prestador"/>
    <x v="58"/>
    <n v="880"/>
    <x v="244"/>
    <s v="No"/>
    <x v="2"/>
    <n v="4"/>
    <n v="0"/>
    <n v="4"/>
    <s v=""/>
    <x v="4"/>
    <x v="0"/>
  </r>
  <r>
    <n v="28"/>
    <s v="Prestador"/>
    <x v="58"/>
    <n v="802"/>
    <x v="245"/>
    <s v="No"/>
    <x v="2"/>
    <n v="8"/>
    <n v="0"/>
    <n v="8"/>
    <s v=""/>
    <x v="4"/>
    <x v="0"/>
  </r>
  <r>
    <n v="28"/>
    <s v="Prestador"/>
    <x v="58"/>
    <n v="5512"/>
    <x v="246"/>
    <s v="No"/>
    <x v="2"/>
    <n v="4"/>
    <n v="0"/>
    <n v="4"/>
    <s v=""/>
    <x v="4"/>
    <x v="0"/>
  </r>
  <r>
    <n v="28"/>
    <s v="Prestador"/>
    <x v="58"/>
    <n v="835"/>
    <x v="247"/>
    <s v="No"/>
    <x v="2"/>
    <n v="4"/>
    <n v="0"/>
    <n v="4"/>
    <s v=""/>
    <x v="4"/>
    <x v="0"/>
  </r>
  <r>
    <n v="28"/>
    <s v="Prestador"/>
    <x v="58"/>
    <n v="7053"/>
    <x v="248"/>
    <s v="No"/>
    <x v="2"/>
    <n v="4"/>
    <n v="0"/>
    <n v="4"/>
    <s v=""/>
    <x v="4"/>
    <x v="0"/>
  </r>
  <r>
    <n v="28"/>
    <s v="Prestador"/>
    <x v="58"/>
    <n v="801"/>
    <x v="249"/>
    <s v="No"/>
    <x v="2"/>
    <n v="16"/>
    <n v="0"/>
    <n v="16"/>
    <s v=""/>
    <x v="4"/>
    <x v="0"/>
  </r>
  <r>
    <n v="28"/>
    <s v="Prestador"/>
    <x v="58"/>
    <n v="5514"/>
    <x v="250"/>
    <s v="No"/>
    <x v="2"/>
    <n v="4"/>
    <n v="0"/>
    <n v="4"/>
    <s v=""/>
    <x v="4"/>
    <x v="0"/>
  </r>
  <r>
    <n v="28"/>
    <s v="Prestador"/>
    <x v="58"/>
    <n v="5516"/>
    <x v="251"/>
    <s v="No"/>
    <x v="2"/>
    <n v="4"/>
    <n v="0"/>
    <n v="4"/>
    <s v=""/>
    <x v="4"/>
    <x v="0"/>
  </r>
  <r>
    <n v="28"/>
    <s v="Prestador"/>
    <x v="58"/>
    <n v="9053"/>
    <x v="252"/>
    <s v="No"/>
    <x v="2"/>
    <n v="4"/>
    <n v="0"/>
    <n v="4"/>
    <s v=""/>
    <x v="4"/>
    <x v="0"/>
  </r>
  <r>
    <n v="86"/>
    <s v="Prestador"/>
    <x v="59"/>
    <n v="814"/>
    <x v="253"/>
    <s v="No"/>
    <x v="2"/>
    <n v="40"/>
    <n v="0"/>
    <n v="40"/>
    <s v=""/>
    <x v="4"/>
    <x v="0"/>
  </r>
  <r>
    <n v="86"/>
    <s v="Prestador"/>
    <x v="59"/>
    <n v="5515"/>
    <x v="254"/>
    <s v="No"/>
    <x v="2"/>
    <n v="4"/>
    <n v="0"/>
    <n v="4"/>
    <s v=""/>
    <x v="4"/>
    <x v="0"/>
  </r>
  <r>
    <n v="86"/>
    <s v="Prestador"/>
    <x v="59"/>
    <n v="9054"/>
    <x v="255"/>
    <s v="No"/>
    <x v="2"/>
    <n v="4"/>
    <n v="0"/>
    <n v="4"/>
    <s v=""/>
    <x v="4"/>
    <x v="0"/>
  </r>
  <r>
    <n v="29"/>
    <s v="Prestador"/>
    <x v="60"/>
    <n v="3020"/>
    <x v="256"/>
    <s v="No"/>
    <x v="2"/>
    <n v="16"/>
    <n v="0"/>
    <n v="16"/>
    <s v=""/>
    <x v="4"/>
    <x v="0"/>
  </r>
  <r>
    <n v="29"/>
    <s v="Prestador"/>
    <x v="60"/>
    <n v="813"/>
    <x v="257"/>
    <s v="No"/>
    <x v="2"/>
    <n v="24"/>
    <n v="0"/>
    <n v="24"/>
    <s v=""/>
    <x v="4"/>
    <x v="0"/>
  </r>
  <r>
    <n v="30"/>
    <s v="Prestador"/>
    <x v="61"/>
    <n v="830"/>
    <x v="258"/>
    <s v="No"/>
    <x v="2"/>
    <n v="40"/>
    <n v="0"/>
    <n v="40"/>
    <s v=""/>
    <x v="4"/>
    <x v="0"/>
  </r>
  <r>
    <n v="103"/>
    <s v="Prestador"/>
    <x v="62"/>
    <n v="69"/>
    <x v="259"/>
    <s v="No"/>
    <x v="2"/>
    <n v="24"/>
    <n v="0"/>
    <n v="24"/>
    <s v=""/>
    <x v="4"/>
    <x v="0"/>
  </r>
  <r>
    <n v="103"/>
    <s v="Prestador"/>
    <x v="62"/>
    <n v="27"/>
    <x v="260"/>
    <s v="No"/>
    <x v="2"/>
    <n v="24"/>
    <n v="0"/>
    <n v="24"/>
    <s v=""/>
    <x v="4"/>
    <x v="0"/>
  </r>
  <r>
    <n v="104"/>
    <s v="Prestador"/>
    <x v="63"/>
    <n v="1008"/>
    <x v="261"/>
    <s v="No"/>
    <x v="2"/>
    <n v="8"/>
    <n v="0"/>
    <n v="8"/>
    <s v=""/>
    <x v="4"/>
    <x v="0"/>
  </r>
  <r>
    <n v="104"/>
    <s v="Prestador"/>
    <x v="63"/>
    <n v="907"/>
    <x v="262"/>
    <s v="No"/>
    <x v="2"/>
    <n v="8"/>
    <n v="0"/>
    <n v="8"/>
    <s v=""/>
    <x v="4"/>
    <x v="0"/>
  </r>
  <r>
    <n v="104"/>
    <s v="Prestador"/>
    <x v="63"/>
    <n v="9920"/>
    <x v="263"/>
    <s v="No"/>
    <x v="2"/>
    <n v="6"/>
    <n v="0"/>
    <n v="6"/>
    <s v=""/>
    <x v="4"/>
    <x v="0"/>
  </r>
  <r>
    <n v="104"/>
    <s v="Prestador"/>
    <x v="63"/>
    <n v="92"/>
    <x v="264"/>
    <s v="No"/>
    <x v="2"/>
    <n v="24"/>
    <n v="0"/>
    <n v="24"/>
    <s v=""/>
    <x v="4"/>
    <x v="0"/>
  </r>
  <r>
    <n v="104"/>
    <s v="Prestador"/>
    <x v="63"/>
    <n v="89"/>
    <x v="265"/>
    <s v="No"/>
    <x v="2"/>
    <n v="24"/>
    <n v="0"/>
    <n v="24"/>
    <s v=""/>
    <x v="4"/>
    <x v="0"/>
  </r>
  <r>
    <n v="84"/>
    <s v="Prestador"/>
    <x v="64"/>
    <n v="925"/>
    <x v="266"/>
    <s v="No"/>
    <x v="2"/>
    <n v="40"/>
    <n v="0"/>
    <n v="40"/>
    <s v=""/>
    <x v="4"/>
    <x v="0"/>
  </r>
  <r>
    <n v="84"/>
    <s v="Prestador"/>
    <x v="64"/>
    <n v="8000"/>
    <x v="267"/>
    <s v="No"/>
    <x v="2"/>
    <n v="4"/>
    <n v="0"/>
    <n v="4"/>
    <s v="N/A"/>
    <x v="4"/>
    <x v="0"/>
  </r>
  <r>
    <n v="85"/>
    <s v="Prestador"/>
    <x v="65"/>
    <n v="937"/>
    <x v="268"/>
    <s v="No"/>
    <x v="2"/>
    <n v="40"/>
    <n v="0"/>
    <n v="40"/>
    <s v=""/>
    <x v="4"/>
    <x v="0"/>
  </r>
  <r>
    <n v="685"/>
    <s v="Prestador"/>
    <x v="66"/>
    <n v="9909"/>
    <x v="269"/>
    <s v="No"/>
    <x v="2"/>
    <n v="24"/>
    <n v="0"/>
    <n v="24"/>
    <s v=""/>
    <x v="4"/>
    <x v="0"/>
  </r>
  <r>
    <n v="685"/>
    <s v="Prestador"/>
    <x v="66"/>
    <n v="3050"/>
    <x v="270"/>
    <s v="No"/>
    <x v="2"/>
    <n v="12"/>
    <n v="0"/>
    <n v="12"/>
    <s v=""/>
    <x v="4"/>
    <x v="0"/>
  </r>
  <r>
    <n v="685"/>
    <s v="Prestador"/>
    <x v="66"/>
    <n v="5500"/>
    <x v="271"/>
    <s v="No"/>
    <x v="2"/>
    <n v="40"/>
    <n v="0"/>
    <n v="40"/>
    <s v=""/>
    <x v="4"/>
    <x v="0"/>
  </r>
  <r>
    <n v="685"/>
    <s v="Prestador"/>
    <x v="66"/>
    <n v="9899"/>
    <x v="272"/>
    <s v="No"/>
    <x v="2"/>
    <n v="24"/>
    <n v="0"/>
    <n v="24"/>
    <s v=""/>
    <x v="4"/>
    <x v="0"/>
  </r>
  <r>
    <n v="11"/>
    <s v="Prestador"/>
    <x v="67"/>
    <n v="923"/>
    <x v="273"/>
    <s v="No"/>
    <x v="2"/>
    <n v="80"/>
    <n v="0"/>
    <n v="80"/>
    <s v=""/>
    <x v="4"/>
    <x v="0"/>
  </r>
  <r>
    <n v="11"/>
    <s v="Prestador"/>
    <x v="67"/>
    <n v="9056"/>
    <x v="274"/>
    <s v="No"/>
    <x v="2"/>
    <n v="8"/>
    <n v="0"/>
    <n v="8"/>
    <s v=""/>
    <x v="4"/>
    <x v="0"/>
  </r>
  <r>
    <n v="11"/>
    <s v="Prestador"/>
    <x v="67"/>
    <n v="135"/>
    <x v="275"/>
    <s v="No"/>
    <x v="2"/>
    <n v="24"/>
    <n v="0"/>
    <n v="24"/>
    <s v=""/>
    <x v="4"/>
    <x v="0"/>
  </r>
  <r>
    <n v="11"/>
    <s v="Prestador"/>
    <x v="67"/>
    <n v="7050"/>
    <x v="276"/>
    <s v="No"/>
    <x v="2"/>
    <n v="16"/>
    <n v="0"/>
    <n v="16"/>
    <s v=""/>
    <x v="4"/>
    <x v="0"/>
  </r>
  <r>
    <n v="13"/>
    <s v="Prestador"/>
    <x v="68"/>
    <n v="927"/>
    <x v="277"/>
    <s v="No"/>
    <x v="2"/>
    <n v="60"/>
    <n v="0"/>
    <n v="60"/>
    <s v=""/>
    <x v="4"/>
    <x v="0"/>
  </r>
  <r>
    <n v="13"/>
    <s v="Prestador"/>
    <x v="68"/>
    <n v="590"/>
    <x v="278"/>
    <s v="No"/>
    <x v="2"/>
    <n v="24"/>
    <n v="0"/>
    <n v="24"/>
    <s v=""/>
    <x v="4"/>
    <x v="0"/>
  </r>
  <r>
    <n v="456"/>
    <s v="Prestador"/>
    <x v="69"/>
    <n v="928"/>
    <x v="279"/>
    <s v="No"/>
    <x v="2"/>
    <n v="40"/>
    <n v="0"/>
    <n v="40"/>
    <s v=""/>
    <x v="4"/>
    <x v="0"/>
  </r>
  <r>
    <n v="456"/>
    <s v="Prestador"/>
    <x v="69"/>
    <n v="7027"/>
    <x v="280"/>
    <s v="No"/>
    <x v="2"/>
    <n v="40"/>
    <n v="0"/>
    <n v="40"/>
    <s v=""/>
    <x v="4"/>
    <x v="0"/>
  </r>
  <r>
    <n v="14"/>
    <s v="Prestador"/>
    <x v="70"/>
    <n v="292"/>
    <x v="281"/>
    <s v="No"/>
    <x v="2"/>
    <n v="32"/>
    <n v="0"/>
    <n v="32"/>
    <s v=""/>
    <x v="4"/>
    <x v="0"/>
  </r>
  <r>
    <n v="14"/>
    <s v="Prestador"/>
    <x v="70"/>
    <n v="49"/>
    <x v="282"/>
    <s v="No"/>
    <x v="2"/>
    <n v="40"/>
    <n v="0"/>
    <n v="40"/>
    <s v=""/>
    <x v="4"/>
    <x v="0"/>
  </r>
  <r>
    <n v="14"/>
    <s v="Prestador"/>
    <x v="70"/>
    <n v="1121"/>
    <x v="283"/>
    <s v="No"/>
    <x v="2"/>
    <n v="4"/>
    <n v="0"/>
    <n v="4"/>
    <s v=""/>
    <x v="4"/>
    <x v="0"/>
  </r>
  <r>
    <n v="14"/>
    <s v="Prestador"/>
    <x v="70"/>
    <n v="291"/>
    <x v="284"/>
    <s v="No"/>
    <x v="2"/>
    <n v="40"/>
    <n v="0"/>
    <n v="40"/>
    <s v=""/>
    <x v="4"/>
    <x v="0"/>
  </r>
  <r>
    <n v="453"/>
    <s v="Prestador"/>
    <x v="71"/>
    <n v="7024"/>
    <x v="285"/>
    <s v="No"/>
    <x v="2"/>
    <n v="40"/>
    <n v="0"/>
    <n v="40"/>
    <s v=""/>
    <x v="4"/>
    <x v="0"/>
  </r>
  <r>
    <n v="331"/>
    <s v="Prestador"/>
    <x v="72"/>
    <n v="9045"/>
    <x v="286"/>
    <s v="No"/>
    <x v="2"/>
    <n v="12"/>
    <n v="0"/>
    <n v="12"/>
    <s v=""/>
    <x v="4"/>
    <x v="0"/>
  </r>
  <r>
    <n v="331"/>
    <s v="Prestador"/>
    <x v="72"/>
    <n v="9046"/>
    <x v="287"/>
    <s v="No"/>
    <x v="2"/>
    <n v="12"/>
    <n v="0"/>
    <n v="12"/>
    <s v=""/>
    <x v="4"/>
    <x v="0"/>
  </r>
  <r>
    <n v="331"/>
    <s v="Prestador"/>
    <x v="72"/>
    <n v="80"/>
    <x v="288"/>
    <s v="No"/>
    <x v="2"/>
    <n v="12"/>
    <n v="0"/>
    <n v="12"/>
    <s v=""/>
    <x v="4"/>
    <x v="0"/>
  </r>
  <r>
    <n v="331"/>
    <s v="Prestador"/>
    <x v="72"/>
    <n v="9061"/>
    <x v="289"/>
    <s v="No"/>
    <x v="2"/>
    <n v="8"/>
    <n v="0"/>
    <n v="8"/>
    <s v=""/>
    <x v="4"/>
    <x v="0"/>
  </r>
  <r>
    <n v="331"/>
    <s v="Prestador"/>
    <x v="72"/>
    <n v="121"/>
    <x v="290"/>
    <s v="No"/>
    <x v="2"/>
    <n v="12"/>
    <n v="0"/>
    <n v="12"/>
    <s v=""/>
    <x v="4"/>
    <x v="0"/>
  </r>
  <r>
    <n v="935"/>
    <s v="Prestador"/>
    <x v="73"/>
    <n v="88"/>
    <x v="291"/>
    <s v="No"/>
    <x v="2"/>
    <n v="12"/>
    <n v="0"/>
    <n v="12"/>
    <s v=""/>
    <x v="4"/>
    <x v="0"/>
  </r>
  <r>
    <n v="944"/>
    <s v="Prestador"/>
    <x v="74"/>
    <n v="2682"/>
    <x v="292"/>
    <s v="No"/>
    <x v="2"/>
    <n v="4"/>
    <n v="0"/>
    <n v="4"/>
    <s v=""/>
    <x v="4"/>
    <x v="0"/>
  </r>
  <r>
    <n v="944"/>
    <s v="Prestador"/>
    <x v="74"/>
    <n v="2703"/>
    <x v="293"/>
    <s v="No"/>
    <x v="2"/>
    <n v="4"/>
    <n v="0"/>
    <n v="4"/>
    <s v=""/>
    <x v="4"/>
    <x v="0"/>
  </r>
  <r>
    <n v="944"/>
    <s v="Prestador"/>
    <x v="74"/>
    <n v="2687"/>
    <x v="294"/>
    <s v="No"/>
    <x v="2"/>
    <n v="4"/>
    <n v="0"/>
    <n v="4"/>
    <s v=""/>
    <x v="4"/>
    <x v="0"/>
  </r>
  <r>
    <n v="944"/>
    <s v="Prestador"/>
    <x v="74"/>
    <n v="2689"/>
    <x v="295"/>
    <s v="No"/>
    <x v="2"/>
    <n v="4"/>
    <n v="0"/>
    <n v="4"/>
    <s v=""/>
    <x v="4"/>
    <x v="0"/>
  </r>
  <r>
    <n v="944"/>
    <s v="Prestador"/>
    <x v="74"/>
    <n v="2681"/>
    <x v="296"/>
    <s v="No"/>
    <x v="2"/>
    <n v="4"/>
    <n v="0"/>
    <n v="4"/>
    <s v=""/>
    <x v="4"/>
    <x v="0"/>
  </r>
  <r>
    <n v="944"/>
    <s v="Prestador"/>
    <x v="74"/>
    <n v="2685"/>
    <x v="297"/>
    <s v="No"/>
    <x v="2"/>
    <n v="4"/>
    <n v="0"/>
    <n v="4"/>
    <s v=""/>
    <x v="4"/>
    <x v="0"/>
  </r>
  <r>
    <n v="283"/>
    <s v="Prestador"/>
    <x v="75"/>
    <n v="9113"/>
    <x v="298"/>
    <s v="No"/>
    <x v="2"/>
    <n v="40"/>
    <n v="0"/>
    <n v="40"/>
    <s v=""/>
    <x v="4"/>
    <x v="0"/>
  </r>
  <r>
    <n v="283"/>
    <s v="Prestador"/>
    <x v="75"/>
    <n v="9114"/>
    <x v="299"/>
    <s v="No"/>
    <x v="2"/>
    <n v="40"/>
    <n v="0"/>
    <n v="40"/>
    <s v=""/>
    <x v="4"/>
    <x v="0"/>
  </r>
  <r>
    <n v="36"/>
    <s v="Prestador"/>
    <x v="7"/>
    <n v="99072"/>
    <x v="300"/>
    <s v="No"/>
    <x v="2"/>
    <n v="0"/>
    <n v="0"/>
    <n v="0"/>
    <s v=""/>
    <x v="4"/>
    <x v="0"/>
  </r>
  <r>
    <n v="88"/>
    <s v="Prestador"/>
    <x v="17"/>
    <n v="2811"/>
    <x v="301"/>
    <s v="No"/>
    <x v="2"/>
    <n v="20"/>
    <n v="0"/>
    <n v="20"/>
    <s v="40 horas se implementar jornada do paciente ( SUEP e protocolos clínicos) e cadastros relacionados"/>
    <x v="4"/>
    <x v="0"/>
  </r>
  <r>
    <n v="90"/>
    <s v="Prestador"/>
    <x v="31"/>
    <n v="4051"/>
    <x v="302"/>
    <s v="No"/>
    <x v="2"/>
    <n v="16"/>
    <n v="0"/>
    <n v="16"/>
    <s v=""/>
    <x v="4"/>
    <x v="0"/>
  </r>
  <r>
    <n v="22"/>
    <s v="Prestador"/>
    <x v="22"/>
    <n v="381"/>
    <x v="303"/>
    <s v="No"/>
    <x v="2"/>
    <n v="40"/>
    <n v="0"/>
    <n v="40"/>
    <s v=""/>
    <x v="4"/>
    <x v="0"/>
  </r>
  <r>
    <n v="88"/>
    <s v="Prestador"/>
    <x v="17"/>
    <n v="13410"/>
    <x v="304"/>
    <s v="No"/>
    <x v="2"/>
    <n v="40"/>
    <n v="0"/>
    <n v="40"/>
    <s v=""/>
    <x v="4"/>
    <x v="0"/>
  </r>
  <r>
    <n v="1"/>
    <s v="OPS"/>
    <x v="76"/>
    <n v="343"/>
    <x v="305"/>
    <s v="No"/>
    <x v="2"/>
    <n v="24"/>
    <n v="0"/>
    <n v="24"/>
    <s v=""/>
    <x v="4"/>
    <x v="0"/>
  </r>
  <r>
    <n v="11"/>
    <s v="OPS"/>
    <x v="67"/>
    <n v="1367"/>
    <x v="306"/>
    <s v="No"/>
    <x v="2"/>
    <n v="8"/>
    <n v="0"/>
    <n v="8"/>
    <s v=""/>
    <x v="4"/>
    <x v="0"/>
  </r>
  <r>
    <n v="11"/>
    <s v="OPS"/>
    <x v="67"/>
    <n v="1313"/>
    <x v="307"/>
    <s v="No"/>
    <x v="2"/>
    <n v="40"/>
    <n v="0"/>
    <n v="40"/>
    <s v=""/>
    <x v="4"/>
    <x v="0"/>
  </r>
  <r>
    <n v="11"/>
    <s v="OPS"/>
    <x v="67"/>
    <n v="1353"/>
    <x v="308"/>
    <s v="No"/>
    <x v="2"/>
    <n v="12"/>
    <n v="0"/>
    <n v="12"/>
    <s v=""/>
    <x v="4"/>
    <x v="0"/>
  </r>
  <r>
    <n v="12"/>
    <s v="OPS"/>
    <x v="57"/>
    <n v="1262"/>
    <x v="309"/>
    <s v="No"/>
    <x v="2"/>
    <n v="4"/>
    <n v="0"/>
    <n v="4"/>
    <s v=""/>
    <x v="4"/>
    <x v="0"/>
  </r>
  <r>
    <n v="283"/>
    <s v="OPS"/>
    <x v="75"/>
    <n v="1397"/>
    <x v="310"/>
    <s v="No"/>
    <x v="2"/>
    <n v="56"/>
    <n v="0"/>
    <n v="56"/>
    <n v="0"/>
    <x v="4"/>
    <x v="0"/>
  </r>
  <r>
    <n v="283"/>
    <s v="OPS"/>
    <x v="75"/>
    <n v="1395"/>
    <x v="311"/>
    <s v="No"/>
    <x v="2"/>
    <n v="80"/>
    <n v="0"/>
    <n v="80"/>
    <s v=""/>
    <x v="4"/>
    <x v="0"/>
  </r>
  <r>
    <n v="283"/>
    <s v="OPS"/>
    <x v="75"/>
    <n v="349"/>
    <x v="312"/>
    <s v="No"/>
    <x v="2"/>
    <e v="#N/A"/>
    <n v="0"/>
    <e v="#N/A"/>
    <s v=""/>
    <x v="4"/>
    <x v="0"/>
  </r>
  <r>
    <n v="372"/>
    <s v="OPS"/>
    <x v="77"/>
    <n v="1315"/>
    <x v="313"/>
    <s v="No"/>
    <x v="2"/>
    <n v="0"/>
    <n v="0"/>
    <n v="0"/>
    <s v=""/>
    <x v="4"/>
    <x v="0"/>
  </r>
  <r>
    <n v="372"/>
    <s v="OPS"/>
    <x v="77"/>
    <n v="1344"/>
    <x v="314"/>
    <s v="No"/>
    <x v="2"/>
    <n v="0"/>
    <n v="0"/>
    <n v="0"/>
    <s v=""/>
    <x v="4"/>
    <x v="0"/>
  </r>
  <r>
    <n v="372"/>
    <s v="OPS"/>
    <x v="77"/>
    <n v="1219"/>
    <x v="315"/>
    <s v="No"/>
    <x v="2"/>
    <n v="0"/>
    <n v="0"/>
    <n v="0"/>
    <s v=""/>
    <x v="4"/>
    <x v="0"/>
  </r>
  <r>
    <n v="372"/>
    <s v="OPS"/>
    <x v="77"/>
    <n v="1264"/>
    <x v="316"/>
    <s v="No"/>
    <x v="2"/>
    <n v="12"/>
    <n v="0"/>
    <n v="12"/>
    <s v=""/>
    <x v="4"/>
    <x v="0"/>
  </r>
  <r>
    <n v="372"/>
    <s v="OPS"/>
    <x v="77"/>
    <n v="1225"/>
    <x v="317"/>
    <s v="No"/>
    <x v="2"/>
    <n v="16"/>
    <n v="0"/>
    <n v="16"/>
    <s v=""/>
    <x v="4"/>
    <x v="0"/>
  </r>
  <r>
    <n v="372"/>
    <s v="OPS"/>
    <x v="77"/>
    <n v="1201"/>
    <x v="318"/>
    <s v="No"/>
    <x v="2"/>
    <n v="24"/>
    <n v="0"/>
    <n v="24"/>
    <s v=""/>
    <x v="4"/>
    <x v="0"/>
  </r>
  <r>
    <n v="374"/>
    <s v="OPS"/>
    <x v="78"/>
    <n v="1206"/>
    <x v="319"/>
    <s v="No"/>
    <x v="2"/>
    <n v="16"/>
    <n v="0"/>
    <n v="16"/>
    <s v=""/>
    <x v="4"/>
    <x v="0"/>
  </r>
  <r>
    <n v="374"/>
    <s v="OPS"/>
    <x v="78"/>
    <n v="1233"/>
    <x v="320"/>
    <s v="No"/>
    <x v="2"/>
    <n v="4"/>
    <n v="0"/>
    <n v="4"/>
    <s v=""/>
    <x v="4"/>
    <x v="0"/>
  </r>
  <r>
    <n v="374"/>
    <s v="OPS"/>
    <x v="78"/>
    <n v="1234"/>
    <x v="321"/>
    <s v="No"/>
    <x v="2"/>
    <n v="4"/>
    <n v="0"/>
    <n v="4"/>
    <s v=""/>
    <x v="4"/>
    <x v="0"/>
  </r>
  <r>
    <n v="374"/>
    <s v="OPS"/>
    <x v="78"/>
    <n v="1232"/>
    <x v="322"/>
    <s v="No"/>
    <x v="2"/>
    <n v="40"/>
    <n v="0"/>
    <n v="40"/>
    <s v=""/>
    <x v="4"/>
    <x v="0"/>
  </r>
  <r>
    <n v="374"/>
    <s v="OPS"/>
    <x v="78"/>
    <n v="1242"/>
    <x v="323"/>
    <s v="No"/>
    <x v="2"/>
    <n v="4"/>
    <n v="0"/>
    <n v="4"/>
    <s v=""/>
    <x v="4"/>
    <x v="0"/>
  </r>
  <r>
    <n v="374"/>
    <s v="OPS"/>
    <x v="78"/>
    <n v="1235"/>
    <x v="324"/>
    <s v="No"/>
    <x v="2"/>
    <n v="4"/>
    <n v="0"/>
    <n v="4"/>
    <s v=""/>
    <x v="4"/>
    <x v="0"/>
  </r>
  <r>
    <n v="374"/>
    <s v="OPS"/>
    <x v="78"/>
    <n v="1307"/>
    <x v="325"/>
    <s v="No"/>
    <x v="2"/>
    <n v="4"/>
    <n v="0"/>
    <n v="4"/>
    <s v=""/>
    <x v="4"/>
    <x v="0"/>
  </r>
  <r>
    <n v="374"/>
    <s v="OPS"/>
    <x v="78"/>
    <n v="1339"/>
    <x v="326"/>
    <s v="No"/>
    <x v="2"/>
    <n v="8"/>
    <n v="0"/>
    <n v="8"/>
    <s v=""/>
    <x v="4"/>
    <x v="0"/>
  </r>
  <r>
    <n v="374"/>
    <s v="OPS"/>
    <x v="78"/>
    <n v="1296"/>
    <x v="327"/>
    <s v="No"/>
    <x v="2"/>
    <n v="4"/>
    <n v="0"/>
    <n v="4"/>
    <s v=""/>
    <x v="4"/>
    <x v="0"/>
  </r>
  <r>
    <n v="374"/>
    <s v="OPS"/>
    <x v="78"/>
    <n v="1236"/>
    <x v="328"/>
    <s v="No"/>
    <x v="2"/>
    <n v="6"/>
    <n v="0"/>
    <n v="6"/>
    <s v=""/>
    <x v="4"/>
    <x v="0"/>
  </r>
  <r>
    <n v="374"/>
    <s v="OPS"/>
    <x v="78"/>
    <n v="1237"/>
    <x v="329"/>
    <s v="No"/>
    <x v="2"/>
    <n v="24"/>
    <n v="0"/>
    <n v="24"/>
    <s v=""/>
    <x v="4"/>
    <x v="0"/>
  </r>
  <r>
    <n v="375"/>
    <s v="OPS"/>
    <x v="79"/>
    <n v="1226"/>
    <x v="330"/>
    <s v="No"/>
    <x v="2"/>
    <n v="12"/>
    <n v="0"/>
    <n v="12"/>
    <s v=""/>
    <x v="4"/>
    <x v="0"/>
  </r>
  <r>
    <n v="375"/>
    <s v="OPS"/>
    <x v="79"/>
    <n v="1273"/>
    <x v="331"/>
    <s v="No"/>
    <x v="2"/>
    <n v="4"/>
    <n v="0"/>
    <n v="4"/>
    <s v=""/>
    <x v="4"/>
    <x v="0"/>
  </r>
  <r>
    <n v="375"/>
    <s v="OPS"/>
    <x v="79"/>
    <n v="1216"/>
    <x v="332"/>
    <s v="No"/>
    <x v="2"/>
    <n v="0"/>
    <n v="0"/>
    <n v="0"/>
    <s v=""/>
    <x v="4"/>
    <x v="0"/>
  </r>
  <r>
    <n v="375"/>
    <s v="OPS"/>
    <x v="79"/>
    <n v="1268"/>
    <x v="333"/>
    <s v="No"/>
    <x v="2"/>
    <n v="6"/>
    <n v="0"/>
    <n v="6"/>
    <s v=""/>
    <x v="4"/>
    <x v="0"/>
  </r>
  <r>
    <n v="375"/>
    <s v="OPS"/>
    <x v="79"/>
    <n v="1228"/>
    <x v="334"/>
    <s v="No"/>
    <x v="2"/>
    <n v="6"/>
    <n v="0"/>
    <n v="6"/>
    <s v=""/>
    <x v="4"/>
    <x v="0"/>
  </r>
  <r>
    <n v="375"/>
    <s v="OPS"/>
    <x v="79"/>
    <n v="1265"/>
    <x v="335"/>
    <s v="No"/>
    <x v="2"/>
    <n v="4"/>
    <n v="0"/>
    <n v="4"/>
    <s v=""/>
    <x v="4"/>
    <x v="0"/>
  </r>
  <r>
    <n v="375"/>
    <s v="OPS"/>
    <x v="79"/>
    <n v="1221"/>
    <x v="336"/>
    <s v="No"/>
    <x v="2"/>
    <n v="0"/>
    <n v="0"/>
    <n v="0"/>
    <s v=""/>
    <x v="4"/>
    <x v="0"/>
  </r>
  <r>
    <n v="375"/>
    <s v="OPS"/>
    <x v="79"/>
    <n v="1220"/>
    <x v="337"/>
    <s v="No"/>
    <x v="2"/>
    <n v="8"/>
    <n v="0"/>
    <n v="8"/>
    <s v=""/>
    <x v="4"/>
    <x v="0"/>
  </r>
  <r>
    <n v="375"/>
    <s v="OPS"/>
    <x v="79"/>
    <n v="1215"/>
    <x v="338"/>
    <s v="No"/>
    <x v="2"/>
    <n v="4"/>
    <n v="0"/>
    <n v="4"/>
    <s v=""/>
    <x v="4"/>
    <x v="0"/>
  </r>
  <r>
    <n v="375"/>
    <s v="OPS"/>
    <x v="79"/>
    <n v="1287"/>
    <x v="339"/>
    <s v="No"/>
    <x v="2"/>
    <n v="0"/>
    <n v="0"/>
    <n v="0"/>
    <s v=""/>
    <x v="4"/>
    <x v="0"/>
  </r>
  <r>
    <n v="375"/>
    <s v="OPS"/>
    <x v="79"/>
    <n v="1345"/>
    <x v="340"/>
    <s v="No"/>
    <x v="2"/>
    <n v="0"/>
    <n v="0"/>
    <n v="0"/>
    <s v=""/>
    <x v="4"/>
    <x v="0"/>
  </r>
  <r>
    <n v="375"/>
    <s v="OPS"/>
    <x v="79"/>
    <n v="1347"/>
    <x v="341"/>
    <s v="No"/>
    <x v="2"/>
    <n v="16"/>
    <n v="0"/>
    <n v="16"/>
    <s v=""/>
    <x v="4"/>
    <x v="0"/>
  </r>
  <r>
    <n v="375"/>
    <s v="OPS"/>
    <x v="79"/>
    <n v="1202"/>
    <x v="342"/>
    <s v="No"/>
    <x v="2"/>
    <n v="40"/>
    <n v="0"/>
    <n v="40"/>
    <s v=""/>
    <x v="4"/>
    <x v="0"/>
  </r>
  <r>
    <n v="375"/>
    <s v="OPS"/>
    <x v="79"/>
    <n v="1280"/>
    <x v="343"/>
    <s v="No"/>
    <x v="2"/>
    <n v="24"/>
    <n v="0"/>
    <n v="24"/>
    <s v=""/>
    <x v="4"/>
    <x v="0"/>
  </r>
  <r>
    <n v="375"/>
    <s v="OPS"/>
    <x v="79"/>
    <n v="1338"/>
    <x v="344"/>
    <s v="No"/>
    <x v="2"/>
    <n v="12"/>
    <n v="0"/>
    <n v="12"/>
    <s v=""/>
    <x v="4"/>
    <x v="0"/>
  </r>
  <r>
    <n v="375"/>
    <s v="OPS"/>
    <x v="79"/>
    <n v="1320"/>
    <x v="345"/>
    <s v="No"/>
    <x v="2"/>
    <n v="0"/>
    <n v="0"/>
    <n v="0"/>
    <s v=""/>
    <x v="4"/>
    <x v="0"/>
  </r>
  <r>
    <n v="375"/>
    <s v="OPS"/>
    <x v="79"/>
    <n v="347"/>
    <x v="346"/>
    <s v="No"/>
    <x v="2"/>
    <n v="8"/>
    <n v="0"/>
    <n v="8"/>
    <s v=""/>
    <x v="4"/>
    <x v="0"/>
  </r>
  <r>
    <n v="375"/>
    <s v="OPS"/>
    <x v="79"/>
    <n v="1288"/>
    <x v="347"/>
    <s v="No"/>
    <x v="2"/>
    <n v="0"/>
    <n v="0"/>
    <n v="0"/>
    <s v=""/>
    <x v="4"/>
    <x v="0"/>
  </r>
  <r>
    <n v="375"/>
    <s v="OPS"/>
    <x v="79"/>
    <n v="210"/>
    <x v="348"/>
    <s v="No"/>
    <x v="2"/>
    <n v="32"/>
    <n v="0"/>
    <n v="32"/>
    <s v=""/>
    <x v="4"/>
    <x v="0"/>
  </r>
  <r>
    <n v="375"/>
    <s v="OPS"/>
    <x v="79"/>
    <n v="268"/>
    <x v="349"/>
    <s v="No"/>
    <x v="2"/>
    <n v="16"/>
    <n v="0"/>
    <n v="16"/>
    <s v=""/>
    <x v="4"/>
    <x v="0"/>
  </r>
  <r>
    <n v="377"/>
    <s v="OPS"/>
    <x v="80"/>
    <n v="1308"/>
    <x v="350"/>
    <s v="No"/>
    <x v="2"/>
    <n v="4"/>
    <n v="0"/>
    <n v="4"/>
    <s v=""/>
    <x v="4"/>
    <x v="0"/>
  </r>
  <r>
    <n v="377"/>
    <s v="OPS"/>
    <x v="80"/>
    <n v="1309"/>
    <x v="351"/>
    <s v="No"/>
    <x v="2"/>
    <n v="4"/>
    <n v="0"/>
    <n v="4"/>
    <s v=""/>
    <x v="4"/>
    <x v="0"/>
  </r>
  <r>
    <n v="377"/>
    <s v="OPS"/>
    <x v="80"/>
    <n v="1310"/>
    <x v="352"/>
    <s v="No"/>
    <x v="2"/>
    <n v="4"/>
    <n v="0"/>
    <n v="4"/>
    <s v=""/>
    <x v="4"/>
    <x v="0"/>
  </r>
  <r>
    <n v="377"/>
    <s v="OPS"/>
    <x v="80"/>
    <n v="1238"/>
    <x v="353"/>
    <s v="No"/>
    <x v="2"/>
    <n v="16"/>
    <n v="0"/>
    <n v="16"/>
    <s v=""/>
    <x v="4"/>
    <x v="0"/>
  </r>
  <r>
    <n v="377"/>
    <s v="OPS"/>
    <x v="80"/>
    <n v="1229"/>
    <x v="354"/>
    <s v="No"/>
    <x v="2"/>
    <n v="16"/>
    <n v="0"/>
    <n v="16"/>
    <s v=""/>
    <x v="4"/>
    <x v="0"/>
  </r>
  <r>
    <n v="377"/>
    <s v="OPS"/>
    <x v="80"/>
    <n v="1208"/>
    <x v="355"/>
    <s v="No"/>
    <x v="2"/>
    <n v="16"/>
    <n v="0"/>
    <n v="16"/>
    <s v=""/>
    <x v="4"/>
    <x v="0"/>
  </r>
  <r>
    <n v="377"/>
    <s v="OPS"/>
    <x v="80"/>
    <n v="1317"/>
    <x v="356"/>
    <s v="No"/>
    <x v="2"/>
    <n v="32"/>
    <n v="0"/>
    <n v="32"/>
    <s v=""/>
    <x v="4"/>
    <x v="0"/>
  </r>
  <r>
    <n v="377"/>
    <s v="OPS"/>
    <x v="80"/>
    <n v="1391"/>
    <x v="357"/>
    <s v="No"/>
    <x v="2"/>
    <n v="40"/>
    <n v="0"/>
    <n v="40"/>
    <s v=""/>
    <x v="4"/>
    <x v="0"/>
  </r>
  <r>
    <n v="377"/>
    <s v="OPS"/>
    <x v="80"/>
    <n v="1383"/>
    <x v="358"/>
    <s v="No"/>
    <x v="2"/>
    <n v="16"/>
    <n v="0"/>
    <n v="16"/>
    <s v=""/>
    <x v="4"/>
    <x v="0"/>
  </r>
  <r>
    <n v="377"/>
    <s v="OPS"/>
    <x v="80"/>
    <n v="1378"/>
    <x v="359"/>
    <s v="No"/>
    <x v="2"/>
    <n v="24"/>
    <n v="0"/>
    <n v="24"/>
    <s v=""/>
    <x v="4"/>
    <x v="0"/>
  </r>
  <r>
    <n v="377"/>
    <s v="OPS"/>
    <x v="80"/>
    <n v="107"/>
    <x v="360"/>
    <s v="No"/>
    <x v="2"/>
    <n v="40"/>
    <n v="0"/>
    <n v="40"/>
    <s v=""/>
    <x v="4"/>
    <x v="0"/>
  </r>
  <r>
    <n v="377"/>
    <s v="OPS"/>
    <x v="80"/>
    <n v="1285"/>
    <x v="361"/>
    <s v="No"/>
    <x v="2"/>
    <n v="16"/>
    <n v="0"/>
    <n v="16"/>
    <s v=""/>
    <x v="4"/>
    <x v="0"/>
  </r>
  <r>
    <n v="377"/>
    <s v="OPS"/>
    <x v="80"/>
    <n v="1322"/>
    <x v="362"/>
    <s v="No"/>
    <x v="2"/>
    <n v="8"/>
    <n v="0"/>
    <n v="8"/>
    <s v=""/>
    <x v="4"/>
    <x v="0"/>
  </r>
  <r>
    <n v="377"/>
    <s v="OPS"/>
    <x v="80"/>
    <n v="1314"/>
    <x v="363"/>
    <s v="No"/>
    <x v="2"/>
    <n v="24"/>
    <n v="0"/>
    <n v="24"/>
    <s v=""/>
    <x v="4"/>
    <x v="0"/>
  </r>
  <r>
    <n v="377"/>
    <s v="OPS"/>
    <x v="80"/>
    <n v="1283"/>
    <x v="364"/>
    <s v="No"/>
    <x v="2"/>
    <n v="8"/>
    <n v="0"/>
    <n v="8"/>
    <s v=""/>
    <x v="4"/>
    <x v="0"/>
  </r>
  <r>
    <n v="379"/>
    <s v="OPS"/>
    <x v="81"/>
    <n v="1269"/>
    <x v="365"/>
    <s v="No"/>
    <x v="2"/>
    <n v="0"/>
    <n v="0"/>
    <n v="0"/>
    <s v=""/>
    <x v="4"/>
    <x v="0"/>
  </r>
  <r>
    <n v="379"/>
    <s v="OPS"/>
    <x v="81"/>
    <n v="1205"/>
    <x v="366"/>
    <s v="No"/>
    <x v="2"/>
    <n v="40"/>
    <n v="0"/>
    <n v="40"/>
    <s v=""/>
    <x v="4"/>
    <x v="0"/>
  </r>
  <r>
    <n v="379"/>
    <s v="OPS"/>
    <x v="81"/>
    <n v="1241"/>
    <x v="367"/>
    <s v="No"/>
    <x v="2"/>
    <n v="12"/>
    <n v="0"/>
    <n v="12"/>
    <s v=""/>
    <x v="4"/>
    <x v="0"/>
  </r>
  <r>
    <n v="379"/>
    <s v="OPS"/>
    <x v="81"/>
    <n v="1260"/>
    <x v="368"/>
    <s v="No"/>
    <x v="2"/>
    <n v="4"/>
    <n v="0"/>
    <n v="4"/>
    <s v=""/>
    <x v="4"/>
    <x v="0"/>
  </r>
  <r>
    <n v="379"/>
    <s v="OPS"/>
    <x v="81"/>
    <n v="1384"/>
    <x v="369"/>
    <s v="No"/>
    <x v="2"/>
    <n v="0"/>
    <n v="0"/>
    <n v="0"/>
    <s v=""/>
    <x v="4"/>
    <x v="0"/>
  </r>
  <r>
    <n v="379"/>
    <s v="OPS"/>
    <x v="81"/>
    <n v="1389"/>
    <x v="370"/>
    <s v="No"/>
    <x v="2"/>
    <n v="24"/>
    <n v="0"/>
    <n v="24"/>
    <s v=""/>
    <x v="4"/>
    <x v="0"/>
  </r>
  <r>
    <n v="379"/>
    <s v="OPS"/>
    <x v="81"/>
    <n v="261"/>
    <x v="371"/>
    <s v="No"/>
    <x v="2"/>
    <n v="8"/>
    <n v="0"/>
    <n v="8"/>
    <s v=""/>
    <x v="4"/>
    <x v="0"/>
  </r>
  <r>
    <n v="379"/>
    <s v="OPS"/>
    <x v="81"/>
    <n v="1245"/>
    <x v="372"/>
    <s v="No"/>
    <x v="2"/>
    <n v="4"/>
    <n v="0"/>
    <n v="4"/>
    <s v=""/>
    <x v="4"/>
    <x v="0"/>
  </r>
  <r>
    <n v="379"/>
    <s v="OPS"/>
    <x v="81"/>
    <n v="1354"/>
    <x v="373"/>
    <s v="No"/>
    <x v="2"/>
    <n v="4"/>
    <n v="0"/>
    <n v="4"/>
    <s v=""/>
    <x v="4"/>
    <x v="0"/>
  </r>
  <r>
    <n v="380"/>
    <s v="OPS"/>
    <x v="82"/>
    <n v="1386"/>
    <x v="374"/>
    <s v="No"/>
    <x v="2"/>
    <n v="32"/>
    <n v="0"/>
    <n v="32"/>
    <s v=""/>
    <x v="4"/>
    <x v="0"/>
  </r>
  <r>
    <n v="380"/>
    <s v="OPS"/>
    <x v="82"/>
    <n v="280"/>
    <x v="375"/>
    <s v="No"/>
    <x v="2"/>
    <n v="40"/>
    <n v="0"/>
    <n v="40"/>
    <s v=""/>
    <x v="4"/>
    <x v="0"/>
  </r>
  <r>
    <n v="380"/>
    <s v="OPS"/>
    <x v="82"/>
    <n v="1239"/>
    <x v="376"/>
    <s v="No"/>
    <x v="2"/>
    <n v="8"/>
    <n v="0"/>
    <n v="8"/>
    <s v=""/>
    <x v="4"/>
    <x v="0"/>
  </r>
  <r>
    <n v="380"/>
    <s v="OPS"/>
    <x v="82"/>
    <n v="1227"/>
    <x v="377"/>
    <s v="No"/>
    <x v="2"/>
    <n v="48"/>
    <n v="0"/>
    <n v="48"/>
    <s v=""/>
    <x v="4"/>
    <x v="0"/>
  </r>
  <r>
    <n v="380"/>
    <s v="OPS"/>
    <x v="82"/>
    <n v="1259"/>
    <x v="378"/>
    <s v="No"/>
    <x v="2"/>
    <n v="24"/>
    <n v="0"/>
    <n v="24"/>
    <s v=""/>
    <x v="4"/>
    <x v="0"/>
  </r>
  <r>
    <n v="380"/>
    <s v="OPS"/>
    <x v="82"/>
    <n v="1375"/>
    <x v="379"/>
    <s v="No"/>
    <x v="2"/>
    <n v="16"/>
    <n v="0"/>
    <n v="16"/>
    <s v=""/>
    <x v="4"/>
    <x v="0"/>
  </r>
  <r>
    <n v="380"/>
    <s v="OPS"/>
    <x v="82"/>
    <n v="1380"/>
    <x v="380"/>
    <s v="No"/>
    <x v="2"/>
    <n v="0"/>
    <n v="0"/>
    <n v="0"/>
    <s v=""/>
    <x v="4"/>
    <x v="0"/>
  </r>
  <r>
    <n v="380"/>
    <s v="OPS"/>
    <x v="82"/>
    <n v="1231"/>
    <x v="381"/>
    <s v="No"/>
    <x v="2"/>
    <n v="32"/>
    <n v="0"/>
    <n v="32"/>
    <s v=""/>
    <x v="4"/>
    <x v="0"/>
  </r>
  <r>
    <n v="380"/>
    <s v="OPS"/>
    <x v="82"/>
    <n v="1370"/>
    <x v="382"/>
    <s v="No"/>
    <x v="2"/>
    <n v="0"/>
    <n v="0"/>
    <n v="0"/>
    <s v=""/>
    <x v="4"/>
    <x v="0"/>
  </r>
  <r>
    <n v="381"/>
    <s v="OPS"/>
    <x v="83"/>
    <n v="110"/>
    <x v="383"/>
    <s v="No"/>
    <x v="2"/>
    <n v="4"/>
    <n v="0"/>
    <n v="4"/>
    <s v=""/>
    <x v="4"/>
    <x v="0"/>
  </r>
  <r>
    <n v="582"/>
    <s v="OPS"/>
    <x v="84"/>
    <n v="1278"/>
    <x v="384"/>
    <s v="No"/>
    <x v="2"/>
    <n v="16"/>
    <n v="0"/>
    <n v="16"/>
    <s v=""/>
    <x v="4"/>
    <x v="0"/>
  </r>
  <r>
    <n v="583"/>
    <s v="OPS"/>
    <x v="85"/>
    <n v="1387"/>
    <x v="385"/>
    <s v="No"/>
    <x v="2"/>
    <n v="12"/>
    <n v="0"/>
    <n v="12"/>
    <s v=""/>
    <x v="4"/>
    <x v="0"/>
  </r>
  <r>
    <n v="583"/>
    <s v="OPS"/>
    <x v="85"/>
    <n v="1279"/>
    <x v="386"/>
    <s v="No"/>
    <x v="2"/>
    <n v="16"/>
    <n v="0"/>
    <n v="16"/>
    <s v=""/>
    <x v="4"/>
    <x v="0"/>
  </r>
  <r>
    <n v="685"/>
    <s v="OPS"/>
    <x v="66"/>
    <n v="1328"/>
    <x v="387"/>
    <s v="No"/>
    <x v="2"/>
    <n v="48"/>
    <n v="0"/>
    <n v="48"/>
    <s v=""/>
    <x v="4"/>
    <x v="0"/>
  </r>
  <r>
    <n v="690"/>
    <s v="OPS"/>
    <x v="86"/>
    <n v="1203"/>
    <x v="388"/>
    <s v="No"/>
    <x v="2"/>
    <n v="40"/>
    <n v="0"/>
    <n v="40"/>
    <s v="(aumentar 10% das horas dos módulos prestadores, contas médicas e autorizações a cada 2000)_x000a__x000a_Só na função OPS Prestadores. Aumentar 10% das horas aqui. Pra cada 2000 prestadores, 10% a mais. _x000a_Na função glosas e ocorrências. Aumentar 10% a cada 2000. "/>
    <x v="4"/>
    <x v="0"/>
  </r>
  <r>
    <n v="690"/>
    <s v="OPS"/>
    <x v="86"/>
    <n v="1346"/>
    <x v="389"/>
    <s v="No"/>
    <x v="2"/>
    <n v="0"/>
    <n v="0"/>
    <n v="0"/>
    <s v=""/>
    <x v="4"/>
    <x v="0"/>
  </r>
  <r>
    <n v="690"/>
    <s v="OPS"/>
    <x v="86"/>
    <n v="1363"/>
    <x v="390"/>
    <s v="No"/>
    <x v="2"/>
    <n v="8"/>
    <n v="0"/>
    <n v="8"/>
    <s v=""/>
    <x v="4"/>
    <x v="0"/>
  </r>
  <r>
    <n v="690"/>
    <s v="OPS"/>
    <x v="86"/>
    <n v="1336"/>
    <x v="391"/>
    <s v="No"/>
    <x v="2"/>
    <n v="0"/>
    <n v="0"/>
    <n v="0"/>
    <s v=""/>
    <x v="4"/>
    <x v="0"/>
  </r>
  <r>
    <n v="690"/>
    <s v="OPS"/>
    <x v="86"/>
    <n v="1321"/>
    <x v="392"/>
    <s v="No"/>
    <x v="2"/>
    <n v="32"/>
    <n v="0"/>
    <n v="32"/>
    <s v=""/>
    <x v="4"/>
    <x v="0"/>
  </r>
  <r>
    <n v="690"/>
    <s v="OPS"/>
    <x v="86"/>
    <n v="1341"/>
    <x v="393"/>
    <s v="No"/>
    <x v="2"/>
    <n v="4"/>
    <n v="0"/>
    <n v="4"/>
    <s v=""/>
    <x v="4"/>
    <x v="0"/>
  </r>
  <r>
    <n v="690"/>
    <s v="OPS"/>
    <x v="86"/>
    <n v="1323"/>
    <x v="394"/>
    <s v="No"/>
    <x v="2"/>
    <n v="48"/>
    <n v="0"/>
    <n v="48"/>
    <s v=""/>
    <x v="4"/>
    <x v="0"/>
  </r>
  <r>
    <n v="690"/>
    <s v="OPS"/>
    <x v="86"/>
    <n v="1212"/>
    <x v="395"/>
    <s v="No"/>
    <x v="2"/>
    <n v="16"/>
    <n v="0"/>
    <n v="16"/>
    <s v=""/>
    <x v="4"/>
    <x v="0"/>
  </r>
  <r>
    <n v="690"/>
    <s v="OPS"/>
    <x v="86"/>
    <n v="1222"/>
    <x v="396"/>
    <s v="No"/>
    <x v="2"/>
    <n v="0"/>
    <n v="0"/>
    <n v="0"/>
    <s v=""/>
    <x v="4"/>
    <x v="0"/>
  </r>
  <r>
    <n v="690"/>
    <s v="OPS"/>
    <x v="86"/>
    <n v="1230"/>
    <x v="397"/>
    <s v="No"/>
    <x v="2"/>
    <n v="16"/>
    <n v="0"/>
    <n v="16"/>
    <s v=""/>
    <x v="4"/>
    <x v="0"/>
  </r>
  <r>
    <n v="690"/>
    <s v="OPS"/>
    <x v="86"/>
    <n v="1211"/>
    <x v="398"/>
    <s v="No"/>
    <x v="2"/>
    <n v="32"/>
    <n v="0"/>
    <n v="32"/>
    <s v=""/>
    <x v="4"/>
    <x v="0"/>
  </r>
  <r>
    <n v="690"/>
    <s v="OPS"/>
    <x v="86"/>
    <n v="1210"/>
    <x v="399"/>
    <s v="No"/>
    <x v="2"/>
    <n v="2"/>
    <n v="0"/>
    <n v="2"/>
    <s v=""/>
    <x v="4"/>
    <x v="0"/>
  </r>
  <r>
    <n v="690"/>
    <s v="OPS"/>
    <x v="86"/>
    <n v="1243"/>
    <x v="400"/>
    <s v="No"/>
    <x v="2"/>
    <n v="0"/>
    <n v="0"/>
    <n v="0"/>
    <s v=""/>
    <x v="4"/>
    <x v="0"/>
  </r>
  <r>
    <n v="690"/>
    <s v="OPS"/>
    <x v="86"/>
    <n v="1360"/>
    <x v="401"/>
    <s v="No"/>
    <x v="2"/>
    <n v="0"/>
    <n v="0"/>
    <n v="0"/>
    <s v=""/>
    <x v="4"/>
    <x v="0"/>
  </r>
  <r>
    <n v="690"/>
    <s v="OPS"/>
    <x v="86"/>
    <n v="1261"/>
    <x v="402"/>
    <s v="No"/>
    <x v="2"/>
    <n v="8"/>
    <n v="0"/>
    <n v="8"/>
    <s v=""/>
    <x v="4"/>
    <x v="0"/>
  </r>
  <r>
    <n v="691"/>
    <s v="OPS"/>
    <x v="87"/>
    <n v="1337"/>
    <x v="403"/>
    <s v="No"/>
    <x v="2"/>
    <n v="24"/>
    <n v="0"/>
    <n v="24"/>
    <s v=""/>
    <x v="4"/>
    <x v="0"/>
  </r>
  <r>
    <n v="691"/>
    <s v="OPS"/>
    <x v="87"/>
    <n v="1204"/>
    <x v="404"/>
    <s v="No"/>
    <x v="2"/>
    <n v="40"/>
    <n v="0"/>
    <n v="40"/>
    <s v=""/>
    <x v="4"/>
    <x v="0"/>
  </r>
  <r>
    <n v="691"/>
    <s v="OPS"/>
    <x v="87"/>
    <n v="1213"/>
    <x v="405"/>
    <s v="No"/>
    <x v="2"/>
    <n v="4"/>
    <n v="0"/>
    <n v="4"/>
    <s v=""/>
    <x v="4"/>
    <x v="0"/>
  </r>
  <r>
    <n v="691"/>
    <s v="OPS"/>
    <x v="87"/>
    <n v="1291"/>
    <x v="406"/>
    <s v="No"/>
    <x v="2"/>
    <n v="40"/>
    <n v="0"/>
    <n v="40"/>
    <s v=""/>
    <x v="4"/>
    <x v="0"/>
  </r>
  <r>
    <n v="691"/>
    <s v="OPS"/>
    <x v="87"/>
    <n v="1374"/>
    <x v="407"/>
    <s v="No"/>
    <x v="2"/>
    <n v="4"/>
    <n v="0"/>
    <n v="4"/>
    <s v=""/>
    <x v="4"/>
    <x v="0"/>
  </r>
  <r>
    <n v="691"/>
    <s v="OPS"/>
    <x v="87"/>
    <n v="1385"/>
    <x v="408"/>
    <s v="No"/>
    <x v="2"/>
    <n v="8"/>
    <n v="0"/>
    <n v="8"/>
    <s v=""/>
    <x v="4"/>
    <x v="0"/>
  </r>
  <r>
    <n v="691"/>
    <s v="OPS"/>
    <x v="87"/>
    <n v="1362"/>
    <x v="409"/>
    <s v="No"/>
    <x v="2"/>
    <n v="4"/>
    <n v="0"/>
    <n v="4"/>
    <s v=""/>
    <x v="4"/>
    <x v="0"/>
  </r>
  <r>
    <n v="691"/>
    <s v="OPS"/>
    <x v="87"/>
    <n v="1371"/>
    <x v="410"/>
    <s v="No"/>
    <x v="2"/>
    <n v="4"/>
    <n v="0"/>
    <n v="4"/>
    <s v=""/>
    <x v="4"/>
    <x v="0"/>
  </r>
  <r>
    <n v="691"/>
    <s v="OPS"/>
    <x v="87"/>
    <n v="1240"/>
    <x v="411"/>
    <s v="No"/>
    <x v="2"/>
    <n v="4"/>
    <n v="0"/>
    <n v="4"/>
    <s v=""/>
    <x v="4"/>
    <x v="0"/>
  </r>
  <r>
    <n v="691"/>
    <s v="OPS"/>
    <x v="87"/>
    <n v="1271"/>
    <x v="412"/>
    <s v="No"/>
    <x v="2"/>
    <n v="40"/>
    <n v="0"/>
    <n v="40"/>
    <s v=""/>
    <x v="4"/>
    <x v="0"/>
  </r>
  <r>
    <n v="691"/>
    <s v="OPS"/>
    <x v="87"/>
    <n v="1270"/>
    <x v="413"/>
    <s v="No"/>
    <x v="2"/>
    <n v="24"/>
    <n v="0"/>
    <n v="24"/>
    <s v=""/>
    <x v="4"/>
    <x v="0"/>
  </r>
  <r>
    <n v="691"/>
    <s v="OPS"/>
    <x v="87"/>
    <n v="1352"/>
    <x v="414"/>
    <s v="No"/>
    <x v="2"/>
    <n v="4"/>
    <n v="0"/>
    <n v="4"/>
    <s v=""/>
    <x v="4"/>
    <x v="0"/>
  </r>
  <r>
    <n v="691"/>
    <s v="OPS"/>
    <x v="87"/>
    <n v="1330"/>
    <x v="415"/>
    <s v="No"/>
    <x v="2"/>
    <n v="4"/>
    <n v="0"/>
    <n v="4"/>
    <s v=""/>
    <x v="4"/>
    <x v="0"/>
  </r>
  <r>
    <n v="691"/>
    <s v="OPS"/>
    <x v="87"/>
    <n v="1333"/>
    <x v="416"/>
    <s v="No"/>
    <x v="2"/>
    <n v="4"/>
    <n v="0"/>
    <n v="4"/>
    <s v=""/>
    <x v="4"/>
    <x v="0"/>
  </r>
  <r>
    <n v="691"/>
    <s v="OPS"/>
    <x v="87"/>
    <n v="1357"/>
    <x v="417"/>
    <s v="No"/>
    <x v="2"/>
    <n v="8"/>
    <n v="0"/>
    <n v="8"/>
    <s v=""/>
    <x v="4"/>
    <x v="0"/>
  </r>
  <r>
    <n v="691"/>
    <s v="OPS"/>
    <x v="87"/>
    <n v="1359"/>
    <x v="418"/>
    <s v="No"/>
    <x v="2"/>
    <n v="0"/>
    <n v="0"/>
    <n v="0"/>
    <s v=""/>
    <x v="4"/>
    <x v="0"/>
  </r>
  <r>
    <n v="692"/>
    <s v="OPS"/>
    <x v="88"/>
    <n v="1327"/>
    <x v="419"/>
    <s v="No"/>
    <x v="2"/>
    <n v="0"/>
    <n v="0"/>
    <n v="0"/>
    <s v=""/>
    <x v="4"/>
    <x v="0"/>
  </r>
  <r>
    <n v="692"/>
    <s v="OPS"/>
    <x v="88"/>
    <n v="1316"/>
    <x v="420"/>
    <s v="No"/>
    <x v="2"/>
    <n v="40"/>
    <n v="0"/>
    <n v="40"/>
    <s v=""/>
    <x v="4"/>
    <x v="0"/>
  </r>
  <r>
    <n v="692"/>
    <s v="OPS"/>
    <x v="88"/>
    <n v="1343"/>
    <x v="421"/>
    <s v="No"/>
    <x v="2"/>
    <n v="16"/>
    <n v="0"/>
    <n v="16"/>
    <s v=""/>
    <x v="4"/>
    <x v="0"/>
  </r>
  <r>
    <n v="692"/>
    <s v="OPS"/>
    <x v="88"/>
    <n v="1281"/>
    <x v="422"/>
    <s v="No"/>
    <x v="2"/>
    <n v="8"/>
    <n v="0"/>
    <n v="8"/>
    <s v=""/>
    <x v="4"/>
    <x v="0"/>
  </r>
  <r>
    <n v="692"/>
    <s v="OPS"/>
    <x v="88"/>
    <n v="1393"/>
    <x v="423"/>
    <s v="No"/>
    <x v="2"/>
    <n v="8"/>
    <n v="0"/>
    <n v="8"/>
    <s v=""/>
    <x v="4"/>
    <x v="0"/>
  </r>
  <r>
    <n v="692"/>
    <s v="OPS"/>
    <x v="88"/>
    <n v="1364"/>
    <x v="424"/>
    <s v="No"/>
    <x v="2"/>
    <n v="4"/>
    <n v="0"/>
    <n v="4"/>
    <s v=""/>
    <x v="4"/>
    <x v="0"/>
  </r>
  <r>
    <n v="693"/>
    <s v="OPS"/>
    <x v="89"/>
    <n v="209"/>
    <x v="425"/>
    <e v="#N/A"/>
    <x v="3"/>
    <n v="4"/>
    <n v="0"/>
    <e v="#N/A"/>
    <s v=""/>
    <x v="4"/>
    <x v="0"/>
  </r>
  <r>
    <n v="693"/>
    <s v="OPS"/>
    <x v="89"/>
    <n v="1266"/>
    <x v="426"/>
    <e v="#N/A"/>
    <x v="3"/>
    <n v="0"/>
    <n v="0"/>
    <e v="#N/A"/>
    <s v=""/>
    <x v="4"/>
    <x v="0"/>
  </r>
  <r>
    <n v="695"/>
    <s v="OPS"/>
    <x v="90"/>
    <n v="1284"/>
    <x v="427"/>
    <s v="No"/>
    <x v="2"/>
    <n v="32"/>
    <n v="0"/>
    <n v="32"/>
    <s v=""/>
    <x v="4"/>
    <x v="0"/>
  </r>
  <r>
    <n v="695"/>
    <s v="OPS"/>
    <x v="90"/>
    <n v="1365"/>
    <x v="428"/>
    <s v="No"/>
    <x v="2"/>
    <n v="32"/>
    <n v="0"/>
    <n v="32"/>
    <s v=""/>
    <x v="4"/>
    <x v="0"/>
  </r>
  <r>
    <n v="695"/>
    <s v="OPS"/>
    <x v="90"/>
    <n v="1348"/>
    <x v="429"/>
    <s v="No"/>
    <x v="2"/>
    <n v="32"/>
    <n v="0"/>
    <n v="32"/>
    <s v=""/>
    <x v="4"/>
    <x v="0"/>
  </r>
  <r>
    <n v="695"/>
    <s v="OPS"/>
    <x v="90"/>
    <n v="1326"/>
    <x v="430"/>
    <s v="No"/>
    <x v="2"/>
    <n v="16"/>
    <n v="0"/>
    <n v="16"/>
    <s v=""/>
    <x v="4"/>
    <x v="0"/>
  </r>
  <r>
    <n v="706"/>
    <s v="OPS"/>
    <x v="91"/>
    <n v="1286"/>
    <x v="431"/>
    <s v="No"/>
    <x v="2"/>
    <n v="24"/>
    <n v="0"/>
    <n v="24"/>
    <s v=""/>
    <x v="4"/>
    <x v="0"/>
  </r>
  <r>
    <n v="706"/>
    <s v="OPS"/>
    <x v="91"/>
    <n v="1318"/>
    <x v="432"/>
    <s v="No"/>
    <x v="2"/>
    <n v="4"/>
    <n v="0"/>
    <n v="4"/>
    <s v=""/>
    <x v="4"/>
    <x v="0"/>
  </r>
  <r>
    <n v="706"/>
    <s v="OPS"/>
    <x v="91"/>
    <n v="1305"/>
    <x v="433"/>
    <s v="No"/>
    <x v="2"/>
    <n v="16"/>
    <n v="0"/>
    <n v="16"/>
    <s v=""/>
    <x v="4"/>
    <x v="0"/>
  </r>
  <r>
    <n v="706"/>
    <s v="OPS"/>
    <x v="91"/>
    <n v="1277"/>
    <x v="434"/>
    <s v="No"/>
    <x v="2"/>
    <n v="24"/>
    <n v="0"/>
    <n v="24"/>
    <s v=""/>
    <x v="4"/>
    <x v="0"/>
  </r>
  <r>
    <n v="706"/>
    <s v="OPS"/>
    <x v="91"/>
    <n v="1292"/>
    <x v="435"/>
    <s v="No"/>
    <x v="2"/>
    <n v="16"/>
    <n v="0"/>
    <n v="16"/>
    <s v=""/>
    <x v="4"/>
    <x v="0"/>
  </r>
  <r>
    <n v="708"/>
    <s v="OPS"/>
    <x v="92"/>
    <n v="1244"/>
    <x v="436"/>
    <s v="No"/>
    <x v="2"/>
    <n v="16"/>
    <n v="0"/>
    <n v="16"/>
    <s v=""/>
    <x v="4"/>
    <x v="0"/>
  </r>
  <r>
    <n v="708"/>
    <s v="OPS"/>
    <x v="92"/>
    <n v="1209"/>
    <x v="437"/>
    <s v="No"/>
    <x v="2"/>
    <n v="32"/>
    <n v="0"/>
    <n v="32"/>
    <s v=""/>
    <x v="4"/>
    <x v="0"/>
  </r>
  <r>
    <n v="708"/>
    <s v="OPS"/>
    <x v="92"/>
    <n v="1306"/>
    <x v="438"/>
    <s v="No"/>
    <x v="2"/>
    <n v="40"/>
    <n v="0"/>
    <n v="40"/>
    <s v="(aumentar 10% das horas dos módulos prestadores, contas médicas e autorizações a cada 2000)_x000a__x000a_Só na função OPS Prestadores. Aumentar 10% das horas aqui. Pra cada 2000 prestadores, 10% a mais. _x000a_Na função glosas e ocorrências. Aumentar 10% a cada 2000. "/>
    <x v="4"/>
    <x v="0"/>
  </r>
  <r>
    <n v="708"/>
    <s v="OPS"/>
    <x v="92"/>
    <n v="1298"/>
    <x v="439"/>
    <s v="No"/>
    <x v="2"/>
    <n v="24"/>
    <n v="0"/>
    <n v="24"/>
    <s v=""/>
    <x v="4"/>
    <x v="0"/>
  </r>
  <r>
    <n v="835"/>
    <s v="OPS"/>
    <x v="93"/>
    <n v="1349"/>
    <x v="440"/>
    <s v="No"/>
    <x v="2"/>
    <n v="16"/>
    <n v="0"/>
    <n v="16"/>
    <s v=""/>
    <x v="4"/>
    <x v="0"/>
  </r>
  <r>
    <n v="835"/>
    <s v="OPS"/>
    <x v="93"/>
    <n v="1340"/>
    <x v="441"/>
    <s v="No"/>
    <x v="2"/>
    <n v="16"/>
    <n v="0"/>
    <n v="16"/>
    <s v=""/>
    <x v="4"/>
    <x v="0"/>
  </r>
  <r>
    <n v="835"/>
    <s v="OPS"/>
    <x v="93"/>
    <n v="1366"/>
    <x v="442"/>
    <s v="No"/>
    <x v="2"/>
    <n v="12"/>
    <n v="0"/>
    <n v="12"/>
    <s v=""/>
    <x v="4"/>
    <x v="0"/>
  </r>
  <r>
    <n v="835"/>
    <s v="OPS"/>
    <x v="93"/>
    <n v="78"/>
    <x v="443"/>
    <s v="No"/>
    <x v="2"/>
    <n v="12"/>
    <n v="0"/>
    <n v="12"/>
    <s v=""/>
    <x v="4"/>
    <x v="0"/>
  </r>
  <r>
    <n v="835"/>
    <s v="OPS"/>
    <x v="93"/>
    <n v="1390"/>
    <x v="444"/>
    <s v="No"/>
    <x v="2"/>
    <n v="24"/>
    <n v="0"/>
    <n v="24"/>
    <s v=""/>
    <x v="4"/>
    <x v="0"/>
  </r>
  <r>
    <n v="835"/>
    <s v="OPS"/>
    <x v="93"/>
    <n v="1334"/>
    <x v="445"/>
    <s v="No"/>
    <x v="2"/>
    <n v="32"/>
    <n v="0"/>
    <n v="32"/>
    <s v=""/>
    <x v="4"/>
    <x v="0"/>
  </r>
  <r>
    <n v="835"/>
    <s v="OPS"/>
    <x v="93"/>
    <n v="1319"/>
    <x v="446"/>
    <s v="No"/>
    <x v="2"/>
    <n v="4"/>
    <n v="0"/>
    <n v="4"/>
    <s v=""/>
    <x v="4"/>
    <x v="0"/>
  </r>
  <r>
    <n v="835"/>
    <s v="OPS"/>
    <x v="93"/>
    <n v="1293"/>
    <x v="447"/>
    <s v="No"/>
    <x v="2"/>
    <n v="24"/>
    <n v="0"/>
    <n v="24"/>
    <s v=""/>
    <x v="4"/>
    <x v="0"/>
  </r>
  <r>
    <n v="835"/>
    <s v="OPS"/>
    <x v="93"/>
    <n v="1275"/>
    <x v="448"/>
    <s v="No"/>
    <x v="2"/>
    <n v="32"/>
    <n v="0"/>
    <n v="32"/>
    <s v=""/>
    <x v="4"/>
    <x v="0"/>
  </r>
  <r>
    <n v="835"/>
    <s v="OPS"/>
    <x v="93"/>
    <n v="1312"/>
    <x v="449"/>
    <s v="No"/>
    <x v="2"/>
    <n v="24"/>
    <n v="0"/>
    <n v="24"/>
    <s v=""/>
    <x v="4"/>
    <x v="0"/>
  </r>
  <r>
    <n v="835"/>
    <s v="OPS"/>
    <x v="93"/>
    <n v="1311"/>
    <x v="450"/>
    <s v="No"/>
    <x v="2"/>
    <n v="24"/>
    <n v="0"/>
    <n v="24"/>
    <s v=""/>
    <x v="4"/>
    <x v="0"/>
  </r>
  <r>
    <n v="835"/>
    <s v="OPS"/>
    <x v="93"/>
    <n v="1297"/>
    <x v="451"/>
    <s v="No"/>
    <x v="2"/>
    <n v="24"/>
    <n v="0"/>
    <n v="24"/>
    <s v=""/>
    <x v="4"/>
    <x v="0"/>
  </r>
  <r>
    <n v="836"/>
    <s v="OPS"/>
    <x v="94"/>
    <n v="336"/>
    <x v="452"/>
    <s v="No"/>
    <x v="2"/>
    <n v="8"/>
    <n v="0"/>
    <n v="8"/>
    <s v=""/>
    <x v="4"/>
    <x v="0"/>
  </r>
  <r>
    <n v="836"/>
    <s v="OPS"/>
    <x v="94"/>
    <n v="1356"/>
    <x v="453"/>
    <s v="No"/>
    <x v="2"/>
    <n v="32"/>
    <n v="0"/>
    <n v="32"/>
    <s v=""/>
    <x v="4"/>
    <x v="0"/>
  </r>
  <r>
    <n v="836"/>
    <s v="OPS"/>
    <x v="94"/>
    <n v="1369"/>
    <x v="454"/>
    <s v="No"/>
    <x v="2"/>
    <n v="16"/>
    <n v="0"/>
    <n v="16"/>
    <s v=""/>
    <x v="4"/>
    <x v="0"/>
  </r>
  <r>
    <n v="836"/>
    <s v="OPS"/>
    <x v="94"/>
    <n v="337"/>
    <x v="455"/>
    <s v="No"/>
    <x v="2"/>
    <n v="0"/>
    <n v="0"/>
    <n v="0"/>
    <s v=""/>
    <x v="4"/>
    <x v="0"/>
  </r>
  <r>
    <n v="836"/>
    <s v="OPS"/>
    <x v="94"/>
    <n v="262"/>
    <x v="456"/>
    <s v="No"/>
    <x v="2"/>
    <n v="8"/>
    <n v="0"/>
    <n v="8"/>
    <s v=""/>
    <x v="4"/>
    <x v="0"/>
  </r>
  <r>
    <n v="836"/>
    <s v="OPS"/>
    <x v="94"/>
    <n v="1382"/>
    <x v="457"/>
    <s v="No"/>
    <x v="2"/>
    <n v="12"/>
    <n v="0"/>
    <n v="12"/>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9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r>
    <m/>
    <m/>
    <x v="5"/>
    <m/>
    <x v="5"/>
    <e v="#N/A"/>
    <x v="3"/>
    <n v="0"/>
    <n v="0"/>
    <e v="#N/A"/>
    <s v=""/>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 cacheId="2" applyNumberFormats="0" applyBorderFormats="0" applyFontFormats="0" applyPatternFormats="0" applyAlignmentFormats="0" applyWidthHeightFormats="1" dataCaption="Values" grandTotalCaption="Total" updatedVersion="6" minRefreshableVersion="3" showDrill="0" useAutoFormatting="1" itemPrintTitles="1" createdVersion="6" indent="0" showHeaders="0" outline="1" outlineData="1" multipleFieldFilters="0" rowHeaderCaption="Function">
  <location ref="B13:C25" firstHeaderRow="1" firstDataRow="1" firstDataCol="1" rowPageCount="2" colPageCount="1"/>
  <pivotFields count="13">
    <pivotField showAll="0" defaultSubtotal="0"/>
    <pivotField showAll="0"/>
    <pivotField axis="axisRow" showAll="0" defaultSubtotal="0">
      <items count="241">
        <item m="1" x="178"/>
        <item m="1" x="158"/>
        <item m="1" x="200"/>
        <item m="1" x="227"/>
        <item m="1" x="222"/>
        <item m="1" x="139"/>
        <item m="1" x="177"/>
        <item m="1" x="218"/>
        <item m="1" x="180"/>
        <item m="1" x="229"/>
        <item m="1" x="190"/>
        <item m="1" x="232"/>
        <item m="1" x="228"/>
        <item m="1" x="134"/>
        <item x="27"/>
        <item m="1" x="110"/>
        <item m="1" x="205"/>
        <item m="1" x="150"/>
        <item m="1" x="148"/>
        <item m="1" x="206"/>
        <item m="1" x="236"/>
        <item m="1" x="161"/>
        <item m="1" x="127"/>
        <item m="1" x="160"/>
        <item m="1" x="98"/>
        <item m="1" x="155"/>
        <item m="1" x="170"/>
        <item x="2"/>
        <item m="1" x="157"/>
        <item m="1" x="149"/>
        <item m="1" x="195"/>
        <item m="1" x="107"/>
        <item x="40"/>
        <item m="1" x="189"/>
        <item m="1" x="137"/>
        <item m="1" x="219"/>
        <item m="1" x="183"/>
        <item m="1" x="210"/>
        <item m="1" x="153"/>
        <item m="1" x="112"/>
        <item m="1" x="202"/>
        <item m="1" x="194"/>
        <item m="1" x="143"/>
        <item m="1" x="216"/>
        <item m="1" x="116"/>
        <item m="1" x="239"/>
        <item m="1" x="120"/>
        <item m="1" x="130"/>
        <item m="1" x="99"/>
        <item m="1" x="123"/>
        <item m="1" x="101"/>
        <item m="1" x="96"/>
        <item m="1" x="221"/>
        <item m="1" x="226"/>
        <item m="1" x="119"/>
        <item m="1" x="196"/>
        <item m="1" x="198"/>
        <item m="1" x="201"/>
        <item m="1" x="104"/>
        <item m="1" x="209"/>
        <item x="46"/>
        <item m="1" x="225"/>
        <item m="1" x="131"/>
        <item x="53"/>
        <item m="1" x="117"/>
        <item m="1" x="207"/>
        <item x="75"/>
        <item m="1" x="191"/>
        <item m="1" x="114"/>
        <item m="1" x="211"/>
        <item m="1" x="193"/>
        <item m="1" x="108"/>
        <item m="1" x="167"/>
        <item m="1" x="186"/>
        <item x="5"/>
        <item m="1" x="126"/>
        <item m="1" x="136"/>
        <item m="1" x="106"/>
        <item m="1" x="124"/>
        <item m="1" x="171"/>
        <item m="1" x="163"/>
        <item m="1" x="217"/>
        <item m="1" x="220"/>
        <item m="1" x="165"/>
        <item m="1" x="152"/>
        <item m="1" x="175"/>
        <item x="14"/>
        <item x="15"/>
        <item x="16"/>
        <item m="1" x="208"/>
        <item m="1" x="169"/>
        <item m="1" x="197"/>
        <item m="1" x="147"/>
        <item m="1" x="135"/>
        <item m="1" x="121"/>
        <item m="1" x="156"/>
        <item m="1" x="188"/>
        <item m="1" x="105"/>
        <item m="1" x="109"/>
        <item m="1" x="113"/>
        <item m="1" x="235"/>
        <item m="1" x="212"/>
        <item x="31"/>
        <item x="32"/>
        <item m="1" x="125"/>
        <item m="1" x="132"/>
        <item m="1" x="144"/>
        <item x="36"/>
        <item m="1" x="174"/>
        <item m="1" x="187"/>
        <item m="1" x="237"/>
        <item m="1" x="179"/>
        <item m="1" x="214"/>
        <item x="43"/>
        <item m="1" x="129"/>
        <item m="1" x="141"/>
        <item m="1" x="233"/>
        <item m="1" x="215"/>
        <item x="49"/>
        <item m="1" x="140"/>
        <item m="1" x="146"/>
        <item x="52"/>
        <item x="54"/>
        <item m="1" x="238"/>
        <item m="1" x="115"/>
        <item m="1" x="111"/>
        <item m="1" x="97"/>
        <item m="1" x="162"/>
        <item m="1" x="154"/>
        <item m="1" x="168"/>
        <item m="1" x="185"/>
        <item m="1" x="192"/>
        <item m="1" x="224"/>
        <item m="1" x="118"/>
        <item m="1" x="102"/>
        <item m="1" x="223"/>
        <item m="1" x="159"/>
        <item x="70"/>
        <item x="71"/>
        <item x="0"/>
        <item x="1"/>
        <item x="3"/>
        <item x="4"/>
        <item x="6"/>
        <item x="7"/>
        <item x="8"/>
        <item x="9"/>
        <item x="10"/>
        <item x="11"/>
        <item x="12"/>
        <item x="13"/>
        <item x="17"/>
        <item x="18"/>
        <item x="19"/>
        <item x="20"/>
        <item x="21"/>
        <item x="22"/>
        <item x="23"/>
        <item x="24"/>
        <item x="25"/>
        <item x="26"/>
        <item x="28"/>
        <item x="29"/>
        <item x="30"/>
        <item x="33"/>
        <item x="34"/>
        <item x="35"/>
        <item x="37"/>
        <item x="38"/>
        <item x="39"/>
        <item x="41"/>
        <item x="42"/>
        <item x="44"/>
        <item x="45"/>
        <item x="47"/>
        <item x="48"/>
        <item x="50"/>
        <item x="51"/>
        <item x="55"/>
        <item x="56"/>
        <item x="57"/>
        <item x="58"/>
        <item x="59"/>
        <item x="60"/>
        <item x="61"/>
        <item x="62"/>
        <item x="63"/>
        <item x="64"/>
        <item x="65"/>
        <item x="66"/>
        <item x="67"/>
        <item x="68"/>
        <item x="69"/>
        <item x="72"/>
        <item x="73"/>
        <item x="74"/>
        <item m="1" x="173"/>
        <item m="1" x="122"/>
        <item m="1" x="172"/>
        <item m="1" x="103"/>
        <item m="1" x="164"/>
        <item m="1" x="151"/>
        <item m="1" x="203"/>
        <item m="1" x="145"/>
        <item m="1" x="231"/>
        <item m="1" x="133"/>
        <item m="1" x="166"/>
        <item m="1" x="142"/>
        <item m="1" x="230"/>
        <item m="1" x="213"/>
        <item m="1" x="138"/>
        <item m="1" x="181"/>
        <item m="1" x="100"/>
        <item m="1" x="234"/>
        <item m="1" x="199"/>
        <item m="1" x="240"/>
        <item m="1" x="176"/>
        <item m="1" x="128"/>
        <item m="1" x="204"/>
        <item m="1" x="184"/>
        <item x="95"/>
        <item m="1" x="182"/>
        <item x="76"/>
        <item x="77"/>
        <item x="78"/>
        <item x="79"/>
        <item x="80"/>
        <item x="81"/>
        <item x="82"/>
        <item x="83"/>
        <item x="84"/>
        <item x="85"/>
        <item x="86"/>
        <item x="87"/>
        <item x="88"/>
        <item x="89"/>
        <item x="90"/>
        <item x="91"/>
        <item x="92"/>
        <item x="93"/>
        <item x="94"/>
      </items>
    </pivotField>
    <pivotField showAll="0" defaultSubtotal="0"/>
    <pivotField axis="axisRow" showAll="0" defaultSubtotal="0">
      <items count="1085">
        <item x="26"/>
        <item m="1" x="833"/>
        <item m="1" x="719"/>
        <item m="1" x="821"/>
        <item m="1" x="530"/>
        <item m="1" x="1017"/>
        <item m="1" x="561"/>
        <item m="1" x="587"/>
        <item m="1" x="519"/>
        <item m="1" x="784"/>
        <item m="1" x="569"/>
        <item m="1" x="888"/>
        <item m="1" x="787"/>
        <item m="1" x="912"/>
        <item m="1" x="758"/>
        <item m="1" x="641"/>
        <item m="1" x="749"/>
        <item m="1" x="780"/>
        <item m="1" x="1034"/>
        <item m="1" x="772"/>
        <item m="1" x="677"/>
        <item m="1" x="937"/>
        <item m="1" x="835"/>
        <item m="1" x="663"/>
        <item m="1" x="551"/>
        <item m="1" x="963"/>
        <item m="1" x="704"/>
        <item m="1" x="826"/>
        <item m="1" x="508"/>
        <item m="1" x="614"/>
        <item m="1" x="765"/>
        <item x="285"/>
        <item m="1" x="798"/>
        <item m="1" x="864"/>
        <item m="1" x="536"/>
        <item m="1" x="695"/>
        <item m="1" x="769"/>
        <item m="1" x="990"/>
        <item x="135"/>
        <item m="1" x="690"/>
        <item m="1" x="701"/>
        <item m="1" x="943"/>
        <item m="1" x="545"/>
        <item m="1" x="661"/>
        <item m="1" x="666"/>
        <item m="1" x="763"/>
        <item m="1" x="494"/>
        <item m="1" x="831"/>
        <item m="1" x="862"/>
        <item m="1" x="473"/>
        <item m="1" x="935"/>
        <item m="1" x="976"/>
        <item m="1" x="728"/>
        <item m="1" x="650"/>
        <item x="91"/>
        <item m="1" x="688"/>
        <item x="28"/>
        <item x="282"/>
        <item x="27"/>
        <item m="1" x="807"/>
        <item m="1" x="1051"/>
        <item m="1" x="493"/>
        <item m="1" x="853"/>
        <item m="1" x="541"/>
        <item m="1" x="967"/>
        <item m="1" x="624"/>
        <item m="1" x="592"/>
        <item m="1" x="892"/>
        <item m="1" x="776"/>
        <item m="1" x="476"/>
        <item m="1" x="926"/>
        <item m="1" x="626"/>
        <item m="1" x="567"/>
        <item m="1" x="478"/>
        <item m="1" x="578"/>
        <item m="1" x="696"/>
        <item m="1" x="813"/>
        <item m="1" x="1005"/>
        <item m="1" x="834"/>
        <item m="1" x="808"/>
        <item m="1" x="712"/>
        <item m="1" x="958"/>
        <item m="1" x="762"/>
        <item m="1" x="1007"/>
        <item m="1" x="707"/>
        <item m="1" x="850"/>
        <item m="1" x="931"/>
        <item m="1" x="881"/>
        <item m="1" x="711"/>
        <item m="1" x="572"/>
        <item m="1" x="1075"/>
        <item m="1" x="486"/>
        <item x="272"/>
        <item m="1" x="671"/>
        <item m="1" x="852"/>
        <item m="1" x="654"/>
        <item m="1" x="874"/>
        <item m="1" x="514"/>
        <item m="1" x="742"/>
        <item m="1" x="973"/>
        <item m="1" x="565"/>
        <item m="1" x="819"/>
        <item m="1" x="686"/>
        <item m="1" x="479"/>
        <item m="1" x="938"/>
        <item m="1" x="601"/>
        <item m="1" x="992"/>
        <item m="1" x="1042"/>
        <item m="1" x="901"/>
        <item m="1" x="499"/>
        <item m="1" x="582"/>
        <item m="1" x="995"/>
        <item m="1" x="859"/>
        <item m="1" x="873"/>
        <item m="1" x="781"/>
        <item m="1" x="646"/>
        <item m="1" x="832"/>
        <item m="1" x="810"/>
        <item m="1" x="516"/>
        <item m="1" x="796"/>
        <item m="1" x="461"/>
        <item m="1" x="955"/>
        <item m="1" x="936"/>
        <item m="1" x="564"/>
        <item m="1" x="736"/>
        <item m="1" x="913"/>
        <item m="1" x="882"/>
        <item m="1" x="907"/>
        <item m="1" x="950"/>
        <item m="1" x="827"/>
        <item m="1" x="680"/>
        <item m="1" x="583"/>
        <item m="1" x="504"/>
        <item m="1" x="799"/>
        <item m="1" x="481"/>
        <item m="1" x="495"/>
        <item m="1" x="869"/>
        <item m="1" x="678"/>
        <item m="1" x="1006"/>
        <item m="1" x="584"/>
        <item m="1" x="467"/>
        <item m="1" x="647"/>
        <item m="1" x="576"/>
        <item m="1" x="883"/>
        <item m="1" x="547"/>
        <item m="1" x="725"/>
        <item m="1" x="597"/>
        <item m="1" x="746"/>
        <item m="1" x="952"/>
        <item m="1" x="724"/>
        <item m="1" x="635"/>
        <item m="1" x="885"/>
        <item m="1" x="893"/>
        <item m="1" x="788"/>
        <item m="1" x="662"/>
        <item m="1" x="472"/>
        <item m="1" x="878"/>
        <item m="1" x="933"/>
        <item m="1" x="1054"/>
        <item m="1" x="816"/>
        <item m="1" x="585"/>
        <item m="1" x="524"/>
        <item m="1" x="842"/>
        <item m="1" x="905"/>
        <item m="1" x="485"/>
        <item m="1" x="602"/>
        <item m="1" x="900"/>
        <item m="1" x="896"/>
        <item m="1" x="470"/>
        <item m="1" x="525"/>
        <item m="1" x="839"/>
        <item m="1" x="904"/>
        <item m="1" x="660"/>
        <item x="93"/>
        <item m="1" x="1020"/>
        <item m="1" x="994"/>
        <item m="1" x="880"/>
        <item m="1" x="568"/>
        <item m="1" x="617"/>
        <item m="1" x="782"/>
        <item m="1" x="978"/>
        <item m="1" x="638"/>
        <item m="1" x="464"/>
        <item m="1" x="830"/>
        <item m="1" x="956"/>
        <item m="1" x="634"/>
        <item m="1" x="823"/>
        <item m="1" x="915"/>
        <item m="1" x="563"/>
        <item m="1" x="533"/>
        <item m="1" x="674"/>
        <item m="1" x="1062"/>
        <item m="1" x="608"/>
        <item m="1" x="847"/>
        <item m="1" x="999"/>
        <item m="1" x="518"/>
        <item m="1" x="1067"/>
        <item x="291"/>
        <item m="1" x="891"/>
        <item m="1" x="653"/>
        <item m="1" x="714"/>
        <item m="1" x="1019"/>
        <item m="1" x="960"/>
        <item m="1" x="779"/>
        <item m="1" x="1077"/>
        <item m="1" x="685"/>
        <item m="1" x="812"/>
        <item m="1" x="1080"/>
        <item m="1" x="1029"/>
        <item m="1" x="649"/>
        <item m="1" x="750"/>
        <item m="1" x="948"/>
        <item m="1" x="629"/>
        <item m="1" x="828"/>
        <item m="1" x="1027"/>
        <item m="1" x="886"/>
        <item m="1" x="783"/>
        <item m="1" x="555"/>
        <item m="1" x="1055"/>
        <item m="1" x="759"/>
        <item m="1" x="820"/>
        <item m="1" x="505"/>
        <item m="1" x="851"/>
        <item m="1" x="914"/>
        <item m="1" x="477"/>
        <item m="1" x="1041"/>
        <item m="1" x="922"/>
        <item m="1" x="856"/>
        <item m="1" x="837"/>
        <item m="1" x="962"/>
        <item m="1" x="817"/>
        <item m="1" x="1081"/>
        <item m="1" x="925"/>
        <item m="1" x="623"/>
        <item m="1" x="1000"/>
        <item m="1" x="730"/>
        <item m="1" x="658"/>
        <item m="1" x="526"/>
        <item m="1" x="616"/>
        <item m="1" x="509"/>
        <item m="1" x="934"/>
        <item m="1" x="560"/>
        <item m="1" x="483"/>
        <item m="1" x="1058"/>
        <item m="1" x="482"/>
        <item m="1" x="630"/>
        <item m="1" x="829"/>
        <item m="1" x="770"/>
        <item m="1" x="721"/>
        <item m="1" x="676"/>
        <item m="1" x="744"/>
        <item m="1" x="538"/>
        <item m="1" x="697"/>
        <item x="29"/>
        <item m="1" x="903"/>
        <item m="1" x="664"/>
        <item m="1" x="1072"/>
        <item m="1" x="1068"/>
        <item m="1" x="618"/>
        <item m="1" x="988"/>
        <item m="1" x="1037"/>
        <item m="1" x="959"/>
        <item m="1" x="552"/>
        <item m="1" x="520"/>
        <item m="1" x="556"/>
        <item m="1" x="631"/>
        <item m="1" x="500"/>
        <item m="1" x="919"/>
        <item m="1" x="767"/>
        <item m="1" x="884"/>
        <item m="1" x="927"/>
        <item m="1" x="854"/>
        <item m="1" x="877"/>
        <item m="1" x="861"/>
        <item m="1" x="971"/>
        <item m="1" x="502"/>
        <item m="1" x="857"/>
        <item m="1" x="797"/>
        <item m="1" x="537"/>
        <item m="1" x="620"/>
        <item m="1" x="535"/>
        <item m="1" x="1059"/>
        <item m="1" x="1073"/>
        <item m="1" x="625"/>
        <item m="1" x="737"/>
        <item m="1" x="745"/>
        <item m="1" x="596"/>
        <item m="1" x="987"/>
        <item m="1" x="1002"/>
        <item m="1" x="944"/>
        <item m="1" x="548"/>
        <item m="1" x="923"/>
        <item m="1" x="849"/>
        <item m="1" x="741"/>
        <item m="1" x="738"/>
        <item m="1" x="757"/>
        <item m="1" x="1070"/>
        <item x="5"/>
        <item m="1" x="908"/>
        <item m="1" x="655"/>
        <item m="1" x="465"/>
        <item m="1" x="1050"/>
        <item m="1" x="469"/>
        <item m="1" x="894"/>
        <item m="1" x="981"/>
        <item m="1" x="751"/>
        <item m="1" x="984"/>
        <item x="9"/>
        <item m="1" x="622"/>
        <item m="1" x="692"/>
        <item m="1" x="836"/>
        <item m="1" x="691"/>
        <item m="1" x="921"/>
        <item m="1" x="588"/>
        <item m="1" x="924"/>
        <item m="1" x="1024"/>
        <item m="1" x="863"/>
        <item m="1" x="523"/>
        <item m="1" x="920"/>
        <item m="1" x="670"/>
        <item m="1" x="463"/>
        <item m="1" x="532"/>
        <item x="24"/>
        <item m="1" x="822"/>
        <item m="1" x="731"/>
        <item m="1" x="945"/>
        <item m="1" x="554"/>
        <item m="1" x="574"/>
        <item x="34"/>
        <item m="1" x="989"/>
        <item m="1" x="1044"/>
        <item m="1" x="521"/>
        <item m="1" x="911"/>
        <item m="1" x="1047"/>
        <item m="1" x="1071"/>
        <item m="1" x="845"/>
        <item m="1" x="710"/>
        <item m="1" x="591"/>
        <item m="1" x="1069"/>
        <item m="1" x="917"/>
        <item m="1" x="743"/>
        <item m="1" x="510"/>
        <item m="1" x="702"/>
        <item m="1" x="1066"/>
        <item m="1" x="672"/>
        <item m="1" x="718"/>
        <item m="1" x="768"/>
        <item m="1" x="1076"/>
        <item m="1" x="818"/>
        <item m="1" x="652"/>
        <item m="1" x="632"/>
        <item m="1" x="865"/>
        <item m="1" x="824"/>
        <item m="1" x="805"/>
        <item m="1" x="668"/>
        <item m="1" x="715"/>
        <item m="1" x="643"/>
        <item m="1" x="534"/>
        <item m="1" x="1083"/>
        <item m="1" x="840"/>
        <item m="1" x="778"/>
        <item m="1" x="811"/>
        <item m="1" x="879"/>
        <item x="69"/>
        <item m="1" x="546"/>
        <item m="1" x="612"/>
        <item x="72"/>
        <item m="1" x="506"/>
        <item m="1" x="517"/>
        <item m="1" x="642"/>
        <item m="1" x="475"/>
        <item m="1" x="1053"/>
        <item m="1" x="965"/>
        <item m="1" x="954"/>
        <item m="1" x="610"/>
        <item m="1" x="969"/>
        <item m="1" x="1078"/>
        <item m="1" x="689"/>
        <item m="1" x="975"/>
        <item x="85"/>
        <item m="1" x="489"/>
        <item m="1" x="683"/>
        <item m="1" x="968"/>
        <item m="1" x="562"/>
        <item m="1" x="906"/>
        <item m="1" x="609"/>
        <item m="1" x="1074"/>
        <item m="1" x="806"/>
        <item m="1" x="593"/>
        <item m="1" x="1003"/>
        <item m="1" x="557"/>
        <item m="1" x="794"/>
        <item m="1" x="722"/>
        <item m="1" x="841"/>
        <item m="1" x="843"/>
        <item m="1" x="814"/>
        <item m="1" x="803"/>
        <item m="1" x="977"/>
        <item m="1" x="581"/>
        <item m="1" x="527"/>
        <item m="1" x="1035"/>
        <item m="1" x="747"/>
        <item m="1" x="488"/>
        <item m="1" x="648"/>
        <item m="1" x="723"/>
        <item m="1" x="542"/>
        <item x="114"/>
        <item m="1" x="1025"/>
        <item m="1" x="889"/>
        <item m="1" x="577"/>
        <item m="1" x="657"/>
        <item m="1" x="1016"/>
        <item m="1" x="755"/>
        <item m="1" x="951"/>
        <item m="1" x="1008"/>
        <item m="1" x="1056"/>
        <item m="1" x="604"/>
        <item m="1" x="1022"/>
        <item m="1" x="980"/>
        <item m="1" x="918"/>
        <item m="1" x="848"/>
        <item m="1" x="970"/>
        <item m="1" x="550"/>
        <item m="1" x="804"/>
        <item m="1" x="651"/>
        <item m="1" x="1018"/>
        <item m="1" x="870"/>
        <item m="1" x="570"/>
        <item m="1" x="844"/>
        <item x="139"/>
        <item x="140"/>
        <item m="1" x="468"/>
        <item m="1" x="838"/>
        <item m="1" x="659"/>
        <item m="1" x="1014"/>
        <item m="1" x="1082"/>
        <item m="1" x="1040"/>
        <item m="1" x="529"/>
        <item m="1" x="1015"/>
        <item m="1" x="1065"/>
        <item m="1" x="947"/>
        <item x="151"/>
        <item m="1" x="501"/>
        <item m="1" x="1046"/>
        <item m="1" x="528"/>
        <item m="1" x="1064"/>
        <item m="1" x="876"/>
        <item m="1" x="540"/>
        <item m="1" x="1032"/>
        <item m="1" x="998"/>
        <item m="1" x="760"/>
        <item x="161"/>
        <item m="1" x="589"/>
        <item m="1" x="867"/>
        <item m="1" x="544"/>
        <item m="1" x="1011"/>
        <item m="1" x="700"/>
        <item m="1" x="606"/>
        <item m="1" x="774"/>
        <item m="1" x="802"/>
        <item m="1" x="791"/>
        <item m="1" x="675"/>
        <item m="1" x="1028"/>
        <item m="1" x="1039"/>
        <item m="1" x="621"/>
        <item m="1" x="916"/>
        <item m="1" x="705"/>
        <item m="1" x="474"/>
        <item m="1" x="611"/>
        <item m="1" x="706"/>
        <item m="1" x="496"/>
        <item m="1" x="665"/>
        <item m="1" x="792"/>
        <item m="1" x="573"/>
        <item m="1" x="1043"/>
        <item m="1" x="932"/>
        <item m="1" x="940"/>
        <item m="1" x="1079"/>
        <item m="1" x="637"/>
        <item m="1" x="761"/>
        <item m="1" x="860"/>
        <item m="1" x="946"/>
        <item m="1" x="507"/>
        <item m="1" x="964"/>
        <item m="1" x="698"/>
        <item m="1" x="789"/>
        <item m="1" x="717"/>
        <item x="198"/>
        <item m="1" x="511"/>
        <item m="1" x="1031"/>
        <item m="1" x="513"/>
        <item m="1" x="727"/>
        <item m="1" x="740"/>
        <item m="1" x="982"/>
        <item m="1" x="941"/>
        <item m="1" x="619"/>
        <item m="1" x="996"/>
        <item m="1" x="531"/>
        <item m="1" x="734"/>
        <item m="1" x="902"/>
        <item m="1" x="1010"/>
        <item m="1" x="667"/>
        <item m="1" x="1061"/>
        <item m="1" x="559"/>
        <item m="1" x="607"/>
        <item m="1" x="639"/>
        <item m="1" x="974"/>
        <item m="1" x="460"/>
        <item m="1" x="1084"/>
        <item m="1" x="669"/>
        <item m="1" x="1036"/>
        <item m="1" x="580"/>
        <item x="223"/>
        <item x="224"/>
        <item x="225"/>
        <item x="226"/>
        <item m="1" x="491"/>
        <item m="1" x="490"/>
        <item m="1" x="645"/>
        <item m="1" x="603"/>
        <item m="1" x="492"/>
        <item m="1" x="771"/>
        <item m="1" x="729"/>
        <item m="1" x="871"/>
        <item m="1" x="979"/>
        <item m="1" x="575"/>
        <item m="1" x="1013"/>
        <item m="1" x="1023"/>
        <item m="1" x="1009"/>
        <item m="1" x="887"/>
        <item m="1" x="939"/>
        <item m="1" x="558"/>
        <item m="1" x="466"/>
        <item m="1" x="720"/>
        <item m="1" x="503"/>
        <item m="1" x="462"/>
        <item m="1" x="953"/>
        <item m="1" x="993"/>
        <item m="1" x="566"/>
        <item m="1" x="1060"/>
        <item m="1" x="846"/>
        <item m="1" x="708"/>
        <item m="1" x="1052"/>
        <item m="1" x="1038"/>
        <item m="1" x="910"/>
        <item m="1" x="673"/>
        <item m="1" x="825"/>
        <item m="1" x="498"/>
        <item m="1" x="773"/>
        <item m="1" x="793"/>
        <item m="1" x="599"/>
        <item m="1" x="480"/>
        <item m="1" x="949"/>
        <item m="1" x="598"/>
        <item m="1" x="459"/>
        <item m="1" x="640"/>
        <item m="1" x="1030"/>
        <item m="1" x="699"/>
        <item m="1" x="600"/>
        <item m="1" x="627"/>
        <item m="1" x="858"/>
        <item m="1" x="786"/>
        <item m="1" x="713"/>
        <item m="1" x="682"/>
        <item m="1" x="681"/>
        <item m="1" x="703"/>
        <item m="1" x="595"/>
        <item m="1" x="458"/>
        <item m="1" x="709"/>
        <item m="1" x="748"/>
        <item m="1" x="800"/>
        <item m="1" x="644"/>
        <item m="1" x="985"/>
        <item m="1" x="1012"/>
        <item m="1" x="866"/>
        <item x="290"/>
        <item x="292"/>
        <item m="1" x="1004"/>
        <item m="1" x="539"/>
        <item m="1" x="484"/>
        <item m="1" x="795"/>
        <item m="1" x="687"/>
        <item m="1" x="726"/>
        <item m="1" x="790"/>
        <item m="1" x="732"/>
        <item x="0"/>
        <item x="1"/>
        <item x="2"/>
        <item x="3"/>
        <item x="4"/>
        <item x="6"/>
        <item x="7"/>
        <item x="8"/>
        <item x="10"/>
        <item x="11"/>
        <item x="12"/>
        <item x="13"/>
        <item x="14"/>
        <item x="15"/>
        <item x="16"/>
        <item x="17"/>
        <item x="18"/>
        <item x="19"/>
        <item x="20"/>
        <item x="21"/>
        <item x="22"/>
        <item x="23"/>
        <item x="25"/>
        <item x="30"/>
        <item x="31"/>
        <item x="32"/>
        <item x="3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70"/>
        <item x="71"/>
        <item x="73"/>
        <item x="74"/>
        <item x="75"/>
        <item x="76"/>
        <item x="77"/>
        <item x="78"/>
        <item x="79"/>
        <item x="80"/>
        <item x="81"/>
        <item x="82"/>
        <item x="83"/>
        <item x="84"/>
        <item x="86"/>
        <item x="87"/>
        <item x="88"/>
        <item x="89"/>
        <item x="90"/>
        <item x="92"/>
        <item x="94"/>
        <item x="95"/>
        <item x="96"/>
        <item x="97"/>
        <item x="98"/>
        <item x="99"/>
        <item x="100"/>
        <item x="101"/>
        <item x="102"/>
        <item x="103"/>
        <item x="104"/>
        <item x="105"/>
        <item x="106"/>
        <item x="107"/>
        <item x="108"/>
        <item x="109"/>
        <item x="110"/>
        <item x="111"/>
        <item x="112"/>
        <item x="113"/>
        <item x="115"/>
        <item x="116"/>
        <item x="117"/>
        <item x="118"/>
        <item x="119"/>
        <item x="120"/>
        <item x="121"/>
        <item x="122"/>
        <item x="123"/>
        <item x="124"/>
        <item x="125"/>
        <item x="126"/>
        <item m="1" x="777"/>
        <item x="128"/>
        <item x="129"/>
        <item x="130"/>
        <item x="131"/>
        <item x="132"/>
        <item x="133"/>
        <item x="136"/>
        <item x="137"/>
        <item x="138"/>
        <item x="141"/>
        <item x="142"/>
        <item x="143"/>
        <item x="144"/>
        <item x="145"/>
        <item x="146"/>
        <item x="147"/>
        <item x="148"/>
        <item x="149"/>
        <item x="150"/>
        <item x="152"/>
        <item x="153"/>
        <item x="154"/>
        <item x="155"/>
        <item x="156"/>
        <item x="157"/>
        <item x="158"/>
        <item x="159"/>
        <item x="160"/>
        <item x="162"/>
        <item x="163"/>
        <item x="164"/>
        <item x="165"/>
        <item x="166"/>
        <item x="167"/>
        <item x="168"/>
        <item x="169"/>
        <item x="170"/>
        <item x="171"/>
        <item x="172"/>
        <item x="173"/>
        <item x="174"/>
        <item x="175"/>
        <item x="176"/>
        <item x="177"/>
        <item x="178"/>
        <item x="179"/>
        <item x="180"/>
        <item x="181"/>
        <item x="182"/>
        <item x="183"/>
        <item x="184"/>
        <item x="185"/>
        <item x="187"/>
        <item x="188"/>
        <item x="189"/>
        <item x="190"/>
        <item x="191"/>
        <item x="192"/>
        <item x="193"/>
        <item x="194"/>
        <item x="195"/>
        <item x="196"/>
        <item x="197"/>
        <item x="199"/>
        <item x="200"/>
        <item x="201"/>
        <item x="202"/>
        <item x="203"/>
        <item x="204"/>
        <item x="205"/>
        <item x="206"/>
        <item x="207"/>
        <item x="208"/>
        <item x="209"/>
        <item x="210"/>
        <item x="211"/>
        <item x="212"/>
        <item x="213"/>
        <item x="214"/>
        <item x="215"/>
        <item x="216"/>
        <item x="217"/>
        <item x="218"/>
        <item m="1" x="694"/>
        <item x="220"/>
        <item x="221"/>
        <item x="222"/>
        <item x="227"/>
        <item x="228"/>
        <item x="229"/>
        <item x="230"/>
        <item x="231"/>
        <item x="232"/>
        <item x="233"/>
        <item x="234"/>
        <item x="235"/>
        <item x="236"/>
        <item x="237"/>
        <item x="238"/>
        <item x="239"/>
        <item x="240"/>
        <item x="241"/>
        <item x="242"/>
        <item x="243"/>
        <item x="244"/>
        <item x="245"/>
        <item x="246"/>
        <item x="247"/>
        <item x="248"/>
        <item x="249"/>
        <item x="250"/>
        <item x="251"/>
        <item x="252"/>
        <item x="253"/>
        <item m="1" x="753"/>
        <item x="255"/>
        <item x="256"/>
        <item x="257"/>
        <item x="258"/>
        <item x="259"/>
        <item x="260"/>
        <item x="261"/>
        <item x="262"/>
        <item x="263"/>
        <item x="264"/>
        <item x="265"/>
        <item x="266"/>
        <item x="268"/>
        <item x="269"/>
        <item x="270"/>
        <item x="271"/>
        <item x="273"/>
        <item x="274"/>
        <item x="275"/>
        <item x="276"/>
        <item x="277"/>
        <item x="278"/>
        <item x="279"/>
        <item x="280"/>
        <item x="281"/>
        <item x="283"/>
        <item x="284"/>
        <item x="286"/>
        <item x="287"/>
        <item x="288"/>
        <item x="289"/>
        <item x="293"/>
        <item x="294"/>
        <item m="1" x="972"/>
        <item x="296"/>
        <item x="297"/>
        <item x="298"/>
        <item x="299"/>
        <item x="300"/>
        <item m="1" x="1026"/>
        <item m="1" x="957"/>
        <item m="1" x="679"/>
        <item m="1" x="899"/>
        <item x="127"/>
        <item x="219"/>
        <item x="254"/>
        <item x="295"/>
        <item m="1" x="1045"/>
        <item m="1" x="733"/>
        <item m="1" x="752"/>
        <item m="1" x="929"/>
        <item x="134"/>
        <item x="301"/>
        <item x="302"/>
        <item x="303"/>
        <item x="304"/>
        <item m="1" x="801"/>
        <item m="1" x="961"/>
        <item m="1" x="636"/>
        <item m="1" x="942"/>
        <item m="1" x="656"/>
        <item m="1" x="1057"/>
        <item m="1" x="1048"/>
        <item m="1" x="754"/>
        <item m="1" x="895"/>
        <item m="1" x="1049"/>
        <item x="443"/>
        <item x="360"/>
        <item x="383"/>
        <item x="425"/>
        <item x="348"/>
        <item x="371"/>
        <item x="456"/>
        <item x="349"/>
        <item x="375"/>
        <item x="452"/>
        <item x="455"/>
        <item x="305"/>
        <item x="346"/>
        <item x="312"/>
        <item m="1" x="553"/>
        <item x="318"/>
        <item x="342"/>
        <item x="388"/>
        <item x="404"/>
        <item x="366"/>
        <item x="319"/>
        <item x="355"/>
        <item x="437"/>
        <item x="399"/>
        <item x="398"/>
        <item x="395"/>
        <item x="405"/>
        <item x="338"/>
        <item x="337"/>
        <item x="317"/>
        <item x="330"/>
        <item x="377"/>
        <item x="334"/>
        <item x="354"/>
        <item x="397"/>
        <item x="381"/>
        <item x="322"/>
        <item x="320"/>
        <item x="321"/>
        <item x="324"/>
        <item x="328"/>
        <item x="329"/>
        <item x="353"/>
        <item x="376"/>
        <item x="411"/>
        <item x="367"/>
        <item x="323"/>
        <item x="436"/>
        <item x="372"/>
        <item x="378"/>
        <item x="368"/>
        <item x="402"/>
        <item x="309"/>
        <item x="316"/>
        <item x="335"/>
        <item x="426"/>
        <item m="1" x="571"/>
        <item x="333"/>
        <item x="413"/>
        <item x="412"/>
        <item x="331"/>
        <item x="448"/>
        <item x="434"/>
        <item x="384"/>
        <item x="386"/>
        <item x="343"/>
        <item x="422"/>
        <item x="427"/>
        <item x="361"/>
        <item x="431"/>
        <item x="347"/>
        <item x="406"/>
        <item m="1" x="1063"/>
        <item x="447"/>
        <item x="327"/>
        <item x="451"/>
        <item x="439"/>
        <item x="433"/>
        <item x="438"/>
        <item x="325"/>
        <item x="350"/>
        <item x="351"/>
        <item x="352"/>
        <item x="450"/>
        <item m="1" x="766"/>
        <item x="307"/>
        <item x="363"/>
        <item x="313"/>
        <item x="420"/>
        <item x="432"/>
        <item x="446"/>
        <item x="392"/>
        <item x="362"/>
        <item x="394"/>
        <item x="430"/>
        <item x="387"/>
        <item x="415"/>
        <item x="416"/>
        <item x="445"/>
        <item x="403"/>
        <item x="344"/>
        <item x="326"/>
        <item x="441"/>
        <item x="393"/>
        <item x="421"/>
        <item x="341"/>
        <item x="429"/>
        <item x="440"/>
        <item x="414"/>
        <item x="308"/>
        <item x="373"/>
        <item x="453"/>
        <item x="417"/>
        <item x="409"/>
        <item x="390"/>
        <item x="424"/>
        <item x="428"/>
        <item x="442"/>
        <item x="306"/>
        <item x="454"/>
        <item x="382"/>
        <item x="410"/>
        <item x="407"/>
        <item x="379"/>
        <item x="359"/>
        <item x="457"/>
        <item x="358"/>
        <item x="369"/>
        <item x="408"/>
        <item x="374"/>
        <item x="385"/>
        <item m="1" x="898"/>
        <item x="370"/>
        <item x="444"/>
        <item x="357"/>
        <item x="423"/>
        <item x="311"/>
        <item x="332"/>
        <item x="315"/>
        <item x="336"/>
        <item x="396"/>
        <item x="365"/>
        <item x="339"/>
        <item x="391"/>
        <item x="314"/>
        <item x="340"/>
        <item x="389"/>
        <item x="418"/>
        <item x="401"/>
        <item x="364"/>
        <item x="186"/>
        <item x="435"/>
        <item x="449"/>
        <item m="1" x="997"/>
        <item m="1" x="512"/>
        <item m="1" x="735"/>
        <item m="1" x="633"/>
        <item m="1" x="928"/>
        <item m="1" x="543"/>
        <item m="1" x="930"/>
        <item x="400"/>
        <item m="1" x="613"/>
        <item m="1" x="756"/>
        <item m="1" x="1021"/>
        <item m="1" x="579"/>
        <item m="1" x="868"/>
        <item m="1" x="487"/>
        <item m="1" x="872"/>
        <item m="1" x="471"/>
        <item m="1" x="716"/>
        <item m="1" x="615"/>
        <item m="1" x="628"/>
        <item m="1" x="897"/>
        <item m="1" x="855"/>
        <item m="1" x="785"/>
        <item m="1" x="497"/>
        <item m="1" x="966"/>
        <item m="1" x="1001"/>
        <item m="1" x="764"/>
        <item m="1" x="515"/>
        <item m="1" x="739"/>
        <item m="1" x="605"/>
        <item m="1" x="693"/>
        <item x="356"/>
        <item x="345"/>
        <item m="1" x="809"/>
        <item m="1" x="590"/>
        <item x="419"/>
        <item m="1" x="522"/>
        <item m="1" x="775"/>
        <item m="1" x="815"/>
        <item m="1" x="983"/>
        <item m="1" x="594"/>
        <item m="1" x="586"/>
        <item m="1" x="1033"/>
        <item m="1" x="909"/>
        <item m="1" x="549"/>
        <item m="1" x="986"/>
        <item m="1" x="890"/>
        <item x="380"/>
        <item m="1" x="991"/>
        <item m="1" x="684"/>
        <item x="310"/>
        <item m="1" x="875"/>
        <item x="267"/>
      </items>
    </pivotField>
    <pivotField showAll="0"/>
    <pivotField axis="axisPage" showAll="0" defaultSubtotal="0">
      <items count="5">
        <item x="3"/>
        <item x="1"/>
        <item x="0"/>
        <item x="2"/>
        <item m="1" x="4"/>
      </items>
    </pivotField>
    <pivotField showAll="0" defaultSubtotal="0"/>
    <pivotField showAll="0" defaultSubtotal="0"/>
    <pivotField dataField="1" showAll="0"/>
    <pivotField showAll="0" defaultSubtotal="0"/>
    <pivotField axis="axisRow" showAll="0" defaultSubtotal="0">
      <items count="5">
        <item n="Phase: Installation" x="1"/>
        <item n="_x000a_Phase: Project Launch" x="0"/>
        <item n="Phase: Adherence, Parameterization and Training" x="4"/>
        <item n="Phase: Release and Follow-up" x="2"/>
        <item x="3"/>
      </items>
    </pivotField>
    <pivotField axis="axisPage" showAll="0" defaultSubtotal="0">
      <items count="3">
        <item x="0"/>
        <item x="1"/>
        <item x="2"/>
      </items>
    </pivotField>
  </pivotFields>
  <rowFields count="3">
    <field x="11"/>
    <field x="2"/>
    <field x="4"/>
  </rowFields>
  <rowItems count="12">
    <i>
      <x/>
    </i>
    <i r="1">
      <x v="140"/>
    </i>
    <i r="2">
      <x v="586"/>
    </i>
    <i>
      <x v="1"/>
    </i>
    <i r="1">
      <x v="139"/>
    </i>
    <i r="2">
      <x v="585"/>
    </i>
    <i>
      <x v="3"/>
    </i>
    <i r="1">
      <x v="27"/>
    </i>
    <i r="2">
      <x v="587"/>
    </i>
    <i r="2">
      <x v="588"/>
    </i>
    <i r="2">
      <x v="589"/>
    </i>
    <i t="grand">
      <x/>
    </i>
  </rowItems>
  <colItems count="1">
    <i/>
  </colItems>
  <pageFields count="2">
    <pageField fld="6" item="2" hier="-1"/>
    <pageField fld="12" item="0" hier="-1"/>
  </pageFields>
  <dataFields count="1">
    <dataField name="Hours" fld="9" baseField="10" baseItem="0"/>
  </dataFields>
  <formats count="56">
    <format dxfId="286">
      <pivotArea outline="0" collapsedLevelsAreSubtotals="1" fieldPosition="0"/>
    </format>
    <format dxfId="285">
      <pivotArea dataOnly="0" labelOnly="1" outline="0" axis="axisValues" fieldPosition="0"/>
    </format>
    <format dxfId="284">
      <pivotArea outline="0" collapsedLevelsAreSubtotals="1" fieldPosition="0"/>
    </format>
    <format dxfId="283">
      <pivotArea dataOnly="0" labelOnly="1" outline="0" axis="axisValues" fieldPosition="0"/>
    </format>
    <format dxfId="282">
      <pivotArea type="all" dataOnly="0" outline="0" fieldPosition="0"/>
    </format>
    <format dxfId="281">
      <pivotArea outline="0" collapsedLevelsAreSubtotals="1" fieldPosition="0"/>
    </format>
    <format dxfId="280">
      <pivotArea dataOnly="0" labelOnly="1" outline="0" axis="axisValues" fieldPosition="0"/>
    </format>
    <format dxfId="279">
      <pivotArea dataOnly="0" labelOnly="1" grandRow="1" outline="0" fieldPosition="0"/>
    </format>
    <format dxfId="278">
      <pivotArea dataOnly="0" labelOnly="1" outline="0" axis="axisValues" fieldPosition="0"/>
    </format>
    <format dxfId="277">
      <pivotArea type="all" dataOnly="0" outline="0" fieldPosition="0"/>
    </format>
    <format dxfId="276">
      <pivotArea outline="0" collapsedLevelsAreSubtotals="1" fieldPosition="0"/>
    </format>
    <format dxfId="275">
      <pivotArea dataOnly="0" labelOnly="1" outline="0" axis="axisValues" fieldPosition="0"/>
    </format>
    <format dxfId="274">
      <pivotArea dataOnly="0" labelOnly="1" grandRow="1" outline="0" fieldPosition="0"/>
    </format>
    <format dxfId="273">
      <pivotArea dataOnly="0" labelOnly="1" outline="0" axis="axisValues" fieldPosition="0"/>
    </format>
    <format dxfId="272">
      <pivotArea type="all" dataOnly="0" outline="0" fieldPosition="0"/>
    </format>
    <format dxfId="271">
      <pivotArea outline="0" collapsedLevelsAreSubtotals="1" fieldPosition="0"/>
    </format>
    <format dxfId="270">
      <pivotArea dataOnly="0" labelOnly="1" outline="0" axis="axisValues" fieldPosition="0"/>
    </format>
    <format dxfId="269">
      <pivotArea dataOnly="0" labelOnly="1" grandRow="1" outline="0" fieldPosition="0"/>
    </format>
    <format dxfId="268">
      <pivotArea dataOnly="0" labelOnly="1" outline="0" axis="axisValues" fieldPosition="0"/>
    </format>
    <format dxfId="267">
      <pivotArea type="all" dataOnly="0" outline="0" fieldPosition="0"/>
    </format>
    <format dxfId="266">
      <pivotArea outline="0" collapsedLevelsAreSubtotals="1" fieldPosition="0"/>
    </format>
    <format dxfId="265">
      <pivotArea dataOnly="0" labelOnly="1" outline="0" axis="axisValues" fieldPosition="0"/>
    </format>
    <format dxfId="264">
      <pivotArea dataOnly="0" labelOnly="1" grandRow="1" outline="0" fieldPosition="0"/>
    </format>
    <format dxfId="263">
      <pivotArea dataOnly="0" labelOnly="1" outline="0" axis="axisValues" fieldPosition="0"/>
    </format>
    <format dxfId="262">
      <pivotArea type="all" dataOnly="0" outline="0" fieldPosition="0"/>
    </format>
    <format dxfId="261">
      <pivotArea outline="0" collapsedLevelsAreSubtotals="1" fieldPosition="0"/>
    </format>
    <format dxfId="260">
      <pivotArea dataOnly="0" labelOnly="1" outline="0" axis="axisValues" fieldPosition="0"/>
    </format>
    <format dxfId="259">
      <pivotArea dataOnly="0" labelOnly="1" grandRow="1" outline="0" fieldPosition="0"/>
    </format>
    <format dxfId="258">
      <pivotArea dataOnly="0" labelOnly="1" outline="0" axis="axisValues" fieldPosition="0"/>
    </format>
    <format dxfId="257">
      <pivotArea type="all" dataOnly="0" outline="0" fieldPosition="0"/>
    </format>
    <format dxfId="256">
      <pivotArea outline="0" collapsedLevelsAreSubtotals="1" fieldPosition="0"/>
    </format>
    <format dxfId="255">
      <pivotArea dataOnly="0" labelOnly="1" outline="0" axis="axisValues" fieldPosition="0"/>
    </format>
    <format dxfId="254">
      <pivotArea dataOnly="0" labelOnly="1" grandRow="1" outline="0" fieldPosition="0"/>
    </format>
    <format dxfId="253">
      <pivotArea dataOnly="0" labelOnly="1" outline="0" axis="axisValues" fieldPosition="0"/>
    </format>
    <format dxfId="252">
      <pivotArea type="all" dataOnly="0" outline="0" fieldPosition="0"/>
    </format>
    <format dxfId="251">
      <pivotArea outline="0" collapsedLevelsAreSubtotals="1" fieldPosition="0"/>
    </format>
    <format dxfId="250">
      <pivotArea dataOnly="0" labelOnly="1" outline="0" axis="axisValues" fieldPosition="0"/>
    </format>
    <format dxfId="249">
      <pivotArea dataOnly="0" labelOnly="1" fieldPosition="0">
        <references count="1">
          <reference field="11" count="4">
            <x v="0"/>
            <x v="1"/>
            <x v="2"/>
            <x v="3"/>
          </reference>
        </references>
      </pivotArea>
    </format>
    <format dxfId="248">
      <pivotArea dataOnly="0" labelOnly="1" grandRow="1" outline="0" fieldPosition="0"/>
    </format>
    <format dxfId="247">
      <pivotArea dataOnly="0" labelOnly="1" fieldPosition="0">
        <references count="2">
          <reference field="2" count="1">
            <x v="140"/>
          </reference>
          <reference field="11" count="1" selected="0">
            <x v="0"/>
          </reference>
        </references>
      </pivotArea>
    </format>
    <format dxfId="246">
      <pivotArea dataOnly="0" labelOnly="1" fieldPosition="0">
        <references count="2">
          <reference field="2" count="1">
            <x v="139"/>
          </reference>
          <reference field="11" count="1" selected="0">
            <x v="1"/>
          </reference>
        </references>
      </pivotArea>
    </format>
    <format dxfId="245">
      <pivotArea dataOnly="0" labelOnly="1" fieldPosition="0">
        <references count="2">
          <reference field="2" count="9">
            <x v="143"/>
            <x v="144"/>
            <x v="145"/>
            <x v="146"/>
            <x v="147"/>
            <x v="148"/>
            <x v="149"/>
            <x v="150"/>
            <x v="151"/>
          </reference>
          <reference field="11" count="1" selected="0">
            <x v="2"/>
          </reference>
        </references>
      </pivotArea>
    </format>
    <format dxfId="244">
      <pivotArea dataOnly="0" labelOnly="1" fieldPosition="0">
        <references count="2">
          <reference field="2" count="1">
            <x v="27"/>
          </reference>
          <reference field="11" count="1" selected="0">
            <x v="3"/>
          </reference>
        </references>
      </pivotArea>
    </format>
    <format dxfId="243">
      <pivotArea dataOnly="0" labelOnly="1" fieldPosition="0">
        <references count="3">
          <reference field="2" count="1" selected="0">
            <x v="140"/>
          </reference>
          <reference field="4" count="1">
            <x v="586"/>
          </reference>
          <reference field="11" count="1" selected="0">
            <x v="0"/>
          </reference>
        </references>
      </pivotArea>
    </format>
    <format dxfId="242">
      <pivotArea dataOnly="0" labelOnly="1" fieldPosition="0">
        <references count="3">
          <reference field="2" count="1" selected="0">
            <x v="139"/>
          </reference>
          <reference field="4" count="1">
            <x v="585"/>
          </reference>
          <reference field="11" count="1" selected="0">
            <x v="1"/>
          </reference>
        </references>
      </pivotArea>
    </format>
    <format dxfId="241">
      <pivotArea dataOnly="0" labelOnly="1" fieldPosition="0">
        <references count="3">
          <reference field="2" count="1" selected="0">
            <x v="143"/>
          </reference>
          <reference field="4" count="18">
            <x v="307"/>
            <x v="322"/>
            <x v="590"/>
            <x v="591"/>
            <x v="592"/>
            <x v="593"/>
            <x v="594"/>
            <x v="595"/>
            <x v="596"/>
            <x v="597"/>
            <x v="598"/>
            <x v="599"/>
            <x v="601"/>
            <x v="602"/>
            <x v="603"/>
            <x v="604"/>
            <x v="605"/>
            <x v="606"/>
          </reference>
          <reference field="11" count="1" selected="0">
            <x v="2"/>
          </reference>
        </references>
      </pivotArea>
    </format>
    <format dxfId="240">
      <pivotArea dataOnly="0" labelOnly="1" fieldPosition="0">
        <references count="3">
          <reference field="2" count="1" selected="0">
            <x v="144"/>
          </reference>
          <reference field="4" count="4">
            <x v="607"/>
            <x v="608"/>
            <x v="609"/>
            <x v="852"/>
          </reference>
          <reference field="11" count="1" selected="0">
            <x v="2"/>
          </reference>
        </references>
      </pivotArea>
    </format>
    <format dxfId="239">
      <pivotArea dataOnly="0" labelOnly="1" fieldPosition="0">
        <references count="3">
          <reference field="2" count="1" selected="0">
            <x v="145"/>
          </reference>
          <reference field="4" count="1">
            <x v="610"/>
          </reference>
          <reference field="11" count="1" selected="0">
            <x v="2"/>
          </reference>
        </references>
      </pivotArea>
    </format>
    <format dxfId="238">
      <pivotArea dataOnly="0" labelOnly="1" fieldPosition="0">
        <references count="3">
          <reference field="2" count="1" selected="0">
            <x v="146"/>
          </reference>
          <reference field="4" count="11">
            <x v="328"/>
            <x v="611"/>
            <x v="613"/>
            <x v="614"/>
            <x v="615"/>
            <x v="616"/>
            <x v="617"/>
            <x v="618"/>
            <x v="619"/>
            <x v="620"/>
            <x v="622"/>
          </reference>
          <reference field="11" count="1" selected="0">
            <x v="2"/>
          </reference>
        </references>
      </pivotArea>
    </format>
    <format dxfId="237">
      <pivotArea dataOnly="0" labelOnly="1" fieldPosition="0">
        <references count="3">
          <reference field="2" count="1" selected="0">
            <x v="147"/>
          </reference>
          <reference field="4" count="4">
            <x v="623"/>
            <x v="624"/>
            <x v="626"/>
            <x v="627"/>
          </reference>
          <reference field="11" count="1" selected="0">
            <x v="2"/>
          </reference>
        </references>
      </pivotArea>
    </format>
    <format dxfId="236">
      <pivotArea dataOnly="0" labelOnly="1" fieldPosition="0">
        <references count="3">
          <reference field="2" count="1" selected="0">
            <x v="148"/>
          </reference>
          <reference field="4" count="7">
            <x v="628"/>
            <x v="629"/>
            <x v="631"/>
            <x v="633"/>
            <x v="634"/>
            <x v="635"/>
            <x v="636"/>
          </reference>
          <reference field="11" count="1" selected="0">
            <x v="2"/>
          </reference>
        </references>
      </pivotArea>
    </format>
    <format dxfId="235">
      <pivotArea dataOnly="0" labelOnly="1" fieldPosition="0">
        <references count="3">
          <reference field="2" count="1" selected="0">
            <x v="149"/>
          </reference>
          <reference field="4" count="4">
            <x v="637"/>
            <x v="638"/>
            <x v="639"/>
            <x v="640"/>
          </reference>
          <reference field="11" count="1" selected="0">
            <x v="2"/>
          </reference>
        </references>
      </pivotArea>
    </format>
    <format dxfId="234">
      <pivotArea dataOnly="0" labelOnly="1" fieldPosition="0">
        <references count="3">
          <reference field="2" count="1" selected="0">
            <x v="150"/>
          </reference>
          <reference field="4" count="5">
            <x v="641"/>
            <x v="642"/>
            <x v="643"/>
            <x v="644"/>
            <x v="645"/>
          </reference>
          <reference field="11" count="1" selected="0">
            <x v="2"/>
          </reference>
        </references>
      </pivotArea>
    </format>
    <format dxfId="233">
      <pivotArea dataOnly="0" labelOnly="1" fieldPosition="0">
        <references count="3">
          <reference field="2" count="1" selected="0">
            <x v="151"/>
          </reference>
          <reference field="4" count="9">
            <x v="379"/>
            <x v="654"/>
            <x v="655"/>
            <x v="657"/>
            <x v="658"/>
            <x v="660"/>
            <x v="662"/>
            <x v="663"/>
            <x v="664"/>
          </reference>
          <reference field="11" count="1" selected="0">
            <x v="2"/>
          </reference>
        </references>
      </pivotArea>
    </format>
    <format dxfId="232">
      <pivotArea dataOnly="0" labelOnly="1" fieldPosition="0">
        <references count="3">
          <reference field="2" count="1" selected="0">
            <x v="27"/>
          </reference>
          <reference field="4" count="3">
            <x v="587"/>
            <x v="588"/>
            <x v="589"/>
          </reference>
          <reference field="11" count="1" selected="0">
            <x v="3"/>
          </reference>
        </references>
      </pivotArea>
    </format>
    <format dxfId="231">
      <pivotArea dataOnly="0" labelOnly="1" outline="0" axis="axisValues"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6DDE6D-5553-4BCB-8725-0E648F374B7E}" name="Tabela Dinâmica1" cacheId="2" applyNumberFormats="0" applyBorderFormats="0" applyFontFormats="0" applyPatternFormats="0" applyAlignmentFormats="0" applyWidthHeightFormats="1" dataCaption="Values" grandTotalCaption="Total" updatedVersion="6" minRefreshableVersion="3" showDrill="0" useAutoFormatting="1" itemPrintTitles="1" createdVersion="6" indent="0" showHeaders="0" outline="1" outlineData="1" multipleFieldFilters="0" rowHeaderCaption="Function">
  <location ref="B13:C553" firstHeaderRow="1" firstDataRow="1" firstDataCol="1" rowPageCount="2" colPageCount="1"/>
  <pivotFields count="13">
    <pivotField showAll="0" defaultSubtotal="0"/>
    <pivotField showAll="0"/>
    <pivotField axis="axisRow" showAll="0" defaultSubtotal="0">
      <items count="241">
        <item m="1" x="178"/>
        <item m="1" x="158"/>
        <item m="1" x="200"/>
        <item m="1" x="227"/>
        <item m="1" x="222"/>
        <item m="1" x="139"/>
        <item m="1" x="177"/>
        <item m="1" x="218"/>
        <item m="1" x="180"/>
        <item m="1" x="229"/>
        <item m="1" x="190"/>
        <item m="1" x="232"/>
        <item m="1" x="228"/>
        <item m="1" x="134"/>
        <item x="27"/>
        <item m="1" x="110"/>
        <item m="1" x="205"/>
        <item m="1" x="150"/>
        <item m="1" x="148"/>
        <item m="1" x="206"/>
        <item m="1" x="236"/>
        <item m="1" x="161"/>
        <item m="1" x="127"/>
        <item m="1" x="160"/>
        <item m="1" x="98"/>
        <item m="1" x="155"/>
        <item m="1" x="170"/>
        <item x="2"/>
        <item m="1" x="157"/>
        <item m="1" x="149"/>
        <item m="1" x="195"/>
        <item m="1" x="107"/>
        <item x="40"/>
        <item m="1" x="189"/>
        <item m="1" x="137"/>
        <item m="1" x="219"/>
        <item m="1" x="183"/>
        <item m="1" x="210"/>
        <item m="1" x="153"/>
        <item m="1" x="112"/>
        <item m="1" x="202"/>
        <item m="1" x="194"/>
        <item m="1" x="143"/>
        <item m="1" x="216"/>
        <item m="1" x="116"/>
        <item m="1" x="239"/>
        <item m="1" x="120"/>
        <item m="1" x="130"/>
        <item m="1" x="99"/>
        <item m="1" x="123"/>
        <item m="1" x="101"/>
        <item m="1" x="96"/>
        <item m="1" x="221"/>
        <item m="1" x="226"/>
        <item m="1" x="119"/>
        <item m="1" x="196"/>
        <item m="1" x="198"/>
        <item m="1" x="201"/>
        <item m="1" x="104"/>
        <item m="1" x="209"/>
        <item x="46"/>
        <item m="1" x="225"/>
        <item m="1" x="131"/>
        <item x="53"/>
        <item m="1" x="117"/>
        <item m="1" x="207"/>
        <item x="75"/>
        <item m="1" x="191"/>
        <item m="1" x="114"/>
        <item m="1" x="211"/>
        <item m="1" x="193"/>
        <item m="1" x="108"/>
        <item m="1" x="167"/>
        <item m="1" x="186"/>
        <item x="5"/>
        <item m="1" x="126"/>
        <item m="1" x="136"/>
        <item m="1" x="106"/>
        <item m="1" x="124"/>
        <item m="1" x="171"/>
        <item m="1" x="163"/>
        <item m="1" x="217"/>
        <item m="1" x="220"/>
        <item m="1" x="165"/>
        <item m="1" x="152"/>
        <item m="1" x="175"/>
        <item x="14"/>
        <item x="15"/>
        <item x="16"/>
        <item m="1" x="208"/>
        <item m="1" x="169"/>
        <item m="1" x="197"/>
        <item m="1" x="147"/>
        <item m="1" x="135"/>
        <item m="1" x="121"/>
        <item m="1" x="156"/>
        <item m="1" x="188"/>
        <item m="1" x="105"/>
        <item m="1" x="109"/>
        <item m="1" x="113"/>
        <item m="1" x="235"/>
        <item m="1" x="212"/>
        <item x="31"/>
        <item x="32"/>
        <item m="1" x="125"/>
        <item m="1" x="132"/>
        <item m="1" x="144"/>
        <item x="36"/>
        <item m="1" x="174"/>
        <item m="1" x="187"/>
        <item m="1" x="237"/>
        <item m="1" x="179"/>
        <item m="1" x="214"/>
        <item x="43"/>
        <item m="1" x="129"/>
        <item m="1" x="141"/>
        <item m="1" x="233"/>
        <item m="1" x="215"/>
        <item x="49"/>
        <item m="1" x="140"/>
        <item m="1" x="146"/>
        <item x="52"/>
        <item x="54"/>
        <item m="1" x="238"/>
        <item m="1" x="115"/>
        <item m="1" x="111"/>
        <item m="1" x="97"/>
        <item m="1" x="162"/>
        <item m="1" x="154"/>
        <item m="1" x="168"/>
        <item m="1" x="185"/>
        <item m="1" x="192"/>
        <item m="1" x="224"/>
        <item m="1" x="118"/>
        <item m="1" x="102"/>
        <item m="1" x="223"/>
        <item m="1" x="159"/>
        <item x="70"/>
        <item x="71"/>
        <item x="0"/>
        <item x="1"/>
        <item x="3"/>
        <item x="4"/>
        <item x="6"/>
        <item x="7"/>
        <item x="8"/>
        <item x="9"/>
        <item x="10"/>
        <item x="11"/>
        <item x="12"/>
        <item x="13"/>
        <item x="17"/>
        <item x="18"/>
        <item x="19"/>
        <item x="20"/>
        <item x="21"/>
        <item x="22"/>
        <item x="23"/>
        <item x="24"/>
        <item x="25"/>
        <item x="26"/>
        <item x="28"/>
        <item x="29"/>
        <item x="30"/>
        <item x="33"/>
        <item x="34"/>
        <item x="35"/>
        <item x="37"/>
        <item x="38"/>
        <item x="39"/>
        <item x="41"/>
        <item x="42"/>
        <item x="44"/>
        <item x="45"/>
        <item x="47"/>
        <item x="48"/>
        <item x="50"/>
        <item x="51"/>
        <item x="55"/>
        <item x="56"/>
        <item x="57"/>
        <item x="58"/>
        <item x="59"/>
        <item x="60"/>
        <item x="61"/>
        <item x="62"/>
        <item x="63"/>
        <item x="64"/>
        <item x="65"/>
        <item x="66"/>
        <item x="67"/>
        <item x="68"/>
        <item x="69"/>
        <item x="72"/>
        <item x="73"/>
        <item x="74"/>
        <item m="1" x="173"/>
        <item m="1" x="122"/>
        <item m="1" x="172"/>
        <item m="1" x="103"/>
        <item m="1" x="164"/>
        <item m="1" x="151"/>
        <item m="1" x="203"/>
        <item m="1" x="145"/>
        <item m="1" x="231"/>
        <item m="1" x="133"/>
        <item m="1" x="166"/>
        <item m="1" x="142"/>
        <item m="1" x="230"/>
        <item m="1" x="213"/>
        <item m="1" x="138"/>
        <item m="1" x="181"/>
        <item m="1" x="100"/>
        <item m="1" x="234"/>
        <item m="1" x="199"/>
        <item m="1" x="240"/>
        <item m="1" x="176"/>
        <item m="1" x="128"/>
        <item m="1" x="204"/>
        <item m="1" x="184"/>
        <item x="95"/>
        <item m="1" x="182"/>
        <item x="76"/>
        <item x="77"/>
        <item x="78"/>
        <item x="79"/>
        <item x="80"/>
        <item x="81"/>
        <item x="82"/>
        <item x="83"/>
        <item x="84"/>
        <item x="85"/>
        <item x="86"/>
        <item x="87"/>
        <item x="88"/>
        <item x="89"/>
        <item x="90"/>
        <item x="91"/>
        <item x="92"/>
        <item x="93"/>
        <item x="94"/>
      </items>
    </pivotField>
    <pivotField showAll="0" defaultSubtotal="0"/>
    <pivotField axis="axisRow" showAll="0" defaultSubtotal="0">
      <items count="1085">
        <item x="26"/>
        <item m="1" x="833"/>
        <item m="1" x="719"/>
        <item m="1" x="821"/>
        <item m="1" x="530"/>
        <item m="1" x="1017"/>
        <item m="1" x="561"/>
        <item m="1" x="587"/>
        <item m="1" x="519"/>
        <item m="1" x="784"/>
        <item m="1" x="569"/>
        <item m="1" x="888"/>
        <item m="1" x="787"/>
        <item m="1" x="912"/>
        <item m="1" x="758"/>
        <item m="1" x="641"/>
        <item m="1" x="749"/>
        <item m="1" x="780"/>
        <item m="1" x="1034"/>
        <item m="1" x="772"/>
        <item m="1" x="677"/>
        <item m="1" x="937"/>
        <item m="1" x="835"/>
        <item m="1" x="663"/>
        <item m="1" x="551"/>
        <item m="1" x="963"/>
        <item m="1" x="704"/>
        <item m="1" x="826"/>
        <item m="1" x="508"/>
        <item m="1" x="614"/>
        <item m="1" x="765"/>
        <item x="285"/>
        <item m="1" x="798"/>
        <item m="1" x="864"/>
        <item m="1" x="536"/>
        <item m="1" x="695"/>
        <item m="1" x="769"/>
        <item m="1" x="990"/>
        <item x="135"/>
        <item m="1" x="690"/>
        <item m="1" x="701"/>
        <item m="1" x="943"/>
        <item m="1" x="545"/>
        <item m="1" x="661"/>
        <item m="1" x="666"/>
        <item m="1" x="763"/>
        <item m="1" x="494"/>
        <item m="1" x="831"/>
        <item m="1" x="862"/>
        <item m="1" x="473"/>
        <item m="1" x="935"/>
        <item m="1" x="976"/>
        <item m="1" x="728"/>
        <item m="1" x="650"/>
        <item x="91"/>
        <item m="1" x="688"/>
        <item x="28"/>
        <item x="282"/>
        <item x="27"/>
        <item m="1" x="807"/>
        <item m="1" x="1051"/>
        <item m="1" x="493"/>
        <item m="1" x="853"/>
        <item m="1" x="541"/>
        <item m="1" x="967"/>
        <item m="1" x="624"/>
        <item m="1" x="592"/>
        <item m="1" x="892"/>
        <item m="1" x="776"/>
        <item m="1" x="476"/>
        <item m="1" x="926"/>
        <item m="1" x="626"/>
        <item m="1" x="567"/>
        <item m="1" x="478"/>
        <item m="1" x="578"/>
        <item m="1" x="696"/>
        <item m="1" x="813"/>
        <item m="1" x="1005"/>
        <item m="1" x="834"/>
        <item m="1" x="808"/>
        <item m="1" x="712"/>
        <item m="1" x="958"/>
        <item m="1" x="762"/>
        <item m="1" x="1007"/>
        <item m="1" x="707"/>
        <item m="1" x="850"/>
        <item m="1" x="931"/>
        <item m="1" x="881"/>
        <item m="1" x="711"/>
        <item m="1" x="572"/>
        <item m="1" x="1075"/>
        <item m="1" x="486"/>
        <item x="272"/>
        <item m="1" x="671"/>
        <item m="1" x="852"/>
        <item m="1" x="654"/>
        <item m="1" x="874"/>
        <item m="1" x="514"/>
        <item m="1" x="742"/>
        <item m="1" x="973"/>
        <item m="1" x="565"/>
        <item m="1" x="819"/>
        <item m="1" x="686"/>
        <item m="1" x="479"/>
        <item m="1" x="938"/>
        <item m="1" x="601"/>
        <item m="1" x="992"/>
        <item m="1" x="1042"/>
        <item m="1" x="901"/>
        <item m="1" x="499"/>
        <item m="1" x="582"/>
        <item m="1" x="995"/>
        <item m="1" x="859"/>
        <item m="1" x="873"/>
        <item m="1" x="781"/>
        <item m="1" x="646"/>
        <item m="1" x="832"/>
        <item m="1" x="810"/>
        <item m="1" x="516"/>
        <item m="1" x="796"/>
        <item m="1" x="461"/>
        <item m="1" x="955"/>
        <item m="1" x="936"/>
        <item m="1" x="564"/>
        <item m="1" x="736"/>
        <item m="1" x="913"/>
        <item m="1" x="882"/>
        <item m="1" x="907"/>
        <item m="1" x="950"/>
        <item m="1" x="827"/>
        <item m="1" x="680"/>
        <item m="1" x="583"/>
        <item m="1" x="504"/>
        <item m="1" x="799"/>
        <item m="1" x="481"/>
        <item m="1" x="495"/>
        <item m="1" x="869"/>
        <item m="1" x="678"/>
        <item m="1" x="1006"/>
        <item m="1" x="584"/>
        <item m="1" x="467"/>
        <item m="1" x="647"/>
        <item m="1" x="576"/>
        <item m="1" x="883"/>
        <item m="1" x="547"/>
        <item m="1" x="725"/>
        <item m="1" x="597"/>
        <item m="1" x="746"/>
        <item m="1" x="952"/>
        <item m="1" x="724"/>
        <item m="1" x="635"/>
        <item m="1" x="885"/>
        <item m="1" x="893"/>
        <item m="1" x="788"/>
        <item m="1" x="662"/>
        <item m="1" x="472"/>
        <item m="1" x="878"/>
        <item m="1" x="933"/>
        <item m="1" x="1054"/>
        <item m="1" x="816"/>
        <item m="1" x="585"/>
        <item m="1" x="524"/>
        <item m="1" x="842"/>
        <item m="1" x="905"/>
        <item m="1" x="485"/>
        <item m="1" x="602"/>
        <item m="1" x="900"/>
        <item m="1" x="896"/>
        <item m="1" x="470"/>
        <item m="1" x="525"/>
        <item m="1" x="839"/>
        <item m="1" x="904"/>
        <item m="1" x="660"/>
        <item x="93"/>
        <item m="1" x="1020"/>
        <item m="1" x="994"/>
        <item m="1" x="880"/>
        <item m="1" x="568"/>
        <item m="1" x="617"/>
        <item m="1" x="782"/>
        <item m="1" x="978"/>
        <item m="1" x="638"/>
        <item m="1" x="464"/>
        <item m="1" x="830"/>
        <item m="1" x="956"/>
        <item m="1" x="634"/>
        <item m="1" x="823"/>
        <item m="1" x="915"/>
        <item m="1" x="563"/>
        <item m="1" x="533"/>
        <item m="1" x="674"/>
        <item m="1" x="1062"/>
        <item m="1" x="608"/>
        <item m="1" x="847"/>
        <item m="1" x="999"/>
        <item m="1" x="518"/>
        <item m="1" x="1067"/>
        <item x="291"/>
        <item m="1" x="891"/>
        <item m="1" x="653"/>
        <item m="1" x="714"/>
        <item m="1" x="1019"/>
        <item m="1" x="960"/>
        <item m="1" x="779"/>
        <item m="1" x="1077"/>
        <item m="1" x="685"/>
        <item m="1" x="812"/>
        <item m="1" x="1080"/>
        <item m="1" x="1029"/>
        <item m="1" x="649"/>
        <item m="1" x="750"/>
        <item m="1" x="948"/>
        <item m="1" x="629"/>
        <item m="1" x="828"/>
        <item m="1" x="1027"/>
        <item m="1" x="886"/>
        <item m="1" x="783"/>
        <item m="1" x="555"/>
        <item m="1" x="1055"/>
        <item m="1" x="759"/>
        <item m="1" x="820"/>
        <item m="1" x="505"/>
        <item m="1" x="851"/>
        <item m="1" x="914"/>
        <item m="1" x="477"/>
        <item m="1" x="1041"/>
        <item m="1" x="922"/>
        <item m="1" x="856"/>
        <item m="1" x="837"/>
        <item m="1" x="962"/>
        <item m="1" x="817"/>
        <item m="1" x="1081"/>
        <item m="1" x="925"/>
        <item m="1" x="623"/>
        <item m="1" x="1000"/>
        <item m="1" x="730"/>
        <item m="1" x="658"/>
        <item m="1" x="526"/>
        <item m="1" x="616"/>
        <item m="1" x="509"/>
        <item m="1" x="934"/>
        <item m="1" x="560"/>
        <item m="1" x="483"/>
        <item m="1" x="1058"/>
        <item m="1" x="482"/>
        <item m="1" x="630"/>
        <item m="1" x="829"/>
        <item m="1" x="770"/>
        <item m="1" x="721"/>
        <item m="1" x="676"/>
        <item m="1" x="744"/>
        <item m="1" x="538"/>
        <item m="1" x="697"/>
        <item x="29"/>
        <item m="1" x="903"/>
        <item m="1" x="664"/>
        <item m="1" x="1072"/>
        <item m="1" x="1068"/>
        <item m="1" x="618"/>
        <item m="1" x="988"/>
        <item m="1" x="1037"/>
        <item m="1" x="959"/>
        <item m="1" x="552"/>
        <item m="1" x="520"/>
        <item m="1" x="556"/>
        <item m="1" x="631"/>
        <item m="1" x="500"/>
        <item m="1" x="919"/>
        <item m="1" x="767"/>
        <item m="1" x="884"/>
        <item m="1" x="927"/>
        <item m="1" x="854"/>
        <item m="1" x="877"/>
        <item m="1" x="861"/>
        <item m="1" x="971"/>
        <item m="1" x="502"/>
        <item m="1" x="857"/>
        <item m="1" x="797"/>
        <item m="1" x="537"/>
        <item m="1" x="620"/>
        <item m="1" x="535"/>
        <item m="1" x="1059"/>
        <item m="1" x="1073"/>
        <item m="1" x="625"/>
        <item m="1" x="737"/>
        <item m="1" x="745"/>
        <item m="1" x="596"/>
        <item m="1" x="987"/>
        <item m="1" x="1002"/>
        <item m="1" x="944"/>
        <item m="1" x="548"/>
        <item m="1" x="923"/>
        <item m="1" x="849"/>
        <item m="1" x="741"/>
        <item m="1" x="738"/>
        <item m="1" x="757"/>
        <item m="1" x="1070"/>
        <item x="5"/>
        <item m="1" x="908"/>
        <item m="1" x="655"/>
        <item m="1" x="465"/>
        <item m="1" x="1050"/>
        <item m="1" x="469"/>
        <item m="1" x="894"/>
        <item m="1" x="981"/>
        <item m="1" x="751"/>
        <item m="1" x="984"/>
        <item x="9"/>
        <item m="1" x="622"/>
        <item m="1" x="692"/>
        <item m="1" x="836"/>
        <item m="1" x="691"/>
        <item m="1" x="921"/>
        <item m="1" x="588"/>
        <item m="1" x="924"/>
        <item m="1" x="1024"/>
        <item m="1" x="863"/>
        <item m="1" x="523"/>
        <item m="1" x="920"/>
        <item m="1" x="670"/>
        <item m="1" x="463"/>
        <item m="1" x="532"/>
        <item x="24"/>
        <item m="1" x="822"/>
        <item m="1" x="731"/>
        <item m="1" x="945"/>
        <item m="1" x="554"/>
        <item m="1" x="574"/>
        <item x="34"/>
        <item m="1" x="989"/>
        <item m="1" x="1044"/>
        <item m="1" x="521"/>
        <item m="1" x="911"/>
        <item m="1" x="1047"/>
        <item m="1" x="1071"/>
        <item m="1" x="845"/>
        <item m="1" x="710"/>
        <item m="1" x="591"/>
        <item m="1" x="1069"/>
        <item m="1" x="917"/>
        <item m="1" x="743"/>
        <item m="1" x="510"/>
        <item m="1" x="702"/>
        <item m="1" x="1066"/>
        <item m="1" x="672"/>
        <item m="1" x="718"/>
        <item m="1" x="768"/>
        <item m="1" x="1076"/>
        <item m="1" x="818"/>
        <item m="1" x="652"/>
        <item m="1" x="632"/>
        <item m="1" x="865"/>
        <item m="1" x="824"/>
        <item m="1" x="805"/>
        <item m="1" x="668"/>
        <item m="1" x="715"/>
        <item m="1" x="643"/>
        <item m="1" x="534"/>
        <item m="1" x="1083"/>
        <item m="1" x="840"/>
        <item m="1" x="778"/>
        <item m="1" x="811"/>
        <item m="1" x="879"/>
        <item x="69"/>
        <item m="1" x="546"/>
        <item m="1" x="612"/>
        <item x="72"/>
        <item m="1" x="506"/>
        <item m="1" x="517"/>
        <item m="1" x="642"/>
        <item m="1" x="475"/>
        <item m="1" x="1053"/>
        <item m="1" x="965"/>
        <item m="1" x="954"/>
        <item m="1" x="610"/>
        <item m="1" x="969"/>
        <item m="1" x="1078"/>
        <item m="1" x="689"/>
        <item m="1" x="975"/>
        <item x="85"/>
        <item m="1" x="489"/>
        <item m="1" x="683"/>
        <item m="1" x="968"/>
        <item m="1" x="562"/>
        <item m="1" x="906"/>
        <item m="1" x="609"/>
        <item m="1" x="1074"/>
        <item m="1" x="806"/>
        <item m="1" x="593"/>
        <item m="1" x="1003"/>
        <item m="1" x="557"/>
        <item m="1" x="794"/>
        <item m="1" x="722"/>
        <item m="1" x="841"/>
        <item m="1" x="843"/>
        <item m="1" x="814"/>
        <item m="1" x="803"/>
        <item m="1" x="977"/>
        <item m="1" x="581"/>
        <item m="1" x="527"/>
        <item m="1" x="1035"/>
        <item m="1" x="747"/>
        <item m="1" x="488"/>
        <item m="1" x="648"/>
        <item m="1" x="723"/>
        <item m="1" x="542"/>
        <item x="114"/>
        <item m="1" x="1025"/>
        <item m="1" x="889"/>
        <item m="1" x="577"/>
        <item m="1" x="657"/>
        <item m="1" x="1016"/>
        <item m="1" x="755"/>
        <item m="1" x="951"/>
        <item m="1" x="1008"/>
        <item m="1" x="1056"/>
        <item m="1" x="604"/>
        <item m="1" x="1022"/>
        <item m="1" x="980"/>
        <item m="1" x="918"/>
        <item m="1" x="848"/>
        <item m="1" x="970"/>
        <item m="1" x="550"/>
        <item m="1" x="804"/>
        <item m="1" x="651"/>
        <item m="1" x="1018"/>
        <item m="1" x="870"/>
        <item m="1" x="570"/>
        <item m="1" x="844"/>
        <item x="139"/>
        <item x="140"/>
        <item m="1" x="468"/>
        <item m="1" x="838"/>
        <item m="1" x="659"/>
        <item m="1" x="1014"/>
        <item m="1" x="1082"/>
        <item m="1" x="1040"/>
        <item m="1" x="529"/>
        <item m="1" x="1015"/>
        <item m="1" x="1065"/>
        <item m="1" x="947"/>
        <item x="151"/>
        <item m="1" x="501"/>
        <item m="1" x="1046"/>
        <item m="1" x="528"/>
        <item m="1" x="1064"/>
        <item m="1" x="876"/>
        <item m="1" x="540"/>
        <item m="1" x="1032"/>
        <item m="1" x="998"/>
        <item m="1" x="760"/>
        <item x="161"/>
        <item m="1" x="589"/>
        <item m="1" x="867"/>
        <item m="1" x="544"/>
        <item m="1" x="1011"/>
        <item m="1" x="700"/>
        <item m="1" x="606"/>
        <item m="1" x="774"/>
        <item m="1" x="802"/>
        <item m="1" x="791"/>
        <item m="1" x="675"/>
        <item m="1" x="1028"/>
        <item m="1" x="1039"/>
        <item m="1" x="621"/>
        <item m="1" x="916"/>
        <item m="1" x="705"/>
        <item m="1" x="474"/>
        <item m="1" x="611"/>
        <item m="1" x="706"/>
        <item m="1" x="496"/>
        <item m="1" x="665"/>
        <item m="1" x="792"/>
        <item m="1" x="573"/>
        <item m="1" x="1043"/>
        <item m="1" x="932"/>
        <item m="1" x="940"/>
        <item m="1" x="1079"/>
        <item m="1" x="637"/>
        <item m="1" x="761"/>
        <item m="1" x="860"/>
        <item m="1" x="946"/>
        <item m="1" x="507"/>
        <item m="1" x="964"/>
        <item m="1" x="698"/>
        <item m="1" x="789"/>
        <item m="1" x="717"/>
        <item x="198"/>
        <item m="1" x="511"/>
        <item m="1" x="1031"/>
        <item m="1" x="513"/>
        <item m="1" x="727"/>
        <item m="1" x="740"/>
        <item m="1" x="982"/>
        <item m="1" x="941"/>
        <item m="1" x="619"/>
        <item m="1" x="996"/>
        <item m="1" x="531"/>
        <item m="1" x="734"/>
        <item m="1" x="902"/>
        <item m="1" x="1010"/>
        <item m="1" x="667"/>
        <item m="1" x="1061"/>
        <item m="1" x="559"/>
        <item m="1" x="607"/>
        <item m="1" x="639"/>
        <item m="1" x="974"/>
        <item m="1" x="460"/>
        <item m="1" x="1084"/>
        <item m="1" x="669"/>
        <item m="1" x="1036"/>
        <item m="1" x="580"/>
        <item x="223"/>
        <item x="224"/>
        <item x="225"/>
        <item x="226"/>
        <item m="1" x="491"/>
        <item m="1" x="490"/>
        <item m="1" x="645"/>
        <item m="1" x="603"/>
        <item m="1" x="492"/>
        <item m="1" x="771"/>
        <item m="1" x="729"/>
        <item m="1" x="871"/>
        <item m="1" x="979"/>
        <item m="1" x="575"/>
        <item m="1" x="1013"/>
        <item m="1" x="1023"/>
        <item m="1" x="1009"/>
        <item m="1" x="887"/>
        <item m="1" x="939"/>
        <item m="1" x="558"/>
        <item m="1" x="466"/>
        <item m="1" x="720"/>
        <item m="1" x="503"/>
        <item m="1" x="462"/>
        <item m="1" x="953"/>
        <item m="1" x="993"/>
        <item m="1" x="566"/>
        <item m="1" x="1060"/>
        <item m="1" x="846"/>
        <item m="1" x="708"/>
        <item m="1" x="1052"/>
        <item m="1" x="1038"/>
        <item m="1" x="910"/>
        <item m="1" x="673"/>
        <item m="1" x="825"/>
        <item m="1" x="498"/>
        <item m="1" x="773"/>
        <item m="1" x="793"/>
        <item m="1" x="599"/>
        <item m="1" x="480"/>
        <item m="1" x="949"/>
        <item m="1" x="598"/>
        <item m="1" x="459"/>
        <item m="1" x="640"/>
        <item m="1" x="1030"/>
        <item m="1" x="699"/>
        <item m="1" x="600"/>
        <item m="1" x="627"/>
        <item m="1" x="858"/>
        <item m="1" x="786"/>
        <item m="1" x="713"/>
        <item m="1" x="682"/>
        <item m="1" x="681"/>
        <item m="1" x="703"/>
        <item m="1" x="595"/>
        <item m="1" x="458"/>
        <item m="1" x="709"/>
        <item m="1" x="748"/>
        <item m="1" x="800"/>
        <item m="1" x="644"/>
        <item m="1" x="985"/>
        <item m="1" x="1012"/>
        <item m="1" x="866"/>
        <item x="290"/>
        <item x="292"/>
        <item m="1" x="1004"/>
        <item m="1" x="539"/>
        <item m="1" x="484"/>
        <item m="1" x="795"/>
        <item m="1" x="687"/>
        <item m="1" x="726"/>
        <item m="1" x="790"/>
        <item m="1" x="732"/>
        <item x="0"/>
        <item x="1"/>
        <item x="2"/>
        <item x="3"/>
        <item x="4"/>
        <item x="6"/>
        <item x="7"/>
        <item x="8"/>
        <item x="10"/>
        <item x="11"/>
        <item x="12"/>
        <item x="13"/>
        <item x="14"/>
        <item x="15"/>
        <item x="16"/>
        <item x="17"/>
        <item x="18"/>
        <item x="19"/>
        <item x="20"/>
        <item x="21"/>
        <item x="22"/>
        <item x="23"/>
        <item x="25"/>
        <item x="30"/>
        <item x="31"/>
        <item x="32"/>
        <item x="33"/>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70"/>
        <item x="71"/>
        <item x="73"/>
        <item x="74"/>
        <item x="75"/>
        <item x="76"/>
        <item x="77"/>
        <item x="78"/>
        <item x="79"/>
        <item x="80"/>
        <item x="81"/>
        <item x="82"/>
        <item x="83"/>
        <item x="84"/>
        <item x="86"/>
        <item x="87"/>
        <item x="88"/>
        <item x="89"/>
        <item x="90"/>
        <item x="92"/>
        <item x="94"/>
        <item x="95"/>
        <item x="96"/>
        <item x="97"/>
        <item x="98"/>
        <item x="99"/>
        <item x="100"/>
        <item x="101"/>
        <item x="102"/>
        <item x="103"/>
        <item x="104"/>
        <item x="105"/>
        <item x="106"/>
        <item x="107"/>
        <item x="108"/>
        <item x="109"/>
        <item x="110"/>
        <item x="111"/>
        <item x="112"/>
        <item x="113"/>
        <item x="115"/>
        <item x="116"/>
        <item x="117"/>
        <item x="118"/>
        <item x="119"/>
        <item x="120"/>
        <item x="121"/>
        <item x="122"/>
        <item x="123"/>
        <item x="124"/>
        <item x="125"/>
        <item x="126"/>
        <item m="1" x="777"/>
        <item x="128"/>
        <item x="129"/>
        <item x="130"/>
        <item x="131"/>
        <item x="132"/>
        <item x="133"/>
        <item x="136"/>
        <item x="137"/>
        <item x="138"/>
        <item x="141"/>
        <item x="142"/>
        <item x="143"/>
        <item x="144"/>
        <item x="145"/>
        <item x="146"/>
        <item x="147"/>
        <item x="148"/>
        <item x="149"/>
        <item x="150"/>
        <item x="152"/>
        <item x="153"/>
        <item x="154"/>
        <item x="155"/>
        <item x="156"/>
        <item x="157"/>
        <item x="158"/>
        <item x="159"/>
        <item x="160"/>
        <item x="162"/>
        <item x="163"/>
        <item x="164"/>
        <item x="165"/>
        <item x="166"/>
        <item x="167"/>
        <item x="168"/>
        <item x="169"/>
        <item x="170"/>
        <item x="171"/>
        <item x="172"/>
        <item x="173"/>
        <item x="174"/>
        <item x="175"/>
        <item x="176"/>
        <item x="177"/>
        <item x="178"/>
        <item x="179"/>
        <item x="180"/>
        <item x="181"/>
        <item x="182"/>
        <item x="183"/>
        <item x="184"/>
        <item x="185"/>
        <item x="187"/>
        <item x="188"/>
        <item x="189"/>
        <item x="190"/>
        <item x="191"/>
        <item x="192"/>
        <item x="193"/>
        <item x="194"/>
        <item x="195"/>
        <item x="196"/>
        <item x="197"/>
        <item x="199"/>
        <item x="200"/>
        <item x="201"/>
        <item x="202"/>
        <item x="203"/>
        <item x="204"/>
        <item x="205"/>
        <item x="206"/>
        <item x="207"/>
        <item x="208"/>
        <item x="209"/>
        <item x="210"/>
        <item x="211"/>
        <item x="212"/>
        <item x="213"/>
        <item x="214"/>
        <item x="215"/>
        <item x="216"/>
        <item x="217"/>
        <item x="218"/>
        <item m="1" x="694"/>
        <item x="220"/>
        <item x="221"/>
        <item x="222"/>
        <item x="227"/>
        <item x="228"/>
        <item x="229"/>
        <item x="230"/>
        <item x="231"/>
        <item x="232"/>
        <item x="233"/>
        <item x="234"/>
        <item x="235"/>
        <item x="236"/>
        <item x="237"/>
        <item x="238"/>
        <item x="239"/>
        <item x="240"/>
        <item x="241"/>
        <item x="242"/>
        <item x="243"/>
        <item x="244"/>
        <item x="245"/>
        <item x="246"/>
        <item x="247"/>
        <item x="248"/>
        <item x="249"/>
        <item x="250"/>
        <item x="251"/>
        <item x="252"/>
        <item x="253"/>
        <item m="1" x="753"/>
        <item x="255"/>
        <item x="256"/>
        <item x="257"/>
        <item x="258"/>
        <item x="259"/>
        <item x="260"/>
        <item x="261"/>
        <item x="262"/>
        <item x="263"/>
        <item x="264"/>
        <item x="265"/>
        <item x="266"/>
        <item x="268"/>
        <item x="269"/>
        <item x="270"/>
        <item x="271"/>
        <item x="273"/>
        <item x="274"/>
        <item x="275"/>
        <item x="276"/>
        <item x="277"/>
        <item x="278"/>
        <item x="279"/>
        <item x="280"/>
        <item x="281"/>
        <item x="283"/>
        <item x="284"/>
        <item x="286"/>
        <item x="287"/>
        <item x="288"/>
        <item x="289"/>
        <item x="293"/>
        <item x="294"/>
        <item m="1" x="972"/>
        <item x="296"/>
        <item x="297"/>
        <item x="298"/>
        <item x="299"/>
        <item x="300"/>
        <item m="1" x="1026"/>
        <item m="1" x="957"/>
        <item m="1" x="679"/>
        <item m="1" x="899"/>
        <item x="127"/>
        <item x="219"/>
        <item x="254"/>
        <item x="295"/>
        <item m="1" x="1045"/>
        <item m="1" x="733"/>
        <item m="1" x="752"/>
        <item m="1" x="929"/>
        <item x="134"/>
        <item x="301"/>
        <item x="302"/>
        <item x="303"/>
        <item x="304"/>
        <item m="1" x="801"/>
        <item m="1" x="961"/>
        <item m="1" x="636"/>
        <item m="1" x="942"/>
        <item m="1" x="656"/>
        <item m="1" x="1057"/>
        <item m="1" x="1048"/>
        <item m="1" x="754"/>
        <item m="1" x="895"/>
        <item m="1" x="1049"/>
        <item x="443"/>
        <item x="360"/>
        <item x="383"/>
        <item x="425"/>
        <item x="348"/>
        <item x="371"/>
        <item x="456"/>
        <item x="349"/>
        <item x="375"/>
        <item x="452"/>
        <item x="455"/>
        <item x="305"/>
        <item x="346"/>
        <item x="312"/>
        <item m="1" x="553"/>
        <item x="318"/>
        <item x="342"/>
        <item x="388"/>
        <item x="404"/>
        <item x="366"/>
        <item x="319"/>
        <item x="355"/>
        <item x="437"/>
        <item x="399"/>
        <item x="398"/>
        <item x="395"/>
        <item x="405"/>
        <item x="338"/>
        <item x="337"/>
        <item x="317"/>
        <item x="330"/>
        <item x="377"/>
        <item x="334"/>
        <item x="354"/>
        <item x="397"/>
        <item x="381"/>
        <item x="322"/>
        <item x="320"/>
        <item x="321"/>
        <item x="324"/>
        <item x="328"/>
        <item x="329"/>
        <item x="353"/>
        <item x="376"/>
        <item x="411"/>
        <item x="367"/>
        <item x="323"/>
        <item x="436"/>
        <item x="372"/>
        <item x="378"/>
        <item x="368"/>
        <item x="402"/>
        <item x="309"/>
        <item x="316"/>
        <item x="335"/>
        <item x="426"/>
        <item m="1" x="571"/>
        <item x="333"/>
        <item x="413"/>
        <item x="412"/>
        <item x="331"/>
        <item x="448"/>
        <item x="434"/>
        <item x="384"/>
        <item x="386"/>
        <item x="343"/>
        <item x="422"/>
        <item x="427"/>
        <item x="361"/>
        <item x="431"/>
        <item x="347"/>
        <item x="406"/>
        <item m="1" x="1063"/>
        <item x="447"/>
        <item x="327"/>
        <item x="451"/>
        <item x="439"/>
        <item x="433"/>
        <item x="438"/>
        <item x="325"/>
        <item x="350"/>
        <item x="351"/>
        <item x="352"/>
        <item x="450"/>
        <item m="1" x="766"/>
        <item x="307"/>
        <item x="363"/>
        <item x="313"/>
        <item x="420"/>
        <item x="432"/>
        <item x="446"/>
        <item x="392"/>
        <item x="362"/>
        <item x="394"/>
        <item x="430"/>
        <item x="387"/>
        <item x="415"/>
        <item x="416"/>
        <item x="445"/>
        <item x="403"/>
        <item x="344"/>
        <item x="326"/>
        <item x="441"/>
        <item x="393"/>
        <item x="421"/>
        <item x="341"/>
        <item x="429"/>
        <item x="440"/>
        <item x="414"/>
        <item x="308"/>
        <item x="373"/>
        <item x="453"/>
        <item x="417"/>
        <item x="409"/>
        <item x="390"/>
        <item x="424"/>
        <item x="428"/>
        <item x="442"/>
        <item x="306"/>
        <item x="454"/>
        <item x="382"/>
        <item x="410"/>
        <item x="407"/>
        <item x="379"/>
        <item x="359"/>
        <item x="457"/>
        <item x="358"/>
        <item x="369"/>
        <item x="408"/>
        <item x="374"/>
        <item x="385"/>
        <item m="1" x="898"/>
        <item x="370"/>
        <item x="444"/>
        <item x="357"/>
        <item x="423"/>
        <item x="311"/>
        <item x="332"/>
        <item x="315"/>
        <item x="336"/>
        <item x="396"/>
        <item x="365"/>
        <item x="339"/>
        <item x="391"/>
        <item x="314"/>
        <item x="340"/>
        <item x="389"/>
        <item x="418"/>
        <item x="401"/>
        <item x="364"/>
        <item x="186"/>
        <item x="435"/>
        <item x="449"/>
        <item m="1" x="997"/>
        <item m="1" x="512"/>
        <item m="1" x="735"/>
        <item m="1" x="633"/>
        <item m="1" x="928"/>
        <item m="1" x="543"/>
        <item m="1" x="930"/>
        <item x="400"/>
        <item m="1" x="613"/>
        <item m="1" x="756"/>
        <item m="1" x="1021"/>
        <item m="1" x="579"/>
        <item m="1" x="868"/>
        <item m="1" x="487"/>
        <item m="1" x="872"/>
        <item m="1" x="471"/>
        <item m="1" x="716"/>
        <item m="1" x="615"/>
        <item m="1" x="628"/>
        <item m="1" x="897"/>
        <item m="1" x="855"/>
        <item m="1" x="785"/>
        <item m="1" x="497"/>
        <item m="1" x="966"/>
        <item m="1" x="1001"/>
        <item m="1" x="764"/>
        <item m="1" x="515"/>
        <item m="1" x="739"/>
        <item m="1" x="605"/>
        <item m="1" x="693"/>
        <item x="356"/>
        <item x="345"/>
        <item m="1" x="809"/>
        <item m="1" x="590"/>
        <item x="419"/>
        <item m="1" x="522"/>
        <item m="1" x="775"/>
        <item m="1" x="815"/>
        <item m="1" x="983"/>
        <item m="1" x="594"/>
        <item m="1" x="586"/>
        <item m="1" x="1033"/>
        <item m="1" x="909"/>
        <item m="1" x="549"/>
        <item m="1" x="986"/>
        <item m="1" x="890"/>
        <item x="380"/>
        <item m="1" x="991"/>
        <item m="1" x="684"/>
        <item x="310"/>
        <item m="1" x="875"/>
        <item x="267"/>
      </items>
    </pivotField>
    <pivotField showAll="0"/>
    <pivotField axis="axisPage" showAll="0" defaultSubtotal="0">
      <items count="5">
        <item x="3"/>
        <item x="1"/>
        <item x="0"/>
        <item x="2"/>
        <item m="1" x="4"/>
      </items>
    </pivotField>
    <pivotField showAll="0" defaultSubtotal="0"/>
    <pivotField showAll="0" defaultSubtotal="0"/>
    <pivotField dataField="1" showAll="0"/>
    <pivotField showAll="0" defaultSubtotal="0"/>
    <pivotField axis="axisRow" showAll="0" defaultSubtotal="0">
      <items count="5">
        <item n="Phase: Installation" x="1"/>
        <item n="_x000a_Phase: Project Launch" x="0"/>
        <item n="Phase: Adherence, Parameterization and Training" x="4"/>
        <item n="Phase: Release and Follow-up" x="2"/>
        <item x="3"/>
      </items>
    </pivotField>
    <pivotField axis="axisPage" showAll="0" defaultSubtotal="0">
      <items count="3">
        <item x="0"/>
        <item x="1"/>
        <item x="2"/>
      </items>
    </pivotField>
  </pivotFields>
  <rowFields count="3">
    <field x="11"/>
    <field x="2"/>
    <field x="4"/>
  </rowFields>
  <rowItems count="540">
    <i>
      <x v="2"/>
    </i>
    <i r="1">
      <x v="14"/>
    </i>
    <i r="2">
      <x v="38"/>
    </i>
    <i r="1">
      <x v="32"/>
    </i>
    <i r="2">
      <x v="735"/>
    </i>
    <i r="1">
      <x v="60"/>
    </i>
    <i r="2">
      <x v="754"/>
    </i>
    <i r="1">
      <x v="63"/>
    </i>
    <i r="2">
      <x v="513"/>
    </i>
    <i r="1">
      <x v="66"/>
    </i>
    <i r="2">
      <x v="850"/>
    </i>
    <i r="2">
      <x v="851"/>
    </i>
    <i r="2">
      <x v="893"/>
    </i>
    <i r="2">
      <x v="1016"/>
    </i>
    <i r="2">
      <x v="1082"/>
    </i>
    <i r="1">
      <x v="86"/>
    </i>
    <i r="2">
      <x v="363"/>
    </i>
    <i r="2">
      <x v="366"/>
    </i>
    <i r="2">
      <x v="646"/>
    </i>
    <i r="2">
      <x v="647"/>
    </i>
    <i r="2">
      <x v="648"/>
    </i>
    <i r="2">
      <x v="649"/>
    </i>
    <i r="2">
      <x v="650"/>
    </i>
    <i r="1">
      <x v="87"/>
    </i>
    <i r="2">
      <x v="651"/>
    </i>
    <i r="2">
      <x v="652"/>
    </i>
    <i r="1">
      <x v="88"/>
    </i>
    <i r="2">
      <x v="653"/>
    </i>
    <i r="1">
      <x v="102"/>
    </i>
    <i r="2">
      <x v="429"/>
    </i>
    <i r="2">
      <x v="430"/>
    </i>
    <i r="2">
      <x v="708"/>
    </i>
    <i r="2">
      <x v="709"/>
    </i>
    <i r="2">
      <x v="710"/>
    </i>
    <i r="2">
      <x v="867"/>
    </i>
    <i r="1">
      <x v="103"/>
    </i>
    <i r="2">
      <x v="711"/>
    </i>
    <i r="2">
      <x v="712"/>
    </i>
    <i r="1">
      <x v="107"/>
    </i>
    <i r="2">
      <x v="441"/>
    </i>
    <i r="2">
      <x v="451"/>
    </i>
    <i r="2">
      <x v="717"/>
    </i>
    <i r="2">
      <x v="718"/>
    </i>
    <i r="2">
      <x v="719"/>
    </i>
    <i r="2">
      <x v="720"/>
    </i>
    <i r="2">
      <x v="721"/>
    </i>
    <i r="2">
      <x v="722"/>
    </i>
    <i r="2">
      <x v="723"/>
    </i>
    <i r="2">
      <x v="724"/>
    </i>
    <i r="2">
      <x v="725"/>
    </i>
    <i r="2">
      <x v="726"/>
    </i>
    <i r="2">
      <x v="727"/>
    </i>
    <i r="1">
      <x v="113"/>
    </i>
    <i r="2">
      <x v="745"/>
    </i>
    <i r="2">
      <x v="746"/>
    </i>
    <i r="2">
      <x v="747"/>
    </i>
    <i r="1">
      <x v="118"/>
    </i>
    <i r="2">
      <x v="762"/>
    </i>
    <i r="2">
      <x v="763"/>
    </i>
    <i r="2">
      <x v="764"/>
    </i>
    <i r="2">
      <x v="765"/>
    </i>
    <i r="2">
      <x v="766"/>
    </i>
    <i r="2">
      <x v="767"/>
    </i>
    <i r="2">
      <x v="768"/>
    </i>
    <i r="2">
      <x v="769"/>
    </i>
    <i r="2">
      <x v="770"/>
    </i>
    <i r="1">
      <x v="121"/>
    </i>
    <i r="2">
      <x v="512"/>
    </i>
    <i r="2">
      <x v="785"/>
    </i>
    <i r="1">
      <x v="122"/>
    </i>
    <i r="2">
      <x v="514"/>
    </i>
    <i r="2">
      <x v="515"/>
    </i>
    <i r="1">
      <x v="137"/>
    </i>
    <i r="2">
      <x v="57"/>
    </i>
    <i r="2">
      <x v="838"/>
    </i>
    <i r="2">
      <x v="839"/>
    </i>
    <i r="2">
      <x v="840"/>
    </i>
    <i r="1">
      <x v="138"/>
    </i>
    <i r="2">
      <x v="31"/>
    </i>
    <i r="1">
      <x v="143"/>
    </i>
    <i r="2">
      <x v="307"/>
    </i>
    <i r="2">
      <x v="322"/>
    </i>
    <i r="2">
      <x v="590"/>
    </i>
    <i r="2">
      <x v="591"/>
    </i>
    <i r="2">
      <x v="592"/>
    </i>
    <i r="2">
      <x v="593"/>
    </i>
    <i r="2">
      <x v="594"/>
    </i>
    <i r="2">
      <x v="595"/>
    </i>
    <i r="2">
      <x v="596"/>
    </i>
    <i r="2">
      <x v="597"/>
    </i>
    <i r="2">
      <x v="598"/>
    </i>
    <i r="2">
      <x v="599"/>
    </i>
    <i r="2">
      <x v="600"/>
    </i>
    <i r="2">
      <x v="601"/>
    </i>
    <i r="2">
      <x v="602"/>
    </i>
    <i r="2">
      <x v="603"/>
    </i>
    <i r="2">
      <x v="604"/>
    </i>
    <i r="2">
      <x v="605"/>
    </i>
    <i r="2">
      <x v="606"/>
    </i>
    <i r="1">
      <x v="144"/>
    </i>
    <i r="2">
      <x/>
    </i>
    <i r="2">
      <x v="56"/>
    </i>
    <i r="2">
      <x v="58"/>
    </i>
    <i r="2">
      <x v="253"/>
    </i>
    <i r="2">
      <x v="607"/>
    </i>
    <i r="2">
      <x v="608"/>
    </i>
    <i r="2">
      <x v="609"/>
    </i>
    <i r="2">
      <x v="852"/>
    </i>
    <i r="1">
      <x v="145"/>
    </i>
    <i r="2">
      <x v="610"/>
    </i>
    <i r="1">
      <x v="146"/>
    </i>
    <i r="2">
      <x v="328"/>
    </i>
    <i r="2">
      <x v="611"/>
    </i>
    <i r="2">
      <x v="612"/>
    </i>
    <i r="2">
      <x v="613"/>
    </i>
    <i r="2">
      <x v="614"/>
    </i>
    <i r="2">
      <x v="615"/>
    </i>
    <i r="2">
      <x v="616"/>
    </i>
    <i r="2">
      <x v="617"/>
    </i>
    <i r="2">
      <x v="618"/>
    </i>
    <i r="2">
      <x v="619"/>
    </i>
    <i r="2">
      <x v="620"/>
    </i>
    <i r="2">
      <x v="621"/>
    </i>
    <i r="2">
      <x v="622"/>
    </i>
    <i r="1">
      <x v="147"/>
    </i>
    <i r="2">
      <x v="623"/>
    </i>
    <i r="2">
      <x v="624"/>
    </i>
    <i r="2">
      <x v="625"/>
    </i>
    <i r="2">
      <x v="626"/>
    </i>
    <i r="2">
      <x v="627"/>
    </i>
    <i r="1">
      <x v="148"/>
    </i>
    <i r="2">
      <x v="628"/>
    </i>
    <i r="2">
      <x v="629"/>
    </i>
    <i r="2">
      <x v="630"/>
    </i>
    <i r="2">
      <x v="631"/>
    </i>
    <i r="2">
      <x v="632"/>
    </i>
    <i r="2">
      <x v="633"/>
    </i>
    <i r="2">
      <x v="634"/>
    </i>
    <i r="2">
      <x v="635"/>
    </i>
    <i r="2">
      <x v="636"/>
    </i>
    <i r="1">
      <x v="149"/>
    </i>
    <i r="2">
      <x v="637"/>
    </i>
    <i r="2">
      <x v="638"/>
    </i>
    <i r="2">
      <x v="639"/>
    </i>
    <i r="2">
      <x v="640"/>
    </i>
    <i r="1">
      <x v="150"/>
    </i>
    <i r="2">
      <x v="641"/>
    </i>
    <i r="2">
      <x v="642"/>
    </i>
    <i r="2">
      <x v="643"/>
    </i>
    <i r="2">
      <x v="644"/>
    </i>
    <i r="2">
      <x v="645"/>
    </i>
    <i r="1">
      <x v="151"/>
    </i>
    <i r="2">
      <x v="379"/>
    </i>
    <i r="2">
      <x v="654"/>
    </i>
    <i r="2">
      <x v="655"/>
    </i>
    <i r="2">
      <x v="656"/>
    </i>
    <i r="2">
      <x v="657"/>
    </i>
    <i r="2">
      <x v="658"/>
    </i>
    <i r="2">
      <x v="659"/>
    </i>
    <i r="2">
      <x v="660"/>
    </i>
    <i r="2">
      <x v="661"/>
    </i>
    <i r="2">
      <x v="662"/>
    </i>
    <i r="2">
      <x v="663"/>
    </i>
    <i r="2">
      <x v="664"/>
    </i>
    <i r="2">
      <x v="866"/>
    </i>
    <i r="2">
      <x v="869"/>
    </i>
    <i r="1">
      <x v="152"/>
    </i>
    <i r="2">
      <x v="54"/>
    </i>
    <i r="2">
      <x v="665"/>
    </i>
    <i r="1">
      <x v="153"/>
    </i>
    <i r="2">
      <x v="173"/>
    </i>
    <i r="2">
      <x v="666"/>
    </i>
    <i r="1">
      <x v="154"/>
    </i>
    <i r="2">
      <x v="667"/>
    </i>
    <i r="2">
      <x v="668"/>
    </i>
    <i r="2">
      <x v="669"/>
    </i>
    <i r="2">
      <x v="670"/>
    </i>
    <i r="2">
      <x v="671"/>
    </i>
    <i r="1">
      <x v="155"/>
    </i>
    <i r="2">
      <x v="672"/>
    </i>
    <i r="2">
      <x v="673"/>
    </i>
    <i r="2">
      <x v="674"/>
    </i>
    <i r="2">
      <x v="675"/>
    </i>
    <i r="1">
      <x v="156"/>
    </i>
    <i r="2">
      <x v="676"/>
    </i>
    <i r="2">
      <x v="868"/>
    </i>
    <i r="1">
      <x v="157"/>
    </i>
    <i r="2">
      <x v="677"/>
    </i>
    <i r="2">
      <x v="678"/>
    </i>
    <i r="2">
      <x v="679"/>
    </i>
    <i r="2">
      <x v="680"/>
    </i>
    <i r="2">
      <x v="681"/>
    </i>
    <i r="2">
      <x v="682"/>
    </i>
    <i r="1">
      <x v="158"/>
    </i>
    <i r="2">
      <x v="683"/>
    </i>
    <i r="1">
      <x v="159"/>
    </i>
    <i r="2">
      <x v="406"/>
    </i>
    <i r="2">
      <x v="684"/>
    </i>
    <i r="2">
      <x v="685"/>
    </i>
    <i r="2">
      <x v="686"/>
    </i>
    <i r="2">
      <x v="687"/>
    </i>
    <i r="2">
      <x v="688"/>
    </i>
    <i r="2">
      <x v="689"/>
    </i>
    <i r="2">
      <x v="690"/>
    </i>
    <i r="2">
      <x v="691"/>
    </i>
    <i r="2">
      <x v="692"/>
    </i>
    <i r="2">
      <x v="693"/>
    </i>
    <i r="2">
      <x v="694"/>
    </i>
    <i r="2">
      <x v="695"/>
    </i>
    <i r="1">
      <x v="160"/>
    </i>
    <i r="2">
      <x v="696"/>
    </i>
    <i r="2">
      <x v="697"/>
    </i>
    <i r="2">
      <x v="699"/>
    </i>
    <i r="2">
      <x v="700"/>
    </i>
    <i r="2">
      <x v="701"/>
    </i>
    <i r="2">
      <x v="702"/>
    </i>
    <i r="2">
      <x v="703"/>
    </i>
    <i r="2">
      <x v="704"/>
    </i>
    <i r="2">
      <x v="857"/>
    </i>
    <i r="2">
      <x v="865"/>
    </i>
    <i r="1">
      <x v="161"/>
    </i>
    <i r="2">
      <x v="705"/>
    </i>
    <i r="1">
      <x v="162"/>
    </i>
    <i r="2">
      <x v="706"/>
    </i>
    <i r="1">
      <x v="163"/>
    </i>
    <i r="2">
      <x v="707"/>
    </i>
    <i r="1">
      <x v="164"/>
    </i>
    <i r="2">
      <x v="713"/>
    </i>
    <i r="2">
      <x v="714"/>
    </i>
    <i r="1">
      <x v="165"/>
    </i>
    <i r="2">
      <x v="715"/>
    </i>
    <i r="1">
      <x v="166"/>
    </i>
    <i r="2">
      <x v="716"/>
    </i>
    <i r="1">
      <x v="167"/>
    </i>
    <i r="2">
      <x v="728"/>
    </i>
    <i r="2">
      <x v="729"/>
    </i>
    <i r="2">
      <x v="730"/>
    </i>
    <i r="2">
      <x v="731"/>
    </i>
    <i r="1">
      <x v="168"/>
    </i>
    <i r="2">
      <x v="732"/>
    </i>
    <i r="2">
      <x v="733"/>
    </i>
    <i r="1">
      <x v="169"/>
    </i>
    <i r="2">
      <x v="734"/>
    </i>
    <i r="1">
      <x v="170"/>
    </i>
    <i r="2">
      <x v="736"/>
    </i>
    <i r="2">
      <x v="737"/>
    </i>
    <i r="1">
      <x v="171"/>
    </i>
    <i r="2">
      <x v="738"/>
    </i>
    <i r="2">
      <x v="739"/>
    </i>
    <i r="2">
      <x v="740"/>
    </i>
    <i r="2">
      <x v="741"/>
    </i>
    <i r="2">
      <x v="742"/>
    </i>
    <i r="2">
      <x v="743"/>
    </i>
    <i r="2">
      <x v="744"/>
    </i>
    <i r="1">
      <x v="172"/>
    </i>
    <i r="2">
      <x v="748"/>
    </i>
    <i r="2">
      <x v="749"/>
    </i>
    <i r="2">
      <x v="750"/>
    </i>
    <i r="2">
      <x v="751"/>
    </i>
    <i r="2">
      <x v="1030"/>
    </i>
    <i r="1">
      <x v="173"/>
    </i>
    <i r="2">
      <x v="752"/>
    </i>
    <i r="2">
      <x v="753"/>
    </i>
    <i r="1">
      <x v="174"/>
    </i>
    <i r="2">
      <x v="755"/>
    </i>
    <i r="2">
      <x v="756"/>
    </i>
    <i r="2">
      <x v="757"/>
    </i>
    <i r="2">
      <x v="758"/>
    </i>
    <i r="2">
      <x v="759"/>
    </i>
    <i r="2">
      <x v="760"/>
    </i>
    <i r="1">
      <x v="175"/>
    </i>
    <i r="2">
      <x v="487"/>
    </i>
    <i r="2">
      <x v="761"/>
    </i>
    <i r="1">
      <x v="176"/>
    </i>
    <i r="2">
      <x v="771"/>
    </i>
    <i r="1">
      <x v="177"/>
    </i>
    <i r="2">
      <x v="772"/>
    </i>
    <i r="2">
      <x v="773"/>
    </i>
    <i r="2">
      <x v="774"/>
    </i>
    <i r="2">
      <x v="775"/>
    </i>
    <i r="2">
      <x v="776"/>
    </i>
    <i r="2">
      <x v="777"/>
    </i>
    <i r="2">
      <x v="778"/>
    </i>
    <i r="2">
      <x v="779"/>
    </i>
    <i r="2">
      <x v="780"/>
    </i>
    <i r="2">
      <x v="781"/>
    </i>
    <i r="2">
      <x v="783"/>
    </i>
    <i r="2">
      <x v="784"/>
    </i>
    <i r="2">
      <x v="858"/>
    </i>
    <i r="1">
      <x v="178"/>
    </i>
    <i r="2">
      <x v="786"/>
    </i>
    <i r="1">
      <x v="179"/>
    </i>
    <i r="2">
      <x v="787"/>
    </i>
    <i r="2">
      <x v="788"/>
    </i>
    <i r="2">
      <x v="789"/>
    </i>
    <i r="2">
      <x v="790"/>
    </i>
    <i r="1">
      <x v="180"/>
    </i>
    <i r="2">
      <x v="791"/>
    </i>
    <i r="2">
      <x v="792"/>
    </i>
    <i r="2">
      <x v="793"/>
    </i>
    <i r="2">
      <x v="794"/>
    </i>
    <i r="2">
      <x v="795"/>
    </i>
    <i r="2">
      <x v="796"/>
    </i>
    <i r="2">
      <x v="797"/>
    </i>
    <i r="2">
      <x v="932"/>
    </i>
    <i r="1">
      <x v="181"/>
    </i>
    <i r="2">
      <x v="798"/>
    </i>
    <i r="2">
      <x v="799"/>
    </i>
    <i r="2">
      <x v="800"/>
    </i>
    <i r="2">
      <x v="801"/>
    </i>
    <i r="2">
      <x v="802"/>
    </i>
    <i r="2">
      <x v="803"/>
    </i>
    <i r="2">
      <x v="804"/>
    </i>
    <i r="2">
      <x v="805"/>
    </i>
    <i r="2">
      <x v="806"/>
    </i>
    <i r="2">
      <x v="807"/>
    </i>
    <i r="2">
      <x v="808"/>
    </i>
    <i r="2">
      <x v="809"/>
    </i>
    <i r="2">
      <x v="810"/>
    </i>
    <i r="2">
      <x v="811"/>
    </i>
    <i r="1">
      <x v="182"/>
    </i>
    <i r="2">
      <x v="812"/>
    </i>
    <i r="2">
      <x v="814"/>
    </i>
    <i r="2">
      <x v="859"/>
    </i>
    <i r="1">
      <x v="183"/>
    </i>
    <i r="2">
      <x v="815"/>
    </i>
    <i r="2">
      <x v="816"/>
    </i>
    <i r="1">
      <x v="184"/>
    </i>
    <i r="2">
      <x v="817"/>
    </i>
    <i r="1">
      <x v="185"/>
    </i>
    <i r="2">
      <x v="818"/>
    </i>
    <i r="2">
      <x v="819"/>
    </i>
    <i r="1">
      <x v="186"/>
    </i>
    <i r="2">
      <x v="820"/>
    </i>
    <i r="2">
      <x v="821"/>
    </i>
    <i r="2">
      <x v="822"/>
    </i>
    <i r="2">
      <x v="823"/>
    </i>
    <i r="2">
      <x v="824"/>
    </i>
    <i r="1">
      <x v="187"/>
    </i>
    <i r="2">
      <x v="825"/>
    </i>
    <i r="2">
      <x v="1084"/>
    </i>
    <i r="1">
      <x v="188"/>
    </i>
    <i r="2">
      <x v="826"/>
    </i>
    <i r="1">
      <x v="189"/>
    </i>
    <i r="2">
      <x v="92"/>
    </i>
    <i r="2">
      <x v="827"/>
    </i>
    <i r="2">
      <x v="828"/>
    </i>
    <i r="2">
      <x v="829"/>
    </i>
    <i r="2">
      <x v="975"/>
    </i>
    <i r="1">
      <x v="190"/>
    </i>
    <i r="2">
      <x v="830"/>
    </i>
    <i r="2">
      <x v="831"/>
    </i>
    <i r="2">
      <x v="832"/>
    </i>
    <i r="2">
      <x v="833"/>
    </i>
    <i r="2">
      <x v="965"/>
    </i>
    <i r="2">
      <x v="989"/>
    </i>
    <i r="2">
      <x v="998"/>
    </i>
    <i r="1">
      <x v="191"/>
    </i>
    <i r="2">
      <x v="834"/>
    </i>
    <i r="2">
      <x v="835"/>
    </i>
    <i r="1">
      <x v="192"/>
    </i>
    <i r="2">
      <x v="836"/>
    </i>
    <i r="2">
      <x v="837"/>
    </i>
    <i r="1">
      <x v="193"/>
    </i>
    <i r="2">
      <x v="575"/>
    </i>
    <i r="2">
      <x v="841"/>
    </i>
    <i r="2">
      <x v="842"/>
    </i>
    <i r="2">
      <x v="843"/>
    </i>
    <i r="2">
      <x v="844"/>
    </i>
    <i r="1">
      <x v="194"/>
    </i>
    <i r="2">
      <x v="197"/>
    </i>
    <i r="1">
      <x v="195"/>
    </i>
    <i r="2">
      <x v="576"/>
    </i>
    <i r="2">
      <x v="845"/>
    </i>
    <i r="2">
      <x v="846"/>
    </i>
    <i r="2">
      <x v="848"/>
    </i>
    <i r="2">
      <x v="849"/>
    </i>
    <i r="2">
      <x v="860"/>
    </i>
    <i r="1">
      <x v="222"/>
    </i>
    <i r="2">
      <x v="891"/>
    </i>
    <i r="1">
      <x v="223"/>
    </i>
    <i r="2">
      <x v="895"/>
    </i>
    <i r="2">
      <x v="909"/>
    </i>
    <i r="2">
      <x v="933"/>
    </i>
    <i r="2">
      <x v="967"/>
    </i>
    <i r="2">
      <x v="1018"/>
    </i>
    <i r="2">
      <x v="1024"/>
    </i>
    <i r="1">
      <x v="224"/>
    </i>
    <i r="2">
      <x v="900"/>
    </i>
    <i r="2">
      <x v="916"/>
    </i>
    <i r="2">
      <x v="917"/>
    </i>
    <i r="2">
      <x v="918"/>
    </i>
    <i r="2">
      <x v="919"/>
    </i>
    <i r="2">
      <x v="920"/>
    </i>
    <i r="2">
      <x v="921"/>
    </i>
    <i r="2">
      <x v="926"/>
    </i>
    <i r="2">
      <x v="954"/>
    </i>
    <i r="2">
      <x v="959"/>
    </i>
    <i r="2">
      <x v="981"/>
    </i>
    <i r="1">
      <x v="225"/>
    </i>
    <i r="2">
      <x v="884"/>
    </i>
    <i r="2">
      <x v="887"/>
    </i>
    <i r="2">
      <x v="892"/>
    </i>
    <i r="2">
      <x v="896"/>
    </i>
    <i r="2">
      <x v="907"/>
    </i>
    <i r="2">
      <x v="908"/>
    </i>
    <i r="2">
      <x v="910"/>
    </i>
    <i r="2">
      <x v="912"/>
    </i>
    <i r="2">
      <x v="934"/>
    </i>
    <i r="2">
      <x v="937"/>
    </i>
    <i r="2">
      <x v="940"/>
    </i>
    <i r="2">
      <x v="945"/>
    </i>
    <i r="2">
      <x v="950"/>
    </i>
    <i r="2">
      <x v="980"/>
    </i>
    <i r="2">
      <x v="985"/>
    </i>
    <i r="2">
      <x v="1017"/>
    </i>
    <i r="2">
      <x v="1019"/>
    </i>
    <i r="2">
      <x v="1022"/>
    </i>
    <i r="2">
      <x v="1025"/>
    </i>
    <i r="2">
      <x v="1064"/>
    </i>
    <i r="1">
      <x v="226"/>
    </i>
    <i r="2">
      <x v="881"/>
    </i>
    <i r="2">
      <x v="901"/>
    </i>
    <i r="2">
      <x v="913"/>
    </i>
    <i r="2">
      <x v="922"/>
    </i>
    <i r="2">
      <x v="948"/>
    </i>
    <i r="2">
      <x v="960"/>
    </i>
    <i r="2">
      <x v="961"/>
    </i>
    <i r="2">
      <x v="962"/>
    </i>
    <i r="2">
      <x v="966"/>
    </i>
    <i r="2">
      <x v="972"/>
    </i>
    <i r="2">
      <x v="1004"/>
    </i>
    <i r="2">
      <x v="1006"/>
    </i>
    <i r="2">
      <x v="1014"/>
    </i>
    <i r="2">
      <x v="1029"/>
    </i>
    <i r="2">
      <x v="1063"/>
    </i>
    <i r="1">
      <x v="227"/>
    </i>
    <i r="2">
      <x v="885"/>
    </i>
    <i r="2">
      <x v="899"/>
    </i>
    <i r="2">
      <x v="925"/>
    </i>
    <i r="2">
      <x v="928"/>
    </i>
    <i r="2">
      <x v="930"/>
    </i>
    <i r="2">
      <x v="990"/>
    </i>
    <i r="2">
      <x v="1007"/>
    </i>
    <i r="2">
      <x v="1012"/>
    </i>
    <i r="2">
      <x v="1021"/>
    </i>
    <i r="1">
      <x v="228"/>
    </i>
    <i r="2">
      <x v="888"/>
    </i>
    <i r="2">
      <x v="911"/>
    </i>
    <i r="2">
      <x v="915"/>
    </i>
    <i r="2">
      <x v="923"/>
    </i>
    <i r="2">
      <x v="929"/>
    </i>
    <i r="2">
      <x v="1000"/>
    </i>
    <i r="2">
      <x v="1003"/>
    </i>
    <i r="2">
      <x v="1009"/>
    </i>
    <i r="2">
      <x v="1079"/>
    </i>
    <i r="1">
      <x v="229"/>
    </i>
    <i r="2">
      <x v="882"/>
    </i>
    <i r="1">
      <x v="230"/>
    </i>
    <i r="2">
      <x v="943"/>
    </i>
    <i r="1">
      <x v="231"/>
    </i>
    <i r="2">
      <x v="944"/>
    </i>
    <i r="2">
      <x v="1010"/>
    </i>
    <i r="1">
      <x v="232"/>
    </i>
    <i r="2">
      <x v="897"/>
    </i>
    <i r="2">
      <x v="903"/>
    </i>
    <i r="2">
      <x v="904"/>
    </i>
    <i r="2">
      <x v="905"/>
    </i>
    <i r="2">
      <x v="914"/>
    </i>
    <i r="2">
      <x v="931"/>
    </i>
    <i r="2">
      <x v="971"/>
    </i>
    <i r="2">
      <x v="973"/>
    </i>
    <i r="2">
      <x v="983"/>
    </i>
    <i r="2">
      <x v="994"/>
    </i>
    <i r="2">
      <x v="1020"/>
    </i>
    <i r="2">
      <x v="1023"/>
    </i>
    <i r="2">
      <x v="1026"/>
    </i>
    <i r="2">
      <x v="1028"/>
    </i>
    <i r="2">
      <x v="1040"/>
    </i>
    <i r="1">
      <x v="233"/>
    </i>
    <i r="2">
      <x v="898"/>
    </i>
    <i r="2">
      <x v="906"/>
    </i>
    <i r="2">
      <x v="924"/>
    </i>
    <i r="2">
      <x v="938"/>
    </i>
    <i r="2">
      <x v="939"/>
    </i>
    <i r="2">
      <x v="951"/>
    </i>
    <i r="2">
      <x v="976"/>
    </i>
    <i r="2">
      <x v="977"/>
    </i>
    <i r="2">
      <x v="979"/>
    </i>
    <i r="2">
      <x v="988"/>
    </i>
    <i r="2">
      <x v="992"/>
    </i>
    <i r="2">
      <x v="993"/>
    </i>
    <i r="2">
      <x v="1001"/>
    </i>
    <i r="2">
      <x v="1002"/>
    </i>
    <i r="2">
      <x v="1008"/>
    </i>
    <i r="2">
      <x v="1027"/>
    </i>
    <i r="1">
      <x v="234"/>
    </i>
    <i r="2">
      <x v="946"/>
    </i>
    <i r="2">
      <x v="968"/>
    </i>
    <i r="2">
      <x v="984"/>
    </i>
    <i r="2">
      <x v="995"/>
    </i>
    <i r="2">
      <x v="1015"/>
    </i>
    <i r="2">
      <x v="1067"/>
    </i>
    <i r="1">
      <x v="236"/>
    </i>
    <i r="2">
      <x v="947"/>
    </i>
    <i r="2">
      <x v="974"/>
    </i>
    <i r="2">
      <x v="986"/>
    </i>
    <i r="2">
      <x v="996"/>
    </i>
    <i r="1">
      <x v="237"/>
    </i>
    <i r="2">
      <x v="942"/>
    </i>
    <i r="2">
      <x v="949"/>
    </i>
    <i r="2">
      <x v="957"/>
    </i>
    <i r="2">
      <x v="969"/>
    </i>
    <i r="2">
      <x v="1031"/>
    </i>
    <i r="1">
      <x v="238"/>
    </i>
    <i r="2">
      <x v="902"/>
    </i>
    <i r="2">
      <x v="927"/>
    </i>
    <i r="2">
      <x v="956"/>
    </i>
    <i r="2">
      <x v="958"/>
    </i>
    <i r="1">
      <x v="239"/>
    </i>
    <i r="2">
      <x v="880"/>
    </i>
    <i r="2">
      <x v="941"/>
    </i>
    <i r="2">
      <x v="953"/>
    </i>
    <i r="2">
      <x v="955"/>
    </i>
    <i r="2">
      <x v="963"/>
    </i>
    <i r="2">
      <x v="970"/>
    </i>
    <i r="2">
      <x v="978"/>
    </i>
    <i r="2">
      <x v="982"/>
    </i>
    <i r="2">
      <x v="987"/>
    </i>
    <i r="2">
      <x v="997"/>
    </i>
    <i r="2">
      <x v="1013"/>
    </i>
    <i r="2">
      <x v="1032"/>
    </i>
    <i r="1">
      <x v="240"/>
    </i>
    <i r="2">
      <x v="886"/>
    </i>
    <i r="2">
      <x v="889"/>
    </i>
    <i r="2">
      <x v="890"/>
    </i>
    <i r="2">
      <x v="991"/>
    </i>
    <i r="2">
      <x v="999"/>
    </i>
    <i r="2">
      <x v="1005"/>
    </i>
    <i t="grand">
      <x/>
    </i>
  </rowItems>
  <colItems count="1">
    <i/>
  </colItems>
  <pageFields count="2">
    <pageField fld="6" item="3" hier="-1"/>
    <pageField fld="12" item="0" hier="-1"/>
  </pageFields>
  <dataFields count="1">
    <dataField name="Hours" fld="9" baseField="10" baseItem="0"/>
  </dataFields>
  <formats count="56">
    <format dxfId="230">
      <pivotArea outline="0" collapsedLevelsAreSubtotals="1" fieldPosition="0"/>
    </format>
    <format dxfId="229">
      <pivotArea dataOnly="0" labelOnly="1" outline="0" axis="axisValues" fieldPosition="0"/>
    </format>
    <format dxfId="228">
      <pivotArea outline="0" collapsedLevelsAreSubtotals="1" fieldPosition="0"/>
    </format>
    <format dxfId="227">
      <pivotArea dataOnly="0" labelOnly="1" outline="0" axis="axisValues" fieldPosition="0"/>
    </format>
    <format dxfId="226">
      <pivotArea type="all" dataOnly="0" outline="0" fieldPosition="0"/>
    </format>
    <format dxfId="225">
      <pivotArea outline="0" collapsedLevelsAreSubtotals="1" fieldPosition="0"/>
    </format>
    <format dxfId="224">
      <pivotArea dataOnly="0" labelOnly="1" outline="0" axis="axisValues" fieldPosition="0"/>
    </format>
    <format dxfId="223">
      <pivotArea dataOnly="0" labelOnly="1" grandRow="1" outline="0" fieldPosition="0"/>
    </format>
    <format dxfId="222">
      <pivotArea dataOnly="0" labelOnly="1" outline="0" axis="axisValues" fieldPosition="0"/>
    </format>
    <format dxfId="221">
      <pivotArea type="all" dataOnly="0" outline="0" fieldPosition="0"/>
    </format>
    <format dxfId="220">
      <pivotArea outline="0" collapsedLevelsAreSubtotals="1" fieldPosition="0"/>
    </format>
    <format dxfId="219">
      <pivotArea dataOnly="0" labelOnly="1" outline="0" axis="axisValues" fieldPosition="0"/>
    </format>
    <format dxfId="218">
      <pivotArea dataOnly="0" labelOnly="1" grandRow="1" outline="0" fieldPosition="0"/>
    </format>
    <format dxfId="217">
      <pivotArea dataOnly="0" labelOnly="1" outline="0" axis="axisValues" fieldPosition="0"/>
    </format>
    <format dxfId="216">
      <pivotArea type="all" dataOnly="0" outline="0" fieldPosition="0"/>
    </format>
    <format dxfId="215">
      <pivotArea outline="0" collapsedLevelsAreSubtotals="1" fieldPosition="0"/>
    </format>
    <format dxfId="214">
      <pivotArea dataOnly="0" labelOnly="1" outline="0" axis="axisValues" fieldPosition="0"/>
    </format>
    <format dxfId="213">
      <pivotArea dataOnly="0" labelOnly="1" grandRow="1" outline="0" fieldPosition="0"/>
    </format>
    <format dxfId="212">
      <pivotArea dataOnly="0" labelOnly="1" outline="0" axis="axisValues" fieldPosition="0"/>
    </format>
    <format dxfId="211">
      <pivotArea type="all" dataOnly="0" outline="0" fieldPosition="0"/>
    </format>
    <format dxfId="210">
      <pivotArea outline="0" collapsedLevelsAreSubtotals="1" fieldPosition="0"/>
    </format>
    <format dxfId="209">
      <pivotArea dataOnly="0" labelOnly="1" outline="0" axis="axisValues" fieldPosition="0"/>
    </format>
    <format dxfId="208">
      <pivotArea dataOnly="0" labelOnly="1" grandRow="1" outline="0" fieldPosition="0"/>
    </format>
    <format dxfId="207">
      <pivotArea dataOnly="0" labelOnly="1" outline="0" axis="axisValues" fieldPosition="0"/>
    </format>
    <format dxfId="206">
      <pivotArea type="all" dataOnly="0" outline="0" fieldPosition="0"/>
    </format>
    <format dxfId="205">
      <pivotArea outline="0" collapsedLevelsAreSubtotals="1" fieldPosition="0"/>
    </format>
    <format dxfId="204">
      <pivotArea dataOnly="0" labelOnly="1" outline="0" axis="axisValues" fieldPosition="0"/>
    </format>
    <format dxfId="203">
      <pivotArea dataOnly="0" labelOnly="1" grandRow="1" outline="0" fieldPosition="0"/>
    </format>
    <format dxfId="202">
      <pivotArea dataOnly="0" labelOnly="1" outline="0" axis="axisValues" fieldPosition="0"/>
    </format>
    <format dxfId="201">
      <pivotArea type="all" dataOnly="0" outline="0" fieldPosition="0"/>
    </format>
    <format dxfId="200">
      <pivotArea outline="0" collapsedLevelsAreSubtotals="1" fieldPosition="0"/>
    </format>
    <format dxfId="199">
      <pivotArea dataOnly="0" labelOnly="1" outline="0" axis="axisValues" fieldPosition="0"/>
    </format>
    <format dxfId="198">
      <pivotArea dataOnly="0" labelOnly="1" grandRow="1" outline="0" fieldPosition="0"/>
    </format>
    <format dxfId="197">
      <pivotArea dataOnly="0" labelOnly="1" outline="0" axis="axisValues" fieldPosition="0"/>
    </format>
    <format dxfId="196">
      <pivotArea type="all" dataOnly="0" outline="0" fieldPosition="0"/>
    </format>
    <format dxfId="195">
      <pivotArea outline="0" collapsedLevelsAreSubtotals="1" fieldPosition="0"/>
    </format>
    <format dxfId="194">
      <pivotArea dataOnly="0" labelOnly="1" outline="0" axis="axisValues" fieldPosition="0"/>
    </format>
    <format dxfId="193">
      <pivotArea dataOnly="0" labelOnly="1" fieldPosition="0">
        <references count="1">
          <reference field="11" count="4">
            <x v="0"/>
            <x v="1"/>
            <x v="2"/>
            <x v="3"/>
          </reference>
        </references>
      </pivotArea>
    </format>
    <format dxfId="192">
      <pivotArea dataOnly="0" labelOnly="1" grandRow="1" outline="0" fieldPosition="0"/>
    </format>
    <format dxfId="191">
      <pivotArea dataOnly="0" labelOnly="1" fieldPosition="0">
        <references count="2">
          <reference field="2" count="1">
            <x v="140"/>
          </reference>
          <reference field="11" count="1" selected="0">
            <x v="0"/>
          </reference>
        </references>
      </pivotArea>
    </format>
    <format dxfId="190">
      <pivotArea dataOnly="0" labelOnly="1" fieldPosition="0">
        <references count="2">
          <reference field="2" count="1">
            <x v="139"/>
          </reference>
          <reference field="11" count="1" selected="0">
            <x v="1"/>
          </reference>
        </references>
      </pivotArea>
    </format>
    <format dxfId="189">
      <pivotArea dataOnly="0" labelOnly="1" fieldPosition="0">
        <references count="2">
          <reference field="2" count="9">
            <x v="143"/>
            <x v="144"/>
            <x v="145"/>
            <x v="146"/>
            <x v="147"/>
            <x v="148"/>
            <x v="149"/>
            <x v="150"/>
            <x v="151"/>
          </reference>
          <reference field="11" count="1" selected="0">
            <x v="2"/>
          </reference>
        </references>
      </pivotArea>
    </format>
    <format dxfId="188">
      <pivotArea dataOnly="0" labelOnly="1" fieldPosition="0">
        <references count="2">
          <reference field="2" count="1">
            <x v="27"/>
          </reference>
          <reference field="11" count="1" selected="0">
            <x v="3"/>
          </reference>
        </references>
      </pivotArea>
    </format>
    <format dxfId="187">
      <pivotArea dataOnly="0" labelOnly="1" fieldPosition="0">
        <references count="3">
          <reference field="2" count="1" selected="0">
            <x v="140"/>
          </reference>
          <reference field="4" count="1">
            <x v="586"/>
          </reference>
          <reference field="11" count="1" selected="0">
            <x v="0"/>
          </reference>
        </references>
      </pivotArea>
    </format>
    <format dxfId="186">
      <pivotArea dataOnly="0" labelOnly="1" fieldPosition="0">
        <references count="3">
          <reference field="2" count="1" selected="0">
            <x v="139"/>
          </reference>
          <reference field="4" count="1">
            <x v="585"/>
          </reference>
          <reference field="11" count="1" selected="0">
            <x v="1"/>
          </reference>
        </references>
      </pivotArea>
    </format>
    <format dxfId="185">
      <pivotArea dataOnly="0" labelOnly="1" fieldPosition="0">
        <references count="3">
          <reference field="2" count="1" selected="0">
            <x v="143"/>
          </reference>
          <reference field="4" count="18">
            <x v="307"/>
            <x v="322"/>
            <x v="590"/>
            <x v="591"/>
            <x v="592"/>
            <x v="593"/>
            <x v="594"/>
            <x v="595"/>
            <x v="596"/>
            <x v="597"/>
            <x v="598"/>
            <x v="599"/>
            <x v="601"/>
            <x v="602"/>
            <x v="603"/>
            <x v="604"/>
            <x v="605"/>
            <x v="606"/>
          </reference>
          <reference field="11" count="1" selected="0">
            <x v="2"/>
          </reference>
        </references>
      </pivotArea>
    </format>
    <format dxfId="184">
      <pivotArea dataOnly="0" labelOnly="1" fieldPosition="0">
        <references count="3">
          <reference field="2" count="1" selected="0">
            <x v="144"/>
          </reference>
          <reference field="4" count="4">
            <x v="607"/>
            <x v="608"/>
            <x v="609"/>
            <x v="852"/>
          </reference>
          <reference field="11" count="1" selected="0">
            <x v="2"/>
          </reference>
        </references>
      </pivotArea>
    </format>
    <format dxfId="183">
      <pivotArea dataOnly="0" labelOnly="1" fieldPosition="0">
        <references count="3">
          <reference field="2" count="1" selected="0">
            <x v="145"/>
          </reference>
          <reference field="4" count="1">
            <x v="610"/>
          </reference>
          <reference field="11" count="1" selected="0">
            <x v="2"/>
          </reference>
        </references>
      </pivotArea>
    </format>
    <format dxfId="182">
      <pivotArea dataOnly="0" labelOnly="1" fieldPosition="0">
        <references count="3">
          <reference field="2" count="1" selected="0">
            <x v="146"/>
          </reference>
          <reference field="4" count="11">
            <x v="328"/>
            <x v="611"/>
            <x v="613"/>
            <x v="614"/>
            <x v="615"/>
            <x v="616"/>
            <x v="617"/>
            <x v="618"/>
            <x v="619"/>
            <x v="620"/>
            <x v="622"/>
          </reference>
          <reference field="11" count="1" selected="0">
            <x v="2"/>
          </reference>
        </references>
      </pivotArea>
    </format>
    <format dxfId="181">
      <pivotArea dataOnly="0" labelOnly="1" fieldPosition="0">
        <references count="3">
          <reference field="2" count="1" selected="0">
            <x v="147"/>
          </reference>
          <reference field="4" count="4">
            <x v="623"/>
            <x v="624"/>
            <x v="626"/>
            <x v="627"/>
          </reference>
          <reference field="11" count="1" selected="0">
            <x v="2"/>
          </reference>
        </references>
      </pivotArea>
    </format>
    <format dxfId="180">
      <pivotArea dataOnly="0" labelOnly="1" fieldPosition="0">
        <references count="3">
          <reference field="2" count="1" selected="0">
            <x v="148"/>
          </reference>
          <reference field="4" count="7">
            <x v="628"/>
            <x v="629"/>
            <x v="631"/>
            <x v="633"/>
            <x v="634"/>
            <x v="635"/>
            <x v="636"/>
          </reference>
          <reference field="11" count="1" selected="0">
            <x v="2"/>
          </reference>
        </references>
      </pivotArea>
    </format>
    <format dxfId="179">
      <pivotArea dataOnly="0" labelOnly="1" fieldPosition="0">
        <references count="3">
          <reference field="2" count="1" selected="0">
            <x v="149"/>
          </reference>
          <reference field="4" count="4">
            <x v="637"/>
            <x v="638"/>
            <x v="639"/>
            <x v="640"/>
          </reference>
          <reference field="11" count="1" selected="0">
            <x v="2"/>
          </reference>
        </references>
      </pivotArea>
    </format>
    <format dxfId="178">
      <pivotArea dataOnly="0" labelOnly="1" fieldPosition="0">
        <references count="3">
          <reference field="2" count="1" selected="0">
            <x v="150"/>
          </reference>
          <reference field="4" count="5">
            <x v="641"/>
            <x v="642"/>
            <x v="643"/>
            <x v="644"/>
            <x v="645"/>
          </reference>
          <reference field="11" count="1" selected="0">
            <x v="2"/>
          </reference>
        </references>
      </pivotArea>
    </format>
    <format dxfId="177">
      <pivotArea dataOnly="0" labelOnly="1" fieldPosition="0">
        <references count="3">
          <reference field="2" count="1" selected="0">
            <x v="151"/>
          </reference>
          <reference field="4" count="9">
            <x v="379"/>
            <x v="654"/>
            <x v="655"/>
            <x v="657"/>
            <x v="658"/>
            <x v="660"/>
            <x v="662"/>
            <x v="663"/>
            <x v="664"/>
          </reference>
          <reference field="11" count="1" selected="0">
            <x v="2"/>
          </reference>
        </references>
      </pivotArea>
    </format>
    <format dxfId="176">
      <pivotArea dataOnly="0" labelOnly="1" fieldPosition="0">
        <references count="3">
          <reference field="2" count="1" selected="0">
            <x v="27"/>
          </reference>
          <reference field="4" count="3">
            <x v="587"/>
            <x v="588"/>
            <x v="589"/>
          </reference>
          <reference field="11" count="1" selected="0">
            <x v="3"/>
          </reference>
        </references>
      </pivotArea>
    </format>
    <format dxfId="175">
      <pivotArea dataOnly="0" labelOnly="1" outline="0" axis="axisValues"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 cacheId="0" applyNumberFormats="0" applyBorderFormats="0" applyFontFormats="0" applyPatternFormats="0" applyAlignmentFormats="0" applyWidthHeightFormats="1" dataCaption="Values" grandTotalCaption="Total" updatedVersion="6" minRefreshableVersion="3" useAutoFormatting="1" itemPrintTitles="1" createdVersion="6" indent="0" outline="1" outlineData="1" multipleFieldFilters="0" rowHeaderCaption="Função">
  <location ref="B8:D25" firstHeaderRow="1" firstDataRow="1" firstDataCol="0"/>
  <pivotFields count="13">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s>
  <formats count="19">
    <format dxfId="174">
      <pivotArea outline="0" collapsedLevelsAreSubtotals="1" fieldPosition="0"/>
    </format>
    <format dxfId="173">
      <pivotArea dataOnly="0" labelOnly="1" outline="0" axis="axisValues" fieldPosition="0"/>
    </format>
    <format dxfId="172">
      <pivotArea outline="0" collapsedLevelsAreSubtotals="1" fieldPosition="0"/>
    </format>
    <format dxfId="171">
      <pivotArea dataOnly="0" labelOnly="1" outline="0" axis="axisValues" fieldPosition="0"/>
    </format>
    <format dxfId="170">
      <pivotArea type="all" dataOnly="0" outline="0" fieldPosition="0"/>
    </format>
    <format dxfId="169">
      <pivotArea outline="0" collapsedLevelsAreSubtotals="1" fieldPosition="0"/>
    </format>
    <format dxfId="168">
      <pivotArea dataOnly="0" labelOnly="1" outline="0" axis="axisValues" fieldPosition="0"/>
    </format>
    <format dxfId="167">
      <pivotArea dataOnly="0" labelOnly="1" grandRow="1" outline="0" fieldPosition="0"/>
    </format>
    <format dxfId="166">
      <pivotArea dataOnly="0" labelOnly="1" outline="0" axis="axisValues" fieldPosition="0"/>
    </format>
    <format dxfId="165">
      <pivotArea type="all" dataOnly="0" outline="0" fieldPosition="0"/>
    </format>
    <format dxfId="164">
      <pivotArea outline="0" collapsedLevelsAreSubtotals="1" fieldPosition="0"/>
    </format>
    <format dxfId="163">
      <pivotArea dataOnly="0" labelOnly="1" outline="0" axis="axisValues" fieldPosition="0"/>
    </format>
    <format dxfId="162">
      <pivotArea dataOnly="0" labelOnly="1" grandRow="1" outline="0" fieldPosition="0"/>
    </format>
    <format dxfId="161">
      <pivotArea dataOnly="0" labelOnly="1" outline="0" axis="axisValues" fieldPosition="0"/>
    </format>
    <format dxfId="160">
      <pivotArea type="all" dataOnly="0" outline="0" fieldPosition="0"/>
    </format>
    <format dxfId="159">
      <pivotArea outline="0" collapsedLevelsAreSubtotals="1" fieldPosition="0"/>
    </format>
    <format dxfId="158">
      <pivotArea dataOnly="0" labelOnly="1" outline="0" axis="axisValues" fieldPosition="0"/>
    </format>
    <format dxfId="157">
      <pivotArea dataOnly="0" labelOnly="1" grandRow="1" outline="0" fieldPosition="0"/>
    </format>
    <format dxfId="156">
      <pivotArea dataOnly="0" labelOnly="1" outline="0" axis="axisValues" fieldPosition="0"/>
    </format>
  </formats>
  <pivotTableStyleInfo name="PivotTable Style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AFCE3A-4B76-4FA3-8BEC-C3A1B4D8C7B0}" name="Tabela Dinâmica9" cacheId="1"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105:N177" firstHeaderRow="1" firstDataRow="2" firstDataCol="1"/>
  <pivotFields count="3">
    <pivotField axis="axisRow" dataField="1" showAll="0">
      <items count="71">
        <item x="4"/>
        <item x="8"/>
        <item x="6"/>
        <item x="29"/>
        <item x="68"/>
        <item x="67"/>
        <item x="66"/>
        <item x="18"/>
        <item x="49"/>
        <item x="24"/>
        <item x="23"/>
        <item x="65"/>
        <item x="0"/>
        <item x="17"/>
        <item x="21"/>
        <item x="37"/>
        <item x="43"/>
        <item x="42"/>
        <item x="16"/>
        <item x="61"/>
        <item x="51"/>
        <item x="52"/>
        <item x="53"/>
        <item x="36"/>
        <item x="62"/>
        <item x="64"/>
        <item x="14"/>
        <item x="7"/>
        <item x="20"/>
        <item x="45"/>
        <item x="5"/>
        <item x="60"/>
        <item x="55"/>
        <item x="1"/>
        <item x="50"/>
        <item x="27"/>
        <item x="32"/>
        <item x="34"/>
        <item x="22"/>
        <item x="19"/>
        <item x="44"/>
        <item x="41"/>
        <item x="30"/>
        <item x="31"/>
        <item x="58"/>
        <item x="59"/>
        <item x="12"/>
        <item x="63"/>
        <item x="15"/>
        <item x="11"/>
        <item x="38"/>
        <item x="25"/>
        <item x="26"/>
        <item x="3"/>
        <item x="2"/>
        <item x="57"/>
        <item x="56"/>
        <item x="33"/>
        <item x="9"/>
        <item x="35"/>
        <item x="40"/>
        <item x="13"/>
        <item x="46"/>
        <item x="47"/>
        <item x="48"/>
        <item x="69"/>
        <item x="54"/>
        <item x="28"/>
        <item x="39"/>
        <item x="10"/>
        <item t="default"/>
      </items>
    </pivotField>
    <pivotField showAll="0"/>
    <pivotField axis="axisCol" showAll="0">
      <items count="13">
        <item x="5"/>
        <item x="2"/>
        <item x="1"/>
        <item x="9"/>
        <item x="0"/>
        <item x="3"/>
        <item x="7"/>
        <item x="8"/>
        <item x="10"/>
        <item x="4"/>
        <item x="11"/>
        <item x="6"/>
        <item t="default"/>
      </items>
    </pivotField>
  </pivotFields>
  <rowFields count="1">
    <field x="0"/>
  </rowFields>
  <rowItems count="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t="grand">
      <x/>
    </i>
  </rowItems>
  <colFields count="1">
    <field x="2"/>
  </colFields>
  <colItems count="13">
    <i>
      <x/>
    </i>
    <i>
      <x v="1"/>
    </i>
    <i>
      <x v="2"/>
    </i>
    <i>
      <x v="3"/>
    </i>
    <i>
      <x v="4"/>
    </i>
    <i>
      <x v="5"/>
    </i>
    <i>
      <x v="6"/>
    </i>
    <i>
      <x v="7"/>
    </i>
    <i>
      <x v="8"/>
    </i>
    <i>
      <x v="9"/>
    </i>
    <i>
      <x v="10"/>
    </i>
    <i>
      <x v="11"/>
    </i>
    <i t="grand">
      <x/>
    </i>
  </colItems>
  <dataFields count="1">
    <dataField name="Soma de Módulo" fld="0"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4044814-106B-40FC-B83B-FCF84DAB8938}" name="Tabela2" displayName="Tabela2" ref="K5:M76" totalsRowShown="0" headerRowDxfId="291" dataDxfId="290">
  <autoFilter ref="K5:M76" xr:uid="{747709B7-B47A-482D-937B-47CB3B992C7D}"/>
  <tableColumns count="3">
    <tableColumn id="1" xr3:uid="{B1D0D0B9-C3D5-4A88-8FAD-F1C84FC7B9DB}" name="Módulo" dataDxfId="289"/>
    <tableColumn id="2" xr3:uid="{F7508104-84CC-41FD-9FCF-CBEA0485FFFC}" name="Interesse?" dataDxfId="288">
      <calculatedColumnFormula>D5</calculatedColumnFormula>
    </tableColumn>
    <tableColumn id="3" xr3:uid="{8B3BFC26-7DA7-46D9-8F21-75D7B727B465}" name="Área" dataDxfId="287"/>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6D1145-DCCE-4938-BACB-1B570638ED07}" name="Table13" displayName="Table13" ref="A1:K1470" totalsRowShown="0">
  <autoFilter ref="A1:K1470" xr:uid="{00000000-0009-0000-0100-000002000000}">
    <filterColumn colId="10">
      <filters>
        <filter val="#N/A"/>
      </filters>
    </filterColumn>
  </autoFilter>
  <sortState xmlns:xlrd2="http://schemas.microsoft.com/office/spreadsheetml/2017/richdata2" ref="A4:K1460">
    <sortCondition ref="A1:A1470"/>
  </sortState>
  <tableColumns count="11">
    <tableColumn id="1" xr3:uid="{00000000-0010-0000-0100-000001000000}" name="CD_FUNCAO"/>
    <tableColumn id="2" xr3:uid="{00000000-0010-0000-0100-000002000000}" name="DS_FUNCAO_PT"/>
    <tableColumn id="3" xr3:uid="{00000000-0010-0000-0100-000003000000}" name="DS_FUNCAO_US"/>
    <tableColumn id="4" xr3:uid="{00000000-0010-0000-0100-000004000000}" name="DS_FUNCAO_ES"/>
    <tableColumn id="5" xr3:uid="{00000000-0010-0000-0100-000005000000}" name="CD_MODULO"/>
    <tableColumn id="6" xr3:uid="{00000000-0010-0000-0100-000006000000}" name="MODULO_PT"/>
    <tableColumn id="7" xr3:uid="{00000000-0010-0000-0100-000007000000}" name="MODULO_US"/>
    <tableColumn id="8" xr3:uid="{00000000-0010-0000-0100-000008000000}" name="MODULO_ES"/>
    <tableColumn id="9" xr3:uid="{00000000-0010-0000-0100-000009000000}" name="IE_SITUACAO"/>
    <tableColumn id="10" xr3:uid="{00000000-0010-0000-0100-00000A000000}" name="IE_CLASSIF_PRODUTO"/>
    <tableColumn id="11" xr3:uid="{1F2D527A-5BC0-41D6-B366-C7BB190680F4}" name="0" dataDxfId="155" dataCellStyle="Normal 4">
      <calculatedColumnFormula>VLOOKUP(Table13[[#This Row],[CD_FUNCAO]],'BASE_FUNCOES (hide)'!A:X,2,FALSE)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9.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0.bin"/><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2.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1.bin"/><Relationship Id="rId1" Type="http://schemas.openxmlformats.org/officeDocument/2006/relationships/pivotTable" Target="../pivotTables/pivotTable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pivotTable" Target="../pivotTables/pivotTable4.xml"/></Relationships>
</file>

<file path=xl/worksheets/_rels/sheet2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26"/>
  <sheetViews>
    <sheetView showGridLines="0" workbookViewId="0">
      <selection activeCell="E27" sqref="E27"/>
    </sheetView>
  </sheetViews>
  <sheetFormatPr defaultRowHeight="14.5"/>
  <cols>
    <col min="1" max="1" width="2.54296875" customWidth="1"/>
    <col min="3" max="3" width="11.81640625" bestFit="1" customWidth="1"/>
    <col min="4" max="4" width="22.54296875" hidden="1" customWidth="1"/>
    <col min="5" max="5" width="119" customWidth="1"/>
    <col min="6" max="6" width="47.54296875" bestFit="1" customWidth="1"/>
  </cols>
  <sheetData>
    <row r="1" spans="1:16" ht="34.5" customHeight="1">
      <c r="A1" s="198">
        <v>2</v>
      </c>
      <c r="B1" s="552" t="str">
        <f>HLOOKUP('General Information'!$C$6,'IDIOMA (hide)'!$A$1:$D$5016,A1,0)</f>
        <v>LTEP - Levantamento Técnico de Estimativa de Projeto TASY EMR
Código do documento: 0060 - Rev 024</v>
      </c>
      <c r="C1" s="552"/>
      <c r="D1" s="552"/>
      <c r="E1" s="552"/>
      <c r="F1" s="552"/>
      <c r="G1" s="252"/>
      <c r="H1" s="252"/>
    </row>
    <row r="3" spans="1:16" ht="19" thickBot="1">
      <c r="B3" s="10" t="s">
        <v>1956</v>
      </c>
      <c r="C3" s="10"/>
      <c r="D3" s="11"/>
      <c r="E3" s="11"/>
      <c r="F3" s="11"/>
    </row>
    <row r="5" spans="1:16">
      <c r="B5" s="3" t="s">
        <v>1952</v>
      </c>
      <c r="C5" s="3" t="s">
        <v>1953</v>
      </c>
      <c r="D5" s="3" t="s">
        <v>1953</v>
      </c>
      <c r="E5" s="3" t="s">
        <v>1954</v>
      </c>
      <c r="F5" s="3" t="s">
        <v>1955</v>
      </c>
    </row>
    <row r="6" spans="1:16" ht="18.5">
      <c r="B6" s="553">
        <v>12</v>
      </c>
      <c r="C6" s="556" t="s">
        <v>2290</v>
      </c>
      <c r="D6" s="33">
        <v>43535</v>
      </c>
      <c r="E6" s="32" t="s">
        <v>2117</v>
      </c>
      <c r="F6" s="32" t="s">
        <v>2062</v>
      </c>
      <c r="K6" s="552"/>
      <c r="L6" s="552"/>
      <c r="M6" s="552"/>
      <c r="N6" s="552"/>
      <c r="O6" s="552"/>
      <c r="P6" s="552"/>
    </row>
    <row r="7" spans="1:16">
      <c r="B7" s="554"/>
      <c r="C7" s="557"/>
      <c r="D7" s="33">
        <v>43538</v>
      </c>
      <c r="E7" s="32" t="s">
        <v>2118</v>
      </c>
      <c r="F7" s="32" t="s">
        <v>2063</v>
      </c>
    </row>
    <row r="8" spans="1:16" ht="31.5" customHeight="1">
      <c r="B8" s="554"/>
      <c r="C8" s="557"/>
      <c r="D8" s="33">
        <v>43539</v>
      </c>
      <c r="E8" s="32" t="s">
        <v>2116</v>
      </c>
      <c r="F8" s="32" t="s">
        <v>2063</v>
      </c>
    </row>
    <row r="9" spans="1:16">
      <c r="B9" s="554"/>
      <c r="C9" s="557"/>
      <c r="D9" s="33">
        <v>43545</v>
      </c>
      <c r="E9" s="32" t="s">
        <v>2114</v>
      </c>
      <c r="F9" s="32" t="s">
        <v>2063</v>
      </c>
    </row>
    <row r="10" spans="1:16">
      <c r="B10" s="554"/>
      <c r="C10" s="557"/>
      <c r="D10" s="33">
        <v>43546</v>
      </c>
      <c r="E10" s="32" t="s">
        <v>2115</v>
      </c>
      <c r="F10" s="32" t="s">
        <v>2063</v>
      </c>
    </row>
    <row r="11" spans="1:16">
      <c r="B11" s="554"/>
      <c r="C11" s="557"/>
      <c r="D11" s="33">
        <v>43550</v>
      </c>
      <c r="E11" s="32" t="s">
        <v>2149</v>
      </c>
      <c r="F11" s="32" t="s">
        <v>2150</v>
      </c>
    </row>
    <row r="12" spans="1:16" ht="43.5">
      <c r="B12" s="554"/>
      <c r="C12" s="557"/>
      <c r="D12" s="33">
        <v>43551</v>
      </c>
      <c r="E12" s="32" t="s">
        <v>2151</v>
      </c>
      <c r="F12" s="32" t="s">
        <v>2150</v>
      </c>
    </row>
    <row r="13" spans="1:16" ht="43.5">
      <c r="B13" s="554"/>
      <c r="C13" s="557"/>
      <c r="D13" s="33">
        <v>43552</v>
      </c>
      <c r="E13" s="32" t="s">
        <v>2154</v>
      </c>
      <c r="F13" s="32" t="s">
        <v>2062</v>
      </c>
    </row>
    <row r="14" spans="1:16" ht="43.5">
      <c r="B14" s="554"/>
      <c r="C14" s="557"/>
      <c r="D14" s="33">
        <v>43553</v>
      </c>
      <c r="E14" s="32" t="s">
        <v>2198</v>
      </c>
      <c r="F14" s="32" t="s">
        <v>2150</v>
      </c>
    </row>
    <row r="15" spans="1:16" ht="43.5">
      <c r="B15" s="555"/>
      <c r="C15" s="558"/>
      <c r="D15" s="33" t="s">
        <v>2290</v>
      </c>
      <c r="E15" s="32" t="s">
        <v>2291</v>
      </c>
      <c r="F15" s="32" t="s">
        <v>2292</v>
      </c>
    </row>
    <row r="16" spans="1:16" ht="319">
      <c r="B16" s="32">
        <v>13</v>
      </c>
      <c r="C16" s="33" t="s">
        <v>2351</v>
      </c>
      <c r="D16" s="33" t="s">
        <v>2351</v>
      </c>
      <c r="E16" s="32" t="s">
        <v>2388</v>
      </c>
      <c r="F16" s="32" t="s">
        <v>2389</v>
      </c>
    </row>
    <row r="17" spans="2:6" ht="101.5">
      <c r="B17" s="32">
        <v>14</v>
      </c>
      <c r="C17" s="17" t="s">
        <v>2392</v>
      </c>
      <c r="D17" s="17" t="s">
        <v>2392</v>
      </c>
      <c r="E17" s="32" t="s">
        <v>2496</v>
      </c>
      <c r="F17" s="32" t="s">
        <v>2063</v>
      </c>
    </row>
    <row r="18" spans="2:6" ht="317.5" customHeight="1">
      <c r="B18" s="32">
        <v>15</v>
      </c>
      <c r="C18" s="247">
        <v>43634</v>
      </c>
      <c r="D18" s="247">
        <v>43634</v>
      </c>
      <c r="E18" s="32" t="s">
        <v>2850</v>
      </c>
      <c r="F18" s="32" t="s">
        <v>2848</v>
      </c>
    </row>
    <row r="19" spans="2:6" ht="43.5">
      <c r="B19" s="32">
        <v>16</v>
      </c>
      <c r="C19" s="247">
        <v>43643</v>
      </c>
      <c r="D19" s="247">
        <v>43634</v>
      </c>
      <c r="E19" s="32" t="s">
        <v>2855</v>
      </c>
      <c r="F19" s="32" t="s">
        <v>2854</v>
      </c>
    </row>
    <row r="20" spans="2:6" ht="72.5">
      <c r="B20" s="32">
        <v>17</v>
      </c>
      <c r="C20" s="247">
        <v>43656</v>
      </c>
      <c r="D20" s="247">
        <v>43634</v>
      </c>
      <c r="E20" s="32" t="s">
        <v>2932</v>
      </c>
      <c r="F20" s="32" t="s">
        <v>2931</v>
      </c>
    </row>
    <row r="21" spans="2:6" ht="87">
      <c r="B21" s="32">
        <v>18</v>
      </c>
      <c r="C21" s="247">
        <v>43692</v>
      </c>
      <c r="D21" s="247">
        <v>43634</v>
      </c>
      <c r="E21" s="32" t="s">
        <v>2963</v>
      </c>
      <c r="F21" s="32" t="s">
        <v>2854</v>
      </c>
    </row>
    <row r="22" spans="2:6" ht="130.5">
      <c r="B22" s="32">
        <v>19</v>
      </c>
      <c r="C22" s="247">
        <v>43732</v>
      </c>
      <c r="D22" s="247">
        <v>43634</v>
      </c>
      <c r="E22" s="32" t="s">
        <v>3154</v>
      </c>
      <c r="F22" s="32" t="s">
        <v>2854</v>
      </c>
    </row>
    <row r="23" spans="2:6" ht="72.5">
      <c r="B23" s="32">
        <v>20</v>
      </c>
      <c r="C23" s="247">
        <v>43756</v>
      </c>
      <c r="D23" s="32"/>
      <c r="E23" s="32" t="s">
        <v>3238</v>
      </c>
      <c r="F23" s="32" t="s">
        <v>3239</v>
      </c>
    </row>
    <row r="24" spans="2:6" ht="58">
      <c r="B24" s="32">
        <v>21</v>
      </c>
      <c r="C24" s="247">
        <v>43909</v>
      </c>
      <c r="D24" s="32"/>
      <c r="E24" s="32" t="s">
        <v>3246</v>
      </c>
      <c r="F24" s="32" t="s">
        <v>3245</v>
      </c>
    </row>
    <row r="25" spans="2:6">
      <c r="E25" s="550" t="s">
        <v>2851</v>
      </c>
    </row>
    <row r="26" spans="2:6">
      <c r="E26" s="551"/>
    </row>
  </sheetData>
  <sheetProtection algorithmName="SHA-512" hashValue="u33Uq/OPVKrmwnRHCx7aJ8+Z7LDzvn+RrBTfTlIejyAf/UJKi76/zrosG6MXdRtJCpmE608z9Dt+u5widec/KA==" saltValue="pV8vbpgNRgFNjTdutFqptg==" spinCount="100000" sheet="1" objects="1" scenarios="1"/>
  <mergeCells count="5">
    <mergeCell ref="E25:E26"/>
    <mergeCell ref="B1:F1"/>
    <mergeCell ref="K6:P6"/>
    <mergeCell ref="B6:B15"/>
    <mergeCell ref="C6:C15"/>
  </mergeCells>
  <pageMargins left="0.25" right="0.25"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E9399-6C63-4576-9A4A-B3C078FF93C8}">
  <dimension ref="A1:N31"/>
  <sheetViews>
    <sheetView showGridLines="0" topLeftCell="A27" workbookViewId="0">
      <selection activeCell="E36" sqref="E36"/>
    </sheetView>
  </sheetViews>
  <sheetFormatPr defaultRowHeight="14.5"/>
  <cols>
    <col min="1" max="1" width="2" style="198" bestFit="1" customWidth="1"/>
    <col min="2" max="2" width="7.81640625" bestFit="1" customWidth="1"/>
    <col min="3" max="3" width="11.81640625" bestFit="1" customWidth="1"/>
    <col min="4" max="4" width="10.1796875" hidden="1" customWidth="1"/>
    <col min="5" max="5" width="121.26953125" customWidth="1"/>
    <col min="6" max="6" width="34.7265625" customWidth="1"/>
  </cols>
  <sheetData>
    <row r="1" spans="1:14" ht="18.5">
      <c r="A1" s="198">
        <v>2</v>
      </c>
      <c r="B1" s="552" t="str">
        <f>HLOOKUP('General Information'!$C$6,'IDIOMA (hide)'!$A$1:$D$5016,A1,0)</f>
        <v>LTEP - Levantamento Técnico de Estimativa de Projeto TASY EMR
Código do documento: 0060 - Rev 024</v>
      </c>
      <c r="C1" s="552"/>
      <c r="D1" s="552"/>
      <c r="E1" s="552"/>
      <c r="F1" s="552"/>
      <c r="G1" s="252"/>
      <c r="H1" s="252"/>
      <c r="I1" s="252"/>
      <c r="J1" s="252"/>
      <c r="K1" s="252"/>
      <c r="L1" s="252"/>
      <c r="M1" s="252"/>
      <c r="N1" s="252"/>
    </row>
    <row r="2" spans="1:14" ht="18.5">
      <c r="B2" s="552"/>
      <c r="C2" s="552"/>
      <c r="D2" s="552"/>
      <c r="E2" s="552"/>
      <c r="F2" s="552"/>
      <c r="G2" s="252"/>
      <c r="H2" s="252"/>
      <c r="I2" s="252"/>
      <c r="J2" s="252"/>
      <c r="K2" s="252"/>
      <c r="L2" s="252"/>
      <c r="M2" s="252"/>
      <c r="N2" s="252"/>
    </row>
    <row r="3" spans="1:14" ht="18.5">
      <c r="B3" s="552"/>
      <c r="C3" s="552"/>
      <c r="D3" s="552"/>
      <c r="E3" s="552"/>
      <c r="F3" s="552"/>
      <c r="G3" s="252"/>
      <c r="H3" s="252"/>
      <c r="I3" s="252"/>
      <c r="J3" s="252"/>
      <c r="K3" s="252"/>
      <c r="L3" s="252"/>
      <c r="M3" s="252"/>
      <c r="N3" s="252"/>
    </row>
    <row r="7" spans="1:14">
      <c r="B7" s="3" t="s">
        <v>1952</v>
      </c>
      <c r="C7" s="3" t="s">
        <v>1953</v>
      </c>
      <c r="D7" s="3" t="s">
        <v>1953</v>
      </c>
      <c r="E7" s="3" t="s">
        <v>1954</v>
      </c>
      <c r="F7" s="3" t="s">
        <v>1955</v>
      </c>
    </row>
    <row r="8" spans="1:14" ht="15" customHeight="1">
      <c r="B8" s="553">
        <v>12</v>
      </c>
      <c r="C8" s="556" t="s">
        <v>2290</v>
      </c>
      <c r="D8" s="33">
        <v>43535</v>
      </c>
      <c r="E8" s="32" t="s">
        <v>2117</v>
      </c>
      <c r="F8" s="32" t="s">
        <v>2062</v>
      </c>
    </row>
    <row r="9" spans="1:14">
      <c r="B9" s="554"/>
      <c r="C9" s="557"/>
      <c r="D9" s="33">
        <v>43538</v>
      </c>
      <c r="E9" s="32" t="s">
        <v>2118</v>
      </c>
      <c r="F9" s="32" t="s">
        <v>2063</v>
      </c>
    </row>
    <row r="10" spans="1:14">
      <c r="B10" s="554"/>
      <c r="C10" s="557"/>
      <c r="D10" s="33">
        <v>43539</v>
      </c>
      <c r="E10" s="32" t="s">
        <v>2116</v>
      </c>
      <c r="F10" s="32" t="s">
        <v>2063</v>
      </c>
    </row>
    <row r="11" spans="1:14">
      <c r="B11" s="554"/>
      <c r="C11" s="557"/>
      <c r="D11" s="33">
        <v>43545</v>
      </c>
      <c r="E11" s="32" t="s">
        <v>2114</v>
      </c>
      <c r="F11" s="32" t="s">
        <v>2063</v>
      </c>
    </row>
    <row r="12" spans="1:14">
      <c r="B12" s="554"/>
      <c r="C12" s="557"/>
      <c r="D12" s="33">
        <v>43546</v>
      </c>
      <c r="E12" s="32" t="s">
        <v>2115</v>
      </c>
      <c r="F12" s="32" t="s">
        <v>2063</v>
      </c>
    </row>
    <row r="13" spans="1:14">
      <c r="B13" s="554"/>
      <c r="C13" s="557"/>
      <c r="D13" s="33">
        <v>43550</v>
      </c>
      <c r="E13" s="32" t="s">
        <v>2149</v>
      </c>
      <c r="F13" s="32" t="s">
        <v>2150</v>
      </c>
    </row>
    <row r="14" spans="1:14" ht="43.5">
      <c r="B14" s="554"/>
      <c r="C14" s="557"/>
      <c r="D14" s="33">
        <v>43551</v>
      </c>
      <c r="E14" s="32" t="s">
        <v>2151</v>
      </c>
      <c r="F14" s="32" t="s">
        <v>2150</v>
      </c>
    </row>
    <row r="15" spans="1:14" ht="43.5">
      <c r="B15" s="554"/>
      <c r="C15" s="557"/>
      <c r="D15" s="33">
        <v>43552</v>
      </c>
      <c r="E15" s="32" t="s">
        <v>2154</v>
      </c>
      <c r="F15" s="32" t="s">
        <v>2062</v>
      </c>
    </row>
    <row r="16" spans="1:14" ht="43.5">
      <c r="B16" s="554"/>
      <c r="C16" s="557"/>
      <c r="D16" s="33">
        <v>43553</v>
      </c>
      <c r="E16" s="32" t="s">
        <v>2198</v>
      </c>
      <c r="F16" s="32" t="s">
        <v>2150</v>
      </c>
    </row>
    <row r="17" spans="2:6" ht="43.5">
      <c r="B17" s="555"/>
      <c r="C17" s="558"/>
      <c r="D17" s="33" t="s">
        <v>2290</v>
      </c>
      <c r="E17" s="32" t="s">
        <v>2291</v>
      </c>
      <c r="F17" s="32" t="s">
        <v>2292</v>
      </c>
    </row>
    <row r="18" spans="2:6" ht="319">
      <c r="B18" s="32">
        <v>13</v>
      </c>
      <c r="C18" s="33" t="s">
        <v>2351</v>
      </c>
      <c r="D18" s="33" t="s">
        <v>2351</v>
      </c>
      <c r="E18" s="32" t="s">
        <v>2388</v>
      </c>
      <c r="F18" s="32" t="s">
        <v>2389</v>
      </c>
    </row>
    <row r="19" spans="2:6" ht="101.5">
      <c r="B19" s="32">
        <v>14</v>
      </c>
      <c r="C19" s="17" t="s">
        <v>2392</v>
      </c>
      <c r="D19" s="17" t="s">
        <v>2392</v>
      </c>
      <c r="E19" s="32" t="s">
        <v>2496</v>
      </c>
      <c r="F19" s="32" t="s">
        <v>2063</v>
      </c>
    </row>
    <row r="20" spans="2:6" ht="246.5">
      <c r="B20" s="32">
        <v>15</v>
      </c>
      <c r="C20" s="247">
        <v>43634</v>
      </c>
      <c r="D20" s="247">
        <v>43634</v>
      </c>
      <c r="E20" s="32" t="s">
        <v>2850</v>
      </c>
      <c r="F20" s="32" t="s">
        <v>2848</v>
      </c>
    </row>
    <row r="21" spans="2:6" ht="43.5">
      <c r="B21" s="32">
        <v>16</v>
      </c>
      <c r="C21" s="247">
        <v>43643</v>
      </c>
      <c r="D21" s="247">
        <v>43634</v>
      </c>
      <c r="E21" s="32" t="s">
        <v>2855</v>
      </c>
      <c r="F21" s="32" t="s">
        <v>2854</v>
      </c>
    </row>
    <row r="22" spans="2:6" ht="72.5">
      <c r="B22" s="32">
        <v>17</v>
      </c>
      <c r="C22" s="247">
        <v>43656</v>
      </c>
      <c r="D22" s="247">
        <v>43634</v>
      </c>
      <c r="E22" s="32" t="s">
        <v>2932</v>
      </c>
      <c r="F22" s="32" t="s">
        <v>2931</v>
      </c>
    </row>
    <row r="23" spans="2:6" ht="87">
      <c r="B23" s="32">
        <v>18</v>
      </c>
      <c r="C23" s="247">
        <v>43692</v>
      </c>
      <c r="D23" s="247">
        <v>43634</v>
      </c>
      <c r="E23" s="32" t="s">
        <v>2963</v>
      </c>
      <c r="F23" s="32" t="s">
        <v>2854</v>
      </c>
    </row>
    <row r="24" spans="2:6" ht="130.5">
      <c r="B24" s="32">
        <v>19</v>
      </c>
      <c r="C24" s="247">
        <v>43732</v>
      </c>
      <c r="D24" s="247">
        <v>43634</v>
      </c>
      <c r="E24" s="32" t="s">
        <v>3154</v>
      </c>
      <c r="F24" s="32" t="s">
        <v>2854</v>
      </c>
    </row>
    <row r="25" spans="2:6" ht="72.5">
      <c r="B25" s="32">
        <v>20</v>
      </c>
      <c r="C25" s="247">
        <v>43756</v>
      </c>
      <c r="D25" s="32"/>
      <c r="E25" s="32" t="s">
        <v>3238</v>
      </c>
      <c r="F25" s="32" t="s">
        <v>3239</v>
      </c>
    </row>
    <row r="26" spans="2:6" ht="60.75" customHeight="1">
      <c r="B26" s="32">
        <v>21</v>
      </c>
      <c r="C26" s="247">
        <v>43909</v>
      </c>
      <c r="D26" s="32"/>
      <c r="E26" s="32" t="s">
        <v>3246</v>
      </c>
      <c r="F26" s="32" t="s">
        <v>3245</v>
      </c>
    </row>
    <row r="27" spans="2:6" ht="60.75" customHeight="1">
      <c r="B27" s="32">
        <v>22</v>
      </c>
      <c r="C27" s="247">
        <v>43955</v>
      </c>
      <c r="D27" s="32"/>
      <c r="E27" s="32" t="s">
        <v>5843</v>
      </c>
      <c r="F27" s="32" t="s">
        <v>3245</v>
      </c>
    </row>
    <row r="28" spans="2:6" ht="116">
      <c r="B28" s="32">
        <v>23</v>
      </c>
      <c r="C28" s="247">
        <v>43993</v>
      </c>
      <c r="D28" s="299"/>
      <c r="E28" s="421" t="s">
        <v>5872</v>
      </c>
      <c r="F28" s="32" t="s">
        <v>3245</v>
      </c>
    </row>
    <row r="29" spans="2:6" ht="217.5">
      <c r="B29" s="32">
        <v>24</v>
      </c>
      <c r="C29" s="247"/>
      <c r="D29" s="299"/>
      <c r="E29" s="421" t="s">
        <v>8172</v>
      </c>
      <c r="F29" s="32" t="s">
        <v>3245</v>
      </c>
    </row>
    <row r="30" spans="2:6">
      <c r="E30" s="550" t="s">
        <v>2851</v>
      </c>
    </row>
    <row r="31" spans="2:6">
      <c r="E31" s="551"/>
    </row>
  </sheetData>
  <sheetProtection algorithmName="SHA-512" hashValue="8AtNv63MjAHbJxb2LPSzeWxUfJIXIn6W1vGYBpOoOu2MRMtSWAx6s110Jf4Z4DX2NkeX5+HdwM2Ktifw7px9ew==" saltValue="0iq5cseu9SoRpp31pev3LA==" spinCount="100000" sheet="1" objects="1" scenarios="1"/>
  <mergeCells count="4">
    <mergeCell ref="B8:B17"/>
    <mergeCell ref="C8:C17"/>
    <mergeCell ref="B1:F3"/>
    <mergeCell ref="E30:E3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CECB0-0525-47B4-AA40-906884188229}">
  <sheetPr filterMode="1"/>
  <dimension ref="A1:F16"/>
  <sheetViews>
    <sheetView zoomScale="145" zoomScaleNormal="145" workbookViewId="0">
      <selection activeCell="B9" sqref="B9"/>
    </sheetView>
  </sheetViews>
  <sheetFormatPr defaultRowHeight="14.5"/>
  <cols>
    <col min="1" max="1" width="10.453125" bestFit="1" customWidth="1"/>
    <col min="2" max="2" width="152.26953125" bestFit="1" customWidth="1"/>
    <col min="3" max="3" width="9.7265625" bestFit="1" customWidth="1"/>
  </cols>
  <sheetData>
    <row r="1" spans="1:6">
      <c r="A1" t="s">
        <v>5961</v>
      </c>
      <c r="B1" t="s">
        <v>5962</v>
      </c>
      <c r="C1" t="s">
        <v>5969</v>
      </c>
      <c r="D1" t="s">
        <v>5993</v>
      </c>
    </row>
    <row r="2" spans="1:6" hidden="1">
      <c r="A2" t="s">
        <v>5963</v>
      </c>
      <c r="B2" t="s">
        <v>5964</v>
      </c>
      <c r="C2" t="s">
        <v>2128</v>
      </c>
    </row>
    <row r="3" spans="1:6" hidden="1">
      <c r="A3" t="s">
        <v>5965</v>
      </c>
      <c r="B3" t="s">
        <v>5966</v>
      </c>
      <c r="C3" t="s">
        <v>2128</v>
      </c>
      <c r="D3" t="s">
        <v>5997</v>
      </c>
      <c r="E3" t="s">
        <v>5995</v>
      </c>
    </row>
    <row r="4" spans="1:6" hidden="1">
      <c r="A4" t="s">
        <v>5965</v>
      </c>
      <c r="B4" t="s">
        <v>5967</v>
      </c>
      <c r="C4" t="s">
        <v>2128</v>
      </c>
    </row>
    <row r="5" spans="1:6" hidden="1">
      <c r="A5" s="465" t="s">
        <v>5965</v>
      </c>
      <c r="B5" s="465" t="s">
        <v>5968</v>
      </c>
      <c r="C5" s="465" t="s">
        <v>2128</v>
      </c>
      <c r="D5" s="465" t="s">
        <v>5994</v>
      </c>
      <c r="E5" s="465">
        <v>2081937</v>
      </c>
      <c r="F5" s="465">
        <v>2081938</v>
      </c>
    </row>
    <row r="6" spans="1:6" hidden="1">
      <c r="A6" t="s">
        <v>5965</v>
      </c>
      <c r="B6" s="500" t="s">
        <v>5998</v>
      </c>
      <c r="C6" t="s">
        <v>6258</v>
      </c>
      <c r="D6" t="s">
        <v>6000</v>
      </c>
      <c r="E6" t="s">
        <v>5999</v>
      </c>
    </row>
    <row r="7" spans="1:6" hidden="1">
      <c r="A7" t="s">
        <v>5965</v>
      </c>
      <c r="B7" s="500" t="s">
        <v>1446</v>
      </c>
      <c r="C7" t="s">
        <v>2128</v>
      </c>
      <c r="D7" t="s">
        <v>6327</v>
      </c>
      <c r="E7" t="s">
        <v>6001</v>
      </c>
    </row>
    <row r="8" spans="1:6" hidden="1">
      <c r="A8" t="s">
        <v>5887</v>
      </c>
      <c r="B8" t="s">
        <v>6027</v>
      </c>
      <c r="C8" t="s">
        <v>2128</v>
      </c>
      <c r="E8" t="s">
        <v>6029</v>
      </c>
    </row>
    <row r="9" spans="1:6" ht="58">
      <c r="A9" s="301" t="s">
        <v>5963</v>
      </c>
      <c r="B9" s="516" t="s">
        <v>6028</v>
      </c>
      <c r="C9" t="s">
        <v>5970</v>
      </c>
      <c r="E9" t="s">
        <v>6326</v>
      </c>
    </row>
    <row r="10" spans="1:6" hidden="1">
      <c r="A10" t="s">
        <v>5887</v>
      </c>
      <c r="B10" s="466" t="s">
        <v>6231</v>
      </c>
      <c r="C10" t="s">
        <v>2128</v>
      </c>
    </row>
    <row r="11" spans="1:6" hidden="1">
      <c r="A11" t="s">
        <v>5887</v>
      </c>
      <c r="B11" s="466" t="s">
        <v>6232</v>
      </c>
      <c r="C11" t="s">
        <v>2128</v>
      </c>
    </row>
    <row r="12" spans="1:6" hidden="1">
      <c r="A12" t="s">
        <v>5887</v>
      </c>
      <c r="B12" s="466" t="s">
        <v>6233</v>
      </c>
      <c r="C12" t="s">
        <v>2128</v>
      </c>
    </row>
    <row r="13" spans="1:6">
      <c r="A13" t="s">
        <v>5887</v>
      </c>
      <c r="B13" s="517" t="s">
        <v>6234</v>
      </c>
      <c r="C13" t="s">
        <v>5970</v>
      </c>
    </row>
    <row r="14" spans="1:6" hidden="1">
      <c r="A14" t="s">
        <v>5887</v>
      </c>
      <c r="B14" t="s">
        <v>6260</v>
      </c>
      <c r="C14" t="s">
        <v>2128</v>
      </c>
    </row>
    <row r="15" spans="1:6" hidden="1">
      <c r="A15" t="s">
        <v>5887</v>
      </c>
      <c r="B15" s="500" t="s">
        <v>6320</v>
      </c>
      <c r="C15" t="s">
        <v>2128</v>
      </c>
      <c r="D15" t="s">
        <v>6321</v>
      </c>
    </row>
    <row r="16" spans="1:6" ht="29">
      <c r="A16" s="301" t="s">
        <v>5963</v>
      </c>
      <c r="B16" s="516" t="s">
        <v>6322</v>
      </c>
      <c r="C16" t="s">
        <v>5970</v>
      </c>
      <c r="D16" t="s">
        <v>6325</v>
      </c>
    </row>
  </sheetData>
  <autoFilter ref="A1:F16" xr:uid="{F764EABD-DDD8-4F7C-BBE7-35EE7717C979}">
    <filterColumn colId="2">
      <filters>
        <filter val="Pendente"/>
      </filters>
    </filterColumn>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76"/>
  <sheetViews>
    <sheetView showGridLines="0" tabSelected="1" zoomScaleNormal="100" workbookViewId="0">
      <selection activeCell="C16" sqref="C16"/>
    </sheetView>
  </sheetViews>
  <sheetFormatPr defaultColWidth="9.1796875" defaultRowHeight="14.5"/>
  <cols>
    <col min="1" max="1" width="2.7265625" style="80" customWidth="1"/>
    <col min="2" max="2" width="42.26953125" style="113" customWidth="1"/>
    <col min="3" max="3" width="36" style="113" customWidth="1"/>
    <col min="4" max="4" width="9.26953125" style="113" hidden="1" customWidth="1"/>
    <col min="5" max="5" width="43.7265625" style="113" customWidth="1"/>
    <col min="6" max="6" width="27.26953125" style="113" customWidth="1"/>
    <col min="7" max="7" width="22.81640625" style="113" bestFit="1" customWidth="1"/>
    <col min="8" max="8" width="23.453125" style="113" bestFit="1" customWidth="1"/>
    <col min="9" max="9" width="9.1796875" style="113" customWidth="1"/>
    <col min="10" max="10" width="5.7265625" style="113" customWidth="1"/>
    <col min="11" max="11" width="9.1796875" style="113" customWidth="1"/>
    <col min="12" max="16384" width="9.1796875" style="113"/>
  </cols>
  <sheetData>
    <row r="1" spans="1:16" ht="33.75" customHeight="1">
      <c r="A1" s="110">
        <v>2</v>
      </c>
      <c r="B1" s="552" t="str">
        <f>HLOOKUP($C$6,'IDIOMA (hide)'!$A$1:$D$5016,A1,0)</f>
        <v>LTEP - Levantamento Técnico de Estimativa de Projeto TASY EMR
Código do documento: 0060 - Rev 024</v>
      </c>
      <c r="C1" s="552"/>
      <c r="D1" s="552"/>
      <c r="E1" s="552"/>
      <c r="F1" s="552"/>
      <c r="M1" s="460"/>
      <c r="N1" s="460"/>
      <c r="O1" s="460"/>
      <c r="P1" s="460"/>
    </row>
    <row r="2" spans="1:16" ht="21.5" thickBot="1">
      <c r="A2" s="80">
        <v>3</v>
      </c>
      <c r="B2" s="108" t="str">
        <f>HLOOKUP($C$6,'IDIOMA (hide)'!$A$1:$D$5016,A2,0)</f>
        <v>General Information</v>
      </c>
      <c r="C2" s="114"/>
      <c r="D2" s="340" t="s">
        <v>3236</v>
      </c>
      <c r="E2" s="114"/>
      <c r="F2" s="114"/>
      <c r="M2" s="460"/>
      <c r="N2" s="460"/>
      <c r="O2" s="460"/>
      <c r="P2" s="460"/>
    </row>
    <row r="3" spans="1:16" ht="9" customHeight="1">
      <c r="C3" s="112"/>
      <c r="D3" s="112"/>
      <c r="M3" s="460"/>
      <c r="N3" s="460"/>
      <c r="O3" s="460"/>
      <c r="P3" s="460"/>
    </row>
    <row r="4" spans="1:16">
      <c r="A4" s="80">
        <v>5</v>
      </c>
      <c r="B4" s="115" t="str">
        <f>HLOOKUP($C$6,'IDIOMA (hide)'!$A$1:$D$5016,A4,0)</f>
        <v>País</v>
      </c>
      <c r="C4" s="2"/>
      <c r="G4" s="562" t="str">
        <f>IF(C$4="Brasil","Guia de Segmentação (Para Brasil)","")</f>
        <v/>
      </c>
      <c r="H4" s="563"/>
      <c r="I4" s="563"/>
      <c r="J4" s="563"/>
      <c r="K4" s="563"/>
      <c r="L4" s="564"/>
      <c r="M4" s="460"/>
      <c r="N4" s="460"/>
      <c r="O4" s="460"/>
      <c r="P4" s="460"/>
    </row>
    <row r="5" spans="1:16" s="116" customFormat="1">
      <c r="A5" s="80"/>
      <c r="B5" s="294" t="str">
        <f>IF(OR(C4="Outro",C4="Other",C4="Otro")=TRUE,HLOOKUP($C$6,'IDIOMA (hide)'!$A$1:$D$5016,A5,0),HLOOKUP($C$6,'IDIOMA (hide)'!$A$1:$D$5016,A7,0))</f>
        <v>Não Preencher</v>
      </c>
      <c r="C5" s="2"/>
      <c r="E5" s="113"/>
      <c r="F5" s="113"/>
      <c r="G5" s="562" t="str">
        <f>IF($C$4="Brasil","Hospitais","")</f>
        <v/>
      </c>
      <c r="H5" s="563"/>
      <c r="I5" s="563"/>
      <c r="J5" s="563"/>
      <c r="K5" s="563"/>
      <c r="L5" s="564"/>
      <c r="M5" s="460"/>
      <c r="N5" s="460"/>
      <c r="O5" s="460"/>
      <c r="P5" s="460"/>
    </row>
    <row r="6" spans="1:16" s="116" customFormat="1">
      <c r="A6" s="110">
        <v>40</v>
      </c>
      <c r="B6" s="123" t="str">
        <f>HLOOKUP($C$6,'IDIOMA (hide)'!$A$1:$D$5016,A6,0)</f>
        <v>Idioma</v>
      </c>
      <c r="C6" s="2" t="s">
        <v>1600</v>
      </c>
      <c r="D6" s="110"/>
      <c r="E6" s="113"/>
      <c r="F6" s="113"/>
      <c r="G6" s="196" t="str">
        <f>IF($C$4="Brasil","Pequeno","")</f>
        <v/>
      </c>
      <c r="H6" s="559" t="str">
        <f>IF($C$4="Brasil","Até 100 Leitos","")</f>
        <v/>
      </c>
      <c r="I6" s="560"/>
      <c r="J6" s="560"/>
      <c r="K6" s="560"/>
      <c r="L6" s="561"/>
      <c r="M6" s="460"/>
      <c r="N6" s="460"/>
      <c r="O6" s="460"/>
      <c r="P6" s="460"/>
    </row>
    <row r="7" spans="1:16" s="116" customFormat="1">
      <c r="A7" s="110">
        <v>361</v>
      </c>
      <c r="B7" s="123" t="str">
        <f>HLOOKUP($C$6,'IDIOMA (hide)'!$A$1:$D$5016,E8,0)</f>
        <v>Moeda</v>
      </c>
      <c r="C7" s="2"/>
      <c r="D7" s="110"/>
      <c r="E7" s="113"/>
      <c r="F7" s="113"/>
      <c r="G7" s="196" t="str">
        <f>IF($C$4="Brasil","Médio","")</f>
        <v/>
      </c>
      <c r="H7" s="559" t="str">
        <f>IF($C$4="Brasil","De 101 até 300 Leitos","")</f>
        <v/>
      </c>
      <c r="I7" s="560"/>
      <c r="J7" s="560"/>
      <c r="K7" s="560"/>
      <c r="L7" s="561"/>
      <c r="M7" s="460"/>
      <c r="N7" s="460"/>
      <c r="O7" s="460"/>
      <c r="P7" s="460"/>
    </row>
    <row r="8" spans="1:16">
      <c r="C8" s="112"/>
      <c r="D8" s="117"/>
      <c r="E8" s="110">
        <v>480</v>
      </c>
      <c r="F8" s="112"/>
      <c r="G8" s="196" t="str">
        <f>IF($C$4="Brasil","Grande","")</f>
        <v/>
      </c>
      <c r="H8" s="559" t="str">
        <f>IF($C$4="Brasil","De 301 até 500 Leitos","")</f>
        <v/>
      </c>
      <c r="I8" s="560"/>
      <c r="J8" s="560"/>
      <c r="K8" s="560"/>
      <c r="L8" s="561"/>
      <c r="M8" s="460"/>
      <c r="N8" s="460"/>
      <c r="O8" s="460"/>
      <c r="P8" s="460"/>
    </row>
    <row r="9" spans="1:16">
      <c r="A9" s="80">
        <v>6</v>
      </c>
      <c r="B9" s="562" t="str">
        <f>HLOOKUP($C$6,'IDIOMA (hide)'!$A$1:$D$5016,A9,0)</f>
        <v>Informações do Cliente</v>
      </c>
      <c r="C9" s="564" t="e">
        <f>HLOOKUP($C$6,'IDIOMA (hide)'!$A$1:$D$5016,B9,0)</f>
        <v>#REF!</v>
      </c>
      <c r="G9" s="196" t="str">
        <f>IF($C$4="Brasil","Gigante","")</f>
        <v/>
      </c>
      <c r="H9" s="559" t="str">
        <f>IF($C$4="Brasil","Acima de 500 Leitos","")</f>
        <v/>
      </c>
      <c r="I9" s="560"/>
      <c r="J9" s="560"/>
      <c r="K9" s="560"/>
      <c r="L9" s="561"/>
      <c r="M9" s="460"/>
      <c r="N9" s="460"/>
      <c r="O9" s="460"/>
      <c r="P9" s="460"/>
    </row>
    <row r="10" spans="1:16" ht="15.75" customHeight="1">
      <c r="A10" s="80">
        <v>7</v>
      </c>
      <c r="B10" s="115" t="str">
        <f>HLOOKUP($C$6,'IDIOMA (hide)'!$A$1:$D$5016,A10,0)</f>
        <v>ID Oportunidade</v>
      </c>
      <c r="C10" s="2"/>
      <c r="G10" s="562" t="str">
        <f>IF($C$4="Brasil","OPS - Operadoras de Saúde","")</f>
        <v/>
      </c>
      <c r="H10" s="563"/>
      <c r="I10" s="563"/>
      <c r="J10" s="563"/>
      <c r="K10" s="563"/>
      <c r="L10" s="564"/>
      <c r="M10" s="460"/>
      <c r="N10" s="460"/>
      <c r="O10" s="460"/>
      <c r="P10" s="460"/>
    </row>
    <row r="11" spans="1:16" ht="15.75" customHeight="1">
      <c r="A11" s="80">
        <v>8</v>
      </c>
      <c r="B11" s="115" t="str">
        <f>HLOOKUP($C$6,'IDIOMA (hide)'!$A$1:$D$5016,A11,0)</f>
        <v>Nome do Cliente</v>
      </c>
      <c r="C11" s="2"/>
      <c r="G11" s="196" t="str">
        <f>IF($C$4="Brasil","Pequeno","")</f>
        <v/>
      </c>
      <c r="H11" s="559" t="str">
        <f>IF($C$4="Brasil","Menos de 20 mil vidas","")</f>
        <v/>
      </c>
      <c r="I11" s="560"/>
      <c r="J11" s="560"/>
      <c r="K11" s="560"/>
      <c r="L11" s="561"/>
      <c r="M11" s="460"/>
      <c r="N11" s="460"/>
      <c r="O11" s="460"/>
      <c r="P11" s="460"/>
    </row>
    <row r="12" spans="1:16" ht="15.75" customHeight="1">
      <c r="A12" s="80">
        <v>9</v>
      </c>
      <c r="B12" s="115" t="str">
        <f>HLOOKUP($C$6,'IDIOMA (hide)'!$A$1:$D$5016,A12,0)</f>
        <v>Contato</v>
      </c>
      <c r="C12" s="2"/>
      <c r="G12" s="196" t="str">
        <f>IF($C$4="Brasil","Médio","")</f>
        <v/>
      </c>
      <c r="H12" s="559" t="str">
        <f>IF($C$4="Brasil","De 20 a 100 mil vidas","")</f>
        <v/>
      </c>
      <c r="I12" s="560"/>
      <c r="J12" s="560"/>
      <c r="K12" s="560"/>
      <c r="L12" s="561"/>
      <c r="M12" s="460"/>
      <c r="N12" s="460"/>
      <c r="O12" s="460"/>
      <c r="P12" s="460"/>
    </row>
    <row r="13" spans="1:16" ht="15.75" customHeight="1">
      <c r="A13" s="80">
        <v>13</v>
      </c>
      <c r="B13" s="126" t="str">
        <f>HLOOKUP($C$6,'IDIOMA (hide)'!$A$1:$D$5016,A13,0)</f>
        <v>Número de Leitos</v>
      </c>
      <c r="C13" s="2"/>
      <c r="G13" s="196" t="str">
        <f>IF($C$4="Brasil","Grande","")</f>
        <v/>
      </c>
      <c r="H13" s="559" t="str">
        <f>IF($C$4="Brasil","Acima de 100 mil vidas","")</f>
        <v/>
      </c>
      <c r="I13" s="560"/>
      <c r="J13" s="560"/>
      <c r="K13" s="560"/>
      <c r="L13" s="561"/>
      <c r="M13" s="460"/>
      <c r="N13" s="460"/>
      <c r="O13" s="460"/>
      <c r="P13" s="460"/>
    </row>
    <row r="14" spans="1:16" ht="15.75" customHeight="1">
      <c r="A14" s="80">
        <v>409</v>
      </c>
      <c r="B14" s="127" t="str">
        <f>HLOOKUP($C$6,'IDIOMA (hide)'!$A$1:$D$5016,A14,0)</f>
        <v>Sistema anterior (a ser substituído)</v>
      </c>
      <c r="C14" s="2"/>
      <c r="G14" s="562" t="str">
        <f>IF($C$4="Brasil","Clínicas","")</f>
        <v/>
      </c>
      <c r="H14" s="563"/>
      <c r="I14" s="563"/>
      <c r="J14" s="563"/>
      <c r="K14" s="563"/>
      <c r="L14" s="564"/>
      <c r="M14" s="460"/>
      <c r="N14" s="460"/>
      <c r="O14" s="460"/>
      <c r="P14" s="460"/>
    </row>
    <row r="15" spans="1:16" ht="15.75" customHeight="1">
      <c r="A15" s="80">
        <v>504</v>
      </c>
      <c r="B15" s="127" t="str">
        <f>HLOOKUP($C$6,'IDIOMA (hide)'!$A$1:$D$5016,A15,0)</f>
        <v xml:space="preserve">Será uma proposta no Modelo Trade In? </v>
      </c>
      <c r="C15" s="2"/>
      <c r="E15" s="80">
        <v>200</v>
      </c>
      <c r="G15" s="196" t="str">
        <f>IF($C$4="Brasil","Pequena","")</f>
        <v/>
      </c>
      <c r="H15" s="559" t="str">
        <f>IF($C$4="Brasil","Até 2 Unidades / Faturamento até 5 M/Ano","")</f>
        <v/>
      </c>
      <c r="I15" s="560"/>
      <c r="J15" s="560"/>
      <c r="K15" s="560"/>
      <c r="L15" s="561"/>
      <c r="M15" s="460"/>
      <c r="N15" s="460"/>
      <c r="O15" s="460"/>
      <c r="P15" s="460"/>
    </row>
    <row r="16" spans="1:16" ht="15.75" customHeight="1">
      <c r="A16" s="110">
        <v>76</v>
      </c>
      <c r="B16" s="123" t="str">
        <f>HLOOKUP($C$6,'IDIOMA (hide)'!$A$1:$D$5016,A16,0)</f>
        <v>Funções sugeridas pelo porte do cliente</v>
      </c>
      <c r="C16" s="2"/>
      <c r="D16" s="124" t="str">
        <f>IF(OR(C16='Listas (Hide)'!D5,C16='Listas (Hide)'!B5,C16='Listas (Hide)'!C5)=TRUE,1,IF(OR(C16='Listas (Hide)'!D6,C16='Listas (Hide)'!B6,C16='Listas (Hide)'!C6)=TRUE,2,IF(OR(C16='Listas (Hide)'!D7,C16='Listas (Hide)'!B7,C16='Listas (Hide)'!C7)=TRUE,3,IF(OR(C16='Listas (Hide)'!D8,C16='Listas (Hide)'!B8,C16='Listas (Hide)'!C8)=TRUE,4,IF(OR(C16='Listas (Hide)'!D9,C16='Listas (Hide)'!B9,C16='Listas (Hide)'!C9)=TRUE,5,IF(OR(C16='Listas (Hide)'!D10,C16='Listas (Hide)'!B10,C16='Listas (Hide)'!C10)=TRUE,6,IF(C16='Listas (Hide)'!B11,7,IF(C16='Listas (Hide)'!B12,8,IF(C16='Listas (Hide)'!B13,9,"Erro")))))))))</f>
        <v>Erro</v>
      </c>
      <c r="E16" s="125" t="str">
        <f>HLOOKUP($C$6,'IDIOMA (hide)'!$A$1:$D$5016,E15,0)</f>
        <v>*Campo Obrigatório para gerar estimativa</v>
      </c>
      <c r="G16" s="196" t="str">
        <f>IF($C$4="Brasil","Médio","")</f>
        <v/>
      </c>
      <c r="H16" s="559" t="str">
        <f>IF($C$4="Brasil","De 3 a 6 Unidades / Faturamento de 5 a 20 M/Ano","")</f>
        <v/>
      </c>
      <c r="I16" s="560"/>
      <c r="J16" s="560"/>
      <c r="K16" s="560"/>
      <c r="L16" s="561"/>
      <c r="M16" s="460"/>
      <c r="N16" s="460"/>
      <c r="O16" s="460"/>
      <c r="P16" s="460"/>
    </row>
    <row r="17" spans="1:16" ht="15.75" customHeight="1">
      <c r="A17" s="110">
        <v>505</v>
      </c>
      <c r="B17" s="123" t="str">
        <f>HLOOKUP($C$6,'IDIOMA (hide)'!$A$1:$D$5016,A17,0)</f>
        <v>Funções Sugeridas pela modalidade (OPS)</v>
      </c>
      <c r="C17" s="2"/>
      <c r="D17" s="124" t="str">
        <f>IF(OR(C17='Listas (Hide)'!D5,C17='Listas (Hide)'!B5,C17='Listas (Hide)'!C5)=TRUE,1,IF(OR(C17='Listas (Hide)'!D6,C17='Listas (Hide)'!B6,C17='Listas (Hide)'!C6)=TRUE,2,IF(OR(C17='Listas (Hide)'!D7,C17='Listas (Hide)'!B7,C17='Listas (Hide)'!C7)=TRUE,3,IF(OR(C17='Listas (Hide)'!D8,C17='Listas (Hide)'!B8,C17='Listas (Hide)'!C8)=TRUE,4,IF(OR(C17='Listas (Hide)'!D9,C17='Listas (Hide)'!B9,C17='Listas (Hide)'!C9)=TRUE,5,IF(OR(C17='Listas (Hide)'!D10,C17='Listas (Hide)'!B10,C17='Listas (Hide)'!C10)=TRUE,6,IF(C17='Listas (Hide)'!B11,7,IF(C17='Listas (Hide)'!B12,8,IF(C17='Listas (Hide)'!B13,9,"Erro")))))))))</f>
        <v>Erro</v>
      </c>
      <c r="E17" s="125" t="str">
        <f>HLOOKUP($C$6,'IDIOMA (hide)'!$A$1:$D$5016,E15,0)</f>
        <v>*Campo Obrigatório para gerar estimativa</v>
      </c>
      <c r="G17" s="196"/>
      <c r="H17" s="497"/>
      <c r="I17" s="498"/>
      <c r="J17" s="498"/>
      <c r="K17" s="498"/>
      <c r="L17" s="499"/>
      <c r="M17" s="460"/>
      <c r="N17" s="460"/>
      <c r="O17" s="460"/>
      <c r="P17" s="460"/>
    </row>
    <row r="18" spans="1:16" ht="15.75" customHeight="1">
      <c r="A18" s="110">
        <v>506</v>
      </c>
      <c r="B18" s="123" t="str">
        <f>HLOOKUP($C$6,'IDIOMA (hide)'!$A$1:$D$5016,A18,0)</f>
        <v>Produto</v>
      </c>
      <c r="C18" s="2"/>
      <c r="D18" s="112"/>
      <c r="G18" s="196" t="str">
        <f>IF($C$4="Brasil","Grande","")</f>
        <v/>
      </c>
      <c r="H18" s="559" t="str">
        <f>IF($C$4="Brasil","Acima de 7 Unidades / Faturamento acima de 20 M/Ano","")</f>
        <v/>
      </c>
      <c r="I18" s="560"/>
      <c r="J18" s="560"/>
      <c r="K18" s="560"/>
      <c r="L18" s="561"/>
      <c r="M18" s="460"/>
      <c r="N18" s="460"/>
      <c r="O18" s="460"/>
      <c r="P18" s="460"/>
    </row>
    <row r="19" spans="1:16" ht="15.75" customHeight="1">
      <c r="A19" s="80">
        <v>199</v>
      </c>
      <c r="B19" s="123" t="str">
        <f>HLOOKUP($C$6,'IDIOMA (hide)'!$A$1:$D$5016,A19,0)</f>
        <v>Plataforma</v>
      </c>
      <c r="C19" s="2"/>
      <c r="D19" s="112"/>
      <c r="E19" s="125"/>
      <c r="M19" s="460"/>
      <c r="N19" s="460"/>
      <c r="O19" s="460"/>
      <c r="P19" s="460"/>
    </row>
    <row r="20" spans="1:16" ht="15.75" customHeight="1">
      <c r="A20" s="80">
        <v>345</v>
      </c>
      <c r="B20" s="123" t="str">
        <f>HLOOKUP($C$6,'IDIOMA (hide)'!$A$1:$D$5016,A20,0)</f>
        <v>Oferta Cloud / SaaS / Nuvem</v>
      </c>
      <c r="C20" s="2"/>
      <c r="D20" s="112"/>
      <c r="M20" s="460"/>
      <c r="N20" s="460"/>
      <c r="O20" s="460"/>
      <c r="P20" s="460"/>
    </row>
    <row r="21" spans="1:16">
      <c r="A21" s="113"/>
      <c r="D21" s="112"/>
      <c r="E21" s="186"/>
      <c r="H21" s="118"/>
      <c r="M21" s="460"/>
      <c r="N21" s="460"/>
      <c r="O21" s="460"/>
      <c r="P21" s="460"/>
    </row>
    <row r="22" spans="1:16">
      <c r="A22" s="112"/>
      <c r="D22" s="112"/>
      <c r="E22" s="186"/>
      <c r="H22" s="118"/>
      <c r="I22" s="118"/>
      <c r="J22" s="118"/>
      <c r="K22" s="118"/>
      <c r="L22" s="118"/>
      <c r="M22" s="118"/>
      <c r="N22" s="118"/>
      <c r="O22" s="460"/>
      <c r="P22" s="460"/>
    </row>
    <row r="23" spans="1:16">
      <c r="A23" s="113"/>
      <c r="D23" s="112"/>
      <c r="E23" s="186"/>
      <c r="H23" s="118"/>
      <c r="I23" s="118"/>
      <c r="J23" s="118"/>
      <c r="K23" s="118"/>
      <c r="L23" s="118"/>
      <c r="M23" s="118"/>
      <c r="N23" s="118"/>
    </row>
    <row r="24" spans="1:16">
      <c r="A24" s="118"/>
      <c r="C24" s="118"/>
      <c r="H24" s="118"/>
      <c r="I24" s="118"/>
      <c r="J24" s="118"/>
      <c r="K24" s="118"/>
      <c r="L24" s="118"/>
      <c r="M24" s="118"/>
      <c r="N24" s="118"/>
    </row>
    <row r="25" spans="1:16">
      <c r="A25" s="118"/>
      <c r="B25" s="118"/>
      <c r="C25" s="118"/>
      <c r="D25" s="112"/>
      <c r="H25" s="118"/>
      <c r="I25" s="118"/>
      <c r="J25" s="118"/>
      <c r="K25" s="118"/>
      <c r="L25" s="118"/>
      <c r="M25" s="118"/>
      <c r="N25" s="118"/>
      <c r="O25" s="460"/>
    </row>
    <row r="26" spans="1:16">
      <c r="A26" s="118"/>
      <c r="B26" s="118"/>
      <c r="C26" s="118"/>
      <c r="D26" s="149"/>
      <c r="H26" s="118"/>
      <c r="I26" s="118"/>
      <c r="J26" s="118"/>
      <c r="K26" s="118"/>
      <c r="L26" s="118"/>
      <c r="M26" s="118"/>
      <c r="N26" s="118"/>
    </row>
    <row r="27" spans="1:16" ht="6" customHeight="1">
      <c r="A27" s="118"/>
      <c r="B27" s="118"/>
      <c r="C27" s="118"/>
      <c r="D27" s="150"/>
      <c r="E27" s="112"/>
      <c r="F27" s="112"/>
      <c r="H27" s="118"/>
      <c r="I27" s="118"/>
      <c r="J27" s="118"/>
      <c r="K27" s="118"/>
      <c r="L27" s="118"/>
      <c r="M27" s="118"/>
      <c r="N27" s="118"/>
    </row>
    <row r="28" spans="1:16" ht="6.75" customHeight="1">
      <c r="A28" s="118"/>
      <c r="B28" s="118"/>
      <c r="C28" s="118"/>
      <c r="D28" s="150"/>
      <c r="E28" s="128"/>
      <c r="F28" s="112"/>
      <c r="H28" s="118"/>
      <c r="I28" s="118"/>
      <c r="J28" s="118"/>
      <c r="K28" s="118"/>
      <c r="L28" s="118"/>
      <c r="M28" s="118"/>
      <c r="N28" s="118"/>
    </row>
    <row r="29" spans="1:16">
      <c r="A29" s="113"/>
      <c r="H29" s="118"/>
      <c r="I29" s="118"/>
      <c r="J29" s="118"/>
      <c r="K29" s="118"/>
      <c r="L29" s="118"/>
      <c r="M29" s="118"/>
      <c r="N29" s="118"/>
    </row>
    <row r="30" spans="1:16">
      <c r="A30" s="113"/>
      <c r="H30" s="118"/>
      <c r="I30" s="118"/>
      <c r="J30" s="118"/>
      <c r="K30" s="118"/>
      <c r="L30" s="118"/>
      <c r="M30" s="118"/>
      <c r="N30" s="118"/>
    </row>
    <row r="31" spans="1:16">
      <c r="A31" s="113"/>
    </row>
    <row r="32" spans="1:16">
      <c r="A32" s="113"/>
    </row>
    <row r="33" spans="1:1">
      <c r="A33" s="113"/>
    </row>
    <row r="34" spans="1:1">
      <c r="A34" s="113"/>
    </row>
    <row r="35" spans="1:1">
      <c r="A35" s="113"/>
    </row>
    <row r="36" spans="1:1">
      <c r="A36" s="113"/>
    </row>
    <row r="37" spans="1:1">
      <c r="A37" s="113"/>
    </row>
    <row r="38" spans="1:1">
      <c r="A38" s="113"/>
    </row>
    <row r="39" spans="1:1">
      <c r="A39" s="113"/>
    </row>
    <row r="40" spans="1:1">
      <c r="A40" s="113"/>
    </row>
    <row r="41" spans="1:1">
      <c r="A41" s="113"/>
    </row>
    <row r="42" spans="1:1">
      <c r="A42" s="113"/>
    </row>
    <row r="43" spans="1:1">
      <c r="A43" s="113"/>
    </row>
    <row r="44" spans="1:1">
      <c r="A44" s="113"/>
    </row>
    <row r="45" spans="1:1">
      <c r="A45" s="113"/>
    </row>
    <row r="46" spans="1:1">
      <c r="A46" s="113"/>
    </row>
    <row r="47" spans="1:1">
      <c r="A47" s="113"/>
    </row>
    <row r="48" spans="1:1">
      <c r="A48" s="113"/>
    </row>
    <row r="49" spans="1:6">
      <c r="A49" s="113"/>
    </row>
    <row r="50" spans="1:6">
      <c r="A50" s="113"/>
    </row>
    <row r="51" spans="1:6">
      <c r="A51" s="113"/>
    </row>
    <row r="52" spans="1:6">
      <c r="A52" s="113"/>
    </row>
    <row r="57" spans="1:6">
      <c r="A57" s="110"/>
      <c r="C57" s="112"/>
      <c r="D57" s="112"/>
      <c r="E57" s="112"/>
      <c r="F57" s="112"/>
    </row>
    <row r="58" spans="1:6">
      <c r="A58" s="110"/>
      <c r="B58" s="129"/>
      <c r="C58" s="112"/>
      <c r="D58" s="112"/>
      <c r="E58" s="112"/>
      <c r="F58" s="112"/>
    </row>
    <row r="59" spans="1:6">
      <c r="A59" s="110"/>
      <c r="B59" s="130"/>
      <c r="C59" s="131"/>
      <c r="D59" s="112"/>
      <c r="E59" s="112"/>
      <c r="F59" s="112"/>
    </row>
    <row r="60" spans="1:6">
      <c r="A60" s="110"/>
      <c r="B60" s="112"/>
      <c r="C60" s="566"/>
      <c r="D60" s="566"/>
      <c r="E60" s="149"/>
      <c r="F60" s="149"/>
    </row>
    <row r="61" spans="1:6">
      <c r="A61" s="110"/>
      <c r="B61" s="130"/>
      <c r="C61" s="565"/>
      <c r="D61" s="565"/>
      <c r="E61" s="149"/>
      <c r="F61" s="112"/>
    </row>
    <row r="62" spans="1:6">
      <c r="A62" s="110"/>
      <c r="B62" s="112"/>
      <c r="C62" s="112"/>
      <c r="D62" s="112"/>
      <c r="E62" s="112"/>
      <c r="F62" s="112"/>
    </row>
    <row r="63" spans="1:6">
      <c r="A63" s="110"/>
      <c r="B63" s="130"/>
      <c r="C63" s="565"/>
      <c r="D63" s="565"/>
      <c r="E63" s="112"/>
      <c r="F63" s="112"/>
    </row>
    <row r="64" spans="1:6">
      <c r="A64" s="110"/>
      <c r="B64" s="112"/>
      <c r="C64" s="112"/>
      <c r="D64" s="112"/>
      <c r="E64" s="112"/>
      <c r="F64" s="112"/>
    </row>
    <row r="65" spans="1:6">
      <c r="A65" s="110"/>
      <c r="B65" s="130"/>
      <c r="C65" s="112"/>
      <c r="D65" s="112"/>
      <c r="E65" s="112"/>
      <c r="F65" s="112"/>
    </row>
    <row r="72" spans="1:6">
      <c r="A72" s="122"/>
      <c r="B72" s="112"/>
      <c r="C72" s="112"/>
      <c r="D72" s="112"/>
      <c r="E72" s="112"/>
      <c r="F72" s="112"/>
    </row>
    <row r="73" spans="1:6">
      <c r="A73" s="110"/>
      <c r="B73" s="130"/>
      <c r="C73" s="112"/>
      <c r="D73" s="112"/>
      <c r="E73" s="112"/>
      <c r="F73" s="112"/>
    </row>
    <row r="74" spans="1:6">
      <c r="A74" s="110"/>
      <c r="B74" s="130"/>
      <c r="C74" s="112"/>
      <c r="D74" s="112"/>
      <c r="E74" s="112"/>
      <c r="F74" s="112"/>
    </row>
    <row r="75" spans="1:6">
      <c r="B75" s="130"/>
    </row>
    <row r="76" spans="1:6">
      <c r="B76" s="130"/>
    </row>
  </sheetData>
  <sheetProtection algorithmName="SHA-512" hashValue="4xNcc3TjK1Bmyx7FYcidtYjH6cQ4exvc1qMeao5BP4/g44VB8QyHonJndBtTOIvRDeywwRa0o14lUUn1aDUz6g==" saltValue="2j09A6Aufd9n2YZMBea5pQ==" spinCount="100000" sheet="1" objects="1" scenarios="1"/>
  <dataConsolidate link="1"/>
  <mergeCells count="19">
    <mergeCell ref="C63:D63"/>
    <mergeCell ref="C61:D61"/>
    <mergeCell ref="C60:D60"/>
    <mergeCell ref="H16:L16"/>
    <mergeCell ref="H18:L18"/>
    <mergeCell ref="H11:L11"/>
    <mergeCell ref="H15:L15"/>
    <mergeCell ref="G10:L10"/>
    <mergeCell ref="G14:L14"/>
    <mergeCell ref="B1:F1"/>
    <mergeCell ref="B9:C9"/>
    <mergeCell ref="G4:L4"/>
    <mergeCell ref="G5:L5"/>
    <mergeCell ref="H13:L13"/>
    <mergeCell ref="H12:L12"/>
    <mergeCell ref="H9:L9"/>
    <mergeCell ref="H8:L8"/>
    <mergeCell ref="H6:L6"/>
    <mergeCell ref="H7:L7"/>
  </mergeCells>
  <conditionalFormatting sqref="B5:B7">
    <cfRule type="containsText" dxfId="154" priority="20" operator="containsText" text="Identif">
      <formula>NOT(ISERROR(SEARCH("Identif",B5)))</formula>
    </cfRule>
    <cfRule type="containsText" dxfId="153" priority="21" operator="containsText" text="Identific">
      <formula>NOT(ISERROR(SEARCH("Identific",B5)))</formula>
    </cfRule>
  </conditionalFormatting>
  <conditionalFormatting sqref="G4:L5">
    <cfRule type="expression" dxfId="152" priority="18">
      <formula>$C$4&lt;&gt;"Brasil"</formula>
    </cfRule>
  </conditionalFormatting>
  <conditionalFormatting sqref="G6:L9">
    <cfRule type="expression" dxfId="151" priority="4">
      <formula>$C$4&lt;&gt;"Brasil"</formula>
    </cfRule>
  </conditionalFormatting>
  <conditionalFormatting sqref="G10:L10">
    <cfRule type="expression" dxfId="150" priority="2">
      <formula>$C$4&lt;&gt;"Brasil"</formula>
    </cfRule>
  </conditionalFormatting>
  <conditionalFormatting sqref="G11:L13">
    <cfRule type="expression" dxfId="149" priority="3">
      <formula>$C$4&lt;&gt;"Brasil"</formula>
    </cfRule>
  </conditionalFormatting>
  <conditionalFormatting sqref="G14:L14">
    <cfRule type="expression" dxfId="148" priority="1">
      <formula>$C$4&lt;&gt;"Brasil"</formula>
    </cfRule>
  </conditionalFormatting>
  <conditionalFormatting sqref="G15:L18">
    <cfRule type="expression" dxfId="147" priority="9">
      <formula>$C$4&lt;&gt;"Brasil"</formula>
    </cfRule>
  </conditionalFormatting>
  <dataValidations count="6">
    <dataValidation type="list" allowBlank="1" showInputMessage="1" showErrorMessage="1" sqref="C6" xr:uid="{00000000-0002-0000-0100-000000000000}">
      <formula1>"Português,English,Español"</formula1>
    </dataValidation>
    <dataValidation type="list" allowBlank="1" showInputMessage="1" showErrorMessage="1" sqref="C19" xr:uid="{00000000-0002-0000-0100-000002000000}">
      <formula1>"JAVA, HTML5"</formula1>
    </dataValidation>
    <dataValidation type="list" allowBlank="1" showInputMessage="1" showErrorMessage="1" sqref="C20" xr:uid="{00000000-0002-0000-0100-000004000000}">
      <formula1>"Yes, No,"</formula1>
    </dataValidation>
    <dataValidation type="list" allowBlank="1" showInputMessage="1" showErrorMessage="1" sqref="C4" xr:uid="{00000000-0002-0000-0100-000005000000}">
      <formula1>Mercados</formula1>
    </dataValidation>
    <dataValidation type="list" allowBlank="1" showInputMessage="1" showErrorMessage="1" sqref="F6:F7 C7" xr:uid="{77FA402C-1E84-4FFF-BD4C-8C461BA86236}">
      <formula1>"BRL, USD, EUR, MXN"</formula1>
    </dataValidation>
    <dataValidation type="list" allowBlank="1" showInputMessage="1" showErrorMessage="1" sqref="C15" xr:uid="{6F0D0840-D88D-41F2-8007-BA0E7C5A7ED9}">
      <formula1>"Yes,No"</formula1>
    </dataValidation>
  </dataValidations>
  <pageMargins left="0.511811024" right="0.511811024" top="0.78740157499999996" bottom="0.78740157499999996" header="0.31496062000000002" footer="0.31496062000000002"/>
  <pageSetup paperSize="9" orientation="portrait" r:id="rId1"/>
  <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'Listas (Hide)'!$B$5:$B$10</xm:f>
          </x14:formula1>
          <xm:sqref>C16</xm:sqref>
        </x14:dataValidation>
        <x14:dataValidation type="list" allowBlank="1" showInputMessage="1" showErrorMessage="1" xr:uid="{06D895F6-8184-4C55-A8D9-301F420884A1}">
          <x14:formula1>
            <xm:f>'Listas (Hide)'!$B$141:$B$143</xm:f>
          </x14:formula1>
          <xm:sqref>C18</xm:sqref>
        </x14:dataValidation>
        <x14:dataValidation type="list" allowBlank="1" showInputMessage="1" showErrorMessage="1" xr:uid="{A7130445-E03E-42F5-A777-15F0BA7AD891}">
          <x14:formula1>
            <xm:f>'Listas (Hide)'!$B$11:$B$13</xm:f>
          </x14:formula1>
          <xm:sqref>C17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69"/>
  <sheetViews>
    <sheetView showGridLines="0" zoomScale="145" zoomScaleNormal="145" workbookViewId="0">
      <selection activeCell="C51" sqref="C51:C54"/>
    </sheetView>
  </sheetViews>
  <sheetFormatPr defaultColWidth="9.1796875" defaultRowHeight="14.5"/>
  <cols>
    <col min="1" max="1" width="2.7265625" style="80" customWidth="1"/>
    <col min="2" max="2" width="47.7265625" style="113" bestFit="1" customWidth="1"/>
    <col min="3" max="3" width="24.54296875" style="113" customWidth="1"/>
    <col min="4" max="4" width="3" style="113" customWidth="1"/>
    <col min="5" max="5" width="40.7265625" style="113" bestFit="1" customWidth="1"/>
    <col min="6" max="6" width="34" style="113" customWidth="1"/>
    <col min="7" max="7" width="9.81640625" style="113" bestFit="1" customWidth="1"/>
    <col min="8" max="8" width="13.81640625" style="113" bestFit="1" customWidth="1"/>
    <col min="9" max="9" width="24.81640625" style="113" customWidth="1"/>
    <col min="10" max="10" width="13.81640625" style="113" bestFit="1" customWidth="1"/>
    <col min="11" max="11" width="13.453125" style="113" customWidth="1"/>
    <col min="12" max="12" width="9.1796875" style="113"/>
    <col min="13" max="13" width="13.54296875" style="113" bestFit="1" customWidth="1"/>
    <col min="14" max="16384" width="9.1796875" style="113"/>
  </cols>
  <sheetData>
    <row r="1" spans="1:7" ht="18.75" customHeight="1">
      <c r="A1" s="80">
        <v>2</v>
      </c>
      <c r="B1" s="552" t="str">
        <f>HLOOKUP('General Information'!$C$6,'IDIOMA (hide)'!$A$1:$D$5016,A1,0)</f>
        <v>LTEP - Levantamento Técnico de Estimativa de Projeto TASY EMR
Código do documento: 0060 - Rev 024</v>
      </c>
      <c r="C1" s="552"/>
      <c r="D1" s="552"/>
      <c r="E1" s="552"/>
      <c r="F1" s="552"/>
    </row>
    <row r="2" spans="1:7" ht="18.75" customHeight="1">
      <c r="B2" s="552"/>
      <c r="C2" s="552"/>
      <c r="D2" s="552"/>
      <c r="E2" s="552"/>
      <c r="F2" s="552"/>
    </row>
    <row r="3" spans="1:7" ht="33.75" customHeight="1">
      <c r="A3" s="110">
        <v>198</v>
      </c>
      <c r="B3" s="552" t="str">
        <f>HLOOKUP('General Information'!$C$6,'IDIOMA (hide)'!$A$1:$D$5016,A3,0)</f>
        <v>SP - Solicitação de Proposta</v>
      </c>
      <c r="C3" s="552"/>
      <c r="D3" s="552"/>
      <c r="E3" s="552"/>
      <c r="F3" s="552"/>
      <c r="G3" s="111"/>
    </row>
    <row r="4" spans="1:7" ht="21.5" thickBot="1">
      <c r="A4" s="80">
        <v>160</v>
      </c>
      <c r="B4" s="108" t="str">
        <f>HLOOKUP('General Information'!$C$6,'IDIOMA (hide)'!$A$1:$D$5016,A4,0)</f>
        <v>Informações Gerais</v>
      </c>
      <c r="C4" s="114"/>
      <c r="D4" s="114"/>
      <c r="E4" s="108"/>
      <c r="F4" s="114"/>
      <c r="G4" s="112"/>
    </row>
    <row r="5" spans="1:7" ht="18" customHeight="1">
      <c r="C5" s="112"/>
      <c r="D5" s="112"/>
      <c r="E5" s="112"/>
      <c r="F5" s="112"/>
      <c r="G5" s="112"/>
    </row>
    <row r="6" spans="1:7">
      <c r="C6" s="112"/>
      <c r="D6" s="117"/>
    </row>
    <row r="7" spans="1:7" ht="15.75" customHeight="1">
      <c r="A7" s="80">
        <v>141</v>
      </c>
      <c r="B7" s="562" t="str">
        <f>HLOOKUP('General Information'!$C$6,'IDIOMA (hide)'!$A$1:$D$5016,A7,0)</f>
        <v>Informações sobre o Cliente</v>
      </c>
      <c r="C7" s="564"/>
    </row>
    <row r="8" spans="1:7" ht="15.75" customHeight="1">
      <c r="A8" s="80">
        <v>77</v>
      </c>
      <c r="B8" s="115" t="str">
        <f>HLOOKUP('General Information'!$C$6,'IDIOMA (hide)'!$A$1:$D$5016,A8,0)</f>
        <v>CNPJ</v>
      </c>
      <c r="C8" s="4"/>
    </row>
    <row r="9" spans="1:7" ht="15.75" customHeight="1">
      <c r="A9" s="80">
        <v>79</v>
      </c>
      <c r="B9" s="115" t="str">
        <f>HLOOKUP('General Information'!$C$6,'IDIOMA (hide)'!$A$1:$D$5016,A9,0)</f>
        <v>Razão Social</v>
      </c>
      <c r="C9" s="4"/>
    </row>
    <row r="10" spans="1:7" ht="15.75" customHeight="1">
      <c r="A10" s="80">
        <v>80</v>
      </c>
      <c r="B10" s="115" t="str">
        <f>HLOOKUP('General Information'!$C$6,'IDIOMA (hide)'!$A$1:$D$5016,A10,0)</f>
        <v>Nome Fantasia</v>
      </c>
      <c r="C10" s="4"/>
    </row>
    <row r="11" spans="1:7" ht="15.75" customHeight="1">
      <c r="A11" s="80">
        <v>81</v>
      </c>
      <c r="B11" s="115" t="str">
        <f>HLOOKUP('General Information'!$C$6,'IDIOMA (hide)'!$A$1:$D$5016,A11,0)</f>
        <v>Tipo de Proposta</v>
      </c>
      <c r="C11" s="4"/>
    </row>
    <row r="12" spans="1:7" ht="15.75" customHeight="1">
      <c r="A12" s="80">
        <v>82</v>
      </c>
      <c r="B12" s="115" t="str">
        <f>HLOOKUP('General Information'!$C$6,'IDIOMA (hide)'!$A$1:$D$5016,A12,0)</f>
        <v>Forma de Licenciamento</v>
      </c>
      <c r="C12" s="4"/>
    </row>
    <row r="13" spans="1:7" ht="15.75" customHeight="1">
      <c r="A13" s="80">
        <v>83</v>
      </c>
      <c r="B13" s="115" t="str">
        <f>HLOOKUP('General Information'!$C$6,'IDIOMA (hide)'!$A$1:$D$5016,A13,0)</f>
        <v>Número de Licenças</v>
      </c>
      <c r="C13" s="4"/>
    </row>
    <row r="14" spans="1:7" ht="15.75" customHeight="1">
      <c r="A14" s="80">
        <v>471</v>
      </c>
      <c r="B14" s="115" t="str">
        <f>HLOOKUP('General Information'!$C$6,'IDIOMA (hide)'!$A$1:$D$5016,A14,0)</f>
        <v xml:space="preserve">Qual template de proposta deseja receber? </v>
      </c>
      <c r="C14" s="4"/>
    </row>
    <row r="15" spans="1:7" ht="21.5" thickBot="1">
      <c r="A15" s="80">
        <v>161</v>
      </c>
      <c r="B15" s="108" t="str">
        <f>HLOOKUP('General Information'!$C$6,'IDIOMA (hide)'!$A$1:$D$5016,A15,0)</f>
        <v>Dados Comerciais</v>
      </c>
      <c r="C15" s="114"/>
      <c r="G15" s="112"/>
    </row>
    <row r="16" spans="1:7">
      <c r="C16" s="112"/>
      <c r="D16" s="112"/>
      <c r="E16" s="112"/>
      <c r="F16" s="112"/>
      <c r="G16" s="112"/>
    </row>
    <row r="17" spans="1:16">
      <c r="C17" s="112"/>
      <c r="D17" s="112"/>
      <c r="E17" s="112"/>
      <c r="F17" s="112"/>
      <c r="G17" s="112"/>
    </row>
    <row r="18" spans="1:16">
      <c r="B18" s="562" t="s">
        <v>5935</v>
      </c>
      <c r="C18" s="564"/>
      <c r="E18" s="562" t="s">
        <v>3186</v>
      </c>
      <c r="F18" s="564"/>
      <c r="H18" s="577"/>
      <c r="I18" s="577"/>
      <c r="J18" s="577"/>
      <c r="K18" s="577"/>
      <c r="L18" s="577"/>
      <c r="M18" s="577"/>
      <c r="N18" s="577"/>
      <c r="O18" s="577"/>
      <c r="P18" s="577"/>
    </row>
    <row r="19" spans="1:16">
      <c r="A19" s="80">
        <v>427</v>
      </c>
      <c r="B19" s="47" t="str">
        <f>HLOOKUP('General Information'!$C$6,'IDIOMA (hide)'!$A$1:$D$5016,A19,0)</f>
        <v>Vigência do Contrato</v>
      </c>
      <c r="C19" s="4"/>
      <c r="D19" s="80">
        <v>419</v>
      </c>
      <c r="E19" s="84" t="str">
        <f>HLOOKUP('General Information'!$C$6,'IDIOMA (hide)'!$A$1:$D$5016,D19,0)</f>
        <v>Tipo de Venda</v>
      </c>
      <c r="F19" s="386" t="s">
        <v>2141</v>
      </c>
      <c r="H19" s="577"/>
      <c r="I19" s="577"/>
      <c r="J19" s="577"/>
      <c r="K19" s="577"/>
      <c r="L19" s="577"/>
      <c r="M19" s="577"/>
      <c r="N19" s="577"/>
      <c r="O19" s="577"/>
      <c r="P19" s="577"/>
    </row>
    <row r="20" spans="1:16">
      <c r="A20" s="80">
        <v>428</v>
      </c>
      <c r="B20" s="47" t="str">
        <f>HLOOKUP('General Information'!$C$6,'IDIOMA (hide)'!$A$1:$D$5016,A20,0)</f>
        <v>Carência na Manutenção (em meses)</v>
      </c>
      <c r="C20" s="4"/>
      <c r="D20" s="80">
        <v>420</v>
      </c>
      <c r="E20" s="341" t="str">
        <f>HLOOKUP('General Information'!$C$6,'IDIOMA (hide)'!$A$1:$D$5016,D20,0)</f>
        <v>Licença</v>
      </c>
      <c r="F20" s="409">
        <f>IF(C11="CDU/SaaP",C23*C13,IF(C11="LUT/SAAS","0",IF(OR(C11="CDU+LUT",OR(C11="CDU+LUT+Cloud"),OR(C11="CDU+Cloud")),C23*C13,0)))</f>
        <v>0</v>
      </c>
    </row>
    <row r="21" spans="1:16">
      <c r="A21" s="110">
        <v>90</v>
      </c>
      <c r="B21" s="120" t="str">
        <f>HLOOKUP('General Information'!$C$6,'IDIOMA (hide)'!$A$1:$D$5016,A21,0)</f>
        <v>Os impostos estão inclusos no valor hora?</v>
      </c>
      <c r="C21" s="4"/>
      <c r="D21" s="80"/>
      <c r="E21" s="341" t="str">
        <f>HLOOKUP('General Information'!$C$6,'IDIOMA (hide)'!$A$1:$D$5016,D23,0)</f>
        <v>Consultoria</v>
      </c>
      <c r="F21" s="410">
        <f>Rollout!AE18*Proposal!C32</f>
        <v>0</v>
      </c>
    </row>
    <row r="22" spans="1:16">
      <c r="A22" s="110">
        <v>492</v>
      </c>
      <c r="B22" s="562" t="str">
        <f>HLOOKUP('General Information'!$C$6,'IDIOMA (hide)'!$A$1:$D$5016,A22,0)</f>
        <v>Proposta - CDU</v>
      </c>
      <c r="C22" s="564"/>
      <c r="D22" s="80"/>
      <c r="E22" s="341" t="str">
        <f>HLOOKUP('General Information'!$C$6,'IDIOMA (hide)'!$A$1:$D$5016,D24,0)</f>
        <v>Gerenciamento de Projeto</v>
      </c>
      <c r="F22" s="410">
        <f>Rollout!AE19*Proposal!C33</f>
        <v>0</v>
      </c>
    </row>
    <row r="23" spans="1:16">
      <c r="A23" s="110">
        <v>86</v>
      </c>
      <c r="B23" s="115" t="str">
        <f>HLOOKUP('General Information'!$C$6,'IDIOMA (hide)'!$A$1:$D$5016,A23,0)</f>
        <v>Valor CDU</v>
      </c>
      <c r="C23" s="405"/>
      <c r="D23" s="80">
        <v>422</v>
      </c>
      <c r="E23" s="341" t="str">
        <f>HLOOKUP('General Information'!$C$6,'IDIOMA (hide)'!$A$1:$D$5016,D25,0)</f>
        <v>R&amp;D</v>
      </c>
      <c r="F23" s="410">
        <f>IF(C34="",0,(Rollout!AE20*C34))</f>
        <v>0</v>
      </c>
    </row>
    <row r="24" spans="1:16">
      <c r="A24" s="110">
        <v>87</v>
      </c>
      <c r="B24" s="115" t="str">
        <f>HLOOKUP('General Information'!$C$6,'IDIOMA (hide)'!$A$1:$D$5016,A24,0)</f>
        <v>Valor da Manutenção</v>
      </c>
      <c r="C24" s="405"/>
      <c r="D24" s="80">
        <v>423</v>
      </c>
      <c r="E24" s="341" t="str">
        <f>HLOOKUP('General Information'!$C$6,'IDIOMA (hide)'!$A$1:$D$5016,D26,0)</f>
        <v>Manutenção</v>
      </c>
      <c r="F24" s="409">
        <f>IF(C11="CDU/SaaP",C24*C13*(C19-C20),IF(C11="LUT/SaaS",(C13*C30*C19),IF(C11="LUT+Cloud",C29*C19,IF(C11="SaaS (Cloud)",'OIT SaaS'!#REF!,IF(OR(C11="CDU+LUT",OR(C11="CDU+LUT+Cloud"),OR(C11="CDU+Cloud")),(C24*C13)*(C19-C20),0)))))</f>
        <v>0</v>
      </c>
    </row>
    <row r="25" spans="1:16">
      <c r="A25" s="110">
        <v>417</v>
      </c>
      <c r="B25" s="47" t="str">
        <f>HLOOKUP('General Information'!$C$6,'IDIOMA (hide)'!$A$1:$D$5016,A25,0)</f>
        <v>Valor Total Manutenção CDU (Mensal)</v>
      </c>
      <c r="C25" s="463">
        <f>C24*C13</f>
        <v>0</v>
      </c>
      <c r="D25" s="80">
        <v>424</v>
      </c>
      <c r="E25" s="341" t="str">
        <f>HLOOKUP('General Information'!$C$6,'IDIOMA (hide)'!$A$1:$D$5016,D28,0)</f>
        <v>OIT</v>
      </c>
      <c r="F25" s="410">
        <f>IF(F19="Channel",F20+F24+F23,IF(F19="Philips",F20+F24+F21+F22+F23,""))</f>
        <v>0</v>
      </c>
    </row>
    <row r="26" spans="1:16">
      <c r="A26" s="110">
        <v>91</v>
      </c>
      <c r="B26" s="115" t="str">
        <f>HLOOKUP('General Information'!$C$6,'IDIOMA (hide)'!$A$1:$D$5016,A26,0)</f>
        <v>Parcelas? (Quantidade)</v>
      </c>
      <c r="C26" s="547"/>
      <c r="D26" s="80">
        <v>421</v>
      </c>
      <c r="E26" s="341" t="str">
        <f>HLOOKUP('General Information'!$C$6,'IDIOMA (hide)'!$A$1:$D$5016,D29,0)</f>
        <v>Taxa</v>
      </c>
      <c r="F26" s="409">
        <f>F25-'Listas (Hide)'!B129</f>
        <v>0</v>
      </c>
    </row>
    <row r="27" spans="1:16">
      <c r="A27" s="110">
        <v>533</v>
      </c>
      <c r="B27" s="115" t="str">
        <f>HLOOKUP('General Information'!$C$6,'IDIOMA (hide)'!$A$1:$D$5016,A27,0)</f>
        <v>Valor por Parcela</v>
      </c>
      <c r="C27" s="463">
        <f>IFERROR((C23*C13)/C26,0)</f>
        <v>0</v>
      </c>
      <c r="D27" s="80"/>
      <c r="E27" s="445"/>
      <c r="F27" s="446"/>
    </row>
    <row r="28" spans="1:16">
      <c r="A28" s="80">
        <v>493</v>
      </c>
      <c r="B28" s="562" t="str">
        <f>HLOOKUP('General Information'!$C$6,'IDIOMA (hide)'!$A$1:$D$5016,A28,0)</f>
        <v>Proposta - LUT</v>
      </c>
      <c r="C28" s="564"/>
      <c r="D28" s="80">
        <v>425</v>
      </c>
      <c r="H28" s="387"/>
    </row>
    <row r="29" spans="1:16">
      <c r="A29" s="110">
        <v>85</v>
      </c>
      <c r="B29" s="47" t="str">
        <f>HLOOKUP('General Information'!$C$6,'IDIOMA (hide)'!$A$1:$D$5016,A29,0)</f>
        <v>Valor da LUT</v>
      </c>
      <c r="C29" s="405"/>
      <c r="D29" s="80">
        <v>426</v>
      </c>
    </row>
    <row r="30" spans="1:16">
      <c r="A30" s="110">
        <v>418</v>
      </c>
      <c r="B30" s="115" t="str">
        <f>HLOOKUP('General Information'!$C$6,'IDIOMA (hide)'!$A$1:$D$5016,A30,0)</f>
        <v>Valor Total da Manutenção LUT (Mensal)</v>
      </c>
      <c r="C30" s="17">
        <f>C29*C13</f>
        <v>0</v>
      </c>
      <c r="D30" s="80"/>
      <c r="E30" s="445"/>
      <c r="F30" s="446"/>
    </row>
    <row r="31" spans="1:16">
      <c r="A31" s="110">
        <v>494</v>
      </c>
      <c r="B31" s="562" t="str">
        <f>HLOOKUP('General Information'!$C$6,'IDIOMA (hide)'!$A$1:$D$5016,A31,0)</f>
        <v>Proposta - Serviços</v>
      </c>
      <c r="C31" s="564"/>
      <c r="D31" s="80"/>
      <c r="E31" s="445"/>
      <c r="F31" s="446"/>
    </row>
    <row r="32" spans="1:16">
      <c r="A32" s="110">
        <v>88</v>
      </c>
      <c r="B32" s="115" t="str">
        <f>HLOOKUP('General Information'!$C$6,'IDIOMA (hide)'!$A$1:$D$5016,A32,0)</f>
        <v>Valor da Hora da Consultoria</v>
      </c>
      <c r="C32" s="405"/>
      <c r="E32" s="567"/>
      <c r="F32" s="567"/>
      <c r="H32" s="462"/>
      <c r="I32" s="462"/>
      <c r="J32" s="387"/>
    </row>
    <row r="33" spans="1:10">
      <c r="A33" s="110">
        <v>89</v>
      </c>
      <c r="B33" s="120" t="str">
        <f>HLOOKUP('General Information'!$C$6,'IDIOMA (hide)'!$A$1:$D$5016,A33,0)</f>
        <v>Valor Hora de Gerenciamento De Projetos</v>
      </c>
      <c r="C33" s="405"/>
      <c r="D33" s="119"/>
      <c r="G33" s="112"/>
      <c r="H33" s="462"/>
    </row>
    <row r="34" spans="1:10">
      <c r="A34" s="110">
        <v>490</v>
      </c>
      <c r="B34" s="120" t="str">
        <f>HLOOKUP('General Information'!$C$6,'IDIOMA (hide)'!$A$1:$D$5016,A34,0)</f>
        <v>Valor Hora RnD</v>
      </c>
      <c r="C34" s="405"/>
      <c r="D34" s="119"/>
      <c r="E34" s="447"/>
      <c r="G34" s="448"/>
      <c r="H34" s="462"/>
      <c r="I34" s="387"/>
      <c r="J34" s="387"/>
    </row>
    <row r="35" spans="1:10">
      <c r="A35" s="110">
        <v>495</v>
      </c>
      <c r="B35" s="562" t="str">
        <f>HLOOKUP('General Information'!$C$6,'IDIOMA (hide)'!$A$1:$D$5016,A35,0)</f>
        <v>Proposta - SaaS (Cloud)</v>
      </c>
      <c r="C35" s="564"/>
      <c r="D35" s="119"/>
      <c r="G35" s="112"/>
      <c r="H35" s="387"/>
      <c r="I35" s="387"/>
      <c r="J35" s="387"/>
    </row>
    <row r="36" spans="1:10">
      <c r="A36" s="110">
        <v>497</v>
      </c>
      <c r="B36" s="120" t="str">
        <f>HLOOKUP('General Information'!$C$6,'IDIOMA (hide)'!$A$1:$D$5016,A36,0)</f>
        <v xml:space="preserve">Valor Base SaaS (Pacote 20 Usuários) </v>
      </c>
      <c r="C36" s="449"/>
      <c r="D36" s="303">
        <v>363</v>
      </c>
    </row>
    <row r="37" spans="1:10">
      <c r="A37" s="110">
        <v>498</v>
      </c>
      <c r="B37" s="120" t="str">
        <f>HLOOKUP('General Information'!$C$6,'IDIOMA (hide)'!$A$1:$D$5016,A37,0)</f>
        <v>Valor das Licenças Adicionais (Por Licença)</v>
      </c>
      <c r="C37" s="405"/>
      <c r="D37" s="119"/>
      <c r="F37" s="447"/>
    </row>
    <row r="38" spans="1:10">
      <c r="A38" s="110">
        <v>499</v>
      </c>
      <c r="B38" s="120" t="str">
        <f>HLOOKUP('General Information'!$C$6,'IDIOMA (hide)'!$A$1:$D$5016,A38,0)</f>
        <v>Valor Mensal Total SaaS (Cloud)</v>
      </c>
      <c r="C38" s="17">
        <f>IF(C13&lt;101,(C36+((C13-20)*C37)),C37*C13)</f>
        <v>0</v>
      </c>
      <c r="D38" s="119"/>
      <c r="E38" s="447"/>
    </row>
    <row r="39" spans="1:10">
      <c r="A39" s="110">
        <v>507</v>
      </c>
      <c r="B39" s="562" t="str">
        <f>HLOOKUP('General Information'!$C$6,'IDIOMA (hide)'!$A$1:$D$5016,A39,0)</f>
        <v>Propostas Adicionais</v>
      </c>
      <c r="C39" s="564"/>
      <c r="D39" s="119"/>
      <c r="E39" s="447"/>
    </row>
    <row r="40" spans="1:10">
      <c r="A40" s="110">
        <v>508</v>
      </c>
      <c r="B40" s="562" t="str">
        <f>HLOOKUP('General Information'!$C$6,'IDIOMA (hide)'!$A$1:$D$5016,A40,0)</f>
        <v>TWS - Portal do Paciente</v>
      </c>
      <c r="C40" s="564"/>
      <c r="D40" s="119"/>
      <c r="E40" s="447"/>
    </row>
    <row r="41" spans="1:10">
      <c r="A41" s="110">
        <v>509</v>
      </c>
      <c r="B41" s="120" t="str">
        <f>HLOOKUP('General Information'!$C$6,'IDIOMA (hide)'!$A$1:$D$5016,A41,0)</f>
        <v>Incluir TWS nesta proposta?</v>
      </c>
      <c r="C41" s="449"/>
      <c r="D41" s="119"/>
      <c r="E41" s="447"/>
    </row>
    <row r="42" spans="1:10" ht="14.5" customHeight="1">
      <c r="A42" s="110">
        <v>510</v>
      </c>
      <c r="B42" s="120" t="str">
        <f>HLOOKUP('General Information'!$C$6,'IDIOMA (hide)'!$A$1:$D$5016,A42,0)</f>
        <v>Porte</v>
      </c>
      <c r="C42" s="449"/>
      <c r="D42" s="303">
        <v>354</v>
      </c>
      <c r="E42" s="447"/>
    </row>
    <row r="43" spans="1:10">
      <c r="A43" s="110">
        <v>511</v>
      </c>
      <c r="B43" s="120" t="str">
        <f>HLOOKUP('General Information'!$C$6,'IDIOMA (hide)'!$A$1:$D$5016,A43,0)</f>
        <v>Valor do TWS</v>
      </c>
      <c r="C43" s="405"/>
      <c r="D43" s="119"/>
    </row>
    <row r="44" spans="1:10">
      <c r="A44" s="110">
        <v>357</v>
      </c>
      <c r="B44" s="120" t="str">
        <f>HLOOKUP('General Information'!$C$6,'IDIOMA (hide)'!$A$1:$D$5016,A44,0)</f>
        <v>Horas de Consultoria</v>
      </c>
      <c r="C44" s="502">
        <f>IF(C41="Yes",80,0)</f>
        <v>0</v>
      </c>
      <c r="D44" s="119"/>
    </row>
    <row r="45" spans="1:10">
      <c r="A45" s="110"/>
      <c r="B45" s="562" t="s">
        <v>6274</v>
      </c>
      <c r="C45" s="564"/>
      <c r="D45" s="119"/>
    </row>
    <row r="46" spans="1:10">
      <c r="A46" s="110">
        <v>83</v>
      </c>
      <c r="B46" s="115" t="str">
        <f>HLOOKUP('General Information'!$C$6,'IDIOMA (hide)'!$A$1:$D$5016,A46,0)</f>
        <v>Número de Licenças</v>
      </c>
      <c r="C46" s="449"/>
      <c r="D46" s="119"/>
    </row>
    <row r="47" spans="1:10">
      <c r="A47" s="110">
        <v>86</v>
      </c>
      <c r="B47" s="115" t="str">
        <f>HLOOKUP('General Information'!$C$6,'IDIOMA (hide)'!$A$1:$D$5016,A47,0)</f>
        <v>Valor CDU</v>
      </c>
      <c r="C47" s="449"/>
      <c r="D47" s="119"/>
    </row>
    <row r="48" spans="1:10">
      <c r="A48" s="110">
        <v>357</v>
      </c>
      <c r="B48" s="120" t="str">
        <f>HLOOKUP('General Information'!$C$6,'IDIOMA (hide)'!$A$1:$D$5016,A48,0)</f>
        <v>Horas de Consultoria</v>
      </c>
      <c r="C48" s="449"/>
      <c r="D48" s="119"/>
    </row>
    <row r="49" spans="1:8">
      <c r="A49" s="110">
        <v>87</v>
      </c>
      <c r="B49" s="115" t="str">
        <f>HLOOKUP('General Information'!$C$6,'IDIOMA (hide)'!$A$1:$D$5016,A49,0)</f>
        <v>Valor da Manutenção</v>
      </c>
      <c r="C49" s="449"/>
      <c r="D49" s="119"/>
    </row>
    <row r="50" spans="1:8">
      <c r="A50" s="110">
        <v>273</v>
      </c>
      <c r="B50" s="562" t="str">
        <f>HLOOKUP('General Information'!$C$6,'IDIOMA (hide)'!$A$1:$D$5016,A50,0)</f>
        <v>Deslocamento</v>
      </c>
      <c r="C50" s="564"/>
      <c r="D50" s="112"/>
      <c r="H50" s="318"/>
    </row>
    <row r="51" spans="1:8">
      <c r="A51" s="80">
        <v>93</v>
      </c>
      <c r="B51" s="121" t="str">
        <f>HLOOKUP('General Information'!$C$6,'IDIOMA (hide)'!$A$1:$D$5016,A51,0)</f>
        <v>Forma de Deslocamento</v>
      </c>
      <c r="C51" s="4"/>
      <c r="D51" s="80">
        <v>202</v>
      </c>
    </row>
    <row r="52" spans="1:8">
      <c r="A52" s="80">
        <v>512</v>
      </c>
      <c r="B52" s="121" t="str">
        <f>HLOOKUP('General Information'!$C$6,'IDIOMA (hide)'!$A$1:$D$5016,A52,0)</f>
        <v>Cidade de Origem</v>
      </c>
      <c r="C52" s="4"/>
      <c r="D52" s="80"/>
    </row>
    <row r="53" spans="1:8">
      <c r="A53" s="80">
        <v>513</v>
      </c>
      <c r="B53" s="121" t="str">
        <f>HLOOKUP('General Information'!$C$6,'IDIOMA (hide)'!$A$1:$D$5016,A53,0)</f>
        <v>Cidade de Destino</v>
      </c>
      <c r="C53" s="4"/>
    </row>
    <row r="54" spans="1:8">
      <c r="A54" s="80">
        <v>95</v>
      </c>
      <c r="B54" s="121" t="str">
        <f>HLOOKUP('General Information'!$C$6,'IDIOMA (hide)'!$A$1:$D$5016,A54,0)</f>
        <v>Periodicidade</v>
      </c>
      <c r="C54" s="4"/>
    </row>
    <row r="56" spans="1:8" ht="21.5" thickBot="1">
      <c r="A56" s="80">
        <v>163</v>
      </c>
      <c r="B56" s="108" t="str">
        <f>HLOOKUP('General Information'!$C$6,'IDIOMA (hide)'!$A$1:$D$5016,A56,0)</f>
        <v>Informações Adicionais</v>
      </c>
      <c r="C56" s="114"/>
      <c r="D56" s="114"/>
      <c r="E56" s="114"/>
      <c r="F56" s="114"/>
    </row>
    <row r="58" spans="1:8">
      <c r="B58" s="568"/>
      <c r="C58" s="569"/>
      <c r="D58" s="569"/>
      <c r="E58" s="569"/>
      <c r="F58" s="570"/>
    </row>
    <row r="59" spans="1:8">
      <c r="B59" s="571"/>
      <c r="C59" s="572"/>
      <c r="D59" s="572"/>
      <c r="E59" s="572"/>
      <c r="F59" s="573"/>
    </row>
    <row r="60" spans="1:8">
      <c r="B60" s="571"/>
      <c r="C60" s="572"/>
      <c r="D60" s="572"/>
      <c r="E60" s="572"/>
      <c r="F60" s="573"/>
    </row>
    <row r="61" spans="1:8">
      <c r="B61" s="571"/>
      <c r="C61" s="572"/>
      <c r="D61" s="572"/>
      <c r="E61" s="572"/>
      <c r="F61" s="573"/>
    </row>
    <row r="62" spans="1:8">
      <c r="B62" s="571"/>
      <c r="C62" s="572"/>
      <c r="D62" s="572"/>
      <c r="E62" s="572"/>
      <c r="F62" s="573"/>
    </row>
    <row r="63" spans="1:8">
      <c r="B63" s="571"/>
      <c r="C63" s="572"/>
      <c r="D63" s="572"/>
      <c r="E63" s="572"/>
      <c r="F63" s="573"/>
    </row>
    <row r="64" spans="1:8">
      <c r="B64" s="571"/>
      <c r="C64" s="572"/>
      <c r="D64" s="572"/>
      <c r="E64" s="572"/>
      <c r="F64" s="573"/>
    </row>
    <row r="65" spans="1:6">
      <c r="B65" s="571"/>
      <c r="C65" s="572"/>
      <c r="D65" s="572"/>
      <c r="E65" s="572"/>
      <c r="F65" s="573"/>
    </row>
    <row r="66" spans="1:6">
      <c r="A66" s="113"/>
      <c r="B66" s="571"/>
      <c r="C66" s="572"/>
      <c r="D66" s="572"/>
      <c r="E66" s="572"/>
      <c r="F66" s="573"/>
    </row>
    <row r="67" spans="1:6">
      <c r="A67" s="113"/>
      <c r="B67" s="571"/>
      <c r="C67" s="572"/>
      <c r="D67" s="572"/>
      <c r="E67" s="572"/>
      <c r="F67" s="573"/>
    </row>
    <row r="68" spans="1:6">
      <c r="A68" s="113"/>
      <c r="B68" s="571"/>
      <c r="C68" s="572"/>
      <c r="D68" s="572"/>
      <c r="E68" s="572"/>
      <c r="F68" s="573"/>
    </row>
    <row r="69" spans="1:6">
      <c r="A69" s="113"/>
      <c r="B69" s="574"/>
      <c r="C69" s="575"/>
      <c r="D69" s="575"/>
      <c r="E69" s="575"/>
      <c r="F69" s="576"/>
    </row>
  </sheetData>
  <sheetProtection algorithmName="SHA-512" hashValue="zXy9TJ5VW4ydrJk/h2Ze/mbYxmToLwO0zR6HxT8HBzjmb6u15oyn49UIzIrFJUD8Y86qZdBxSDaiLtkGuIbiXw==" saltValue="8m5cvI2W+8ult4IMdmUsDg==" spinCount="100000" sheet="1" objects="1" scenarios="1"/>
  <mergeCells count="16">
    <mergeCell ref="B45:C45"/>
    <mergeCell ref="B50:C50"/>
    <mergeCell ref="B58:F69"/>
    <mergeCell ref="B18:C18"/>
    <mergeCell ref="H18:P19"/>
    <mergeCell ref="B35:C35"/>
    <mergeCell ref="B39:C39"/>
    <mergeCell ref="B40:C40"/>
    <mergeCell ref="B1:F2"/>
    <mergeCell ref="B3:F3"/>
    <mergeCell ref="B7:C7"/>
    <mergeCell ref="E32:F32"/>
    <mergeCell ref="E18:F18"/>
    <mergeCell ref="B22:C22"/>
    <mergeCell ref="B28:C28"/>
    <mergeCell ref="B31:C31"/>
  </mergeCells>
  <conditionalFormatting sqref="B23:B27 B29:B30">
    <cfRule type="expression" dxfId="146" priority="56">
      <formula>$C$11="LUT"</formula>
    </cfRule>
  </conditionalFormatting>
  <conditionalFormatting sqref="B30:C30">
    <cfRule type="expression" dxfId="145" priority="4">
      <formula>$C$11="CDU"</formula>
    </cfRule>
  </conditionalFormatting>
  <conditionalFormatting sqref="C23">
    <cfRule type="expression" dxfId="144" priority="13">
      <formula>$C$11="CDU / SAAP"</formula>
    </cfRule>
  </conditionalFormatting>
  <conditionalFormatting sqref="C24 C26">
    <cfRule type="expression" dxfId="143" priority="11">
      <formula>$C$11="LUT / SAAS"</formula>
    </cfRule>
  </conditionalFormatting>
  <conditionalFormatting sqref="C25">
    <cfRule type="expression" dxfId="142" priority="6">
      <formula>$C$11="LUT"</formula>
    </cfRule>
  </conditionalFormatting>
  <conditionalFormatting sqref="C27">
    <cfRule type="expression" dxfId="141" priority="1">
      <formula>$C$11="LUT"</formula>
    </cfRule>
  </conditionalFormatting>
  <conditionalFormatting sqref="C29">
    <cfRule type="expression" dxfId="140" priority="7">
      <formula>$C$11="LUT / SAAS"</formula>
    </cfRule>
  </conditionalFormatting>
  <conditionalFormatting sqref="C30">
    <cfRule type="expression" dxfId="139" priority="5">
      <formula>$C$11="LUT"</formula>
    </cfRule>
  </conditionalFormatting>
  <conditionalFormatting sqref="C34">
    <cfRule type="expression" dxfId="138" priority="8">
      <formula>IF(C34="","N/A",0)</formula>
    </cfRule>
  </conditionalFormatting>
  <conditionalFormatting sqref="C38">
    <cfRule type="expression" dxfId="137" priority="2">
      <formula>$C$11="CDU"</formula>
    </cfRule>
    <cfRule type="expression" dxfId="136" priority="3">
      <formula>$C$11="LUT"</formula>
    </cfRule>
  </conditionalFormatting>
  <dataValidations count="10">
    <dataValidation type="list" allowBlank="1" showInputMessage="1" showErrorMessage="1" sqref="C11" xr:uid="{00000000-0002-0000-0200-000000000000}">
      <formula1>"CDU/SaaP,LUT/SaaS,SaaS (Cloud),CDU+LUT,CDU+LUT+Cloud,CDU+Cloud,LUT+Cloud"</formula1>
    </dataValidation>
    <dataValidation type="list" allowBlank="1" showInputMessage="1" showErrorMessage="1" sqref="C12" xr:uid="{00000000-0002-0000-0200-000001000000}">
      <formula1>Tipo_usuario</formula1>
    </dataValidation>
    <dataValidation type="list" allowBlank="1" showInputMessage="1" showErrorMessage="1" sqref="C54" xr:uid="{00000000-0002-0000-0200-000002000000}">
      <formula1>Periodicidade</formula1>
    </dataValidation>
    <dataValidation type="list" allowBlank="1" showInputMessage="1" showErrorMessage="1" sqref="C51" xr:uid="{00000000-0002-0000-0200-000003000000}">
      <formula1>Deslocamento</formula1>
    </dataValidation>
    <dataValidation type="list" allowBlank="1" showInputMessage="1" showErrorMessage="1" sqref="C42" xr:uid="{00000000-0002-0000-0200-000004000000}">
      <formula1>TWS</formula1>
    </dataValidation>
    <dataValidation type="whole" allowBlank="1" showInputMessage="1" showErrorMessage="1" errorTitle="Only Numbers" error="Only Numbers._x000a_Somente números. " promptTitle="Only Numbers" sqref="C20" xr:uid="{00000000-0002-0000-0200-000006000000}">
      <formula1>0</formula1>
      <formula2>9.99999999999999E+32</formula2>
    </dataValidation>
    <dataValidation type="whole" allowBlank="1" showInputMessage="1" showErrorMessage="1" errorTitle="Only Numbers" error="Only Numbers_x000a_Somente Números_x000a_" sqref="C19" xr:uid="{00000000-0002-0000-0200-000007000000}">
      <formula1>0</formula1>
      <formula2>9.99999999999999E+22</formula2>
    </dataValidation>
    <dataValidation type="list" allowBlank="1" showInputMessage="1" showErrorMessage="1" sqref="C14" xr:uid="{A75BD90F-CB48-4122-9963-3C6D710FCFE7}">
      <formula1>"Word, PPT, Ambos (Both / Los dos)"</formula1>
    </dataValidation>
    <dataValidation type="list" allowBlank="1" showInputMessage="1" showErrorMessage="1" sqref="C41" xr:uid="{0150507D-B9EB-4E8D-ACE6-229F52623511}">
      <formula1>"Yes,No"</formula1>
    </dataValidation>
    <dataValidation type="list" allowBlank="1" showInputMessage="1" showErrorMessage="1" sqref="F19" xr:uid="{F9273BBF-DB0F-41B8-95D4-152EBD4716AD}">
      <formula1>"Philips,Channel"</formula1>
    </dataValidation>
  </dataValidations>
  <pageMargins left="0.511811024" right="0.511811024" top="0.78740157499999996" bottom="0.78740157499999996" header="0.31496062000000002" footer="0.31496062000000002"/>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9000000}">
          <x14:formula1>
            <xm:f>'Listas (Hide)'!$B$17:$B$18</xm:f>
          </x14:formula1>
          <xm:sqref>C21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57964-1BC7-4609-9401-C8DFC94A5785}">
  <dimension ref="A1:U72"/>
  <sheetViews>
    <sheetView showGridLines="0" workbookViewId="0">
      <selection activeCell="I6" sqref="I6"/>
    </sheetView>
  </sheetViews>
  <sheetFormatPr defaultRowHeight="14.5"/>
  <cols>
    <col min="1" max="1" width="4" bestFit="1" customWidth="1"/>
    <col min="2" max="2" width="54.81640625" bestFit="1" customWidth="1"/>
    <col min="4" max="4" width="17.7265625" bestFit="1" customWidth="1"/>
    <col min="5" max="5" width="17.7265625" customWidth="1"/>
    <col min="7" max="7" width="11.81640625" bestFit="1" customWidth="1"/>
    <col min="10" max="10" width="15.453125" bestFit="1" customWidth="1"/>
    <col min="11" max="11" width="20.26953125" bestFit="1" customWidth="1"/>
    <col min="12" max="12" width="16.7265625" hidden="1" customWidth="1"/>
    <col min="13" max="16" width="13.81640625" hidden="1" customWidth="1"/>
    <col min="17" max="17" width="15.453125" hidden="1" customWidth="1"/>
    <col min="18" max="18" width="0" hidden="1" customWidth="1"/>
    <col min="20" max="20" width="17.54296875" bestFit="1" customWidth="1"/>
    <col min="21" max="21" width="13.81640625" bestFit="1" customWidth="1"/>
  </cols>
  <sheetData>
    <row r="1" spans="1:18" s="113" customFormat="1" ht="18.75" customHeight="1">
      <c r="A1" s="80">
        <v>2</v>
      </c>
      <c r="C1" s="552" t="str">
        <f>HLOOKUP('General Information'!$C$6,'IDIOMA (hide)'!$A$1:$D$5016,A1,0)</f>
        <v>LTEP - Levantamento Técnico de Estimativa de Projeto TASY EMR
Código do documento: 0060 - Rev 024</v>
      </c>
      <c r="D1" s="552"/>
      <c r="E1" s="552"/>
      <c r="F1" s="552"/>
      <c r="G1" s="552"/>
    </row>
    <row r="2" spans="1:18" s="113" customFormat="1" ht="18.75" customHeight="1">
      <c r="A2" s="80"/>
      <c r="B2" s="252"/>
      <c r="C2" s="552"/>
      <c r="D2" s="552"/>
      <c r="E2" s="552"/>
      <c r="F2" s="552"/>
      <c r="G2" s="552"/>
    </row>
    <row r="3" spans="1:18" s="113" customFormat="1" ht="33.75" customHeight="1">
      <c r="A3" s="110">
        <v>198</v>
      </c>
      <c r="C3" s="552" t="str">
        <f>HLOOKUP('General Information'!$C$6,'IDIOMA (hide)'!$A$1:$D$5016,A3,0)</f>
        <v>SP - Solicitação de Proposta</v>
      </c>
      <c r="D3" s="552"/>
      <c r="E3" s="552"/>
      <c r="F3" s="552"/>
      <c r="G3" s="552"/>
    </row>
    <row r="4" spans="1:18" s="113" customFormat="1" ht="21.5" thickBot="1">
      <c r="A4" s="80">
        <v>160</v>
      </c>
      <c r="B4" s="108" t="str">
        <f>HLOOKUP('General Information'!$C$6,'IDIOMA (hide)'!$A$1:$D$5016,A4,0)</f>
        <v>Informações Gerais</v>
      </c>
      <c r="C4" s="114"/>
      <c r="E4" s="108"/>
      <c r="F4" s="114"/>
      <c r="G4" s="112"/>
    </row>
    <row r="5" spans="1:18" ht="15" customHeight="1">
      <c r="A5" s="80">
        <v>357</v>
      </c>
      <c r="B5" s="578" t="str">
        <f>HLOOKUP('General Information'!$C$6,'IDIOMA (hide)'!$A$1:$D$5016,A5,0)</f>
        <v>Horas de Consultoria</v>
      </c>
      <c r="C5" s="586">
        <f>GETPIVOTDATA("TOTAL HOURS (STANDARD HOURS + ADDITIONAL HOURS)",Summary!$B$13)</f>
        <v>232</v>
      </c>
      <c r="D5" s="433" t="str">
        <f>HLOOKUP('General Information'!$C$6,'IDIOMA (hide)'!$A$1:$D$5016,A6,0)</f>
        <v>Qtd Consultores</v>
      </c>
      <c r="E5" s="582" t="str">
        <f>Proposal!B38</f>
        <v>Valor Mensal Total SaaS (Cloud)</v>
      </c>
      <c r="H5" s="433" t="s">
        <v>6301</v>
      </c>
      <c r="I5" s="433" t="s">
        <v>3232</v>
      </c>
      <c r="J5" s="433" t="s">
        <v>6302</v>
      </c>
      <c r="K5" s="434" t="s">
        <v>6303</v>
      </c>
    </row>
    <row r="6" spans="1:18">
      <c r="A6" s="80">
        <v>514</v>
      </c>
      <c r="B6" s="579"/>
      <c r="C6" s="587"/>
      <c r="D6" s="435">
        <f>Questions!D145</f>
        <v>1</v>
      </c>
      <c r="E6" s="583"/>
      <c r="H6" s="17">
        <v>1</v>
      </c>
      <c r="I6" s="435">
        <f>IF(H6&lt;&gt;"",IF(H6&lt;$K$6,($C$5/$K$6)*H6,IF(H6=$K$6,($C$5+0),IF(H6&gt;$K$6,($C$5+0),""))),"")</f>
        <v>160</v>
      </c>
      <c r="J6" s="17">
        <f>IF(H6&lt;&gt;"",IF(I6&lt;$K$10,E$7*30%,IF(AND(I6&gt;$K$8,I6&lt;$K$12),$E$7*60%,IF(I6&gt;=$K$12,$E$7*100%,""))),"")</f>
        <v>0</v>
      </c>
      <c r="K6" s="436">
        <f>D7</f>
        <v>1.45</v>
      </c>
      <c r="L6" s="581" t="s">
        <v>5930</v>
      </c>
      <c r="M6" s="581"/>
      <c r="N6" s="581"/>
      <c r="O6" s="581"/>
      <c r="P6" s="581"/>
      <c r="Q6" s="581"/>
      <c r="R6" s="581"/>
    </row>
    <row r="7" spans="1:18">
      <c r="B7" s="580"/>
      <c r="C7" s="588"/>
      <c r="D7" s="437">
        <f>C5/(160*D6)</f>
        <v>1.45</v>
      </c>
      <c r="E7" s="504">
        <f>Proposal!C38</f>
        <v>0</v>
      </c>
      <c r="H7" s="17">
        <v>2</v>
      </c>
      <c r="I7" s="435">
        <f t="shared" ref="I7:I65" si="0">IF(H7&lt;&gt;"",IF(H7&lt;$K$6,($C$5/$K$6)*H7,IF(H7=$K$6,($C$5+0),IF(H7&gt;$K$6,($C$5+0),""))),"")</f>
        <v>232</v>
      </c>
      <c r="J7" s="17">
        <f t="shared" ref="J7:J65" si="1">IF(H7&lt;&gt;"",IF(I7&lt;$K$10,E$7*30%,IF(AND(I7&gt;$K$8,I7&lt;$K$12),$E$7*60%,IF(I7&gt;=$K$12,$E$7*100%,""))),"")</f>
        <v>0</v>
      </c>
      <c r="K7" s="434" t="s">
        <v>6304</v>
      </c>
      <c r="L7" s="438"/>
      <c r="M7" s="438"/>
      <c r="N7" s="438"/>
      <c r="O7" s="438"/>
      <c r="P7" s="438"/>
      <c r="Q7" s="438"/>
      <c r="R7" s="438"/>
    </row>
    <row r="8" spans="1:18">
      <c r="E8" s="388"/>
      <c r="H8" s="17">
        <v>3</v>
      </c>
      <c r="I8" s="435">
        <f t="shared" si="0"/>
        <v>232</v>
      </c>
      <c r="J8" s="17">
        <f t="shared" si="1"/>
        <v>0</v>
      </c>
      <c r="K8" s="436">
        <f>C5*30%</f>
        <v>69.599999999999994</v>
      </c>
      <c r="L8" s="581" t="s">
        <v>5931</v>
      </c>
      <c r="M8" s="581"/>
      <c r="N8" s="581"/>
      <c r="O8" s="581"/>
      <c r="P8" s="581"/>
      <c r="Q8" s="581"/>
      <c r="R8" s="581"/>
    </row>
    <row r="9" spans="1:18">
      <c r="E9" s="388"/>
      <c r="H9" s="17">
        <v>4</v>
      </c>
      <c r="I9" s="435">
        <f t="shared" si="0"/>
        <v>232</v>
      </c>
      <c r="J9" s="17">
        <f t="shared" si="1"/>
        <v>0</v>
      </c>
      <c r="K9" s="434" t="s">
        <v>6305</v>
      </c>
      <c r="L9" s="438"/>
      <c r="M9" s="438"/>
      <c r="N9" s="438"/>
      <c r="O9" s="438"/>
      <c r="P9" s="438"/>
      <c r="Q9" s="438"/>
      <c r="R9" s="438"/>
    </row>
    <row r="10" spans="1:18">
      <c r="H10" s="17">
        <v>5</v>
      </c>
      <c r="I10" s="435">
        <f t="shared" si="0"/>
        <v>232</v>
      </c>
      <c r="J10" s="17">
        <f t="shared" si="1"/>
        <v>0</v>
      </c>
      <c r="K10" s="436">
        <f>C5*60%</f>
        <v>139.19999999999999</v>
      </c>
      <c r="L10" s="581" t="s">
        <v>5932</v>
      </c>
      <c r="M10" s="581"/>
      <c r="N10" s="581"/>
      <c r="O10" s="581"/>
      <c r="P10" s="581"/>
      <c r="Q10" s="581"/>
      <c r="R10" s="581"/>
    </row>
    <row r="11" spans="1:18">
      <c r="D11" s="437" t="str">
        <f>H66</f>
        <v>Total</v>
      </c>
      <c r="E11" s="17">
        <f>J66</f>
        <v>0</v>
      </c>
      <c r="H11" s="17">
        <v>6</v>
      </c>
      <c r="I11" s="435">
        <f t="shared" si="0"/>
        <v>232</v>
      </c>
      <c r="J11" s="17">
        <f t="shared" si="1"/>
        <v>0</v>
      </c>
      <c r="K11" s="434" t="s">
        <v>5933</v>
      </c>
      <c r="L11" s="438"/>
      <c r="M11" s="438"/>
      <c r="N11" s="438"/>
      <c r="O11" s="438"/>
      <c r="P11" s="438"/>
      <c r="Q11" s="438"/>
      <c r="R11" s="438"/>
    </row>
    <row r="12" spans="1:18">
      <c r="H12" s="17">
        <v>7</v>
      </c>
      <c r="I12" s="435">
        <f t="shared" si="0"/>
        <v>232</v>
      </c>
      <c r="J12" s="17">
        <f t="shared" si="1"/>
        <v>0</v>
      </c>
      <c r="K12" s="436">
        <f>C5*100%</f>
        <v>232</v>
      </c>
      <c r="L12" s="581" t="s">
        <v>5934</v>
      </c>
      <c r="M12" s="581"/>
      <c r="N12" s="581"/>
      <c r="O12" s="581"/>
      <c r="P12" s="581"/>
      <c r="Q12" s="581"/>
      <c r="R12" s="581"/>
    </row>
    <row r="13" spans="1:18">
      <c r="H13" s="17">
        <v>8</v>
      </c>
      <c r="I13" s="435">
        <f t="shared" si="0"/>
        <v>232</v>
      </c>
      <c r="J13" s="17">
        <f t="shared" si="1"/>
        <v>0</v>
      </c>
      <c r="K13" s="298"/>
    </row>
    <row r="14" spans="1:18">
      <c r="H14" s="17">
        <v>9</v>
      </c>
      <c r="I14" s="435">
        <f t="shared" si="0"/>
        <v>232</v>
      </c>
      <c r="J14" s="17">
        <f t="shared" si="1"/>
        <v>0</v>
      </c>
      <c r="K14" s="434" t="s">
        <v>3190</v>
      </c>
    </row>
    <row r="15" spans="1:18">
      <c r="H15" s="17">
        <v>10</v>
      </c>
      <c r="I15" s="435">
        <f t="shared" si="0"/>
        <v>232</v>
      </c>
      <c r="J15" s="17">
        <f t="shared" si="1"/>
        <v>0</v>
      </c>
      <c r="K15" s="464">
        <f>SUM(J6:J65)</f>
        <v>0</v>
      </c>
    </row>
    <row r="16" spans="1:18">
      <c r="H16" s="17">
        <v>11</v>
      </c>
      <c r="I16" s="435">
        <f t="shared" si="0"/>
        <v>232</v>
      </c>
      <c r="J16" s="17">
        <f t="shared" si="1"/>
        <v>0</v>
      </c>
      <c r="K16" s="439"/>
    </row>
    <row r="17" spans="5:11">
      <c r="H17" s="17">
        <v>12</v>
      </c>
      <c r="I17" s="435">
        <f t="shared" si="0"/>
        <v>232</v>
      </c>
      <c r="J17" s="17">
        <f t="shared" si="1"/>
        <v>0</v>
      </c>
    </row>
    <row r="18" spans="5:11">
      <c r="H18" s="17" t="str">
        <f>IF(Proposal!$C$19&gt;12,'OIT SaaS'!H17+1,"")</f>
        <v/>
      </c>
      <c r="I18" s="17" t="str">
        <f t="shared" si="0"/>
        <v/>
      </c>
      <c r="J18" s="17" t="str">
        <f t="shared" si="1"/>
        <v/>
      </c>
      <c r="K18" s="439"/>
    </row>
    <row r="19" spans="5:11">
      <c r="H19" s="17" t="str">
        <f>IF(Proposal!$C$19&gt;12,'OIT SaaS'!H18+1,"")</f>
        <v/>
      </c>
      <c r="I19" s="17" t="str">
        <f t="shared" si="0"/>
        <v/>
      </c>
      <c r="J19" s="17" t="str">
        <f t="shared" si="1"/>
        <v/>
      </c>
    </row>
    <row r="20" spans="5:11">
      <c r="E20" s="388"/>
      <c r="H20" s="17" t="str">
        <f>IF(Proposal!$C$19&gt;12,'OIT SaaS'!H19+1,"")</f>
        <v/>
      </c>
      <c r="I20" s="17" t="str">
        <f t="shared" si="0"/>
        <v/>
      </c>
      <c r="J20" s="17" t="str">
        <f t="shared" si="1"/>
        <v/>
      </c>
    </row>
    <row r="21" spans="5:11">
      <c r="E21" s="388"/>
      <c r="H21" s="17" t="str">
        <f>IF(Proposal!$C$19&gt;12,'OIT SaaS'!H20+1,"")</f>
        <v/>
      </c>
      <c r="I21" s="17" t="str">
        <f t="shared" si="0"/>
        <v/>
      </c>
      <c r="J21" s="17" t="str">
        <f t="shared" si="1"/>
        <v/>
      </c>
    </row>
    <row r="22" spans="5:11">
      <c r="E22" s="441"/>
      <c r="H22" s="17" t="str">
        <f>IF(Proposal!$C$19&gt;12,'OIT SaaS'!H21+1,"")</f>
        <v/>
      </c>
      <c r="I22" s="17" t="str">
        <f t="shared" si="0"/>
        <v/>
      </c>
      <c r="J22" s="17" t="str">
        <f t="shared" si="1"/>
        <v/>
      </c>
    </row>
    <row r="23" spans="5:11">
      <c r="H23" s="17" t="str">
        <f>IF(Proposal!$C$19&gt;12,'OIT SaaS'!H22+1,"")</f>
        <v/>
      </c>
      <c r="I23" s="17" t="str">
        <f t="shared" si="0"/>
        <v/>
      </c>
      <c r="J23" s="17" t="str">
        <f t="shared" si="1"/>
        <v/>
      </c>
    </row>
    <row r="24" spans="5:11">
      <c r="H24" s="17" t="str">
        <f>IF(Proposal!$C$19&gt;12,'OIT SaaS'!H23+1,"")</f>
        <v/>
      </c>
      <c r="I24" s="17" t="str">
        <f t="shared" si="0"/>
        <v/>
      </c>
      <c r="J24" s="17" t="str">
        <f t="shared" si="1"/>
        <v/>
      </c>
    </row>
    <row r="25" spans="5:11">
      <c r="H25" s="17" t="str">
        <f>IF(Proposal!$C$19&gt;12,'OIT SaaS'!H24+1,"")</f>
        <v/>
      </c>
      <c r="I25" s="17" t="str">
        <f t="shared" si="0"/>
        <v/>
      </c>
      <c r="J25" s="17" t="str">
        <f t="shared" si="1"/>
        <v/>
      </c>
    </row>
    <row r="26" spans="5:11">
      <c r="H26" s="17" t="str">
        <f>IF(Proposal!$C$19&gt;12,'OIT SaaS'!H25+1,"")</f>
        <v/>
      </c>
      <c r="I26" s="17" t="str">
        <f t="shared" si="0"/>
        <v/>
      </c>
      <c r="J26" s="17" t="str">
        <f t="shared" si="1"/>
        <v/>
      </c>
    </row>
    <row r="27" spans="5:11">
      <c r="H27" s="17" t="str">
        <f>IF(Proposal!$C$19&gt;12,'OIT SaaS'!H26+1,"")</f>
        <v/>
      </c>
      <c r="I27" s="17" t="str">
        <f t="shared" si="0"/>
        <v/>
      </c>
      <c r="J27" s="17" t="str">
        <f t="shared" si="1"/>
        <v/>
      </c>
    </row>
    <row r="28" spans="5:11">
      <c r="H28" s="17" t="str">
        <f>IF(Proposal!$C$19&gt;12,'OIT SaaS'!H27+1,"")</f>
        <v/>
      </c>
      <c r="I28" s="17" t="str">
        <f t="shared" si="0"/>
        <v/>
      </c>
      <c r="J28" s="17" t="str">
        <f t="shared" si="1"/>
        <v/>
      </c>
    </row>
    <row r="29" spans="5:11">
      <c r="H29" s="17" t="str">
        <f>IF(Proposal!$C$19&gt;12,'OIT SaaS'!H28+1,"")</f>
        <v/>
      </c>
      <c r="I29" s="17" t="str">
        <f t="shared" si="0"/>
        <v/>
      </c>
      <c r="J29" s="17" t="str">
        <f t="shared" si="1"/>
        <v/>
      </c>
    </row>
    <row r="30" spans="5:11">
      <c r="H30" s="17" t="str">
        <f>IF(Proposal!$C$19&gt;24,'OIT SaaS'!H29+1,"")</f>
        <v/>
      </c>
      <c r="I30" s="17" t="str">
        <f t="shared" si="0"/>
        <v/>
      </c>
      <c r="J30" s="17" t="str">
        <f t="shared" si="1"/>
        <v/>
      </c>
    </row>
    <row r="31" spans="5:11">
      <c r="H31" s="17" t="str">
        <f>IF(Proposal!$C$19&gt;24,'OIT SaaS'!H30+1,"")</f>
        <v/>
      </c>
      <c r="I31" s="17" t="str">
        <f t="shared" si="0"/>
        <v/>
      </c>
      <c r="J31" s="17" t="str">
        <f t="shared" si="1"/>
        <v/>
      </c>
    </row>
    <row r="32" spans="5:11">
      <c r="H32" s="17" t="str">
        <f>IF(Proposal!$C$19&gt;24,'OIT SaaS'!H31+1,"")</f>
        <v/>
      </c>
      <c r="I32" s="17" t="str">
        <f t="shared" si="0"/>
        <v/>
      </c>
      <c r="J32" s="17" t="str">
        <f t="shared" si="1"/>
        <v/>
      </c>
    </row>
    <row r="33" spans="8:21">
      <c r="H33" s="17" t="str">
        <f>IF(Proposal!$C$19&gt;24,'OIT SaaS'!H32+1,"")</f>
        <v/>
      </c>
      <c r="I33" s="17" t="str">
        <f t="shared" si="0"/>
        <v/>
      </c>
      <c r="J33" s="17" t="str">
        <f t="shared" si="1"/>
        <v/>
      </c>
      <c r="U33" s="388"/>
    </row>
    <row r="34" spans="8:21">
      <c r="H34" s="17" t="str">
        <f>IF(Proposal!$C$19&gt;24,'OIT SaaS'!H33+1,"")</f>
        <v/>
      </c>
      <c r="I34" s="17" t="str">
        <f t="shared" si="0"/>
        <v/>
      </c>
      <c r="J34" s="17" t="str">
        <f t="shared" si="1"/>
        <v/>
      </c>
      <c r="M34" s="432"/>
      <c r="N34" s="432"/>
      <c r="O34" s="432"/>
      <c r="T34" s="432"/>
    </row>
    <row r="35" spans="8:21">
      <c r="H35" s="17" t="str">
        <f>IF(Proposal!$C$19&gt;24,'OIT SaaS'!H34+1,"")</f>
        <v/>
      </c>
      <c r="I35" s="17" t="str">
        <f t="shared" si="0"/>
        <v/>
      </c>
      <c r="J35" s="17" t="str">
        <f t="shared" si="1"/>
        <v/>
      </c>
      <c r="L35" s="439"/>
      <c r="N35" s="439"/>
      <c r="Q35" s="440"/>
      <c r="T35" s="440"/>
    </row>
    <row r="36" spans="8:21">
      <c r="H36" s="17" t="str">
        <f>IF(Proposal!$C$19&gt;24,'OIT SaaS'!H35+1,"")</f>
        <v/>
      </c>
      <c r="I36" s="17" t="str">
        <f t="shared" si="0"/>
        <v/>
      </c>
      <c r="J36" s="17" t="str">
        <f t="shared" si="1"/>
        <v/>
      </c>
    </row>
    <row r="37" spans="8:21">
      <c r="H37" s="17" t="str">
        <f>IF(Proposal!$C$19&gt;24,'OIT SaaS'!H36+1,"")</f>
        <v/>
      </c>
      <c r="I37" s="17" t="str">
        <f t="shared" si="0"/>
        <v/>
      </c>
      <c r="J37" s="17" t="str">
        <f t="shared" si="1"/>
        <v/>
      </c>
    </row>
    <row r="38" spans="8:21">
      <c r="H38" s="17" t="str">
        <f>IF(Proposal!$C$19&gt;24,'OIT SaaS'!H37+1,"")</f>
        <v/>
      </c>
      <c r="I38" s="17" t="str">
        <f t="shared" si="0"/>
        <v/>
      </c>
      <c r="J38" s="17" t="str">
        <f t="shared" si="1"/>
        <v/>
      </c>
    </row>
    <row r="39" spans="8:21">
      <c r="H39" s="17" t="str">
        <f>IF(Proposal!$C$19&gt;24,'OIT SaaS'!H38+1,"")</f>
        <v/>
      </c>
      <c r="I39" s="17" t="str">
        <f t="shared" si="0"/>
        <v/>
      </c>
      <c r="J39" s="17" t="str">
        <f t="shared" si="1"/>
        <v/>
      </c>
    </row>
    <row r="40" spans="8:21">
      <c r="H40" s="17" t="str">
        <f>IF(Proposal!$C$19&gt;24,'OIT SaaS'!H39+1,"")</f>
        <v/>
      </c>
      <c r="I40" s="17" t="str">
        <f t="shared" si="0"/>
        <v/>
      </c>
      <c r="J40" s="17" t="str">
        <f t="shared" si="1"/>
        <v/>
      </c>
    </row>
    <row r="41" spans="8:21">
      <c r="H41" s="17" t="str">
        <f>IF(Proposal!$C$19&gt;24,'OIT SaaS'!H40+1,"")</f>
        <v/>
      </c>
      <c r="I41" s="17" t="str">
        <f t="shared" si="0"/>
        <v/>
      </c>
      <c r="J41" s="17" t="str">
        <f t="shared" si="1"/>
        <v/>
      </c>
    </row>
    <row r="42" spans="8:21">
      <c r="H42" s="17" t="str">
        <f>IF(Proposal!$C$19&gt;36,'OIT SaaS'!H41+1,"")</f>
        <v/>
      </c>
      <c r="I42" s="17" t="str">
        <f t="shared" si="0"/>
        <v/>
      </c>
      <c r="J42" s="17" t="str">
        <f t="shared" si="1"/>
        <v/>
      </c>
    </row>
    <row r="43" spans="8:21">
      <c r="H43" s="17" t="str">
        <f>IF(Proposal!$C$19&gt;36,'OIT SaaS'!H42+1,"")</f>
        <v/>
      </c>
      <c r="I43" s="17" t="str">
        <f t="shared" si="0"/>
        <v/>
      </c>
      <c r="J43" s="17" t="str">
        <f t="shared" si="1"/>
        <v/>
      </c>
    </row>
    <row r="44" spans="8:21">
      <c r="H44" s="17" t="str">
        <f>IF(Proposal!$C$19&gt;36,'OIT SaaS'!H43+1,"")</f>
        <v/>
      </c>
      <c r="I44" s="17" t="str">
        <f t="shared" si="0"/>
        <v/>
      </c>
      <c r="J44" s="17" t="str">
        <f t="shared" si="1"/>
        <v/>
      </c>
    </row>
    <row r="45" spans="8:21">
      <c r="H45" s="17" t="str">
        <f>IF(Proposal!$C$19&gt;36,'OIT SaaS'!H44+1,"")</f>
        <v/>
      </c>
      <c r="I45" s="17" t="str">
        <f t="shared" si="0"/>
        <v/>
      </c>
      <c r="J45" s="17" t="str">
        <f t="shared" si="1"/>
        <v/>
      </c>
    </row>
    <row r="46" spans="8:21">
      <c r="H46" s="17" t="str">
        <f>IF(Proposal!$C$19&gt;36,'OIT SaaS'!H45+1,"")</f>
        <v/>
      </c>
      <c r="I46" s="17" t="str">
        <f t="shared" si="0"/>
        <v/>
      </c>
      <c r="J46" s="17" t="str">
        <f t="shared" si="1"/>
        <v/>
      </c>
    </row>
    <row r="47" spans="8:21">
      <c r="H47" s="17" t="str">
        <f>IF(Proposal!$C$19&gt;36,'OIT SaaS'!H46+1,"")</f>
        <v/>
      </c>
      <c r="I47" s="17" t="str">
        <f t="shared" si="0"/>
        <v/>
      </c>
      <c r="J47" s="17" t="str">
        <f t="shared" si="1"/>
        <v/>
      </c>
      <c r="L47" s="439"/>
      <c r="M47" s="439"/>
      <c r="N47" s="439"/>
      <c r="P47" s="439"/>
      <c r="Q47" s="388"/>
    </row>
    <row r="48" spans="8:21">
      <c r="H48" s="17" t="str">
        <f>IF(Proposal!$C$19&gt;36,'OIT SaaS'!H47+1,"")</f>
        <v/>
      </c>
      <c r="I48" s="17" t="str">
        <f t="shared" si="0"/>
        <v/>
      </c>
      <c r="J48" s="17" t="str">
        <f t="shared" si="1"/>
        <v/>
      </c>
      <c r="L48" s="439"/>
      <c r="M48" s="439"/>
      <c r="N48" s="439"/>
      <c r="P48" s="442"/>
    </row>
    <row r="49" spans="8:17">
      <c r="H49" s="17" t="str">
        <f>IF(Proposal!$C$19&gt;36,'OIT SaaS'!H48+1,"")</f>
        <v/>
      </c>
      <c r="I49" s="17" t="str">
        <f t="shared" si="0"/>
        <v/>
      </c>
      <c r="J49" s="17" t="str">
        <f t="shared" si="1"/>
        <v/>
      </c>
      <c r="L49" s="439"/>
      <c r="M49" s="439"/>
      <c r="N49" s="439"/>
      <c r="P49" s="439"/>
    </row>
    <row r="50" spans="8:17">
      <c r="H50" s="17" t="str">
        <f>IF(Proposal!$C$19&gt;36,'OIT SaaS'!H49+1,"")</f>
        <v/>
      </c>
      <c r="I50" s="17" t="str">
        <f t="shared" si="0"/>
        <v/>
      </c>
      <c r="J50" s="17" t="str">
        <f t="shared" si="1"/>
        <v/>
      </c>
      <c r="L50" s="439"/>
      <c r="M50" s="439"/>
      <c r="N50" s="439"/>
      <c r="P50" s="442"/>
    </row>
    <row r="51" spans="8:17">
      <c r="H51" s="17" t="str">
        <f>IF(Proposal!$C$19&gt;36,'OIT SaaS'!H50+1,"")</f>
        <v/>
      </c>
      <c r="I51" s="17" t="str">
        <f t="shared" si="0"/>
        <v/>
      </c>
      <c r="J51" s="17" t="str">
        <f t="shared" si="1"/>
        <v/>
      </c>
      <c r="L51" s="439"/>
      <c r="M51" s="439"/>
      <c r="N51" s="439"/>
      <c r="P51" s="439"/>
      <c r="Q51" s="388"/>
    </row>
    <row r="52" spans="8:17">
      <c r="H52" s="17" t="str">
        <f>IF(Proposal!$C$19&gt;36,'OIT SaaS'!H51+1,"")</f>
        <v/>
      </c>
      <c r="I52" s="17" t="str">
        <f t="shared" si="0"/>
        <v/>
      </c>
      <c r="J52" s="17" t="str">
        <f t="shared" si="1"/>
        <v/>
      </c>
      <c r="L52" s="439"/>
      <c r="M52" s="439"/>
      <c r="N52" s="439"/>
      <c r="P52" s="442"/>
      <c r="Q52" s="388"/>
    </row>
    <row r="53" spans="8:17">
      <c r="H53" s="17" t="str">
        <f>IF(Proposal!$C$19&gt;36,'OIT SaaS'!H52+1,"")</f>
        <v/>
      </c>
      <c r="I53" s="17" t="str">
        <f t="shared" si="0"/>
        <v/>
      </c>
      <c r="J53" s="17" t="str">
        <f t="shared" si="1"/>
        <v/>
      </c>
      <c r="L53" s="439"/>
      <c r="M53" s="439"/>
      <c r="N53" s="439"/>
      <c r="P53" s="439"/>
      <c r="Q53" s="388"/>
    </row>
    <row r="54" spans="8:17">
      <c r="H54" s="17" t="str">
        <f>IF(Proposal!$C$19&gt;48,'OIT SaaS'!H53+1,"")</f>
        <v/>
      </c>
      <c r="I54" s="17" t="str">
        <f t="shared" si="0"/>
        <v/>
      </c>
      <c r="J54" s="17" t="str">
        <f t="shared" si="1"/>
        <v/>
      </c>
      <c r="L54" s="439"/>
      <c r="M54" s="439"/>
      <c r="N54" s="439"/>
      <c r="P54" s="440"/>
      <c r="Q54" s="388"/>
    </row>
    <row r="55" spans="8:17">
      <c r="H55" s="17" t="str">
        <f>IF(Proposal!$C$19&gt;48,'OIT SaaS'!H54+1,"")</f>
        <v/>
      </c>
      <c r="I55" s="17" t="str">
        <f t="shared" si="0"/>
        <v/>
      </c>
      <c r="J55" s="17" t="str">
        <f t="shared" si="1"/>
        <v/>
      </c>
      <c r="L55" s="439"/>
      <c r="M55" s="439"/>
      <c r="N55" s="439"/>
      <c r="P55" s="439"/>
    </row>
    <row r="56" spans="8:17">
      <c r="H56" s="17" t="str">
        <f>IF(Proposal!$C$19&gt;48,'OIT SaaS'!H55+1,"")</f>
        <v/>
      </c>
      <c r="I56" s="17" t="str">
        <f t="shared" si="0"/>
        <v/>
      </c>
      <c r="J56" s="17" t="str">
        <f t="shared" si="1"/>
        <v/>
      </c>
      <c r="L56" s="439"/>
      <c r="M56" s="439"/>
      <c r="N56" s="439"/>
      <c r="P56" s="439"/>
      <c r="Q56" s="388"/>
    </row>
    <row r="57" spans="8:17">
      <c r="H57" s="17" t="str">
        <f>IF(Proposal!$C$19&gt;48,'OIT SaaS'!H56+1,"")</f>
        <v/>
      </c>
      <c r="I57" s="17" t="str">
        <f t="shared" si="0"/>
        <v/>
      </c>
      <c r="J57" s="17" t="str">
        <f t="shared" si="1"/>
        <v/>
      </c>
      <c r="L57" s="439"/>
      <c r="M57" s="439"/>
      <c r="N57" s="439"/>
      <c r="P57" s="439"/>
      <c r="Q57" s="388"/>
    </row>
    <row r="58" spans="8:17">
      <c r="H58" s="17" t="str">
        <f>IF(Proposal!$C$19&gt;48,'OIT SaaS'!H57+1,"")</f>
        <v/>
      </c>
      <c r="I58" s="17" t="str">
        <f t="shared" si="0"/>
        <v/>
      </c>
      <c r="J58" s="17" t="str">
        <f t="shared" si="1"/>
        <v/>
      </c>
      <c r="L58" s="439"/>
      <c r="M58" s="439"/>
      <c r="N58" s="439"/>
      <c r="P58" s="439"/>
      <c r="Q58" s="388"/>
    </row>
    <row r="59" spans="8:17">
      <c r="H59" s="17" t="str">
        <f>IF(Proposal!$C$19&gt;48,'OIT SaaS'!H58+1,"")</f>
        <v/>
      </c>
      <c r="I59" s="17" t="str">
        <f t="shared" si="0"/>
        <v/>
      </c>
      <c r="J59" s="17" t="str">
        <f t="shared" si="1"/>
        <v/>
      </c>
      <c r="L59" s="439"/>
      <c r="M59" s="439"/>
      <c r="N59" s="439"/>
      <c r="P59" s="439"/>
      <c r="Q59" s="388"/>
    </row>
    <row r="60" spans="8:17">
      <c r="H60" s="17" t="str">
        <f>IF(Proposal!$C$19&gt;48,'OIT SaaS'!H59+1,"")</f>
        <v/>
      </c>
      <c r="I60" s="17" t="str">
        <f t="shared" si="0"/>
        <v/>
      </c>
      <c r="J60" s="17" t="str">
        <f t="shared" si="1"/>
        <v/>
      </c>
      <c r="L60" s="439"/>
      <c r="M60" s="439"/>
      <c r="N60" s="439"/>
    </row>
    <row r="61" spans="8:17">
      <c r="H61" s="17" t="str">
        <f>IF(Proposal!$C$19&gt;48,'OIT SaaS'!H60+1,"")</f>
        <v/>
      </c>
      <c r="I61" s="17" t="str">
        <f t="shared" si="0"/>
        <v/>
      </c>
      <c r="J61" s="17" t="str">
        <f t="shared" si="1"/>
        <v/>
      </c>
      <c r="L61" s="439"/>
      <c r="M61" s="439"/>
      <c r="N61" s="439"/>
    </row>
    <row r="62" spans="8:17">
      <c r="H62" s="17" t="str">
        <f>IF(Proposal!$C$19&gt;48,'OIT SaaS'!H61+1,"")</f>
        <v/>
      </c>
      <c r="I62" s="17" t="str">
        <f t="shared" si="0"/>
        <v/>
      </c>
      <c r="J62" s="17" t="str">
        <f t="shared" si="1"/>
        <v/>
      </c>
      <c r="L62" s="439"/>
      <c r="M62" s="439"/>
      <c r="N62" s="439"/>
    </row>
    <row r="63" spans="8:17">
      <c r="H63" s="17" t="str">
        <f>IF(Proposal!$C$19&gt;48,'OIT SaaS'!H62+1,"")</f>
        <v/>
      </c>
      <c r="I63" s="17" t="str">
        <f t="shared" si="0"/>
        <v/>
      </c>
      <c r="J63" s="17" t="str">
        <f t="shared" si="1"/>
        <v/>
      </c>
      <c r="L63" s="439"/>
      <c r="M63" s="439"/>
      <c r="N63" s="439"/>
    </row>
    <row r="64" spans="8:17">
      <c r="H64" s="17" t="str">
        <f>IF(Proposal!$C$19&gt;48,'OIT SaaS'!H63+1,"")</f>
        <v/>
      </c>
      <c r="I64" s="17" t="str">
        <f t="shared" si="0"/>
        <v/>
      </c>
      <c r="J64" s="17" t="str">
        <f t="shared" si="1"/>
        <v/>
      </c>
      <c r="L64" s="439"/>
      <c r="M64" s="439"/>
      <c r="N64" s="439"/>
    </row>
    <row r="65" spans="8:10">
      <c r="H65" s="17" t="str">
        <f>IF(Proposal!$C$19&gt;48,'OIT SaaS'!H64+1,"")</f>
        <v/>
      </c>
      <c r="I65" s="17" t="str">
        <f t="shared" si="0"/>
        <v/>
      </c>
      <c r="J65" s="17" t="str">
        <f t="shared" si="1"/>
        <v/>
      </c>
    </row>
    <row r="66" spans="8:10">
      <c r="H66" s="584" t="s">
        <v>2646</v>
      </c>
      <c r="I66" s="585"/>
      <c r="J66" s="17">
        <f>SUM(J6:J65)</f>
        <v>0</v>
      </c>
    </row>
    <row r="68" spans="8:10">
      <c r="J68" s="441"/>
    </row>
    <row r="72" spans="8:10">
      <c r="H72" s="7"/>
    </row>
  </sheetData>
  <sheetProtection algorithmName="SHA-512" hashValue="Z40LKssnbgx3437odmwEQHTEr+Ltvy47yoQBe9BXQgfUecPvV35eLZmo/OkyePunyVvU/Vk7H3chiM5aO3n6Zg==" saltValue="PWtTn0/f/ezFZn2d2WF0dQ==" spinCount="100000" sheet="1" objects="1" scenarios="1"/>
  <mergeCells count="10">
    <mergeCell ref="C1:G2"/>
    <mergeCell ref="C3:G3"/>
    <mergeCell ref="E5:E6"/>
    <mergeCell ref="H66:I66"/>
    <mergeCell ref="C5:C7"/>
    <mergeCell ref="B5:B7"/>
    <mergeCell ref="L6:R6"/>
    <mergeCell ref="L8:R8"/>
    <mergeCell ref="L10:R10"/>
    <mergeCell ref="L12:R12"/>
  </mergeCells>
  <conditionalFormatting sqref="H18:J65">
    <cfRule type="expression" dxfId="135" priority="1">
      <formula>H18=""</formula>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1048572"/>
  <sheetViews>
    <sheetView showGridLines="0" topLeftCell="A4" zoomScaleNormal="100" workbookViewId="0">
      <selection activeCell="D17" sqref="D17"/>
    </sheetView>
  </sheetViews>
  <sheetFormatPr defaultColWidth="9.1796875" defaultRowHeight="22.15" customHeight="1"/>
  <cols>
    <col min="1" max="1" width="3.1796875" style="82" customWidth="1"/>
    <col min="2" max="2" width="10.453125" style="94" customWidth="1"/>
    <col min="3" max="3" width="48.7265625" style="82" customWidth="1"/>
    <col min="4" max="4" width="11.453125" style="82" bestFit="1" customWidth="1"/>
    <col min="5" max="5" width="9" style="417" hidden="1" customWidth="1"/>
    <col min="6" max="6" width="16" style="157" customWidth="1"/>
    <col min="7" max="7" width="2.54296875" style="80" customWidth="1"/>
    <col min="8" max="8" width="75.453125" style="82" customWidth="1"/>
    <col min="9" max="9" width="8.26953125" style="82" bestFit="1" customWidth="1"/>
    <col min="10" max="10" width="34.81640625" style="82" bestFit="1" customWidth="1"/>
    <col min="11" max="11" width="35" style="82" hidden="1" customWidth="1"/>
    <col min="12" max="12" width="12.54296875" style="82" hidden="1" customWidth="1"/>
    <col min="13" max="13" width="18" style="82" hidden="1" customWidth="1"/>
    <col min="14" max="14" width="6.26953125" style="82" bestFit="1" customWidth="1"/>
    <col min="15" max="15" width="12.26953125" style="82" bestFit="1" customWidth="1"/>
    <col min="16" max="16384" width="9.1796875" style="82"/>
  </cols>
  <sheetData>
    <row r="1" spans="1:13" ht="60" customHeight="1">
      <c r="A1" s="80">
        <v>2</v>
      </c>
      <c r="C1" s="552" t="str">
        <f>HLOOKUP('General Information'!$C$6,'IDIOMA (hide)'!$A$1:$D$5016,A1,0)</f>
        <v>LTEP - Levantamento Técnico de Estimativa de Projeto TASY EMR
Código do documento: 0060 - Rev 024</v>
      </c>
      <c r="D1" s="552"/>
      <c r="E1" s="552"/>
      <c r="F1" s="552"/>
      <c r="G1" s="252"/>
    </row>
    <row r="2" spans="1:13" ht="22.15" customHeight="1">
      <c r="B2" s="153"/>
      <c r="C2" s="153"/>
      <c r="D2" s="153"/>
      <c r="E2" s="83"/>
      <c r="F2" s="154"/>
    </row>
    <row r="3" spans="1:13" ht="22.15" customHeight="1" thickBot="1">
      <c r="A3" s="80">
        <v>41</v>
      </c>
      <c r="B3" s="593" t="str">
        <f>HLOOKUP('General Information'!$C$6,'IDIOMA (hide)'!$A$1:$D$5016,A3,0)</f>
        <v>Informações Módulos de Interesse</v>
      </c>
      <c r="C3" s="593" t="e">
        <f>HLOOKUP($F$4,'IDIOMA (hide)'!$A$1:$D$5016,B3,0)</f>
        <v>#N/A</v>
      </c>
      <c r="D3" s="593" t="e">
        <f>HLOOKUP($F$4,'IDIOMA (hide)'!$A$1:$D$5016,C3,0)</f>
        <v>#N/A</v>
      </c>
      <c r="E3" s="593" t="e">
        <f>HLOOKUP($F$4,'IDIOMA (hide)'!$A$1:$D$5016,D3,0)</f>
        <v>#N/A</v>
      </c>
      <c r="F3" s="593" t="e">
        <f>HLOOKUP($F$4,'IDIOMA (hide)'!$A$1:$D$5016,E3,0)</f>
        <v>#N/A</v>
      </c>
      <c r="G3" s="593" t="e">
        <f>HLOOKUP($F$4,'IDIOMA (hide)'!$A$1:$D$5016,F3,0)</f>
        <v>#N/A</v>
      </c>
    </row>
    <row r="4" spans="1:13" ht="22.15" customHeight="1">
      <c r="B4" s="155">
        <v>42</v>
      </c>
      <c r="C4" s="156">
        <v>43</v>
      </c>
      <c r="D4" s="156">
        <v>44</v>
      </c>
    </row>
    <row r="5" spans="1:13" ht="16.899999999999999" customHeight="1">
      <c r="B5" s="84" t="str">
        <f>HLOOKUP('General Information'!$C$6,'IDIOMA (hide)'!$A$1:$D$5016,B4,0)</f>
        <v>ID Módulo</v>
      </c>
      <c r="C5" s="84" t="str">
        <f>HLOOKUP('General Information'!$C$6,'IDIOMA (hide)'!$A$1:$D$5016,C4,0)</f>
        <v>Módulo</v>
      </c>
      <c r="D5" s="84" t="str">
        <f>HLOOKUP('General Information'!$C$6,'IDIOMA (hide)'!$A$1:$D$5016,D4,0)</f>
        <v>Interesse?</v>
      </c>
      <c r="E5" s="492" t="s">
        <v>6040</v>
      </c>
      <c r="F5" s="158" t="s">
        <v>2858</v>
      </c>
      <c r="K5" s="82" t="s">
        <v>24</v>
      </c>
      <c r="L5" s="82" t="s">
        <v>1605</v>
      </c>
      <c r="M5" s="82" t="s">
        <v>2858</v>
      </c>
    </row>
    <row r="6" spans="1:13" ht="16.149999999999999" customHeight="1">
      <c r="A6" s="106"/>
      <c r="B6" s="5">
        <v>3</v>
      </c>
      <c r="C6" s="159" t="str">
        <f>IF('General Information'!$C$6="Português",VLOOKUP(Modules!B6,'ESTRUTURA_MODULO(hide)'!A:D,2,0),IF('General Information'!$C$6="English",VLOOKUP(Modules!B6,'ESTRUTURA_MODULO(hide)'!A:D,3,0),IF('General Information'!$C$6="Español",VLOOKUP(Modules!B6,'ESTRUTURA_MODULO(hide)'!A:D,4,0))))</f>
        <v>Cadastros e Funções Gerais</v>
      </c>
      <c r="D6" s="160" t="s">
        <v>2889</v>
      </c>
      <c r="E6" s="418">
        <f>IF(OR(D6='Listas (Hide)'!$B$17,D6='Listas (Hide)'!$C$17,D6='Listas (Hide)'!$D$17)=TRUE,1,IF(OR(D6='Listas (Hide)'!$B$18,D6='Listas (Hide)'!$C$18,D6='Listas (Hide)'!$D$18)=TRUE,2,""))</f>
        <v>1</v>
      </c>
      <c r="F6" s="598" t="str">
        <f>HLOOKUP('General Information'!$C$6,'IDIOMA (hide)'!$A$1:$D$5016,G8,0)</f>
        <v>Core do sistema</v>
      </c>
      <c r="K6" s="82" t="s">
        <v>149</v>
      </c>
      <c r="L6" s="82" t="str">
        <f t="shared" ref="L6:L37" si="0">D6</f>
        <v>Yes</v>
      </c>
      <c r="M6" s="82" t="s">
        <v>2200</v>
      </c>
    </row>
    <row r="7" spans="1:13" ht="16.149999999999999" customHeight="1">
      <c r="A7" s="106"/>
      <c r="B7" s="5">
        <v>36</v>
      </c>
      <c r="C7" s="159" t="str">
        <f>IF('General Information'!$C$6="Português",VLOOKUP(Modules!B7,'ESTRUTURA_MODULO(hide)'!A:D,2,0),IF('General Information'!$C$6="English",VLOOKUP(Modules!B7,'ESTRUTURA_MODULO(hide)'!A:D,3,0),IF('General Information'!$C$6="Español",VLOOKUP(Modules!B7,'ESTRUTURA_MODULO(hide)'!A:D,4,0))))</f>
        <v>Gerenciador do Sistema</v>
      </c>
      <c r="D7" s="160" t="s">
        <v>2889</v>
      </c>
      <c r="E7" s="418">
        <f>IF(OR(D7='Listas (Hide)'!$B$17,D7='Listas (Hide)'!$C$17,D7='Listas (Hide)'!$D$17)=TRUE,1,IF(OR(D7='Listas (Hide)'!$B$18,D7='Listas (Hide)'!$C$18,D7='Listas (Hide)'!$D$18)=TRUE,2,""))</f>
        <v>1</v>
      </c>
      <c r="F7" s="598"/>
      <c r="K7" s="82" t="s">
        <v>250</v>
      </c>
      <c r="L7" s="82" t="str">
        <f t="shared" si="0"/>
        <v>Yes</v>
      </c>
      <c r="M7" s="82" t="s">
        <v>2200</v>
      </c>
    </row>
    <row r="8" spans="1:13" ht="16.149999999999999" customHeight="1">
      <c r="A8" s="106"/>
      <c r="B8" s="5">
        <v>631</v>
      </c>
      <c r="C8" s="159" t="str">
        <f>IF('General Information'!$C$6="Português",VLOOKUP(Modules!B8,'ESTRUTURA_MODULO(hide)'!A:D,2,0),IF('General Information'!$C$6="English",VLOOKUP(Modules!B8,'ESTRUTURA_MODULO(hide)'!A:D,3,0),IF('General Information'!$C$6="Español",VLOOKUP(Modules!B8,'ESTRUTURA_MODULO(hide)'!A:D,4,0))))</f>
        <v>Relatórios</v>
      </c>
      <c r="D8" s="160" t="s">
        <v>2889</v>
      </c>
      <c r="E8" s="418">
        <f>IF(OR(D8='Listas (Hide)'!$B$17,D8='Listas (Hide)'!$C$17,D8='Listas (Hide)'!$D$17)=TRUE,1,IF(OR(D8='Listas (Hide)'!$B$18,D8='Listas (Hide)'!$C$18,D8='Listas (Hide)'!$D$18)=TRUE,2,""))</f>
        <v>1</v>
      </c>
      <c r="F8" s="598"/>
      <c r="G8" s="80">
        <v>203</v>
      </c>
      <c r="K8" s="82" t="s">
        <v>396</v>
      </c>
      <c r="L8" s="82" t="str">
        <f t="shared" si="0"/>
        <v>Yes</v>
      </c>
      <c r="M8" s="82" t="s">
        <v>2200</v>
      </c>
    </row>
    <row r="9" spans="1:13" ht="16.149999999999999" customHeight="1">
      <c r="B9" s="5">
        <v>5</v>
      </c>
      <c r="C9" s="159" t="str">
        <f>IF('General Information'!$C$6="Português",VLOOKUP(Modules!B9,'ESTRUTURA_MODULO(hide)'!A:D,2,0),IF('General Information'!$C$6="English",VLOOKUP(Modules!B9,'ESTRUTURA_MODULO(hide)'!A:D,3,0),IF('General Information'!$C$6="Español",VLOOKUP(Modules!B9,'ESTRUTURA_MODULO(hide)'!A:D,4,0))))</f>
        <v>Recepção e Internação</v>
      </c>
      <c r="D9" s="532" t="str">
        <f>IF('General Information'!$C$18="OPS (Operadora de Saúde)","No","Yes")</f>
        <v>Yes</v>
      </c>
      <c r="E9" s="418">
        <f>IF(OR(D9='Listas (Hide)'!$B$17,D9='Listas (Hide)'!$C$17,D9='Listas (Hide)'!$D$17)=TRUE,1,IF(OR(D9='Listas (Hide)'!$B$18,D9='Listas (Hide)'!$C$18,D9='Listas (Hide)'!$D$18)=TRUE,2,""))</f>
        <v>1</v>
      </c>
      <c r="F9" s="598"/>
      <c r="K9" s="82" t="s">
        <v>177</v>
      </c>
      <c r="L9" s="82" t="str">
        <f t="shared" si="0"/>
        <v>Yes</v>
      </c>
      <c r="M9" s="82" t="s">
        <v>2200</v>
      </c>
    </row>
    <row r="10" spans="1:13" ht="16.149999999999999" customHeight="1">
      <c r="B10" s="5">
        <v>16</v>
      </c>
      <c r="C10" s="159" t="str">
        <f>IF('General Information'!$C$6="Português",VLOOKUP(Modules!B10,'ESTRUTURA_MODULO(hide)'!A:D,2,0),IF('General Information'!$C$6="English",VLOOKUP(Modules!B10,'ESTRUTURA_MODULO(hide)'!A:D,3,0),IF('General Information'!$C$6="Español",VLOOKUP(Modules!B10,'ESTRUTURA_MODULO(hide)'!A:D,4,0))))</f>
        <v>Administração de Contratos (Preços)</v>
      </c>
      <c r="D10" s="532" t="str">
        <f>IF('General Information'!$C$18="OPS (Operadora de Saúde)","No","Yes")</f>
        <v>Yes</v>
      </c>
      <c r="E10" s="418">
        <f>IF(OR(D10='Listas (Hide)'!$B$17,D10='Listas (Hide)'!$C$17,D10='Listas (Hide)'!$D$17)=TRUE,1,IF(OR(D10='Listas (Hide)'!$B$18,D10='Listas (Hide)'!$C$18,D10='Listas (Hide)'!$D$18)=TRUE,2,""))</f>
        <v>1</v>
      </c>
      <c r="F10" s="598"/>
      <c r="K10" s="82" t="s">
        <v>3</v>
      </c>
      <c r="L10" s="82" t="str">
        <f t="shared" si="0"/>
        <v>Yes</v>
      </c>
      <c r="M10" s="82" t="s">
        <v>2200</v>
      </c>
    </row>
    <row r="11" spans="1:13" ht="16.149999999999999" customHeight="1">
      <c r="B11" s="5">
        <v>6</v>
      </c>
      <c r="C11" s="159" t="str">
        <f>IF('General Information'!$C$6="Português",VLOOKUP(Modules!B11,'ESTRUTURA_MODULO(hide)'!A:D,2,0),IF('General Information'!$C$6="English",VLOOKUP(Modules!B11,'ESTRUTURA_MODULO(hide)'!A:D,3,0),IF('General Information'!$C$6="Español",VLOOKUP(Modules!B11,'ESTRUTURA_MODULO(hide)'!A:D,4,0))))</f>
        <v>Faturamento (Convênios e Particular)</v>
      </c>
      <c r="D11" s="532" t="str">
        <f>IF('General Information'!$C$18="OPS (Operadora de Saúde)","No","Yes")</f>
        <v>Yes</v>
      </c>
      <c r="E11" s="418">
        <f>IF(OR(D11='Listas (Hide)'!$B$17,D11='Listas (Hide)'!$C$17,D11='Listas (Hide)'!$D$17)=TRUE,1,IF(OR(D11='Listas (Hide)'!$B$18,D11='Listas (Hide)'!$C$18,D11='Listas (Hide)'!$D$18)=TRUE,2,""))</f>
        <v>1</v>
      </c>
      <c r="F11" s="598"/>
      <c r="K11" s="82" t="s">
        <v>58</v>
      </c>
      <c r="L11" s="82" t="str">
        <f t="shared" si="0"/>
        <v>Yes</v>
      </c>
      <c r="M11" s="82" t="s">
        <v>2200</v>
      </c>
    </row>
    <row r="12" spans="1:13" ht="16.149999999999999" customHeight="1">
      <c r="B12" s="5">
        <v>99</v>
      </c>
      <c r="C12" s="159" t="str">
        <f>IF('General Information'!$C$6="Português",VLOOKUP(Modules!B12,'ESTRUTURA_MODULO(hide)'!A:D,2,0),IF('General Information'!$C$6="English",VLOOKUP(Modules!B12,'ESTRUTURA_MODULO(hide)'!A:D,3,0),IF('General Information'!$C$6="Español",VLOOKUP(Modules!B12,'ESTRUTURA_MODULO(hide)'!A:D,4,0))))</f>
        <v>Almoxarifado</v>
      </c>
      <c r="D12" s="160" t="s">
        <v>2889</v>
      </c>
      <c r="E12" s="418">
        <f>IF(OR(D12='Listas (Hide)'!$B$17,D12='Listas (Hide)'!$C$17,D12='Listas (Hide)'!$D$17)=TRUE,1,IF(OR(D12='Listas (Hide)'!$B$18,D12='Listas (Hide)'!$C$18,D12='Listas (Hide)'!$D$18)=TRUE,2,""))</f>
        <v>1</v>
      </c>
      <c r="F12" s="598"/>
      <c r="K12" s="82" t="s">
        <v>5</v>
      </c>
      <c r="L12" s="82" t="str">
        <f t="shared" si="0"/>
        <v>Yes</v>
      </c>
      <c r="M12" s="82" t="s">
        <v>2200</v>
      </c>
    </row>
    <row r="13" spans="1:13" ht="16.149999999999999" customHeight="1">
      <c r="B13" s="5">
        <v>4</v>
      </c>
      <c r="C13" s="159" t="str">
        <f>IF('General Information'!$C$6="Português",VLOOKUP(Modules!B13,'ESTRUTURA_MODULO(hide)'!A:D,2,0),IF('General Information'!$C$6="English",VLOOKUP(Modules!B13,'ESTRUTURA_MODULO(hide)'!A:D,3,0),IF('General Information'!$C$6="Español",VLOOKUP(Modules!B13,'ESTRUTURA_MODULO(hide)'!A:D,4,0))))</f>
        <v>Estoque</v>
      </c>
      <c r="D13" s="160" t="s">
        <v>2889</v>
      </c>
      <c r="E13" s="418">
        <f>IF(OR(D13='Listas (Hide)'!$B$17,D13='Listas (Hide)'!$C$17,D13='Listas (Hide)'!$D$17)=TRUE,1,IF(OR(D13='Listas (Hide)'!$B$18,D13='Listas (Hide)'!$C$18,D13='Listas (Hide)'!$D$18)=TRUE,2,""))</f>
        <v>1</v>
      </c>
      <c r="F13" s="598"/>
      <c r="K13" s="82" t="s">
        <v>10</v>
      </c>
      <c r="L13" s="82" t="str">
        <f t="shared" si="0"/>
        <v>Yes</v>
      </c>
      <c r="M13" s="82" t="s">
        <v>2200</v>
      </c>
    </row>
    <row r="14" spans="1:13" ht="15.75" customHeight="1">
      <c r="B14" s="5">
        <v>87</v>
      </c>
      <c r="C14" s="159" t="str">
        <f>IF('General Information'!$C$6="Português",VLOOKUP(Modules!B14,'ESTRUTURA_MODULO(hide)'!A:D,2,0),IF('General Information'!$C$6="English",VLOOKUP(Modules!B14,'ESTRUTURA_MODULO(hide)'!A:D,3,0),IF('General Information'!$C$6="Español",VLOOKUP(Modules!B14,'ESTRUTURA_MODULO(hide)'!A:D,4,0))))</f>
        <v>Agenda</v>
      </c>
      <c r="D14" s="4" t="s">
        <v>2890</v>
      </c>
      <c r="E14" s="418">
        <f>IF(OR(D14='Listas (Hide)'!$B$17,D14='Listas (Hide)'!$C$17,D14='Listas (Hide)'!$D$17)=TRUE,1,IF(OR(D14='Listas (Hide)'!$B$18,D14='Listas (Hide)'!$C$18,D14='Listas (Hide)'!$D$18)=TRUE,2,""))</f>
        <v>2</v>
      </c>
      <c r="F14" s="590" t="str">
        <f>HLOOKUP('General Information'!$C$6,'IDIOMA (hide)'!$A$1:$D$5016,G14,0)</f>
        <v>Atendimento</v>
      </c>
      <c r="G14" s="80">
        <v>204</v>
      </c>
      <c r="K14" s="82" t="s">
        <v>1</v>
      </c>
      <c r="L14" s="82" t="str">
        <f t="shared" si="0"/>
        <v>No</v>
      </c>
      <c r="M14" s="82" t="s">
        <v>2384</v>
      </c>
    </row>
    <row r="15" spans="1:13" ht="16.149999999999999" customHeight="1">
      <c r="B15" s="5">
        <v>20</v>
      </c>
      <c r="C15" s="159" t="str">
        <f>IF('General Information'!$C$6="Português",VLOOKUP(Modules!B15,'ESTRUTURA_MODULO(hide)'!A:D,2,0),IF('General Information'!$C$6="English",VLOOKUP(Modules!B15,'ESTRUTURA_MODULO(hide)'!A:D,3,0),IF('General Information'!$C$6="Español",VLOOKUP(Modules!B15,'ESTRUTURA_MODULO(hide)'!A:D,4,0))))</f>
        <v>SAC</v>
      </c>
      <c r="D15" s="4" t="s">
        <v>2890</v>
      </c>
      <c r="E15" s="418">
        <f>IF(OR(D15='Listas (Hide)'!$B$17,D15='Listas (Hide)'!$C$17,D15='Listas (Hide)'!$D$17)=TRUE,1,IF(OR(D15='Listas (Hide)'!$B$18,D15='Listas (Hide)'!$C$18,D15='Listas (Hide)'!$D$18)=TRUE,2,""))</f>
        <v>2</v>
      </c>
      <c r="F15" s="591"/>
      <c r="K15" s="82" t="s">
        <v>8</v>
      </c>
      <c r="L15" s="82" t="str">
        <f t="shared" si="0"/>
        <v>No</v>
      </c>
      <c r="M15" s="82" t="s">
        <v>2384</v>
      </c>
    </row>
    <row r="16" spans="1:13" ht="16.149999999999999" customHeight="1">
      <c r="B16" s="5">
        <v>455</v>
      </c>
      <c r="C16" s="159" t="str">
        <f>IF('General Information'!$C$6="Português",VLOOKUP(Modules!B16,'ESTRUTURA_MODULO(hide)'!A:D,2,0),IF('General Information'!$C$6="English",VLOOKUP(Modules!B16,'ESTRUTURA_MODULO(hide)'!A:D,3,0),IF('General Information'!$C$6="Español",VLOOKUP(Modules!B16,'ESTRUTURA_MODULO(hide)'!A:D,4,0))))</f>
        <v>Visitas</v>
      </c>
      <c r="D16" s="4" t="s">
        <v>2890</v>
      </c>
      <c r="E16" s="418">
        <f>IF(OR(D16='Listas (Hide)'!$B$17,D16='Listas (Hide)'!$C$17,D16='Listas (Hide)'!$D$17)=TRUE,1,IF(OR(D16='Listas (Hide)'!$B$18,D16='Listas (Hide)'!$C$18,D16='Listas (Hide)'!$D$18)=TRUE,2,""))</f>
        <v>2</v>
      </c>
      <c r="F16" s="592"/>
      <c r="K16" s="82" t="s">
        <v>426</v>
      </c>
      <c r="L16" s="82" t="str">
        <f t="shared" si="0"/>
        <v>No</v>
      </c>
      <c r="M16" s="82" t="s">
        <v>2384</v>
      </c>
    </row>
    <row r="17" spans="2:13" ht="16.149999999999999" customHeight="1">
      <c r="B17" s="161">
        <v>88</v>
      </c>
      <c r="C17" s="159" t="str">
        <f>IF('General Information'!$C$6="Português",VLOOKUP(Modules!B17,'ESTRUTURA_MODULO(hide)'!A:D,2,0),IF('General Information'!$C$6="English",VLOOKUP(Modules!B17,'ESTRUTURA_MODULO(hide)'!A:D,3,0),IF('General Information'!$C$6="Español",VLOOKUP(Modules!B17,'ESTRUTURA_MODULO(hide)'!A:D,4,0))))</f>
        <v>Prontuário Eletrônico</v>
      </c>
      <c r="D17" s="4" t="s">
        <v>2890</v>
      </c>
      <c r="E17" s="418">
        <f>IF(OR(D17='Listas (Hide)'!$B$17,D17='Listas (Hide)'!$C$17,D17='Listas (Hide)'!$D$17)=TRUE,1,IF(OR(D17='Listas (Hide)'!$B$18,D17='Listas (Hide)'!$C$18,D17='Listas (Hide)'!$D$18)=TRUE,2,""))</f>
        <v>2</v>
      </c>
      <c r="F17" s="595" t="str">
        <f>HLOOKUP('General Information'!$C$6,'IDIOMA (hide)'!$A$1:$D$5016,G17,0)</f>
        <v>Assistencial</v>
      </c>
      <c r="G17" s="80">
        <v>205</v>
      </c>
      <c r="K17" s="82" t="s">
        <v>16</v>
      </c>
      <c r="L17" s="82" t="str">
        <f t="shared" si="0"/>
        <v>No</v>
      </c>
      <c r="M17" s="82" t="s">
        <v>2136</v>
      </c>
    </row>
    <row r="18" spans="2:13" ht="16.149999999999999" customHeight="1">
      <c r="B18" s="5">
        <v>10</v>
      </c>
      <c r="C18" s="159" t="str">
        <f>IF('General Information'!$C$6="Português",VLOOKUP(Modules!B18,'ESTRUTURA_MODULO(hide)'!A:D,2,0),IF('General Information'!$C$6="English",VLOOKUP(Modules!B18,'ESTRUTURA_MODULO(hide)'!A:D,3,0),IF('General Information'!$C$6="Español",VLOOKUP(Modules!B18,'ESTRUTURA_MODULO(hide)'!A:D,4,0))))</f>
        <v>Prescrição Eletrônica</v>
      </c>
      <c r="D18" s="4" t="s">
        <v>2890</v>
      </c>
      <c r="E18" s="418">
        <f>IF(OR(D18='Listas (Hide)'!$B$17,D18='Listas (Hide)'!$C$17,D18='Listas (Hide)'!$D$17)=TRUE,1,IF(OR(D18='Listas (Hide)'!$B$18,D18='Listas (Hide)'!$C$18,D18='Listas (Hide)'!$D$18)=TRUE,2,""))</f>
        <v>2</v>
      </c>
      <c r="F18" s="596"/>
      <c r="K18" s="82" t="s">
        <v>213</v>
      </c>
      <c r="L18" s="82" t="str">
        <f t="shared" si="0"/>
        <v>No</v>
      </c>
      <c r="M18" s="82" t="s">
        <v>2136</v>
      </c>
    </row>
    <row r="19" spans="2:13" ht="16.149999999999999" customHeight="1">
      <c r="B19" s="5">
        <v>870</v>
      </c>
      <c r="C19" s="159" t="str">
        <f>IF('General Information'!$C$6="Português",VLOOKUP(Modules!B19,'ESTRUTURA_MODULO(hide)'!A:D,2,0),IF('General Information'!$C$6="English",VLOOKUP(Modules!B19,'ESTRUTURA_MODULO(hide)'!A:D,3,0),IF('General Information'!$C$6="Español",VLOOKUP(Modules!B19,'ESTRUTURA_MODULO(hide)'!A:D,4,0))))</f>
        <v>Suporte a Decisão Clínica</v>
      </c>
      <c r="D19" s="4" t="s">
        <v>2890</v>
      </c>
      <c r="E19" s="418">
        <f>IF(OR(D19='Listas (Hide)'!$B$17,D19='Listas (Hide)'!$C$17,D19='Listas (Hide)'!$D$17)=TRUE,1,IF(OR(D19='Listas (Hide)'!$B$18,D19='Listas (Hide)'!$C$18,D19='Listas (Hide)'!$D$18)=TRUE,2,""))</f>
        <v>2</v>
      </c>
      <c r="F19" s="596"/>
      <c r="K19" s="82" t="s">
        <v>1573</v>
      </c>
      <c r="L19" s="82" t="str">
        <f t="shared" si="0"/>
        <v>No</v>
      </c>
      <c r="M19" s="82" t="s">
        <v>2136</v>
      </c>
    </row>
    <row r="20" spans="2:13" ht="16.149999999999999" customHeight="1">
      <c r="B20" s="5">
        <v>38</v>
      </c>
      <c r="C20" s="159" t="str">
        <f>IF('General Information'!$C$6="Português",VLOOKUP(Modules!B20,'ESTRUTURA_MODULO(hide)'!A:D,2,0),IF('General Information'!$C$6="English",VLOOKUP(Modules!B20,'ESTRUTURA_MODULO(hide)'!A:D,3,0),IF('General Information'!$C$6="Español",VLOOKUP(Modules!B20,'ESTRUTURA_MODULO(hide)'!A:D,4,0))))</f>
        <v>Enfermagem</v>
      </c>
      <c r="D20" s="4" t="s">
        <v>2890</v>
      </c>
      <c r="E20" s="418">
        <f>IF(OR(D20='Listas (Hide)'!$B$17,D20='Listas (Hide)'!$C$17,D20='Listas (Hide)'!$D$17)=TRUE,1,IF(OR(D20='Listas (Hide)'!$B$18,D20='Listas (Hide)'!$C$18,D20='Listas (Hide)'!$D$18)=TRUE,2,""))</f>
        <v>2</v>
      </c>
      <c r="F20" s="596"/>
      <c r="K20" s="82" t="s">
        <v>42</v>
      </c>
      <c r="L20" s="82" t="str">
        <f t="shared" si="0"/>
        <v>No</v>
      </c>
      <c r="M20" s="82" t="s">
        <v>2136</v>
      </c>
    </row>
    <row r="21" spans="2:13" ht="16.149999999999999" customHeight="1">
      <c r="B21" s="5">
        <v>89</v>
      </c>
      <c r="C21" s="159" t="str">
        <f>IF('General Information'!$C$6="Português",VLOOKUP(Modules!B21,'ESTRUTURA_MODULO(hide)'!A:D,2,0),IF('General Information'!$C$6="English",VLOOKUP(Modules!B21,'ESTRUTURA_MODULO(hide)'!A:D,3,0),IF('General Information'!$C$6="Español",VLOOKUP(Modules!B21,'ESTRUTURA_MODULO(hide)'!A:D,4,0))))</f>
        <v>Pronto Atendimento</v>
      </c>
      <c r="D21" s="4" t="s">
        <v>2890</v>
      </c>
      <c r="E21" s="418">
        <f>IF(OR(D21='Listas (Hide)'!$B$17,D21='Listas (Hide)'!$C$17,D21='Listas (Hide)'!$D$17)=TRUE,1,IF(OR(D21='Listas (Hide)'!$B$18,D21='Listas (Hide)'!$C$18,D21='Listas (Hide)'!$D$18)=TRUE,2,""))</f>
        <v>2</v>
      </c>
      <c r="F21" s="596"/>
      <c r="K21" s="82" t="s">
        <v>282</v>
      </c>
      <c r="L21" s="82" t="str">
        <f t="shared" si="0"/>
        <v>No</v>
      </c>
      <c r="M21" s="82" t="s">
        <v>2136</v>
      </c>
    </row>
    <row r="22" spans="2:13" ht="16.149999999999999" customHeight="1">
      <c r="B22" s="5">
        <v>22</v>
      </c>
      <c r="C22" s="159" t="str">
        <f>IF('General Information'!$C$6="Português",VLOOKUP(Modules!B22,'ESTRUTURA_MODULO(hide)'!A:D,2,0),IF('General Information'!$C$6="English",VLOOKUP(Modules!B22,'ESTRUTURA_MODULO(hide)'!A:D,3,0),IF('General Information'!$C$6="Español",VLOOKUP(Modules!B22,'ESTRUTURA_MODULO(hide)'!A:D,4,0))))</f>
        <v>Consultório Médico (Ambulatório)</v>
      </c>
      <c r="D22" s="4" t="s">
        <v>2890</v>
      </c>
      <c r="E22" s="418">
        <f>IF(OR(D22='Listas (Hide)'!$B$17,D22='Listas (Hide)'!$C$17,D22='Listas (Hide)'!$D$17)=TRUE,1,IF(OR(D22='Listas (Hide)'!$B$18,D22='Listas (Hide)'!$C$18,D22='Listas (Hide)'!$D$18)=TRUE,2,""))</f>
        <v>2</v>
      </c>
      <c r="F22" s="596"/>
      <c r="K22" s="82" t="s">
        <v>2783</v>
      </c>
      <c r="L22" s="82" t="str">
        <f t="shared" si="0"/>
        <v>No</v>
      </c>
      <c r="M22" s="82" t="s">
        <v>2136</v>
      </c>
    </row>
    <row r="23" spans="2:13" ht="16.149999999999999" customHeight="1">
      <c r="B23" s="5">
        <v>26</v>
      </c>
      <c r="C23" s="159" t="str">
        <f>IF('General Information'!$C$6="Português",VLOOKUP(Modules!B23,'ESTRUTURA_MODULO(hide)'!A:D,2,0),IF('General Information'!$C$6="English",VLOOKUP(Modules!B23,'ESTRUTURA_MODULO(hide)'!A:D,3,0),IF('General Information'!$C$6="Español",VLOOKUP(Modules!B23,'ESTRUTURA_MODULO(hide)'!A:D,4,0))))</f>
        <v>Centro Cirúrgico</v>
      </c>
      <c r="D23" s="4" t="s">
        <v>2890</v>
      </c>
      <c r="E23" s="418">
        <f>IF(OR(D23='Listas (Hide)'!$B$17,D23='Listas (Hide)'!$C$17,D23='Listas (Hide)'!$D$17)=TRUE,1,IF(OR(D23='Listas (Hide)'!$B$18,D23='Listas (Hide)'!$C$18,D23='Listas (Hide)'!$D$18)=TRUE,2,""))</f>
        <v>2</v>
      </c>
      <c r="F23" s="596"/>
      <c r="K23" s="82" t="s">
        <v>237</v>
      </c>
      <c r="L23" s="82" t="str">
        <f t="shared" si="0"/>
        <v>No</v>
      </c>
      <c r="M23" s="82" t="s">
        <v>2136</v>
      </c>
    </row>
    <row r="24" spans="2:13" ht="16.149999999999999" customHeight="1">
      <c r="B24" s="5">
        <v>998</v>
      </c>
      <c r="C24" s="159" t="str">
        <f>IF('General Information'!$C$6="Português",VLOOKUP(Modules!B24,'ESTRUTURA_MODULO(hide)'!A:D,2,0),IF('General Information'!$C$6="English",VLOOKUP(Modules!B24,'ESTRUTURA_MODULO(hide)'!A:D,3,0),IF('General Information'!$C$6="Español",VLOOKUP(Modules!B24,'ESTRUTURA_MODULO(hide)'!A:D,4,0))))</f>
        <v>Atenção Primária</v>
      </c>
      <c r="D24" s="4" t="s">
        <v>2890</v>
      </c>
      <c r="E24" s="418">
        <f>IF(OR(D24='Listas (Hide)'!$B$17,D24='Listas (Hide)'!$C$17,D24='Listas (Hide)'!$D$17)=TRUE,1,IF(OR(D24='Listas (Hide)'!$B$18,D24='Listas (Hide)'!$C$18,D24='Listas (Hide)'!$D$18)=TRUE,2,""))</f>
        <v>2</v>
      </c>
      <c r="F24" s="597"/>
      <c r="K24" s="82" t="s">
        <v>2834</v>
      </c>
      <c r="L24" s="82" t="str">
        <f t="shared" si="0"/>
        <v>No</v>
      </c>
      <c r="M24" s="82" t="s">
        <v>2136</v>
      </c>
    </row>
    <row r="25" spans="2:13" ht="16.149999999999999" customHeight="1">
      <c r="B25" s="5">
        <v>23</v>
      </c>
      <c r="C25" s="159" t="str">
        <f>IF('General Information'!$C$6="Português",VLOOKUP(Modules!B25,'ESTRUTURA_MODULO(hide)'!A:D,2,0),IF('General Information'!$C$6="English",VLOOKUP(Modules!B25,'ESTRUTURA_MODULO(hide)'!A:D,3,0),IF('General Information'!$C$6="Español",VLOOKUP(Modules!B25,'ESTRUTURA_MODULO(hide)'!A:D,4,0))))</f>
        <v>Laboratório</v>
      </c>
      <c r="D25" s="4" t="s">
        <v>2890</v>
      </c>
      <c r="E25" s="418">
        <f>IF(OR(D25='Listas (Hide)'!$B$17,D25='Listas (Hide)'!$C$17,D25='Listas (Hide)'!$D$17)=TRUE,1,IF(OR(D25='Listas (Hide)'!$B$18,D25='Listas (Hide)'!$C$18,D25='Listas (Hide)'!$D$18)=TRUE,2,""))</f>
        <v>2</v>
      </c>
      <c r="F25" s="590" t="str">
        <f>HLOOKUP('General Information'!$C$6,'IDIOMA (hide)'!$A$1:$D$5016,G25,0)</f>
        <v>Diagnose e Terapia</v>
      </c>
      <c r="G25" s="80">
        <v>206</v>
      </c>
      <c r="K25" s="82" t="s">
        <v>7</v>
      </c>
      <c r="L25" s="82" t="str">
        <f t="shared" si="0"/>
        <v>No</v>
      </c>
      <c r="M25" s="82" t="s">
        <v>2385</v>
      </c>
    </row>
    <row r="26" spans="2:13" ht="16.149999999999999" customHeight="1">
      <c r="B26" s="5">
        <v>9</v>
      </c>
      <c r="C26" s="159" t="str">
        <f>IF('General Information'!$C$6="Português",VLOOKUP(Modules!B26,'ESTRUTURA_MODULO(hide)'!A:D,2,0),IF('General Information'!$C$6="English",VLOOKUP(Modules!B26,'ESTRUTURA_MODULO(hide)'!A:D,3,0),IF('General Information'!$C$6="Español",VLOOKUP(Modules!B26,'ESTRUTURA_MODULO(hide)'!A:D,4,0))))</f>
        <v>Exames</v>
      </c>
      <c r="D26" s="4" t="s">
        <v>2890</v>
      </c>
      <c r="E26" s="418">
        <f>IF(OR(D26='Listas (Hide)'!$B$17,D26='Listas (Hide)'!$C$17,D26='Listas (Hide)'!$D$17)=TRUE,1,IF(OR(D26='Listas (Hide)'!$B$18,D26='Listas (Hide)'!$C$18,D26='Listas (Hide)'!$D$18)=TRUE,2,""))</f>
        <v>2</v>
      </c>
      <c r="F26" s="591"/>
      <c r="K26" s="82" t="s">
        <v>0</v>
      </c>
      <c r="L26" s="82" t="str">
        <f t="shared" si="0"/>
        <v>No</v>
      </c>
      <c r="M26" s="82" t="s">
        <v>2385</v>
      </c>
    </row>
    <row r="27" spans="2:13" ht="16.149999999999999" customHeight="1">
      <c r="B27" s="5">
        <v>95</v>
      </c>
      <c r="C27" s="159" t="str">
        <f>IF('General Information'!$C$6="Português",VLOOKUP(Modules!B27,'ESTRUTURA_MODULO(hide)'!A:D,2,0),IF('General Information'!$C$6="English",VLOOKUP(Modules!B27,'ESTRUTURA_MODULO(hide)'!A:D,3,0),IF('General Information'!$C$6="Español",VLOOKUP(Modules!B27,'ESTRUTURA_MODULO(hide)'!A:D,4,0))))</f>
        <v>Check-up</v>
      </c>
      <c r="D27" s="4" t="s">
        <v>2890</v>
      </c>
      <c r="E27" s="418">
        <f>IF(OR(D27='Listas (Hide)'!$B$17,D27='Listas (Hide)'!$C$17,D27='Listas (Hide)'!$D$17)=TRUE,1,IF(OR(D27='Listas (Hide)'!$B$18,D27='Listas (Hide)'!$C$18,D27='Listas (Hide)'!$D$18)=TRUE,2,""))</f>
        <v>2</v>
      </c>
      <c r="F27" s="591"/>
      <c r="K27" s="82" t="s">
        <v>300</v>
      </c>
      <c r="L27" s="82" t="str">
        <f t="shared" si="0"/>
        <v>No</v>
      </c>
      <c r="M27" s="82" t="s">
        <v>2385</v>
      </c>
    </row>
    <row r="28" spans="2:13" ht="16.149999999999999" customHeight="1">
      <c r="B28" s="5">
        <v>96</v>
      </c>
      <c r="C28" s="159" t="str">
        <f>IF('General Information'!$C$6="Português",VLOOKUP(Modules!B28,'ESTRUTURA_MODULO(hide)'!A:D,2,0),IF('General Information'!$C$6="English",VLOOKUP(Modules!B28,'ESTRUTURA_MODULO(hide)'!A:D,3,0),IF('General Information'!$C$6="Español",VLOOKUP(Modules!B28,'ESTRUTURA_MODULO(hide)'!A:D,4,0))))</f>
        <v>Imunização</v>
      </c>
      <c r="D28" s="4" t="s">
        <v>2890</v>
      </c>
      <c r="E28" s="418">
        <f>IF(OR(D28='Listas (Hide)'!$B$17,D28='Listas (Hide)'!$C$17,D28='Listas (Hide)'!$D$17)=TRUE,1,IF(OR(D28='Listas (Hide)'!$B$18,D28='Listas (Hide)'!$C$18,D28='Listas (Hide)'!$D$18)=TRUE,2,""))</f>
        <v>2</v>
      </c>
      <c r="F28" s="591"/>
      <c r="K28" s="82" t="s">
        <v>301</v>
      </c>
      <c r="L28" s="82" t="str">
        <f t="shared" si="0"/>
        <v>No</v>
      </c>
      <c r="M28" s="82" t="s">
        <v>2385</v>
      </c>
    </row>
    <row r="29" spans="2:13" ht="16.149999999999999" customHeight="1">
      <c r="B29" s="5">
        <v>24</v>
      </c>
      <c r="C29" s="159" t="str">
        <f>IF('General Information'!$C$6="Português",VLOOKUP(Modules!B29,'ESTRUTURA_MODULO(hide)'!A:D,2,0),IF('General Information'!$C$6="English",VLOOKUP(Modules!B29,'ESTRUTURA_MODULO(hide)'!A:D,3,0),IF('General Information'!$C$6="Español",VLOOKUP(Modules!B29,'ESTRUTURA_MODULO(hide)'!A:D,4,0))))</f>
        <v>Banco de Sangue</v>
      </c>
      <c r="D29" s="4" t="s">
        <v>2890</v>
      </c>
      <c r="E29" s="418">
        <f>IF(OR(D29='Listas (Hide)'!$B$17,D29='Listas (Hide)'!$C$17,D29='Listas (Hide)'!$D$17)=TRUE,1,IF(OR(D29='Listas (Hide)'!$B$18,D29='Listas (Hide)'!$C$18,D29='Listas (Hide)'!$D$18)=TRUE,2,""))</f>
        <v>2</v>
      </c>
      <c r="F29" s="591"/>
      <c r="K29" s="82" t="s">
        <v>235</v>
      </c>
      <c r="L29" s="82" t="str">
        <f t="shared" si="0"/>
        <v>No</v>
      </c>
      <c r="M29" s="82" t="s">
        <v>2385</v>
      </c>
    </row>
    <row r="30" spans="2:13" ht="16.149999999999999" customHeight="1">
      <c r="B30" s="5">
        <v>945</v>
      </c>
      <c r="C30" s="159" t="str">
        <f>IF('General Information'!$C$6="Português",VLOOKUP(Modules!B30,'ESTRUTURA_MODULO(hide)'!A:D,2,0),IF('General Information'!$C$6="English",VLOOKUP(Modules!B30,'ESTRUTURA_MODULO(hide)'!A:D,3,0),IF('General Information'!$C$6="Español",VLOOKUP(Modules!B30,'ESTRUTURA_MODULO(hide)'!A:D,4,0))))</f>
        <v>Banco de Leite</v>
      </c>
      <c r="D30" s="4" t="s">
        <v>2890</v>
      </c>
      <c r="E30" s="418">
        <f>IF(OR(D30='Listas (Hide)'!$B$17,D30='Listas (Hide)'!$C$17,D30='Listas (Hide)'!$D$17)=TRUE,1,IF(OR(D30='Listas (Hide)'!$B$18,D30='Listas (Hide)'!$C$18,D30='Listas (Hide)'!$D$18)=TRUE,2,""))</f>
        <v>2</v>
      </c>
      <c r="F30" s="591"/>
      <c r="K30" s="82" t="s">
        <v>2035</v>
      </c>
      <c r="L30" s="82" t="str">
        <f t="shared" si="0"/>
        <v>No</v>
      </c>
      <c r="M30" s="82" t="s">
        <v>2385</v>
      </c>
    </row>
    <row r="31" spans="2:13" ht="16.149999999999999" customHeight="1">
      <c r="B31" s="5">
        <v>90</v>
      </c>
      <c r="C31" s="159" t="str">
        <f>IF('General Information'!$C$6="Português",VLOOKUP(Modules!B31,'ESTRUTURA_MODULO(hide)'!A:D,2,0),IF('General Information'!$C$6="English",VLOOKUP(Modules!B31,'ESTRUTURA_MODULO(hide)'!A:D,3,0),IF('General Information'!$C$6="Español",VLOOKUP(Modules!B31,'ESTRUTURA_MODULO(hide)'!A:D,4,0))))</f>
        <v>Quimioterapia</v>
      </c>
      <c r="D31" s="4" t="s">
        <v>2890</v>
      </c>
      <c r="E31" s="418">
        <f>IF(OR(D31='Listas (Hide)'!$B$17,D31='Listas (Hide)'!$C$17,D31='Listas (Hide)'!$D$17)=TRUE,1,IF(OR(D31='Listas (Hide)'!$B$18,D31='Listas (Hide)'!$C$18,D31='Listas (Hide)'!$D$18)=TRUE,2,""))</f>
        <v>2</v>
      </c>
      <c r="F31" s="591"/>
      <c r="K31" s="82" t="s">
        <v>287</v>
      </c>
      <c r="L31" s="82" t="str">
        <f t="shared" si="0"/>
        <v>No</v>
      </c>
      <c r="M31" s="82" t="s">
        <v>2385</v>
      </c>
    </row>
    <row r="32" spans="2:13" ht="16.149999999999999" customHeight="1">
      <c r="B32" s="5">
        <v>451</v>
      </c>
      <c r="C32" s="159" t="str">
        <f>IF('General Information'!$C$6="Português",VLOOKUP(Modules!B32,'ESTRUTURA_MODULO(hide)'!A:D,2,0),IF('General Information'!$C$6="English",VLOOKUP(Modules!B32,'ESTRUTURA_MODULO(hide)'!A:D,3,0),IF('General Information'!$C$6="Español",VLOOKUP(Modules!B32,'ESTRUTURA_MODULO(hide)'!A:D,4,0))))</f>
        <v>Radioterapia</v>
      </c>
      <c r="D32" s="4" t="s">
        <v>2890</v>
      </c>
      <c r="E32" s="418">
        <f>IF(OR(D32='Listas (Hide)'!$B$17,D32='Listas (Hide)'!$C$17,D32='Listas (Hide)'!$D$17)=TRUE,1,IF(OR(D32='Listas (Hide)'!$B$18,D32='Listas (Hide)'!$C$18,D32='Listas (Hide)'!$D$18)=TRUE,2,""))</f>
        <v>2</v>
      </c>
      <c r="F32" s="591"/>
      <c r="K32" s="82" t="s">
        <v>387</v>
      </c>
      <c r="L32" s="82" t="str">
        <f t="shared" si="0"/>
        <v>No</v>
      </c>
      <c r="M32" s="82" t="s">
        <v>2385</v>
      </c>
    </row>
    <row r="33" spans="1:13" ht="16.149999999999999" customHeight="1">
      <c r="B33" s="5">
        <v>212</v>
      </c>
      <c r="C33" s="159" t="str">
        <f>IF('General Information'!$C$6="Português",VLOOKUP(Modules!B33,'ESTRUTURA_MODULO(hide)'!A:D,2,0),IF('General Information'!$C$6="English",VLOOKUP(Modules!B33,'ESTRUTURA_MODULO(hide)'!A:D,3,0),IF('General Information'!$C$6="Español",VLOOKUP(Modules!B33,'ESTRUTURA_MODULO(hide)'!A:D,4,0))))</f>
        <v>Hemodiálise</v>
      </c>
      <c r="D33" s="4" t="s">
        <v>2890</v>
      </c>
      <c r="E33" s="418">
        <f>IF(OR(D33='Listas (Hide)'!$B$17,D33='Listas (Hide)'!$C$17,D33='Listas (Hide)'!$D$17)=TRUE,1,IF(OR(D33='Listas (Hide)'!$B$18,D33='Listas (Hide)'!$C$18,D33='Listas (Hide)'!$D$18)=TRUE,2,""))</f>
        <v>2</v>
      </c>
      <c r="F33" s="591"/>
      <c r="K33" s="82" t="s">
        <v>323</v>
      </c>
      <c r="L33" s="82" t="str">
        <f t="shared" si="0"/>
        <v>No</v>
      </c>
      <c r="M33" s="82" t="s">
        <v>2385</v>
      </c>
    </row>
    <row r="34" spans="1:13" ht="16.149999999999999" customHeight="1">
      <c r="B34" s="5">
        <v>681</v>
      </c>
      <c r="C34" s="159" t="str">
        <f>IF('General Information'!$C$6="Português",VLOOKUP(Modules!B34,'ESTRUTURA_MODULO(hide)'!A:D,2,0),IF('General Information'!$C$6="English",VLOOKUP(Modules!B34,'ESTRUTURA_MODULO(hide)'!A:D,3,0),IF('General Information'!$C$6="Español",VLOOKUP(Modules!B34,'ESTRUTURA_MODULO(hide)'!A:D,4,0))))</f>
        <v>Transplantes</v>
      </c>
      <c r="D34" s="4" t="s">
        <v>2890</v>
      </c>
      <c r="E34" s="418">
        <f>IF(OR(D34='Listas (Hide)'!$B$17,D34='Listas (Hide)'!$C$17,D34='Listas (Hide)'!$D$17)=TRUE,1,IF(OR(D34='Listas (Hide)'!$B$18,D34='Listas (Hide)'!$C$18,D34='Listas (Hide)'!$D$18)=TRUE,2,""))</f>
        <v>2</v>
      </c>
      <c r="F34" s="591"/>
      <c r="K34" s="82" t="s">
        <v>440</v>
      </c>
      <c r="L34" s="82" t="str">
        <f t="shared" si="0"/>
        <v>No</v>
      </c>
      <c r="M34" s="82" t="s">
        <v>2385</v>
      </c>
    </row>
    <row r="35" spans="1:13" ht="16.149999999999999" customHeight="1">
      <c r="A35" s="80">
        <v>341</v>
      </c>
      <c r="B35" s="5">
        <v>999</v>
      </c>
      <c r="C35" s="159" t="str">
        <f>IF('General Information'!$C$6="Português",VLOOKUP(Modules!B35,'ESTRUTURA_MODULO(hide)'!A:D,2,0),IF('General Information'!$C$6="English",VLOOKUP(Modules!B35,'ESTRUTURA_MODULO(hide)'!A:D,3,0),IF('General Information'!$C$6="Español",VLOOKUP(Modules!B35,'ESTRUTURA_MODULO(hide)'!A:D,4,0))))</f>
        <v>Anatomia Patológica</v>
      </c>
      <c r="D35" s="4" t="s">
        <v>2890</v>
      </c>
      <c r="E35" s="418">
        <f>IF(OR(D35='Listas (Hide)'!$B$17,D35='Listas (Hide)'!$C$17,D35='Listas (Hide)'!$D$17)=TRUE,1,IF(OR(D35='Listas (Hide)'!$B$18,D35='Listas (Hide)'!$C$18,D35='Listas (Hide)'!$D$18)=TRUE,2,""))</f>
        <v>2</v>
      </c>
      <c r="F35" s="591"/>
      <c r="K35" s="82" t="s">
        <v>2843</v>
      </c>
      <c r="L35" s="82" t="str">
        <f t="shared" si="0"/>
        <v>No</v>
      </c>
      <c r="M35" s="82" t="s">
        <v>2385</v>
      </c>
    </row>
    <row r="36" spans="1:13" ht="16.149999999999999" customHeight="1">
      <c r="B36" s="5">
        <v>904</v>
      </c>
      <c r="C36" s="159" t="str">
        <f>IF('General Information'!$C$6="Português",VLOOKUP(Modules!B36,'ESTRUTURA_MODULO(hide)'!A:D,2,0),IF('General Information'!$C$6="English",VLOOKUP(Modules!B36,'ESTRUTURA_MODULO(hide)'!A:D,3,0),IF('General Information'!$C$6="Español",VLOOKUP(Modules!B36,'ESTRUTURA_MODULO(hide)'!A:D,4,0))))</f>
        <v>Medicina Preventiva</v>
      </c>
      <c r="D36" s="4" t="s">
        <v>2890</v>
      </c>
      <c r="E36" s="418">
        <f>IF(OR(D36='Listas (Hide)'!$B$17,D36='Listas (Hide)'!$C$17,D36='Listas (Hide)'!$D$17)=TRUE,1,IF(OR(D36='Listas (Hide)'!$B$18,D36='Listas (Hide)'!$C$18,D36='Listas (Hide)'!$D$18)=TRUE,2,""))</f>
        <v>2</v>
      </c>
      <c r="F36" s="592"/>
      <c r="K36" s="82" t="s">
        <v>2294</v>
      </c>
      <c r="L36" s="82" t="str">
        <f t="shared" si="0"/>
        <v>No</v>
      </c>
      <c r="M36" s="82" t="s">
        <v>2385</v>
      </c>
    </row>
    <row r="37" spans="1:13" ht="16.149999999999999" customHeight="1">
      <c r="B37" s="5">
        <v>71</v>
      </c>
      <c r="C37" s="159" t="str">
        <f>IF('General Information'!$C$6="Português",VLOOKUP(Modules!B37,'ESTRUTURA_MODULO(hide)'!A:D,2,0),IF('General Information'!$C$6="English",VLOOKUP(Modules!B37,'ESTRUTURA_MODULO(hide)'!A:D,3,0),IF('General Information'!$C$6="Español",VLOOKUP(Modules!B37,'ESTRUTURA_MODULO(hide)'!A:D,4,0))))</f>
        <v>Nutrição</v>
      </c>
      <c r="D37" s="4" t="s">
        <v>2890</v>
      </c>
      <c r="E37" s="418">
        <f>IF(OR(D37='Listas (Hide)'!$B$17,D37='Listas (Hide)'!$C$17,D37='Listas (Hide)'!$D$17)=TRUE,1,IF(OR(D37='Listas (Hide)'!$B$18,D37='Listas (Hide)'!$C$18,D37='Listas (Hide)'!$D$18)=TRUE,2,""))</f>
        <v>2</v>
      </c>
      <c r="F37" s="595" t="str">
        <f>HLOOKUP('General Information'!$C$6,'IDIOMA (hide)'!$A$1:$D$5016,G37,0)</f>
        <v>Hotelaria</v>
      </c>
      <c r="G37" s="80">
        <v>207</v>
      </c>
      <c r="K37" s="82" t="s">
        <v>257</v>
      </c>
      <c r="L37" s="82" t="str">
        <f t="shared" si="0"/>
        <v>No</v>
      </c>
      <c r="M37" s="82" t="s">
        <v>2386</v>
      </c>
    </row>
    <row r="38" spans="1:13" ht="16.149999999999999" customHeight="1">
      <c r="B38" s="5">
        <v>93</v>
      </c>
      <c r="C38" s="159" t="str">
        <f>IF('General Information'!$C$6="Português",VLOOKUP(Modules!B38,'ESTRUTURA_MODULO(hide)'!A:D,2,0),IF('General Information'!$C$6="English",VLOOKUP(Modules!B38,'ESTRUTURA_MODULO(hide)'!A:D,3,0),IF('General Information'!$C$6="Español",VLOOKUP(Modules!B38,'ESTRUTURA_MODULO(hide)'!A:D,4,0))))</f>
        <v>Higienização</v>
      </c>
      <c r="D38" s="4" t="s">
        <v>2890</v>
      </c>
      <c r="E38" s="418">
        <f>IF(OR(D38='Listas (Hide)'!$B$17,D38='Listas (Hide)'!$C$17,D38='Listas (Hide)'!$D$17)=TRUE,1,IF(OR(D38='Listas (Hide)'!$B$18,D38='Listas (Hide)'!$C$18,D38='Listas (Hide)'!$D$18)=TRUE,2,""))</f>
        <v>2</v>
      </c>
      <c r="F38" s="596"/>
      <c r="K38" s="82" t="s">
        <v>294</v>
      </c>
      <c r="L38" s="82" t="str">
        <f t="shared" ref="L38:L69" si="1">D38</f>
        <v>No</v>
      </c>
      <c r="M38" s="82" t="s">
        <v>2386</v>
      </c>
    </row>
    <row r="39" spans="1:13" ht="16.149999999999999" customHeight="1">
      <c r="B39" s="5">
        <v>312</v>
      </c>
      <c r="C39" s="159" t="str">
        <f>IF('General Information'!$C$6="Português",VLOOKUP(Modules!B39,'ESTRUTURA_MODULO(hide)'!A:D,2,0),IF('General Information'!$C$6="English",VLOOKUP(Modules!B39,'ESTRUTURA_MODULO(hide)'!A:D,3,0),IF('General Information'!$C$6="Español",VLOOKUP(Modules!B39,'ESTRUTURA_MODULO(hide)'!A:D,4,0))))</f>
        <v>Rouparia</v>
      </c>
      <c r="D39" s="4" t="s">
        <v>2890</v>
      </c>
      <c r="E39" s="418">
        <f>IF(OR(D39='Listas (Hide)'!$B$17,D39='Listas (Hide)'!$C$17,D39='Listas (Hide)'!$D$17)=TRUE,1,IF(OR(D39='Listas (Hide)'!$B$18,D39='Listas (Hide)'!$C$18,D39='Listas (Hide)'!$D$18)=TRUE,2,""))</f>
        <v>2</v>
      </c>
      <c r="F39" s="597"/>
      <c r="K39" s="82" t="s">
        <v>414</v>
      </c>
      <c r="L39" s="82" t="str">
        <f t="shared" si="1"/>
        <v>No</v>
      </c>
      <c r="M39" s="82" t="s">
        <v>2386</v>
      </c>
    </row>
    <row r="40" spans="1:13" ht="16.149999999999999" customHeight="1">
      <c r="B40" s="5">
        <v>391</v>
      </c>
      <c r="C40" s="159" t="str">
        <f>IF('General Information'!$C$6="Português",VLOOKUP(Modules!B40,'ESTRUTURA_MODULO(hide)'!A:D,2,0),IF('General Information'!$C$6="English",VLOOKUP(Modules!B40,'ESTRUTURA_MODULO(hide)'!A:D,3,0),IF('General Information'!$C$6="Español",VLOOKUP(Modules!B40,'ESTRUTURA_MODULO(hide)'!A:D,4,0))))</f>
        <v>Home Care</v>
      </c>
      <c r="D40" s="4" t="s">
        <v>2890</v>
      </c>
      <c r="E40" s="418">
        <f>IF(OR(D40='Listas (Hide)'!$B$17,D40='Listas (Hide)'!$C$17,D40='Listas (Hide)'!$D$17)=TRUE,1,IF(OR(D40='Listas (Hide)'!$B$18,D40='Listas (Hide)'!$C$18,D40='Listas (Hide)'!$D$18)=TRUE,2,""))</f>
        <v>2</v>
      </c>
      <c r="F40" s="590" t="str">
        <f>HLOOKUP('General Information'!$C$6,'IDIOMA (hide)'!$A$1:$D$5016,G40,0)</f>
        <v>Apoio</v>
      </c>
      <c r="G40" s="80">
        <v>208</v>
      </c>
      <c r="K40" s="82" t="s">
        <v>420</v>
      </c>
      <c r="L40" s="82" t="str">
        <f t="shared" si="1"/>
        <v>No</v>
      </c>
      <c r="M40" s="82" t="s">
        <v>2360</v>
      </c>
    </row>
    <row r="41" spans="1:13" ht="16.149999999999999" customHeight="1">
      <c r="B41" s="5">
        <v>98</v>
      </c>
      <c r="C41" s="159" t="str">
        <f>IF('General Information'!$C$6="Português",VLOOKUP(Modules!B41,'ESTRUTURA_MODULO(hide)'!A:D,2,0),IF('General Information'!$C$6="English",VLOOKUP(Modules!B41,'ESTRUTURA_MODULO(hide)'!A:D,3,0),IF('General Information'!$C$6="Español",VLOOKUP(Modules!B41,'ESTRUTURA_MODULO(hide)'!A:D,4,0))))</f>
        <v>SAME</v>
      </c>
      <c r="D41" s="4" t="s">
        <v>2890</v>
      </c>
      <c r="E41" s="418">
        <f>IF(OR(D41='Listas (Hide)'!$B$17,D41='Listas (Hide)'!$C$17,D41='Listas (Hide)'!$D$17)=TRUE,1,IF(OR(D41='Listas (Hide)'!$B$18,D41='Listas (Hide)'!$C$18,D41='Listas (Hide)'!$D$18)=TRUE,2,""))</f>
        <v>2</v>
      </c>
      <c r="F41" s="591"/>
      <c r="K41" s="82" t="s">
        <v>303</v>
      </c>
      <c r="L41" s="82" t="str">
        <f t="shared" si="1"/>
        <v>No</v>
      </c>
      <c r="M41" s="82" t="s">
        <v>2360</v>
      </c>
    </row>
    <row r="42" spans="1:13" ht="16.149999999999999" customHeight="1">
      <c r="B42" s="5">
        <v>15</v>
      </c>
      <c r="C42" s="159" t="str">
        <f>IF('General Information'!$C$6="Português",VLOOKUP(Modules!B42,'ESTRUTURA_MODULO(hide)'!A:D,2,0),IF('General Information'!$C$6="English",VLOOKUP(Modules!B42,'ESTRUTURA_MODULO(hide)'!A:D,3,0),IF('General Information'!$C$6="Español",VLOOKUP(Modules!B42,'ESTRUTURA_MODULO(hide)'!A:D,4,0))))</f>
        <v>Controle de Infecção Hospitalar</v>
      </c>
      <c r="D42" s="4" t="s">
        <v>2890</v>
      </c>
      <c r="E42" s="418">
        <f>IF(OR(D42='Listas (Hide)'!$B$17,D42='Listas (Hide)'!$C$17,D42='Listas (Hide)'!$D$17)=TRUE,1,IF(OR(D42='Listas (Hide)'!$B$18,D42='Listas (Hide)'!$C$18,D42='Listas (Hide)'!$D$18)=TRUE,2,""))</f>
        <v>2</v>
      </c>
      <c r="F42" s="591"/>
      <c r="K42" s="82" t="s">
        <v>768</v>
      </c>
      <c r="L42" s="82" t="str">
        <f t="shared" si="1"/>
        <v>No</v>
      </c>
      <c r="M42" s="82" t="s">
        <v>2360</v>
      </c>
    </row>
    <row r="43" spans="1:13" ht="16.149999999999999" customHeight="1">
      <c r="B43" s="5">
        <v>91</v>
      </c>
      <c r="C43" s="159" t="str">
        <f>IF('General Information'!$C$6="Português",VLOOKUP(Modules!B43,'ESTRUTURA_MODULO(hide)'!A:D,2,0),IF('General Information'!$C$6="English",VLOOKUP(Modules!B43,'ESTRUTURA_MODULO(hide)'!A:D,3,0),IF('General Information'!$C$6="Español",VLOOKUP(Modules!B43,'ESTRUTURA_MODULO(hide)'!A:D,4,0))))</f>
        <v>CME - Central de Material Esterilizado</v>
      </c>
      <c r="D43" s="4" t="s">
        <v>2890</v>
      </c>
      <c r="E43" s="418">
        <f>IF(OR(D43='Listas (Hide)'!$B$17,D43='Listas (Hide)'!$C$17,D43='Listas (Hide)'!$D$17)=TRUE,1,IF(OR(D43='Listas (Hide)'!$B$18,D43='Listas (Hide)'!$C$18,D43='Listas (Hide)'!$D$18)=TRUE,2,""))</f>
        <v>2</v>
      </c>
      <c r="F43" s="591"/>
      <c r="K43" s="82" t="s">
        <v>290</v>
      </c>
      <c r="L43" s="82" t="str">
        <f t="shared" si="1"/>
        <v>No</v>
      </c>
      <c r="M43" s="82" t="s">
        <v>2360</v>
      </c>
    </row>
    <row r="44" spans="1:13" ht="16.149999999999999" customHeight="1">
      <c r="B44" s="5">
        <v>105</v>
      </c>
      <c r="C44" s="159" t="str">
        <f>IF('General Information'!$C$6="Português",VLOOKUP(Modules!B44,'ESTRUTURA_MODULO(hide)'!A:D,2,0),IF('General Information'!$C$6="English",VLOOKUP(Modules!B44,'ESTRUTURA_MODULO(hide)'!A:D,3,0),IF('General Information'!$C$6="Español",VLOOKUP(Modules!B44,'ESTRUTURA_MODULO(hide)'!A:D,4,0))))</f>
        <v>Qualidade</v>
      </c>
      <c r="D44" s="4" t="s">
        <v>2890</v>
      </c>
      <c r="E44" s="418">
        <f>IF(OR(D44='Listas (Hide)'!$B$17,D44='Listas (Hide)'!$C$17,D44='Listas (Hide)'!$D$17)=TRUE,1,IF(OR(D44='Listas (Hide)'!$B$18,D44='Listas (Hide)'!$C$18,D44='Listas (Hide)'!$D$18)=TRUE,2,""))</f>
        <v>2</v>
      </c>
      <c r="F44" s="591"/>
      <c r="K44" s="82" t="s">
        <v>313</v>
      </c>
      <c r="L44" s="82" t="str">
        <f t="shared" si="1"/>
        <v>No</v>
      </c>
      <c r="M44" s="82" t="s">
        <v>2360</v>
      </c>
    </row>
    <row r="45" spans="1:13" ht="16.149999999999999" customHeight="1">
      <c r="B45" s="5">
        <v>322</v>
      </c>
      <c r="C45" s="159" t="str">
        <f>IF('General Information'!$C$6="Português",VLOOKUP(Modules!B45,'ESTRUTURA_MODULO(hide)'!A:D,2,0),IF('General Information'!$C$6="English",VLOOKUP(Modules!B45,'ESTRUTURA_MODULO(hide)'!A:D,3,0),IF('General Information'!$C$6="Español",VLOOKUP(Modules!B45,'ESTRUTURA_MODULO(hide)'!A:D,4,0))))</f>
        <v>Treinamentos</v>
      </c>
      <c r="D45" s="4" t="s">
        <v>2890</v>
      </c>
      <c r="E45" s="418">
        <f>IF(OR(D45='Listas (Hide)'!$B$17,D45='Listas (Hide)'!$C$17,D45='Listas (Hide)'!$D$17)=TRUE,1,IF(OR(D45='Listas (Hide)'!$B$18,D45='Listas (Hide)'!$C$18,D45='Listas (Hide)'!$D$18)=TRUE,2,""))</f>
        <v>2</v>
      </c>
      <c r="F45" s="591"/>
      <c r="K45" s="82" t="s">
        <v>415</v>
      </c>
      <c r="L45" s="82" t="str">
        <f t="shared" si="1"/>
        <v>No</v>
      </c>
      <c r="M45" s="82" t="s">
        <v>2360</v>
      </c>
    </row>
    <row r="46" spans="1:13" ht="16.149999999999999" customHeight="1">
      <c r="B46" s="5">
        <v>94</v>
      </c>
      <c r="C46" s="159" t="str">
        <f>IF('General Information'!$C$6="Português",VLOOKUP(Modules!B46,'ESTRUTURA_MODULO(hide)'!A:D,2,0),IF('General Information'!$C$6="English",VLOOKUP(Modules!B46,'ESTRUTURA_MODULO(hide)'!A:D,3,0),IF('General Information'!$C$6="Español",VLOOKUP(Modules!B46,'ESTRUTURA_MODULO(hide)'!A:D,4,0))))</f>
        <v>SOS</v>
      </c>
      <c r="D46" s="4" t="s">
        <v>2890</v>
      </c>
      <c r="E46" s="418">
        <f>IF(OR(D46='Listas (Hide)'!$B$17,D46='Listas (Hide)'!$C$17,D46='Listas (Hide)'!$D$17)=TRUE,1,IF(OR(D46='Listas (Hide)'!$B$18,D46='Listas (Hide)'!$C$18,D46='Listas (Hide)'!$D$18)=TRUE,2,""))</f>
        <v>2</v>
      </c>
      <c r="F46" s="591"/>
      <c r="K46" s="82" t="s">
        <v>297</v>
      </c>
      <c r="L46" s="82" t="str">
        <f t="shared" si="1"/>
        <v>No</v>
      </c>
      <c r="M46" s="82" t="s">
        <v>2360</v>
      </c>
    </row>
    <row r="47" spans="1:13" ht="16.149999999999999" customHeight="1">
      <c r="B47" s="5">
        <v>18</v>
      </c>
      <c r="C47" s="159" t="str">
        <f>IF('General Information'!$C$6="Português",VLOOKUP(Modules!B47,'ESTRUTURA_MODULO(hide)'!A:D,2,0),IF('General Information'!$C$6="English",VLOOKUP(Modules!B47,'ESTRUTURA_MODULO(hide)'!A:D,3,0),IF('General Information'!$C$6="Español",VLOOKUP(Modules!B47,'ESTRUTURA_MODULO(hide)'!A:D,4,0))))</f>
        <v>Manutenção</v>
      </c>
      <c r="D47" s="4" t="s">
        <v>2890</v>
      </c>
      <c r="E47" s="418">
        <f>IF(OR(D47='Listas (Hide)'!$B$17,D47='Listas (Hide)'!$C$17,D47='Listas (Hide)'!$D$17)=TRUE,1,IF(OR(D47='Listas (Hide)'!$B$18,D47='Listas (Hide)'!$C$18,D47='Listas (Hide)'!$D$18)=TRUE,2,""))</f>
        <v>2</v>
      </c>
      <c r="F47" s="591"/>
      <c r="K47" s="82" t="s">
        <v>13</v>
      </c>
      <c r="L47" s="82" t="str">
        <f t="shared" si="1"/>
        <v>No</v>
      </c>
      <c r="M47" s="82" t="s">
        <v>2360</v>
      </c>
    </row>
    <row r="48" spans="1:13" ht="16.149999999999999" customHeight="1">
      <c r="B48" s="5">
        <v>182</v>
      </c>
      <c r="C48" s="159" t="str">
        <f>IF('General Information'!$C$6="Português",VLOOKUP(Modules!B48,'ESTRUTURA_MODULO(hide)'!A:D,2,0),IF('General Information'!$C$6="English",VLOOKUP(Modules!B48,'ESTRUTURA_MODULO(hide)'!A:D,3,0),IF('General Information'!$C$6="Español",VLOOKUP(Modules!B48,'ESTRUTURA_MODULO(hide)'!A:D,4,0))))</f>
        <v>Comunicação</v>
      </c>
      <c r="D48" s="4" t="s">
        <v>2890</v>
      </c>
      <c r="E48" s="418">
        <f>IF(OR(D48='Listas (Hide)'!$B$17,D48='Listas (Hide)'!$C$17,D48='Listas (Hide)'!$D$17)=TRUE,1,IF(OR(D48='Listas (Hide)'!$B$18,D48='Listas (Hide)'!$C$18,D48='Listas (Hide)'!$D$18)=TRUE,2,""))</f>
        <v>2</v>
      </c>
      <c r="F48" s="592"/>
      <c r="K48" s="82" t="s">
        <v>2</v>
      </c>
      <c r="L48" s="82" t="str">
        <f t="shared" si="1"/>
        <v>No</v>
      </c>
      <c r="M48" s="82" t="s">
        <v>2360</v>
      </c>
    </row>
    <row r="49" spans="2:13" ht="16.149999999999999" customHeight="1">
      <c r="B49" s="5">
        <v>7</v>
      </c>
      <c r="C49" s="159" t="str">
        <f>IF('General Information'!$C$6="Português",VLOOKUP(Modules!B49,'ESTRUTURA_MODULO(hide)'!A:D,2,0),IF('General Information'!$C$6="English",VLOOKUP(Modules!B49,'ESTRUTURA_MODULO(hide)'!A:D,3,0),IF('General Information'!$C$6="Español",VLOOKUP(Modules!B49,'ESTRUTURA_MODULO(hide)'!A:D,4,0))))</f>
        <v>Compras</v>
      </c>
      <c r="D49" s="4" t="s">
        <v>2890</v>
      </c>
      <c r="E49" s="418">
        <f>IF(OR(D49='Listas (Hide)'!$B$17,D49='Listas (Hide)'!$C$17,D49='Listas (Hide)'!$D$17)=TRUE,1,IF(OR(D49='Listas (Hide)'!$B$18,D49='Listas (Hide)'!$C$18,D49='Listas (Hide)'!$D$18)=TRUE,2,""))</f>
        <v>2</v>
      </c>
      <c r="F49" s="595" t="str">
        <f>HLOOKUP('General Information'!$C$6,'IDIOMA (hide)'!$A$1:$D$5016,G49,0)</f>
        <v>Suprimentos</v>
      </c>
      <c r="G49" s="80">
        <v>209</v>
      </c>
      <c r="K49" s="82" t="s">
        <v>15</v>
      </c>
      <c r="L49" s="82" t="str">
        <f t="shared" si="1"/>
        <v>No</v>
      </c>
      <c r="M49" s="82" t="s">
        <v>2359</v>
      </c>
    </row>
    <row r="50" spans="2:13" ht="16.149999999999999" customHeight="1">
      <c r="B50" s="5">
        <v>100</v>
      </c>
      <c r="C50" s="159" t="str">
        <f>IF('General Information'!$C$6="Português",VLOOKUP(Modules!B50,'ESTRUTURA_MODULO(hide)'!A:D,2,0),IF('General Information'!$C$6="English",VLOOKUP(Modules!B50,'ESTRUTURA_MODULO(hide)'!A:D,3,0),IF('General Information'!$C$6="Español",VLOOKUP(Modules!B50,'ESTRUTURA_MODULO(hide)'!A:D,4,0))))</f>
        <v>Licitação</v>
      </c>
      <c r="D50" s="4" t="s">
        <v>2890</v>
      </c>
      <c r="E50" s="418">
        <f>IF(OR(D50='Listas (Hide)'!$B$17,D50='Listas (Hide)'!$C$17,D50='Listas (Hide)'!$D$17)=TRUE,1,IF(OR(D50='Listas (Hide)'!$B$18,D50='Listas (Hide)'!$C$18,D50='Listas (Hide)'!$D$18)=TRUE,2,""))</f>
        <v>2</v>
      </c>
      <c r="F50" s="596"/>
      <c r="K50" s="82" t="s">
        <v>308</v>
      </c>
      <c r="L50" s="82" t="str">
        <f t="shared" si="1"/>
        <v>No</v>
      </c>
      <c r="M50" s="82" t="s">
        <v>2359</v>
      </c>
    </row>
    <row r="51" spans="2:13" ht="16.149999999999999" customHeight="1">
      <c r="B51" s="5">
        <v>8</v>
      </c>
      <c r="C51" s="159" t="str">
        <f>IF('General Information'!$C$6="Português",VLOOKUP(Modules!B51,'ESTRUTURA_MODULO(hide)'!A:D,2,0),IF('General Information'!$C$6="English",VLOOKUP(Modules!B51,'ESTRUTURA_MODULO(hide)'!A:D,3,0),IF('General Information'!$C$6="Español",VLOOKUP(Modules!B51,'ESTRUTURA_MODULO(hide)'!A:D,4,0))))</f>
        <v>Farmácia</v>
      </c>
      <c r="D51" s="4" t="s">
        <v>2890</v>
      </c>
      <c r="E51" s="418">
        <f>IF(OR(D51='Listas (Hide)'!$B$17,D51='Listas (Hide)'!$C$17,D51='Listas (Hide)'!$D$17)=TRUE,1,IF(OR(D51='Listas (Hide)'!$B$18,D51='Listas (Hide)'!$C$18,D51='Listas (Hide)'!$D$18)=TRUE,2,""))</f>
        <v>2</v>
      </c>
      <c r="F51" s="597"/>
      <c r="K51" s="82" t="s">
        <v>188</v>
      </c>
      <c r="L51" s="82" t="str">
        <f t="shared" si="1"/>
        <v>No</v>
      </c>
      <c r="M51" s="82" t="s">
        <v>2359</v>
      </c>
    </row>
    <row r="52" spans="2:13" ht="16.149999999999999" customHeight="1">
      <c r="B52" s="5">
        <v>31</v>
      </c>
      <c r="C52" s="159" t="str">
        <f>IF('General Information'!$C$6="Português",VLOOKUP(Modules!B52,'ESTRUTURA_MODULO(hide)'!A:D,2,0),IF('General Information'!$C$6="English",VLOOKUP(Modules!B52,'ESTRUTURA_MODULO(hide)'!A:D,3,0),IF('General Information'!$C$6="Español",VLOOKUP(Modules!B52,'ESTRUTURA_MODULO(hide)'!A:D,4,0))))</f>
        <v>SUS AIH</v>
      </c>
      <c r="D52" s="4" t="s">
        <v>2890</v>
      </c>
      <c r="E52" s="418">
        <f>IF(OR(D52='Listas (Hide)'!$B$17,D52='Listas (Hide)'!$C$17,D52='Listas (Hide)'!$D$17)=TRUE,1,IF(OR(D52='Listas (Hide)'!$B$18,D52='Listas (Hide)'!$C$18,D52='Listas (Hide)'!$D$18)=TRUE,2,""))</f>
        <v>2</v>
      </c>
      <c r="F52" s="594" t="str">
        <f>HLOOKUP('General Information'!$C$6,'IDIOMA (hide)'!$A$1:$D$5016,G52,0)</f>
        <v>Faturamento</v>
      </c>
      <c r="G52" s="80">
        <v>210</v>
      </c>
      <c r="H52" s="295" t="str">
        <f>IF(AND('General Information'!$C$4&lt;&gt;"Brasil",'General Information'!$C$4&lt;&gt;"Brazil",'General Information'!$C$4&lt;&gt;"Brasil")=TRUE,HLOOKUP('General Information'!$C$6,'IDIOMA (hide)'!$A$1:$D$5016,$A$72,0),"")</f>
        <v>ESTE MÓDULO/APLICAÇÃO NÃO ESTÁ DISPONÍVEL PARA O PAÍS SELECIONADO</v>
      </c>
      <c r="I52" s="295"/>
      <c r="K52" s="82" t="s">
        <v>245</v>
      </c>
      <c r="L52" s="82" t="str">
        <f t="shared" si="1"/>
        <v>No</v>
      </c>
      <c r="M52" s="82" t="s">
        <v>849</v>
      </c>
    </row>
    <row r="53" spans="2:13" ht="16.149999999999999" customHeight="1">
      <c r="B53" s="5">
        <v>82</v>
      </c>
      <c r="C53" s="159" t="str">
        <f>IF('General Information'!$C$6="Português",VLOOKUP(Modules!B53,'ESTRUTURA_MODULO(hide)'!A:D,2,0),IF('General Information'!$C$6="English",VLOOKUP(Modules!B53,'ESTRUTURA_MODULO(hide)'!A:D,3,0),IF('General Information'!$C$6="Español",VLOOKUP(Modules!B53,'ESTRUTURA_MODULO(hide)'!A:D,4,0))))</f>
        <v>SUS APAC</v>
      </c>
      <c r="D53" s="4" t="s">
        <v>2890</v>
      </c>
      <c r="E53" s="418">
        <f>IF(OR(D53='Listas (Hide)'!$B$17,D53='Listas (Hide)'!$C$17,D53='Listas (Hide)'!$D$17)=TRUE,1,IF(OR(D53='Listas (Hide)'!$B$18,D53='Listas (Hide)'!$C$18,D53='Listas (Hide)'!$D$18)=TRUE,2,""))</f>
        <v>2</v>
      </c>
      <c r="F53" s="594"/>
      <c r="H53" s="295" t="str">
        <f>IF(AND('General Information'!$C$4&lt;&gt;"Brasil",'General Information'!$C$4&lt;&gt;"Brazil",'General Information'!$C$4&lt;&gt;"Brasil")=TRUE,HLOOKUP('General Information'!$C$6,'IDIOMA (hide)'!$A$1:$D$5016,$A$72,0),"")</f>
        <v>ESTE MÓDULO/APLICAÇÃO NÃO ESTÁ DISPONÍVEL PARA O PAÍS SELECIONADO</v>
      </c>
      <c r="I53" s="295"/>
      <c r="K53" s="82" t="s">
        <v>262</v>
      </c>
      <c r="L53" s="82" t="str">
        <f t="shared" si="1"/>
        <v>No</v>
      </c>
      <c r="M53" s="82" t="s">
        <v>849</v>
      </c>
    </row>
    <row r="54" spans="2:13" ht="16.149999999999999" customHeight="1">
      <c r="B54" s="5">
        <v>32</v>
      </c>
      <c r="C54" s="159" t="str">
        <f>IF('General Information'!$C$6="Português",VLOOKUP(Modules!B54,'ESTRUTURA_MODULO(hide)'!A:D,2,0),IF('General Information'!$C$6="English",VLOOKUP(Modules!B54,'ESTRUTURA_MODULO(hide)'!A:D,3,0),IF('General Information'!$C$6="Español",VLOOKUP(Modules!B54,'ESTRUTURA_MODULO(hide)'!A:D,4,0))))</f>
        <v>SUS BPA</v>
      </c>
      <c r="D54" s="4" t="s">
        <v>2890</v>
      </c>
      <c r="E54" s="418">
        <f>IF(OR(D54='Listas (Hide)'!$B$17,D54='Listas (Hide)'!$C$17,D54='Listas (Hide)'!$D$17)=TRUE,1,IF(OR(D54='Listas (Hide)'!$B$18,D54='Listas (Hide)'!$C$18,D54='Listas (Hide)'!$D$18)=TRUE,2,""))</f>
        <v>2</v>
      </c>
      <c r="F54" s="594"/>
      <c r="H54" s="295" t="str">
        <f>IF(AND('General Information'!$C$4&lt;&gt;"Brasil",'General Information'!$C$4&lt;&gt;"Brazil",'General Information'!$C$4&lt;&gt;"Brasil")=TRUE,HLOOKUP('General Information'!$C$6,'IDIOMA (hide)'!$A$1:$D$5016,$A$72,0),"")</f>
        <v>ESTE MÓDULO/APLICAÇÃO NÃO ESTÁ DISPONÍVEL PARA O PAÍS SELECIONADO</v>
      </c>
      <c r="I54" s="295"/>
      <c r="K54" s="82" t="s">
        <v>248</v>
      </c>
      <c r="L54" s="82" t="str">
        <f t="shared" si="1"/>
        <v>No</v>
      </c>
      <c r="M54" s="82" t="s">
        <v>849</v>
      </c>
    </row>
    <row r="55" spans="2:13" ht="16.149999999999999" customHeight="1">
      <c r="B55" s="5">
        <v>101</v>
      </c>
      <c r="C55" s="159" t="str">
        <f>IF('General Information'!$C$6="Português",VLOOKUP(Modules!B55,'ESTRUTURA_MODULO(hide)'!A:D,2,0),IF('General Information'!$C$6="English",VLOOKUP(Modules!B55,'ESTRUTURA_MODULO(hide)'!A:D,3,0),IF('General Information'!$C$6="Español",VLOOKUP(Modules!B55,'ESTRUTURA_MODULO(hide)'!A:D,4,0))))</f>
        <v>Auditoria</v>
      </c>
      <c r="D55" s="4" t="s">
        <v>2890</v>
      </c>
      <c r="E55" s="418">
        <f>IF(OR(D55='Listas (Hide)'!$B$17,D55='Listas (Hide)'!$C$17,D55='Listas (Hide)'!$D$17)=TRUE,1,IF(OR(D55='Listas (Hide)'!$B$18,D55='Listas (Hide)'!$C$18,D55='Listas (Hide)'!$D$18)=TRUE,2,""))</f>
        <v>2</v>
      </c>
      <c r="F55" s="594"/>
      <c r="K55" s="82" t="s">
        <v>19</v>
      </c>
      <c r="L55" s="82" t="str">
        <f t="shared" si="1"/>
        <v>No</v>
      </c>
      <c r="M55" s="82" t="s">
        <v>849</v>
      </c>
    </row>
    <row r="56" spans="2:13" ht="16.149999999999999" customHeight="1">
      <c r="B56" s="5">
        <v>102</v>
      </c>
      <c r="C56" s="159" t="str">
        <f>IF('General Information'!$C$6="Português",VLOOKUP(Modules!B56,'ESTRUTURA_MODULO(hide)'!A:D,2,0),IF('General Information'!$C$6="English",VLOOKUP(Modules!B56,'ESTRUTURA_MODULO(hide)'!A:D,3,0),IF('General Information'!$C$6="Español",VLOOKUP(Modules!B56,'ESTRUTURA_MODULO(hide)'!A:D,4,0))))</f>
        <v>Gestão de Autorizações</v>
      </c>
      <c r="D56" s="4" t="s">
        <v>2890</v>
      </c>
      <c r="E56" s="418">
        <f>IF(OR(D56='Listas (Hide)'!$B$17,D56='Listas (Hide)'!$C$17,D56='Listas (Hide)'!$D$17)=TRUE,1,IF(OR(D56='Listas (Hide)'!$B$18,D56='Listas (Hide)'!$C$18,D56='Listas (Hide)'!$D$18)=TRUE,2,""))</f>
        <v>2</v>
      </c>
      <c r="F56" s="594"/>
      <c r="K56" s="82" t="s">
        <v>21</v>
      </c>
      <c r="L56" s="82" t="str">
        <f t="shared" si="1"/>
        <v>No</v>
      </c>
      <c r="M56" s="82" t="s">
        <v>849</v>
      </c>
    </row>
    <row r="57" spans="2:13" ht="16.149999999999999" customHeight="1">
      <c r="B57" s="5">
        <v>12</v>
      </c>
      <c r="C57" s="159" t="str">
        <f>IF('General Information'!$C$6="Português",VLOOKUP(Modules!B57,'ESTRUTURA_MODULO(hide)'!A:D,2,0),IF('General Information'!$C$6="English",VLOOKUP(Modules!B57,'ESTRUTURA_MODULO(hide)'!A:D,3,0),IF('General Information'!$C$6="Español",VLOOKUP(Modules!B57,'ESTRUTURA_MODULO(hide)'!A:D,4,0))))</f>
        <v>Contas a Pagar</v>
      </c>
      <c r="D57" s="4" t="s">
        <v>2890</v>
      </c>
      <c r="E57" s="418">
        <f>IF(OR(D57='Listas (Hide)'!$B$17,D57='Listas (Hide)'!$C$17,D57='Listas (Hide)'!$D$17)=TRUE,1,IF(OR(D57='Listas (Hide)'!$B$18,D57='Listas (Hide)'!$C$18,D57='Listas (Hide)'!$D$18)=TRUE,2,""))</f>
        <v>2</v>
      </c>
      <c r="F57" s="598" t="str">
        <f>HLOOKUP('General Information'!$C$6,'IDIOMA (hide)'!$A$1:$D$5016,G57,0)</f>
        <v>Financeiro</v>
      </c>
      <c r="G57" s="80">
        <v>211</v>
      </c>
      <c r="K57" s="82" t="s">
        <v>4</v>
      </c>
      <c r="L57" s="82" t="str">
        <f t="shared" si="1"/>
        <v>No</v>
      </c>
      <c r="M57" s="82" t="s">
        <v>2137</v>
      </c>
    </row>
    <row r="58" spans="2:13" ht="16.149999999999999" customHeight="1">
      <c r="B58" s="5">
        <v>28</v>
      </c>
      <c r="C58" s="159" t="str">
        <f>IF('General Information'!$C$6="Português",VLOOKUP(Modules!B58,'ESTRUTURA_MODULO(hide)'!A:D,2,0),IF('General Information'!$C$6="English",VLOOKUP(Modules!B58,'ESTRUTURA_MODULO(hide)'!A:D,3,0),IF('General Information'!$C$6="Español",VLOOKUP(Modules!B58,'ESTRUTURA_MODULO(hide)'!A:D,4,0))))</f>
        <v>Contas a Receber</v>
      </c>
      <c r="D58" s="4" t="s">
        <v>2890</v>
      </c>
      <c r="E58" s="418">
        <f>IF(OR(D58='Listas (Hide)'!$B$17,D58='Listas (Hide)'!$C$17,D58='Listas (Hide)'!$D$17)=TRUE,1,IF(OR(D58='Listas (Hide)'!$B$18,D58='Listas (Hide)'!$C$18,D58='Listas (Hide)'!$D$18)=TRUE,2,""))</f>
        <v>2</v>
      </c>
      <c r="F58" s="598"/>
      <c r="K58" s="82" t="s">
        <v>9</v>
      </c>
      <c r="L58" s="82" t="str">
        <f t="shared" si="1"/>
        <v>No</v>
      </c>
      <c r="M58" s="82" t="s">
        <v>2137</v>
      </c>
    </row>
    <row r="59" spans="2:13" ht="16.149999999999999" customHeight="1">
      <c r="B59" s="5">
        <v>86</v>
      </c>
      <c r="C59" s="159" t="str">
        <f>IF('General Information'!$C$6="Português",VLOOKUP(Modules!B59,'ESTRUTURA_MODULO(hide)'!A:D,2,0),IF('General Information'!$C$6="English",VLOOKUP(Modules!B59,'ESTRUTURA_MODULO(hide)'!A:D,3,0),IF('General Information'!$C$6="Español",VLOOKUP(Modules!B59,'ESTRUTURA_MODULO(hide)'!A:D,4,0))))</f>
        <v>Controle Bancário</v>
      </c>
      <c r="D59" s="4" t="s">
        <v>2890</v>
      </c>
      <c r="E59" s="418">
        <f>IF(OR(D59='Listas (Hide)'!$B$17,D59='Listas (Hide)'!$C$17,D59='Listas (Hide)'!$D$17)=TRUE,1,IF(OR(D59='Listas (Hide)'!$B$18,D59='Listas (Hide)'!$C$18,D59='Listas (Hide)'!$D$18)=TRUE,2,""))</f>
        <v>2</v>
      </c>
      <c r="F59" s="598"/>
      <c r="K59" s="82" t="s">
        <v>20</v>
      </c>
      <c r="L59" s="82" t="str">
        <f t="shared" si="1"/>
        <v>No</v>
      </c>
      <c r="M59" s="82" t="s">
        <v>2137</v>
      </c>
    </row>
    <row r="60" spans="2:13" ht="16.149999999999999" customHeight="1">
      <c r="B60" s="5">
        <v>29</v>
      </c>
      <c r="C60" s="159" t="str">
        <f>IF('General Information'!$C$6="Português",VLOOKUP(Modules!B60,'ESTRUTURA_MODULO(hide)'!A:D,2,0),IF('General Information'!$C$6="English",VLOOKUP(Modules!B60,'ESTRUTURA_MODULO(hide)'!A:D,3,0),IF('General Information'!$C$6="Español",VLOOKUP(Modules!B60,'ESTRUTURA_MODULO(hide)'!A:D,4,0))))</f>
        <v>Tesouraria</v>
      </c>
      <c r="D60" s="4" t="s">
        <v>2890</v>
      </c>
      <c r="E60" s="418">
        <f>IF(OR(D60='Listas (Hide)'!$B$17,D60='Listas (Hide)'!$C$17,D60='Listas (Hide)'!$D$17)=TRUE,1,IF(OR(D60='Listas (Hide)'!$B$18,D60='Listas (Hide)'!$C$18,D60='Listas (Hide)'!$D$18)=TRUE,2,""))</f>
        <v>2</v>
      </c>
      <c r="F60" s="598"/>
      <c r="K60" s="82" t="s">
        <v>14</v>
      </c>
      <c r="L60" s="82" t="str">
        <f t="shared" si="1"/>
        <v>No</v>
      </c>
      <c r="M60" s="82" t="s">
        <v>2137</v>
      </c>
    </row>
    <row r="61" spans="2:13" ht="16.149999999999999" customHeight="1">
      <c r="B61" s="5">
        <v>30</v>
      </c>
      <c r="C61" s="159" t="str">
        <f>IF('General Information'!$C$6="Português",VLOOKUP(Modules!B61,'ESTRUTURA_MODULO(hide)'!A:D,2,0),IF('General Information'!$C$6="English",VLOOKUP(Modules!B61,'ESTRUTURA_MODULO(hide)'!A:D,3,0),IF('General Information'!$C$6="Español",VLOOKUP(Modules!B61,'ESTRUTURA_MODULO(hide)'!A:D,4,0))))</f>
        <v>Fluxo de Caixa</v>
      </c>
      <c r="D61" s="4" t="s">
        <v>2890</v>
      </c>
      <c r="E61" s="418">
        <f>IF(OR(D61='Listas (Hide)'!$B$17,D61='Listas (Hide)'!$C$17,D61='Listas (Hide)'!$D$17)=TRUE,1,IF(OR(D61='Listas (Hide)'!$B$18,D61='Listas (Hide)'!$C$18,D61='Listas (Hide)'!$D$18)=TRUE,2,""))</f>
        <v>2</v>
      </c>
      <c r="F61" s="598"/>
      <c r="K61" s="82" t="s">
        <v>17</v>
      </c>
      <c r="L61" s="82" t="str">
        <f t="shared" si="1"/>
        <v>No</v>
      </c>
      <c r="M61" s="82" t="s">
        <v>2137</v>
      </c>
    </row>
    <row r="62" spans="2:13" ht="16.149999999999999" customHeight="1">
      <c r="B62" s="5">
        <v>103</v>
      </c>
      <c r="C62" s="159" t="str">
        <f>IF('General Information'!$C$6="Português",VLOOKUP(Modules!B62,'ESTRUTURA_MODULO(hide)'!A:D,2,0),IF('General Information'!$C$6="English",VLOOKUP(Modules!B62,'ESTRUTURA_MODULO(hide)'!A:D,3,0),IF('General Information'!$C$6="Español",VLOOKUP(Modules!B62,'ESTRUTURA_MODULO(hide)'!A:D,4,0))))</f>
        <v>Retorno de Convênios</v>
      </c>
      <c r="D62" s="4" t="s">
        <v>2890</v>
      </c>
      <c r="E62" s="418">
        <f>IF(OR(D62='Listas (Hide)'!$B$17,D62='Listas (Hide)'!$C$17,D62='Listas (Hide)'!$D$17)=TRUE,1,IF(OR(D62='Listas (Hide)'!$B$18,D62='Listas (Hide)'!$C$18,D62='Listas (Hide)'!$D$18)=TRUE,2,""))</f>
        <v>2</v>
      </c>
      <c r="F62" s="598"/>
      <c r="K62" s="82" t="s">
        <v>22</v>
      </c>
      <c r="L62" s="82" t="str">
        <f t="shared" si="1"/>
        <v>No</v>
      </c>
      <c r="M62" s="82" t="s">
        <v>2137</v>
      </c>
    </row>
    <row r="63" spans="2:13" ht="16.149999999999999" customHeight="1">
      <c r="B63" s="5">
        <v>104</v>
      </c>
      <c r="C63" s="159" t="str">
        <f>IF('General Information'!$C$6="Português",VLOOKUP(Modules!B63,'ESTRUTURA_MODULO(hide)'!A:D,2,0),IF('General Information'!$C$6="English",VLOOKUP(Modules!B63,'ESTRUTURA_MODULO(hide)'!A:D,3,0),IF('General Information'!$C$6="Español",VLOOKUP(Modules!B63,'ESTRUTURA_MODULO(hide)'!A:D,4,0))))</f>
        <v>Repasse a Terceiros</v>
      </c>
      <c r="D63" s="4" t="s">
        <v>2890</v>
      </c>
      <c r="E63" s="418">
        <f>IF(OR(D63='Listas (Hide)'!$B$17,D63='Listas (Hide)'!$C$17,D63='Listas (Hide)'!$D$17)=TRUE,1,IF(OR(D63='Listas (Hide)'!$B$18,D63='Listas (Hide)'!$C$18,D63='Listas (Hide)'!$D$18)=TRUE,2,""))</f>
        <v>2</v>
      </c>
      <c r="F63" s="598"/>
      <c r="K63" s="82" t="s">
        <v>23</v>
      </c>
      <c r="L63" s="82" t="str">
        <f t="shared" si="1"/>
        <v>No</v>
      </c>
      <c r="M63" s="82" t="s">
        <v>2137</v>
      </c>
    </row>
    <row r="64" spans="2:13" ht="16.149999999999999" customHeight="1">
      <c r="B64" s="5">
        <v>84</v>
      </c>
      <c r="C64" s="159" t="str">
        <f>IF('General Information'!$C$6="Português",VLOOKUP(Modules!B64,'ESTRUTURA_MODULO(hide)'!A:D,2,0),IF('General Information'!$C$6="English",VLOOKUP(Modules!B64,'ESTRUTURA_MODULO(hide)'!A:D,3,0),IF('General Information'!$C$6="Español",VLOOKUP(Modules!B64,'ESTRUTURA_MODULO(hide)'!A:D,4,0))))</f>
        <v>Orçamento Contábil</v>
      </c>
      <c r="D64" s="160" t="str">
        <f>IF(Questions!D36="Yes","Yes","No")</f>
        <v>No</v>
      </c>
      <c r="E64" s="418">
        <f>IF(OR(D64='Listas (Hide)'!$B$17,D64='Listas (Hide)'!$C$17,D64='Listas (Hide)'!$D$17)=TRUE,1,IF(OR(D64='Listas (Hide)'!$B$18,D64='Listas (Hide)'!$C$18,D64='Listas (Hide)'!$D$18)=TRUE,2,""))</f>
        <v>2</v>
      </c>
      <c r="F64" s="594" t="str">
        <f>HLOOKUP('General Information'!$C$6,'IDIOMA (hide)'!$A$1:$D$5016,G64,0)</f>
        <v>Controladoria</v>
      </c>
      <c r="G64" s="80">
        <v>212</v>
      </c>
      <c r="K64" s="82" t="s">
        <v>133</v>
      </c>
      <c r="L64" s="82" t="str">
        <f t="shared" si="1"/>
        <v>No</v>
      </c>
      <c r="M64" s="82" t="s">
        <v>2138</v>
      </c>
    </row>
    <row r="65" spans="1:13" ht="16.149999999999999" customHeight="1">
      <c r="B65" s="5">
        <v>85</v>
      </c>
      <c r="C65" s="159" t="str">
        <f>IF('General Information'!$C$6="Português",VLOOKUP(Modules!B65,'ESTRUTURA_MODULO(hide)'!A:D,2,0),IF('General Information'!$C$6="English",VLOOKUP(Modules!B65,'ESTRUTURA_MODULO(hide)'!A:D,3,0),IF('General Information'!$C$6="Español",VLOOKUP(Modules!B65,'ESTRUTURA_MODULO(hide)'!A:D,4,0))))</f>
        <v>Patrimônio</v>
      </c>
      <c r="D65" s="4" t="s">
        <v>2890</v>
      </c>
      <c r="E65" s="418">
        <f>IF(OR(D65='Listas (Hide)'!$B$17,D65='Listas (Hide)'!$C$17,D65='Listas (Hide)'!$D$17)=TRUE,1,IF(OR(D65='Listas (Hide)'!$B$18,D65='Listas (Hide)'!$C$18,D65='Listas (Hide)'!$D$18)=TRUE,2,""))</f>
        <v>2</v>
      </c>
      <c r="F65" s="594"/>
      <c r="K65" s="82" t="s">
        <v>18</v>
      </c>
      <c r="L65" s="82" t="str">
        <f t="shared" si="1"/>
        <v>No</v>
      </c>
      <c r="M65" s="82" t="s">
        <v>2138</v>
      </c>
    </row>
    <row r="66" spans="1:13" ht="16.149999999999999" customHeight="1">
      <c r="B66" s="5">
        <v>685</v>
      </c>
      <c r="C66" s="159" t="str">
        <f>IF('General Information'!$C$6="Português",VLOOKUP(Modules!B66,'ESTRUTURA_MODULO(hide)'!A:D,2,0),IF('General Information'!$C$6="English",VLOOKUP(Modules!B66,'ESTRUTURA_MODULO(hide)'!A:D,3,0),IF('General Information'!$C$6="Español",VLOOKUP(Modules!B66,'ESTRUTURA_MODULO(hide)'!A:D,4,0))))</f>
        <v>Fiscal</v>
      </c>
      <c r="D66" s="4" t="s">
        <v>2890</v>
      </c>
      <c r="E66" s="418">
        <f>IF(OR(D66='Listas (Hide)'!$B$17,D66='Listas (Hide)'!$C$17,D66='Listas (Hide)'!$D$17)=TRUE,1,IF(OR(D66='Listas (Hide)'!$B$18,D66='Listas (Hide)'!$C$18,D66='Listas (Hide)'!$D$18)=TRUE,2,""))</f>
        <v>2</v>
      </c>
      <c r="F66" s="594"/>
      <c r="K66" s="82" t="s">
        <v>442</v>
      </c>
      <c r="L66" s="82" t="str">
        <f t="shared" si="1"/>
        <v>No</v>
      </c>
      <c r="M66" s="82" t="s">
        <v>2138</v>
      </c>
    </row>
    <row r="67" spans="1:13" ht="16.149999999999999" customHeight="1">
      <c r="B67" s="5">
        <v>11</v>
      </c>
      <c r="C67" s="159" t="str">
        <f>IF('General Information'!$C$6="Português",VLOOKUP(Modules!B67,'ESTRUTURA_MODULO(hide)'!A:D,2,0),IF('General Information'!$C$6="English",VLOOKUP(Modules!B67,'ESTRUTURA_MODULO(hide)'!A:D,3,0),IF('General Information'!$C$6="Español",VLOOKUP(Modules!B67,'ESTRUTURA_MODULO(hide)'!A:D,4,0))))</f>
        <v>Contabilidade</v>
      </c>
      <c r="D67" s="4" t="s">
        <v>2890</v>
      </c>
      <c r="E67" s="418">
        <f>IF(OR(D67='Listas (Hide)'!$B$17,D67='Listas (Hide)'!$C$17,D67='Listas (Hide)'!$D$17)=TRUE,1,IF(OR(D67='Listas (Hide)'!$B$18,D67='Listas (Hide)'!$C$18,D67='Listas (Hide)'!$D$18)=TRUE,2,""))</f>
        <v>2</v>
      </c>
      <c r="F67" s="594"/>
      <c r="H67" s="589" t="str">
        <f>IF(D75="Yes",HLOOKUP('General Information'!$C$6,'IDIOMA (hide)'!$A$1:$D$5016,A75,0),"")</f>
        <v/>
      </c>
      <c r="K67" s="82" t="s">
        <v>6</v>
      </c>
      <c r="L67" s="82" t="str">
        <f t="shared" si="1"/>
        <v>No</v>
      </c>
      <c r="M67" s="82" t="s">
        <v>2138</v>
      </c>
    </row>
    <row r="68" spans="1:13" ht="16.149999999999999" customHeight="1">
      <c r="B68" s="5">
        <v>13</v>
      </c>
      <c r="C68" s="159" t="str">
        <f>IF('General Information'!$C$6="Português",VLOOKUP(Modules!B68,'ESTRUTURA_MODULO(hide)'!A:D,2,0),IF('General Information'!$C$6="English",VLOOKUP(Modules!B68,'ESTRUTURA_MODULO(hide)'!A:D,3,0),IF('General Information'!$C$6="Español",VLOOKUP(Modules!B68,'ESTRUTURA_MODULO(hide)'!A:D,4,0))))</f>
        <v>Custos</v>
      </c>
      <c r="D68" s="4" t="s">
        <v>2890</v>
      </c>
      <c r="E68" s="418">
        <f>IF(OR(D68='Listas (Hide)'!$B$17,D68='Listas (Hide)'!$C$17,D68='Listas (Hide)'!$D$17)=TRUE,1,IF(OR(D68='Listas (Hide)'!$B$18,D68='Listas (Hide)'!$C$18,D68='Listas (Hide)'!$D$18)=TRUE,2,""))</f>
        <v>2</v>
      </c>
      <c r="F68" s="594"/>
      <c r="H68" s="589"/>
      <c r="K68" s="82" t="s">
        <v>11</v>
      </c>
      <c r="L68" s="82" t="str">
        <f t="shared" si="1"/>
        <v>No</v>
      </c>
      <c r="M68" s="82" t="s">
        <v>2138</v>
      </c>
    </row>
    <row r="69" spans="1:13" ht="16.149999999999999" customHeight="1">
      <c r="B69" s="5">
        <v>456</v>
      </c>
      <c r="C69" s="159" t="str">
        <f>IF('General Information'!$C$6="Português",VLOOKUP(Modules!B69,'ESTRUTURA_MODULO(hide)'!A:D,2,0),IF('General Information'!$C$6="English",VLOOKUP(Modules!B69,'ESTRUTURA_MODULO(hide)'!A:D,3,0),IF('General Information'!$C$6="Español",VLOOKUP(Modules!B69,'ESTRUTURA_MODULO(hide)'!A:D,4,0))))</f>
        <v>Projetos de Investimento</v>
      </c>
      <c r="D69" s="4" t="s">
        <v>2890</v>
      </c>
      <c r="E69" s="418">
        <f>IF(OR(D69='Listas (Hide)'!$B$17,D69='Listas (Hide)'!$C$17,D69='Listas (Hide)'!$D$17)=TRUE,1,IF(OR(D69='Listas (Hide)'!$B$18,D69='Listas (Hide)'!$C$18,D69='Listas (Hide)'!$D$18)=TRUE,2,""))</f>
        <v>2</v>
      </c>
      <c r="F69" s="594"/>
      <c r="H69" s="589"/>
      <c r="K69" s="82" t="s">
        <v>342</v>
      </c>
      <c r="L69" s="82" t="str">
        <f t="shared" si="1"/>
        <v>No</v>
      </c>
      <c r="M69" s="82" t="s">
        <v>2138</v>
      </c>
    </row>
    <row r="70" spans="1:13" ht="16.149999999999999" customHeight="1">
      <c r="B70" s="5">
        <v>14</v>
      </c>
      <c r="C70" s="159" t="str">
        <f>IF('General Information'!$C$6="Português",VLOOKUP(Modules!B70,'ESTRUTURA_MODULO(hide)'!A:D,2,0),IF('General Information'!$C$6="English",VLOOKUP(Modules!B70,'ESTRUTURA_MODULO(hide)'!A:D,3,0),IF('General Information'!$C$6="Español",VLOOKUP(Modules!B70,'ESTRUTURA_MODULO(hide)'!A:D,4,0))))</f>
        <v>EIS</v>
      </c>
      <c r="D70" s="4" t="s">
        <v>2890</v>
      </c>
      <c r="E70" s="418">
        <f>IF(OR(D70='Listas (Hide)'!$B$17,D70='Listas (Hide)'!$C$17,D70='Listas (Hide)'!$D$17)=TRUE,1,IF(OR(D70='Listas (Hide)'!$B$18,D70='Listas (Hide)'!$C$18,D70='Listas (Hide)'!$D$18)=TRUE,2,""))</f>
        <v>2</v>
      </c>
      <c r="F70" s="598" t="str">
        <f>HLOOKUP('General Information'!$C$6,'IDIOMA (hide)'!$A$1:$D$5016,G70,0)</f>
        <v>Gerencial</v>
      </c>
      <c r="G70" s="80">
        <v>213</v>
      </c>
      <c r="H70" s="589"/>
      <c r="K70" s="82" t="s">
        <v>12</v>
      </c>
      <c r="L70" s="82" t="str">
        <f t="shared" ref="L70:L75" si="2">D70</f>
        <v>No</v>
      </c>
      <c r="M70" s="82" t="s">
        <v>2387</v>
      </c>
    </row>
    <row r="71" spans="1:13" ht="16.149999999999999" customHeight="1">
      <c r="B71" s="5">
        <v>453</v>
      </c>
      <c r="C71" s="159" t="str">
        <f>IF('General Information'!$C$6="Português",VLOOKUP(Modules!B71,'ESTRUTURA_MODULO(hide)'!A:D,2,0),IF('General Information'!$C$6="English",VLOOKUP(Modules!B71,'ESTRUTURA_MODULO(hide)'!A:D,3,0),IF('General Information'!$C$6="Español",VLOOKUP(Modules!B71,'ESTRUTURA_MODULO(hide)'!A:D,4,0))))</f>
        <v>BSC</v>
      </c>
      <c r="D71" s="4" t="s">
        <v>2890</v>
      </c>
      <c r="E71" s="418">
        <f>IF(OR(D71='Listas (Hide)'!$B$17,D71='Listas (Hide)'!$C$17,D71='Listas (Hide)'!$D$17)=TRUE,1,IF(OR(D71='Listas (Hide)'!$B$18,D71='Listas (Hide)'!$C$18,D71='Listas (Hide)'!$D$18)=TRUE,2,""))</f>
        <v>2</v>
      </c>
      <c r="F71" s="598"/>
      <c r="H71" s="589"/>
      <c r="K71" s="82" t="s">
        <v>423</v>
      </c>
      <c r="L71" s="82" t="str">
        <f t="shared" si="2"/>
        <v>No</v>
      </c>
      <c r="M71" s="82" t="s">
        <v>2387</v>
      </c>
    </row>
    <row r="72" spans="1:13" ht="16.149999999999999" customHeight="1">
      <c r="A72" s="80">
        <v>362</v>
      </c>
      <c r="B72" s="72">
        <v>331</v>
      </c>
      <c r="C72" s="159" t="str">
        <f>IF('General Information'!$C$6="Português",VLOOKUP(Modules!B72,'ESTRUTURA_MODULO(hide)'!A:D,2,0),IF('General Information'!$C$6="English",VLOOKUP(Modules!B72,'ESTRUTURA_MODULO(hide)'!A:D,3,0),IF('General Information'!$C$6="Español",VLOOKUP(Modules!B72,'ESTRUTURA_MODULO(hide)'!A:D,4,0))))</f>
        <v>Aplicação Tasy WEB</v>
      </c>
      <c r="D72" s="4" t="s">
        <v>2890</v>
      </c>
      <c r="E72" s="418">
        <f>IF(OR(D72='Listas (Hide)'!$B$17,D72='Listas (Hide)'!$C$17,D72='Listas (Hide)'!$D$17)=TRUE,1,IF(OR(D72='Listas (Hide)'!$B$18,D72='Listas (Hide)'!$C$18,D72='Listas (Hide)'!$D$18)=TRUE,2,""))</f>
        <v>2</v>
      </c>
      <c r="F72" s="594" t="str">
        <f>HLOOKUP('General Information'!$C$6,'IDIOMA (hide)'!$A$1:$D$5016,G72,0)</f>
        <v>Mobilidade</v>
      </c>
      <c r="G72" s="80">
        <v>214</v>
      </c>
      <c r="H72" s="589"/>
      <c r="I72" s="295"/>
      <c r="K72" s="82" t="s">
        <v>3084</v>
      </c>
      <c r="L72" s="82" t="str">
        <f t="shared" si="2"/>
        <v>No</v>
      </c>
      <c r="M72" s="82" t="s">
        <v>2078</v>
      </c>
    </row>
    <row r="73" spans="1:13" ht="16.149999999999999" customHeight="1">
      <c r="B73" s="72">
        <v>935</v>
      </c>
      <c r="C73" s="159" t="str">
        <f>IF('General Information'!$C$6="Português",VLOOKUP(Modules!B73,'ESTRUTURA_MODULO(hide)'!A:D,2,0),IF('General Information'!$C$6="English",VLOOKUP(Modules!B73,'ESTRUTURA_MODULO(hide)'!A:D,3,0),IF('General Information'!$C$6="Español",VLOOKUP(Modules!B73,'ESTRUTURA_MODULO(hide)'!A:D,4,0))))</f>
        <v>Aplicação Tasy Palm</v>
      </c>
      <c r="D73" s="4" t="s">
        <v>2890</v>
      </c>
      <c r="E73" s="418">
        <f>IF(OR(D73='Listas (Hide)'!$B$17,D73='Listas (Hide)'!$C$17,D73='Listas (Hide)'!$D$17)=TRUE,1,IF(OR(D73='Listas (Hide)'!$B$18,D73='Listas (Hide)'!$C$18,D73='Listas (Hide)'!$D$18)=TRUE,2,""))</f>
        <v>2</v>
      </c>
      <c r="F73" s="594"/>
      <c r="H73" s="589"/>
      <c r="I73" s="295"/>
      <c r="K73" s="82" t="s">
        <v>3085</v>
      </c>
      <c r="L73" s="82" t="str">
        <f t="shared" si="2"/>
        <v>No</v>
      </c>
      <c r="M73" s="82" t="s">
        <v>2078</v>
      </c>
    </row>
    <row r="74" spans="1:13" ht="16.149999999999999" customHeight="1">
      <c r="B74" s="72">
        <v>944</v>
      </c>
      <c r="C74" s="159" t="str">
        <f>IF('General Information'!$C$6="Português",VLOOKUP(Modules!B74,'ESTRUTURA_MODULO(hide)'!A:D,2,0),IF('General Information'!$C$6="English",VLOOKUP(Modules!B74,'ESTRUTURA_MODULO(hide)'!A:D,3,0),IF('General Information'!$C$6="Español",VLOOKUP(Modules!B74,'ESTRUTURA_MODULO(hide)'!A:D,4,0))))</f>
        <v>Aplicação Tasy iOS</v>
      </c>
      <c r="D74" s="4" t="s">
        <v>2890</v>
      </c>
      <c r="E74" s="418">
        <f>IF(OR(D74='Listas (Hide)'!$B$17,D74='Listas (Hide)'!$C$17,D74='Listas (Hide)'!$D$17)=TRUE,1,IF(OR(D74='Listas (Hide)'!$B$18,D74='Listas (Hide)'!$C$18,D74='Listas (Hide)'!$D$18)=TRUE,2,""))</f>
        <v>2</v>
      </c>
      <c r="F74" s="594"/>
      <c r="H74" s="589"/>
      <c r="I74" s="295"/>
      <c r="K74" s="82" t="s">
        <v>3086</v>
      </c>
      <c r="L74" s="82" t="str">
        <f t="shared" si="2"/>
        <v>No</v>
      </c>
      <c r="M74" s="82" t="s">
        <v>2078</v>
      </c>
    </row>
    <row r="75" spans="1:13" ht="16.149999999999999" customHeight="1">
      <c r="A75" s="80">
        <v>354</v>
      </c>
      <c r="B75" s="72">
        <v>283</v>
      </c>
      <c r="C75" s="159" t="str">
        <f>IF('General Information'!$C$6="Português",VLOOKUP(Modules!B75,'ESTRUTURA_MODULO(hide)'!A:D,2,0),IF('General Information'!$C$6="English",VLOOKUP(Modules!B75,'ESTRUTURA_MODULO(hide)'!A:D,3,0),IF('General Information'!$C$6="Español",VLOOKUP(Modules!B75,'ESTRUTURA_MODULO(hide)'!A:D,4,0))))</f>
        <v>Tasy Web Suite</v>
      </c>
      <c r="D75" s="4" t="s">
        <v>2890</v>
      </c>
      <c r="E75" s="418">
        <f>IF(OR(D75='Listas (Hide)'!$B$17,D75='Listas (Hide)'!$C$17,D75='Listas (Hide)'!$D$17)=TRUE,1,IF(OR(D75='Listas (Hide)'!$B$18,D75='Listas (Hide)'!$C$18,D75='Listas (Hide)'!$D$18)=TRUE,2,""))</f>
        <v>2</v>
      </c>
      <c r="F75" s="594"/>
      <c r="H75" s="589"/>
      <c r="I75" s="487"/>
      <c r="K75" s="82" t="s">
        <v>2042</v>
      </c>
      <c r="L75" s="82" t="str">
        <f t="shared" si="2"/>
        <v>No</v>
      </c>
      <c r="M75" s="82" t="s">
        <v>2078</v>
      </c>
    </row>
    <row r="76" spans="1:13" ht="15.75" customHeight="1">
      <c r="A76" s="80"/>
      <c r="B76" s="82"/>
      <c r="E76" s="82"/>
      <c r="F76" s="82"/>
      <c r="H76" s="287"/>
      <c r="I76" s="487"/>
    </row>
    <row r="77" spans="1:13" ht="16.149999999999999" customHeight="1">
      <c r="A77" s="80"/>
      <c r="B77" s="599" t="s">
        <v>5928</v>
      </c>
      <c r="C77" s="600"/>
      <c r="D77" s="600"/>
      <c r="E77" s="600"/>
      <c r="F77" s="601"/>
      <c r="H77" s="287"/>
      <c r="I77" s="487"/>
    </row>
    <row r="78" spans="1:13" ht="16.149999999999999" customHeight="1">
      <c r="A78" s="80"/>
      <c r="B78" s="602"/>
      <c r="C78" s="603"/>
      <c r="D78" s="603"/>
      <c r="E78" s="603"/>
      <c r="F78" s="604"/>
      <c r="H78" s="287"/>
      <c r="I78" s="487"/>
    </row>
    <row r="79" spans="1:13" ht="22.15" customHeight="1">
      <c r="B79" s="85">
        <v>1</v>
      </c>
      <c r="C79" s="159" t="str">
        <f>IF('General Information'!$C$6="Português",VLOOKUP(Modules!B79,'ESTRUTURA_MODULO(hide)'!A:D,2,0),IF('General Information'!$C$6="English",VLOOKUP(Modules!B79,'ESTRUTURA_MODULO(hide)'!A:D,3,0),IF('General Information'!$C$6="Español",VLOOKUP(Modules!B79,'ESTRUTURA_MODULO(hide)'!A:D,4,0))))</f>
        <v>Instalação do Produto</v>
      </c>
      <c r="D79" s="160" t="str">
        <f>IF('General Information'!$C$18="Tasy Prestador","No","Yes")</f>
        <v>Yes</v>
      </c>
      <c r="E79" s="424">
        <f>IF(OR(D79='Listas (Hide)'!$B$17,D79='Listas (Hide)'!$C$17,D79='Listas (Hide)'!$D$17)=TRUE,1,IF(OR(D79='Listas (Hide)'!$B$18,D79='Listas (Hide)'!$C$18,D79='Listas (Hide)'!$D$18)=TRUE,2,""))</f>
        <v>1</v>
      </c>
      <c r="F79" s="590" t="s">
        <v>5887</v>
      </c>
      <c r="H79" s="287"/>
      <c r="I79" s="487"/>
    </row>
    <row r="80" spans="1:13" ht="22.15" customHeight="1">
      <c r="B80" s="85">
        <v>372</v>
      </c>
      <c r="C80" s="159" t="str">
        <f>IF('General Information'!$C$6="Português",VLOOKUP(Modules!B80,'ESTRUTURA_MODULO(hide)'!A:D,2,0),IF('General Information'!$C$6="English",VLOOKUP(Modules!B80,'ESTRUTURA_MODULO(hide)'!A:D,3,0),IF('General Information'!$C$6="Español",VLOOKUP(Modules!B80,'ESTRUTURA_MODULO(hide)'!A:D,4,0))))</f>
        <v>Produtos</v>
      </c>
      <c r="D80" s="160" t="str">
        <f>IF('General Information'!$C$18="Tasy Prestador","No","Yes")</f>
        <v>Yes</v>
      </c>
      <c r="E80" s="424">
        <f>IF(OR(D80='Listas (Hide)'!$B$17,D80='Listas (Hide)'!$C$17,D80='Listas (Hide)'!$D$17)=TRUE,1,IF(OR(D80='Listas (Hide)'!$B$18,D80='Listas (Hide)'!$C$18,D80='Listas (Hide)'!$D$18)=TRUE,2,""))</f>
        <v>1</v>
      </c>
      <c r="F80" s="591"/>
      <c r="H80" s="287"/>
      <c r="I80" s="487"/>
    </row>
    <row r="81" spans="2:9" ht="22.15" customHeight="1">
      <c r="B81" s="85">
        <v>374</v>
      </c>
      <c r="C81" s="159" t="str">
        <f>IF('General Information'!$C$6="Português",VLOOKUP(Modules!B81,'ESTRUTURA_MODULO(hide)'!A:D,2,0),IF('General Information'!$C$6="English",VLOOKUP(Modules!B81,'ESTRUTURA_MODULO(hide)'!A:D,3,0),IF('General Information'!$C$6="Español",VLOOKUP(Modules!B81,'ESTRUTURA_MODULO(hide)'!A:D,4,0))))</f>
        <v>Comercial</v>
      </c>
      <c r="D81" s="160" t="str">
        <f>IF('General Information'!$C$18="Tasy Prestador","No","Yes")</f>
        <v>Yes</v>
      </c>
      <c r="E81" s="424">
        <f>IF(OR(D81='Listas (Hide)'!$B$17,D81='Listas (Hide)'!$C$17,D81='Listas (Hide)'!$D$17)=TRUE,1,IF(OR(D81='Listas (Hide)'!$B$18,D81='Listas (Hide)'!$C$18,D81='Listas (Hide)'!$D$18)=TRUE,2,""))</f>
        <v>1</v>
      </c>
      <c r="F81" s="591"/>
      <c r="H81" s="287"/>
      <c r="I81" s="487"/>
    </row>
    <row r="82" spans="2:9" ht="22.15" customHeight="1">
      <c r="B82" s="85">
        <v>375</v>
      </c>
      <c r="C82" s="159" t="str">
        <f>IF('General Information'!$C$6="Português",VLOOKUP(Modules!B82,'ESTRUTURA_MODULO(hide)'!A:D,2,0),IF('General Information'!$C$6="English",VLOOKUP(Modules!B82,'ESTRUTURA_MODULO(hide)'!A:D,3,0),IF('General Information'!$C$6="Español",VLOOKUP(Modules!B82,'ESTRUTURA_MODULO(hide)'!A:D,4,0))))</f>
        <v>Contratos e Beneficiários</v>
      </c>
      <c r="D82" s="160" t="str">
        <f>IF('General Information'!$C$18="Tasy Prestador","No","Yes")</f>
        <v>Yes</v>
      </c>
      <c r="E82" s="424">
        <f>IF(OR(D82='Listas (Hide)'!$B$17,D82='Listas (Hide)'!$C$17,D82='Listas (Hide)'!$D$17)=TRUE,1,IF(OR(D82='Listas (Hide)'!$B$18,D82='Listas (Hide)'!$C$18,D82='Listas (Hide)'!$D$18)=TRUE,2,""))</f>
        <v>1</v>
      </c>
      <c r="F82" s="591"/>
      <c r="H82" s="287"/>
      <c r="I82" s="487"/>
    </row>
    <row r="83" spans="2:9" ht="22.15" customHeight="1">
      <c r="B83" s="85">
        <v>377</v>
      </c>
      <c r="C83" s="159" t="str">
        <f>IF('General Information'!$C$6="Português",VLOOKUP(Modules!B83,'ESTRUTURA_MODULO(hide)'!A:D,2,0),IF('General Information'!$C$6="English",VLOOKUP(Modules!B83,'ESTRUTURA_MODULO(hide)'!A:D,3,0),IF('General Information'!$C$6="Español",VLOOKUP(Modules!B83,'ESTRUTURA_MODULO(hide)'!A:D,4,0))))</f>
        <v>Produção de Contas Médicas</v>
      </c>
      <c r="D83" s="160" t="str">
        <f>IF('General Information'!$C$18="Tasy Prestador","No","Yes")</f>
        <v>Yes</v>
      </c>
      <c r="E83" s="424">
        <f>IF(OR(D83='Listas (Hide)'!$B$17,D83='Listas (Hide)'!$C$17,D83='Listas (Hide)'!$D$17)=TRUE,1,IF(OR(D83='Listas (Hide)'!$B$18,D83='Listas (Hide)'!$C$18,D83='Listas (Hide)'!$D$18)=TRUE,2,""))</f>
        <v>1</v>
      </c>
      <c r="F83" s="591"/>
      <c r="H83" s="287"/>
      <c r="I83" s="487"/>
    </row>
    <row r="84" spans="2:9" ht="22.15" customHeight="1">
      <c r="B84" s="85">
        <v>379</v>
      </c>
      <c r="C84" s="159" t="str">
        <f>IF('General Information'!$C$6="Português",VLOOKUP(Modules!B84,'ESTRUTURA_MODULO(hide)'!A:D,2,0),IF('General Information'!$C$6="English",VLOOKUP(Modules!B84,'ESTRUTURA_MODULO(hide)'!A:D,3,0),IF('General Information'!$C$6="Español",VLOOKUP(Modules!B84,'ESTRUTURA_MODULO(hide)'!A:D,4,0))))</f>
        <v>Mensalidades</v>
      </c>
      <c r="D84" s="532" t="str">
        <f>IF('General Information'!C18="Tasy Prestador","No",IF('General Information'!D17=7,"No","Yes"))</f>
        <v>Yes</v>
      </c>
      <c r="E84" s="424">
        <f>IF(OR(D84='Listas (Hide)'!$B$17,D84='Listas (Hide)'!$C$17,D84='Listas (Hide)'!$D$17)=TRUE,1,IF(OR(D84='Listas (Hide)'!$B$18,D84='Listas (Hide)'!$C$18,D84='Listas (Hide)'!$D$18)=TRUE,2,""))</f>
        <v>1</v>
      </c>
      <c r="F84" s="591"/>
      <c r="H84" s="287"/>
      <c r="I84" s="287"/>
    </row>
    <row r="85" spans="2:9" ht="22.15" customHeight="1">
      <c r="B85" s="85">
        <v>380</v>
      </c>
      <c r="C85" s="159" t="str">
        <f>IF('General Information'!$C$6="Português",VLOOKUP(Modules!B85,'ESTRUTURA_MODULO(hide)'!A:D,2,0),IF('General Information'!$C$6="English",VLOOKUP(Modules!B85,'ESTRUTURA_MODULO(hide)'!A:D,3,0),IF('General Information'!$C$6="Español",VLOOKUP(Modules!B85,'ESTRUTURA_MODULO(hide)'!A:D,4,0))))</f>
        <v>Informações ANS</v>
      </c>
      <c r="D85" s="160" t="str">
        <f>IF('General Information'!$C$18="Tasy Prestador","No","Yes")</f>
        <v>Yes</v>
      </c>
      <c r="E85" s="424">
        <f>IF(OR(D85='Listas (Hide)'!$B$17,D85='Listas (Hide)'!$C$17,D85='Listas (Hide)'!$D$17)=TRUE,1,IF(OR(D85='Listas (Hide)'!$B$18,D85='Listas (Hide)'!$C$18,D85='Listas (Hide)'!$D$18)=TRUE,2,""))</f>
        <v>1</v>
      </c>
      <c r="F85" s="591"/>
      <c r="H85" s="287"/>
      <c r="I85" s="287"/>
    </row>
    <row r="86" spans="2:9" ht="22.15" customHeight="1">
      <c r="B86" s="85">
        <v>381</v>
      </c>
      <c r="C86" s="159" t="str">
        <f>IF('General Information'!$C$6="Português",VLOOKUP(Modules!B86,'ESTRUTURA_MODULO(hide)'!A:D,2,0),IF('General Information'!$C$6="English",VLOOKUP(Modules!B86,'ESTRUTURA_MODULO(hide)'!A:D,3,0),IF('General Information'!$C$6="Español",VLOOKUP(Modules!B86,'ESTRUTURA_MODULO(hide)'!A:D,4,0))))</f>
        <v>Portal Web</v>
      </c>
      <c r="D86" s="160" t="str">
        <f>IF('General Information'!$C$18="Tasy Prestador","No","Yes")</f>
        <v>Yes</v>
      </c>
      <c r="E86" s="424">
        <f>IF(OR(D86='Listas (Hide)'!$B$17,D86='Listas (Hide)'!$C$17,D86='Listas (Hide)'!$D$17)=TRUE,1,IF(OR(D86='Listas (Hide)'!$B$18,D86='Listas (Hide)'!$C$18,D86='Listas (Hide)'!$D$18)=TRUE,2,""))</f>
        <v>1</v>
      </c>
      <c r="F86" s="591"/>
      <c r="H86" s="287"/>
      <c r="I86" s="287"/>
    </row>
    <row r="87" spans="2:9" ht="22.15" customHeight="1">
      <c r="B87" s="85">
        <v>582</v>
      </c>
      <c r="C87" s="159" t="str">
        <f>IF('General Information'!$C$6="Português",VLOOKUP(Modules!B87,'ESTRUTURA_MODULO(hide)'!A:D,2,0),IF('General Information'!$C$6="English",VLOOKUP(Modules!B87,'ESTRUTURA_MODULO(hide)'!A:D,3,0),IF('General Information'!$C$6="Español",VLOOKUP(Modules!B87,'ESTRUTURA_MODULO(hide)'!A:D,4,0))))</f>
        <v>Relacionamento</v>
      </c>
      <c r="D87" s="160" t="str">
        <f>IF('General Information'!$C$18="Tasy Prestador","No","Yes")</f>
        <v>Yes</v>
      </c>
      <c r="E87" s="424">
        <f>IF(OR(D87='Listas (Hide)'!$B$17,D87='Listas (Hide)'!$C$17,D87='Listas (Hide)'!$D$17)=TRUE,1,IF(OR(D87='Listas (Hide)'!$B$18,D87='Listas (Hide)'!$C$18,D87='Listas (Hide)'!$D$18)=TRUE,2,""))</f>
        <v>1</v>
      </c>
      <c r="F87" s="591"/>
      <c r="H87" s="286"/>
      <c r="I87" s="286"/>
    </row>
    <row r="88" spans="2:9" ht="22.15" customHeight="1">
      <c r="B88" s="85">
        <v>583</v>
      </c>
      <c r="C88" s="159" t="str">
        <f>IF('General Information'!$C$6="Português",VLOOKUP(Modules!B88,'ESTRUTURA_MODULO(hide)'!A:D,2,0),IF('General Information'!$C$6="English",VLOOKUP(Modules!B88,'ESTRUTURA_MODULO(hide)'!A:D,3,0),IF('General Information'!$C$6="Español",VLOOKUP(Modules!B88,'ESTRUTURA_MODULO(hide)'!A:D,4,0))))</f>
        <v>Gestão de Cooperados</v>
      </c>
      <c r="D88" s="532" t="str">
        <f>IF('General Information'!C18="Tasy Prestador","No",IF('General Information'!D17=7,"No","Yes"))</f>
        <v>Yes</v>
      </c>
      <c r="E88" s="424">
        <f>IF(OR(D88='Listas (Hide)'!$B$17,D88='Listas (Hide)'!$C$17,D88='Listas (Hide)'!$D$17)=TRUE,1,IF(OR(D88='Listas (Hide)'!$B$18,D88='Listas (Hide)'!$C$18,D88='Listas (Hide)'!$D$18)=TRUE,2,""))</f>
        <v>1</v>
      </c>
      <c r="F88" s="591"/>
    </row>
    <row r="89" spans="2:9" ht="22.15" customHeight="1">
      <c r="B89" s="85">
        <v>690</v>
      </c>
      <c r="C89" s="159" t="str">
        <f>IF('General Information'!$C$6="Português",VLOOKUP(Modules!B89,'ESTRUTURA_MODULO(hide)'!A:D,2,0),IF('General Information'!$C$6="English",VLOOKUP(Modules!B89,'ESTRUTURA_MODULO(hide)'!A:D,3,0),IF('General Information'!$C$6="Español",VLOOKUP(Modules!B89,'ESTRUTURA_MODULO(hide)'!A:D,4,0))))</f>
        <v>Prestadores</v>
      </c>
      <c r="D89" s="160" t="str">
        <f>IF('General Information'!$C$18="Tasy Prestador","No","Yes")</f>
        <v>Yes</v>
      </c>
      <c r="E89" s="424">
        <f>IF(OR(D89='Listas (Hide)'!$B$17,D89='Listas (Hide)'!$C$17,D89='Listas (Hide)'!$D$17)=TRUE,1,IF(OR(D89='Listas (Hide)'!$B$18,D89='Listas (Hide)'!$C$18,D89='Listas (Hide)'!$D$18)=TRUE,2,""))</f>
        <v>1</v>
      </c>
      <c r="F89" s="591"/>
    </row>
    <row r="90" spans="2:9" ht="22.15" customHeight="1">
      <c r="B90" s="85">
        <v>691</v>
      </c>
      <c r="C90" s="159" t="str">
        <f>IF('General Information'!$C$6="Português",VLOOKUP(Modules!B90,'ESTRUTURA_MODULO(hide)'!A:D,2,0),IF('General Information'!$C$6="English",VLOOKUP(Modules!B90,'ESTRUTURA_MODULO(hide)'!A:D,3,0),IF('General Information'!$C$6="Español",VLOOKUP(Modules!B90,'ESTRUTURA_MODULO(hide)'!A:D,4,0))))</f>
        <v>Autorizações</v>
      </c>
      <c r="D90" s="160" t="str">
        <f>IF('General Information'!$C$18="Tasy Prestador","No","Yes")</f>
        <v>Yes</v>
      </c>
      <c r="E90" s="424">
        <f>IF(OR(D90='Listas (Hide)'!$B$17,D90='Listas (Hide)'!$C$17,D90='Listas (Hide)'!$D$17)=TRUE,1,IF(OR(D90='Listas (Hide)'!$B$18,D90='Listas (Hide)'!$C$18,D90='Listas (Hide)'!$D$18)=TRUE,2,""))</f>
        <v>1</v>
      </c>
      <c r="F90" s="591"/>
    </row>
    <row r="91" spans="2:9" ht="22.15" customHeight="1">
      <c r="B91" s="85">
        <v>692</v>
      </c>
      <c r="C91" s="159" t="str">
        <f>IF('General Information'!$C$6="Português",VLOOKUP(Modules!B91,'ESTRUTURA_MODULO(hide)'!A:D,2,0),IF('General Information'!$C$6="English",VLOOKUP(Modules!B91,'ESTRUTURA_MODULO(hide)'!A:D,3,0),IF('General Information'!$C$6="Español",VLOOKUP(Modules!B91,'ESTRUTURA_MODULO(hide)'!A:D,4,0))))</f>
        <v>Autorizações de Intercâmbio</v>
      </c>
      <c r="D91" s="160" t="str">
        <f>IF('General Information'!$C$18="Tasy Prestador","No","Yes")</f>
        <v>Yes</v>
      </c>
      <c r="E91" s="424">
        <f>IF(OR(D91='Listas (Hide)'!$B$17,D91='Listas (Hide)'!$C$17,D91='Listas (Hide)'!$D$17)=TRUE,1,IF(OR(D91='Listas (Hide)'!$B$18,D91='Listas (Hide)'!$C$18,D91='Listas (Hide)'!$D$18)=TRUE,2,""))</f>
        <v>1</v>
      </c>
      <c r="F91" s="591"/>
    </row>
    <row r="92" spans="2:9" ht="22.15" customHeight="1">
      <c r="B92" s="85">
        <v>695</v>
      </c>
      <c r="C92" s="159" t="str">
        <f>IF('General Information'!$C$6="Português",VLOOKUP(Modules!B92,'ESTRUTURA_MODULO(hide)'!A:D,2,0),IF('General Information'!$C$6="English",VLOOKUP(Modules!B92,'ESTRUTURA_MODULO(hide)'!A:D,3,0),IF('General Information'!$C$6="Español",VLOOKUP(Modules!B92,'ESTRUTURA_MODULO(hide)'!A:D,4,0))))</f>
        <v>Análise de Contas Médicas</v>
      </c>
      <c r="D92" s="160" t="str">
        <f>IF('General Information'!$C$18="Tasy Prestador","No","Yes")</f>
        <v>Yes</v>
      </c>
      <c r="E92" s="424">
        <f>IF(OR(D92='Listas (Hide)'!$B$17,D92='Listas (Hide)'!$C$17,D92='Listas (Hide)'!$D$17)=TRUE,1,IF(OR(D92='Listas (Hide)'!$B$18,D92='Listas (Hide)'!$C$18,D92='Listas (Hide)'!$D$18)=TRUE,2,""))</f>
        <v>1</v>
      </c>
      <c r="F92" s="591"/>
    </row>
    <row r="93" spans="2:9" ht="22.15" customHeight="1">
      <c r="B93" s="85">
        <v>706</v>
      </c>
      <c r="C93" s="159" t="str">
        <f>IF('General Information'!$C$6="Português",VLOOKUP(Modules!B93,'ESTRUTURA_MODULO(hide)'!A:D,2,0),IF('General Information'!$C$6="English",VLOOKUP(Modules!B93,'ESTRUTURA_MODULO(hide)'!A:D,3,0),IF('General Information'!$C$6="Español",VLOOKUP(Modules!B93,'ESTRUTURA_MODULO(hide)'!A:D,4,0))))</f>
        <v>Contratos de Intercâmbio</v>
      </c>
      <c r="D93" s="160" t="str">
        <f>IF('General Information'!$C$18="Tasy Prestador","No","Yes")</f>
        <v>Yes</v>
      </c>
      <c r="E93" s="424">
        <f>IF(OR(D93='Listas (Hide)'!$B$17,D93='Listas (Hide)'!$C$17,D93='Listas (Hide)'!$D$17)=TRUE,1,IF(OR(D93='Listas (Hide)'!$B$18,D93='Listas (Hide)'!$C$18,D93='Listas (Hide)'!$D$18)=TRUE,2,""))</f>
        <v>1</v>
      </c>
      <c r="F93" s="591"/>
    </row>
    <row r="94" spans="2:9" ht="22.15" customHeight="1">
      <c r="B94" s="85">
        <v>708</v>
      </c>
      <c r="C94" s="159" t="str">
        <f>IF('General Information'!$C$6="Português",VLOOKUP(Modules!B94,'ESTRUTURA_MODULO(hide)'!A:D,2,0),IF('General Information'!$C$6="English",VLOOKUP(Modules!B94,'ESTRUTURA_MODULO(hide)'!A:D,3,0),IF('General Information'!$C$6="Español",VLOOKUP(Modules!B94,'ESTRUTURA_MODULO(hide)'!A:D,4,0))))</f>
        <v>Regras</v>
      </c>
      <c r="D94" s="160" t="str">
        <f>IF('General Information'!$C$18="Tasy Prestador","No","Yes")</f>
        <v>Yes</v>
      </c>
      <c r="E94" s="424">
        <f>IF(OR(D94='Listas (Hide)'!$B$17,D94='Listas (Hide)'!$C$17,D94='Listas (Hide)'!$D$17)=TRUE,1,IF(OR(D94='Listas (Hide)'!$B$18,D94='Listas (Hide)'!$C$18,D94='Listas (Hide)'!$D$18)=TRUE,2,""))</f>
        <v>1</v>
      </c>
      <c r="F94" s="591"/>
    </row>
    <row r="95" spans="2:9" ht="22.15" customHeight="1">
      <c r="B95" s="85">
        <v>835</v>
      </c>
      <c r="C95" s="159" t="str">
        <f>IF('General Information'!$C$6="Português",VLOOKUP(Modules!B95,'ESTRUTURA_MODULO(hide)'!A:D,2,0),IF('General Information'!$C$6="English",VLOOKUP(Modules!B95,'ESTRUTURA_MODULO(hide)'!A:D,3,0),IF('General Information'!$C$6="Español",VLOOKUP(Modules!B95,'ESTRUTURA_MODULO(hide)'!A:D,4,0))))</f>
        <v>Produção de Contas Médicas - Intercâmbio</v>
      </c>
      <c r="D95" s="532" t="str">
        <f>IF('General Information'!D17=8,"Yes","No")</f>
        <v>No</v>
      </c>
      <c r="E95" s="424">
        <f>IF(OR(D95='Listas (Hide)'!$B$17,D95='Listas (Hide)'!$C$17,D95='Listas (Hide)'!$D$17)=TRUE,1,IF(OR(D95='Listas (Hide)'!$B$18,D95='Listas (Hide)'!$C$18,D95='Listas (Hide)'!$D$18)=TRUE,2,""))</f>
        <v>2</v>
      </c>
      <c r="F95" s="591"/>
    </row>
    <row r="96" spans="2:9" ht="22.15" customHeight="1">
      <c r="B96" s="85">
        <v>836</v>
      </c>
      <c r="C96" s="159" t="str">
        <f>IF('General Information'!$C$6="Português",VLOOKUP(Modules!B96,'ESTRUTURA_MODULO(hide)'!A:D,2,0),IF('General Information'!$C$6="English",VLOOKUP(Modules!B96,'ESTRUTURA_MODULO(hide)'!A:D,3,0),IF('General Information'!$C$6="Español",VLOOKUP(Modules!B96,'ESTRUTURA_MODULO(hide)'!A:D,4,0))))</f>
        <v>Faturamento</v>
      </c>
      <c r="D96" s="160" t="str">
        <f>IF('General Information'!$C$18="Tasy Prestador","No","Yes")</f>
        <v>Yes</v>
      </c>
      <c r="E96" s="424">
        <f>IF(OR(D96='Listas (Hide)'!$B$17,D96='Listas (Hide)'!$C$17,D96='Listas (Hide)'!$D$17)=TRUE,1,IF(OR(D96='Listas (Hide)'!$B$18,D96='Listas (Hide)'!$C$18,D96='Listas (Hide)'!$D$18)=TRUE,2,""))</f>
        <v>1</v>
      </c>
      <c r="F96" s="592"/>
    </row>
    <row r="97" spans="2:6" ht="22.15" customHeight="1">
      <c r="B97" s="82"/>
      <c r="E97" s="82"/>
      <c r="F97" s="82"/>
    </row>
    <row r="98" spans="2:6" ht="22.15" customHeight="1">
      <c r="B98" s="82"/>
      <c r="E98" s="82"/>
      <c r="F98" s="82"/>
    </row>
    <row r="99" spans="2:6" ht="22.15" customHeight="1">
      <c r="B99" s="82"/>
      <c r="E99" s="82"/>
      <c r="F99" s="82"/>
    </row>
    <row r="100" spans="2:6" ht="22.15" customHeight="1">
      <c r="B100" s="82"/>
      <c r="E100" s="82"/>
      <c r="F100" s="82"/>
    </row>
    <row r="101" spans="2:6" ht="22.15" customHeight="1">
      <c r="B101" s="82"/>
      <c r="E101" s="82"/>
      <c r="F101" s="82"/>
    </row>
    <row r="102" spans="2:6" ht="22.15" customHeight="1">
      <c r="B102" s="82"/>
      <c r="E102" s="82"/>
      <c r="F102" s="82"/>
    </row>
    <row r="103" spans="2:6" ht="22.15" customHeight="1">
      <c r="B103" s="82"/>
      <c r="E103" s="82"/>
      <c r="F103" s="82"/>
    </row>
    <row r="104" spans="2:6" ht="22.15" customHeight="1">
      <c r="B104" s="82"/>
      <c r="E104" s="82"/>
      <c r="F104" s="82"/>
    </row>
    <row r="105" spans="2:6" ht="22.15" customHeight="1">
      <c r="B105" s="82"/>
      <c r="E105" s="82"/>
      <c r="F105" s="82"/>
    </row>
    <row r="106" spans="2:6" ht="22.15" customHeight="1">
      <c r="B106" s="82"/>
      <c r="E106" s="82"/>
      <c r="F106" s="82"/>
    </row>
    <row r="107" spans="2:6" ht="22.15" customHeight="1">
      <c r="B107" s="82"/>
      <c r="E107" s="82"/>
      <c r="F107" s="82"/>
    </row>
    <row r="108" spans="2:6" ht="22.15" customHeight="1">
      <c r="B108" s="82"/>
      <c r="E108" s="82"/>
      <c r="F108" s="82"/>
    </row>
    <row r="109" spans="2:6" ht="22.15" customHeight="1">
      <c r="B109" s="82"/>
      <c r="E109" s="82"/>
      <c r="F109" s="82"/>
    </row>
    <row r="110" spans="2:6" ht="22.15" customHeight="1">
      <c r="B110" s="82"/>
      <c r="E110" s="82"/>
      <c r="F110" s="82"/>
    </row>
    <row r="111" spans="2:6" ht="22.15" customHeight="1">
      <c r="B111" s="82"/>
      <c r="E111" s="82"/>
      <c r="F111" s="82"/>
    </row>
    <row r="112" spans="2:6" ht="22.15" customHeight="1">
      <c r="B112" s="82"/>
      <c r="E112" s="82"/>
      <c r="F112" s="82"/>
    </row>
    <row r="113" spans="2:6" ht="22.15" customHeight="1">
      <c r="B113" s="82"/>
      <c r="E113" s="82"/>
      <c r="F113" s="82"/>
    </row>
    <row r="114" spans="2:6" ht="22.15" customHeight="1">
      <c r="B114" s="82"/>
      <c r="E114" s="82"/>
      <c r="F114" s="82"/>
    </row>
    <row r="115" spans="2:6" ht="22.15" customHeight="1">
      <c r="B115" s="82"/>
      <c r="E115" s="82"/>
      <c r="F115" s="82"/>
    </row>
    <row r="116" spans="2:6" ht="22.15" customHeight="1">
      <c r="B116" s="82"/>
      <c r="E116" s="82"/>
      <c r="F116" s="82"/>
    </row>
    <row r="117" spans="2:6" ht="22.15" customHeight="1">
      <c r="B117" s="82"/>
      <c r="E117" s="82"/>
      <c r="F117" s="82"/>
    </row>
    <row r="118" spans="2:6" ht="22.15" customHeight="1">
      <c r="B118" s="82"/>
      <c r="E118" s="82"/>
      <c r="F118" s="82"/>
    </row>
    <row r="119" spans="2:6" ht="22.15" customHeight="1">
      <c r="B119" s="82"/>
      <c r="E119" s="82"/>
      <c r="F119" s="82"/>
    </row>
    <row r="120" spans="2:6" ht="22.15" customHeight="1">
      <c r="B120" s="82"/>
      <c r="E120" s="82"/>
      <c r="F120" s="82"/>
    </row>
    <row r="121" spans="2:6" ht="22.15" customHeight="1">
      <c r="B121" s="82"/>
      <c r="E121" s="82"/>
      <c r="F121" s="82"/>
    </row>
    <row r="122" spans="2:6" ht="22.15" customHeight="1">
      <c r="B122" s="82"/>
      <c r="E122" s="82"/>
      <c r="F122" s="82"/>
    </row>
    <row r="123" spans="2:6" ht="22.15" customHeight="1">
      <c r="B123" s="82"/>
      <c r="E123" s="82"/>
      <c r="F123" s="82"/>
    </row>
    <row r="124" spans="2:6" ht="22.15" customHeight="1">
      <c r="B124" s="82"/>
      <c r="E124" s="82"/>
      <c r="F124" s="82"/>
    </row>
    <row r="125" spans="2:6" ht="22.15" customHeight="1">
      <c r="B125" s="82"/>
      <c r="E125" s="82"/>
      <c r="F125" s="82"/>
    </row>
    <row r="126" spans="2:6" ht="22.15" customHeight="1">
      <c r="B126" s="82"/>
      <c r="E126" s="82"/>
      <c r="F126" s="82"/>
    </row>
    <row r="127" spans="2:6" ht="22.15" customHeight="1">
      <c r="B127" s="82"/>
      <c r="E127" s="82"/>
      <c r="F127" s="82"/>
    </row>
    <row r="128" spans="2:6" ht="22.15" customHeight="1">
      <c r="B128" s="82"/>
      <c r="E128" s="82"/>
      <c r="F128" s="82"/>
    </row>
    <row r="129" spans="2:6" ht="22.15" customHeight="1">
      <c r="B129" s="82"/>
      <c r="E129" s="82"/>
      <c r="F129" s="82"/>
    </row>
    <row r="130" spans="2:6" ht="22.15" customHeight="1">
      <c r="B130" s="82"/>
      <c r="E130" s="82"/>
      <c r="F130" s="82"/>
    </row>
    <row r="131" spans="2:6" ht="22.15" customHeight="1">
      <c r="B131" s="82"/>
      <c r="E131" s="82"/>
      <c r="F131" s="82"/>
    </row>
    <row r="132" spans="2:6" ht="22.15" customHeight="1">
      <c r="B132" s="82"/>
      <c r="E132" s="82"/>
      <c r="F132" s="82"/>
    </row>
    <row r="133" spans="2:6" ht="22.15" customHeight="1">
      <c r="B133" s="82"/>
      <c r="E133" s="82"/>
      <c r="F133" s="82"/>
    </row>
    <row r="134" spans="2:6" ht="22.15" customHeight="1">
      <c r="B134" s="82"/>
      <c r="E134" s="82"/>
      <c r="F134" s="82"/>
    </row>
    <row r="135" spans="2:6" ht="22.15" customHeight="1">
      <c r="B135" s="82"/>
      <c r="E135" s="82"/>
      <c r="F135" s="82"/>
    </row>
    <row r="136" spans="2:6" ht="22.15" customHeight="1">
      <c r="B136" s="82"/>
      <c r="E136" s="82"/>
      <c r="F136" s="82"/>
    </row>
    <row r="137" spans="2:6" ht="22.15" customHeight="1">
      <c r="B137" s="82"/>
      <c r="E137" s="82"/>
      <c r="F137" s="82"/>
    </row>
    <row r="138" spans="2:6" ht="22.15" customHeight="1">
      <c r="B138" s="82"/>
      <c r="E138" s="82"/>
      <c r="F138" s="82"/>
    </row>
    <row r="139" spans="2:6" ht="22.15" customHeight="1">
      <c r="B139" s="82"/>
      <c r="E139" s="82"/>
      <c r="F139" s="82"/>
    </row>
    <row r="140" spans="2:6" ht="22.15" customHeight="1">
      <c r="B140" s="82"/>
      <c r="E140" s="82"/>
      <c r="F140" s="82"/>
    </row>
    <row r="141" spans="2:6" ht="22.15" customHeight="1">
      <c r="B141" s="82"/>
      <c r="E141" s="82"/>
      <c r="F141" s="82"/>
    </row>
    <row r="142" spans="2:6" ht="22.15" customHeight="1">
      <c r="B142" s="82"/>
      <c r="E142" s="82"/>
      <c r="F142" s="82"/>
    </row>
    <row r="143" spans="2:6" ht="22.15" customHeight="1">
      <c r="B143" s="82"/>
      <c r="E143" s="82"/>
      <c r="F143" s="82"/>
    </row>
    <row r="144" spans="2:6" ht="22.15" customHeight="1">
      <c r="B144" s="82"/>
      <c r="E144" s="82"/>
      <c r="F144" s="82"/>
    </row>
    <row r="145" spans="2:6" ht="22.15" customHeight="1">
      <c r="B145" s="82"/>
      <c r="E145" s="82"/>
      <c r="F145" s="82"/>
    </row>
    <row r="146" spans="2:6" ht="22.15" customHeight="1">
      <c r="B146" s="82"/>
      <c r="E146" s="82"/>
      <c r="F146" s="82"/>
    </row>
    <row r="147" spans="2:6" ht="22.15" customHeight="1">
      <c r="B147" s="82"/>
      <c r="E147" s="82"/>
      <c r="F147" s="82"/>
    </row>
    <row r="148" spans="2:6" ht="22.15" customHeight="1">
      <c r="B148" s="82"/>
      <c r="E148" s="82"/>
      <c r="F148" s="82"/>
    </row>
    <row r="149" spans="2:6" ht="22.15" customHeight="1">
      <c r="B149" s="82"/>
      <c r="E149" s="82"/>
      <c r="F149" s="82"/>
    </row>
    <row r="150" spans="2:6" ht="22.15" customHeight="1">
      <c r="B150" s="82"/>
      <c r="E150" s="82"/>
      <c r="F150" s="82"/>
    </row>
    <row r="151" spans="2:6" ht="22.15" customHeight="1">
      <c r="B151" s="82"/>
      <c r="E151" s="82"/>
      <c r="F151" s="82"/>
    </row>
    <row r="152" spans="2:6" ht="22.15" customHeight="1">
      <c r="B152" s="82"/>
      <c r="E152" s="82"/>
      <c r="F152" s="82"/>
    </row>
    <row r="153" spans="2:6" ht="22.15" customHeight="1">
      <c r="B153" s="82"/>
      <c r="E153" s="82"/>
      <c r="F153" s="82"/>
    </row>
    <row r="154" spans="2:6" ht="22.15" customHeight="1">
      <c r="B154" s="82"/>
      <c r="E154" s="82"/>
      <c r="F154" s="82"/>
    </row>
    <row r="155" spans="2:6" ht="22.15" customHeight="1">
      <c r="B155" s="82"/>
      <c r="E155" s="82"/>
      <c r="F155" s="82"/>
    </row>
    <row r="156" spans="2:6" ht="22.15" customHeight="1">
      <c r="B156" s="82"/>
      <c r="E156" s="82"/>
      <c r="F156" s="82"/>
    </row>
    <row r="157" spans="2:6" ht="22.15" customHeight="1">
      <c r="B157" s="82"/>
      <c r="E157" s="82"/>
      <c r="F157" s="82"/>
    </row>
    <row r="158" spans="2:6" ht="22.15" customHeight="1">
      <c r="B158" s="82"/>
      <c r="E158" s="82"/>
      <c r="F158" s="82"/>
    </row>
    <row r="159" spans="2:6" ht="22.15" customHeight="1">
      <c r="B159" s="82"/>
      <c r="E159" s="82"/>
      <c r="F159" s="82"/>
    </row>
    <row r="160" spans="2:6" ht="22.15" customHeight="1">
      <c r="B160" s="82"/>
      <c r="E160" s="82"/>
      <c r="F160" s="82"/>
    </row>
    <row r="161" spans="2:6" ht="22.15" customHeight="1">
      <c r="B161" s="82"/>
      <c r="E161" s="82"/>
      <c r="F161" s="82"/>
    </row>
    <row r="162" spans="2:6" ht="22.15" customHeight="1">
      <c r="B162" s="82"/>
      <c r="E162" s="82"/>
      <c r="F162" s="82"/>
    </row>
    <row r="163" spans="2:6" ht="22.15" customHeight="1">
      <c r="B163" s="82"/>
      <c r="E163" s="82"/>
      <c r="F163" s="82"/>
    </row>
    <row r="164" spans="2:6" ht="22.15" customHeight="1">
      <c r="B164" s="82"/>
      <c r="E164" s="82"/>
      <c r="F164" s="82"/>
    </row>
    <row r="165" spans="2:6" ht="22.15" customHeight="1">
      <c r="B165" s="82"/>
      <c r="E165" s="82"/>
      <c r="F165" s="82"/>
    </row>
    <row r="166" spans="2:6" ht="22.15" customHeight="1">
      <c r="B166" s="82"/>
      <c r="E166" s="82"/>
      <c r="F166" s="82"/>
    </row>
    <row r="167" spans="2:6" ht="22.15" customHeight="1">
      <c r="B167" s="82"/>
      <c r="E167" s="82"/>
      <c r="F167" s="82"/>
    </row>
    <row r="168" spans="2:6" ht="22.15" customHeight="1">
      <c r="B168" s="82"/>
      <c r="E168" s="82"/>
      <c r="F168" s="82"/>
    </row>
    <row r="169" spans="2:6" ht="22.15" customHeight="1">
      <c r="B169" s="82"/>
      <c r="E169" s="82"/>
      <c r="F169" s="82"/>
    </row>
    <row r="170" spans="2:6" ht="22.15" customHeight="1">
      <c r="B170" s="82"/>
      <c r="E170" s="82"/>
      <c r="F170" s="82"/>
    </row>
    <row r="171" spans="2:6" ht="22.15" customHeight="1">
      <c r="B171" s="82"/>
      <c r="E171" s="82"/>
      <c r="F171" s="82"/>
    </row>
    <row r="172" spans="2:6" ht="22.15" customHeight="1">
      <c r="B172" s="82"/>
      <c r="E172" s="82"/>
      <c r="F172" s="82"/>
    </row>
    <row r="173" spans="2:6" ht="22.15" customHeight="1">
      <c r="B173" s="82"/>
      <c r="E173" s="82"/>
      <c r="F173" s="82"/>
    </row>
    <row r="174" spans="2:6" ht="22.15" customHeight="1">
      <c r="B174" s="82"/>
      <c r="E174" s="82"/>
      <c r="F174" s="82"/>
    </row>
    <row r="175" spans="2:6" ht="22.15" customHeight="1">
      <c r="B175" s="82"/>
      <c r="E175" s="82"/>
      <c r="F175" s="82"/>
    </row>
    <row r="176" spans="2:6" ht="22.15" customHeight="1">
      <c r="B176" s="82"/>
      <c r="E176" s="82"/>
      <c r="F176" s="82"/>
    </row>
    <row r="177" spans="2:6" ht="22.15" customHeight="1">
      <c r="B177" s="82"/>
      <c r="E177" s="82"/>
      <c r="F177" s="82"/>
    </row>
    <row r="178" spans="2:6" ht="22.15" customHeight="1">
      <c r="B178" s="82"/>
      <c r="E178" s="82"/>
      <c r="F178" s="82"/>
    </row>
    <row r="179" spans="2:6" ht="22.15" customHeight="1">
      <c r="B179" s="82"/>
      <c r="E179" s="82"/>
      <c r="F179" s="82"/>
    </row>
    <row r="180" spans="2:6" ht="22.15" customHeight="1">
      <c r="B180" s="82"/>
      <c r="E180" s="82"/>
      <c r="F180" s="82"/>
    </row>
    <row r="181" spans="2:6" ht="22.15" customHeight="1">
      <c r="B181" s="82"/>
      <c r="E181" s="82"/>
      <c r="F181" s="82"/>
    </row>
    <row r="182" spans="2:6" ht="22.15" customHeight="1">
      <c r="B182" s="82"/>
      <c r="E182" s="82"/>
      <c r="F182" s="82"/>
    </row>
    <row r="183" spans="2:6" ht="22.15" customHeight="1">
      <c r="B183" s="82"/>
      <c r="E183" s="82"/>
      <c r="F183" s="82"/>
    </row>
    <row r="184" spans="2:6" ht="22.15" customHeight="1">
      <c r="B184" s="82"/>
      <c r="E184" s="82"/>
      <c r="F184" s="82"/>
    </row>
    <row r="185" spans="2:6" ht="22.15" customHeight="1">
      <c r="B185" s="82"/>
      <c r="E185" s="82"/>
      <c r="F185" s="82"/>
    </row>
    <row r="186" spans="2:6" ht="22.15" customHeight="1">
      <c r="B186" s="82"/>
      <c r="E186" s="82"/>
      <c r="F186" s="82"/>
    </row>
    <row r="187" spans="2:6" ht="22.15" customHeight="1">
      <c r="B187" s="82"/>
      <c r="E187" s="82"/>
      <c r="F187" s="82"/>
    </row>
    <row r="188" spans="2:6" ht="22.15" customHeight="1">
      <c r="B188" s="82"/>
      <c r="E188" s="82"/>
      <c r="F188" s="82"/>
    </row>
    <row r="189" spans="2:6" ht="22.15" customHeight="1">
      <c r="B189" s="82"/>
      <c r="E189" s="82"/>
      <c r="F189" s="82"/>
    </row>
    <row r="190" spans="2:6" ht="22.15" customHeight="1">
      <c r="B190" s="82"/>
      <c r="E190" s="82"/>
      <c r="F190" s="82"/>
    </row>
    <row r="191" spans="2:6" ht="22.15" customHeight="1">
      <c r="B191" s="82"/>
      <c r="E191" s="82"/>
      <c r="F191" s="82"/>
    </row>
    <row r="192" spans="2:6" ht="22.15" customHeight="1">
      <c r="B192" s="82"/>
      <c r="E192" s="82"/>
      <c r="F192" s="82"/>
    </row>
    <row r="193" spans="2:6" ht="22.15" customHeight="1">
      <c r="B193" s="82"/>
      <c r="E193" s="82"/>
      <c r="F193" s="82"/>
    </row>
    <row r="194" spans="2:6" ht="22.15" customHeight="1">
      <c r="B194" s="82"/>
      <c r="E194" s="82"/>
      <c r="F194" s="82"/>
    </row>
    <row r="195" spans="2:6" ht="22.15" customHeight="1">
      <c r="B195" s="82"/>
      <c r="E195" s="82"/>
      <c r="F195" s="82"/>
    </row>
    <row r="196" spans="2:6" ht="22.15" customHeight="1">
      <c r="B196" s="82"/>
      <c r="E196" s="82"/>
      <c r="F196" s="82"/>
    </row>
    <row r="197" spans="2:6" ht="22.15" customHeight="1">
      <c r="B197" s="82"/>
      <c r="E197" s="82"/>
      <c r="F197" s="82"/>
    </row>
    <row r="198" spans="2:6" ht="22.15" customHeight="1">
      <c r="B198" s="82"/>
      <c r="E198" s="82"/>
      <c r="F198" s="82"/>
    </row>
    <row r="199" spans="2:6" ht="22.15" customHeight="1">
      <c r="B199" s="82"/>
      <c r="E199" s="82"/>
      <c r="F199" s="82"/>
    </row>
    <row r="200" spans="2:6" ht="22.15" customHeight="1">
      <c r="B200" s="82"/>
      <c r="E200" s="82"/>
      <c r="F200" s="82"/>
    </row>
    <row r="201" spans="2:6" ht="22.15" customHeight="1">
      <c r="B201" s="82"/>
      <c r="E201" s="82"/>
      <c r="F201" s="82"/>
    </row>
    <row r="202" spans="2:6" ht="22.15" customHeight="1">
      <c r="B202" s="82"/>
      <c r="E202" s="82"/>
      <c r="F202" s="82"/>
    </row>
    <row r="203" spans="2:6" ht="22.15" customHeight="1">
      <c r="B203" s="82"/>
      <c r="E203" s="82"/>
      <c r="F203" s="82"/>
    </row>
    <row r="204" spans="2:6" ht="22.15" customHeight="1">
      <c r="B204" s="82"/>
      <c r="E204" s="82"/>
      <c r="F204" s="82"/>
    </row>
    <row r="205" spans="2:6" ht="22.15" customHeight="1">
      <c r="B205" s="82"/>
      <c r="E205" s="82"/>
      <c r="F205" s="82"/>
    </row>
    <row r="206" spans="2:6" ht="22.15" customHeight="1">
      <c r="B206" s="82"/>
      <c r="E206" s="82"/>
      <c r="F206" s="82"/>
    </row>
    <row r="207" spans="2:6" ht="22.15" customHeight="1">
      <c r="B207" s="82"/>
      <c r="E207" s="82"/>
      <c r="F207" s="82"/>
    </row>
    <row r="208" spans="2:6" ht="22.15" customHeight="1">
      <c r="B208" s="82"/>
      <c r="E208" s="82"/>
      <c r="F208" s="82"/>
    </row>
    <row r="209" spans="2:6" ht="22.15" customHeight="1">
      <c r="B209" s="82"/>
      <c r="E209" s="82"/>
      <c r="F209" s="82"/>
    </row>
    <row r="210" spans="2:6" ht="22.15" customHeight="1">
      <c r="B210" s="82"/>
      <c r="E210" s="82"/>
      <c r="F210" s="82"/>
    </row>
    <row r="211" spans="2:6" ht="22.15" customHeight="1">
      <c r="B211" s="82"/>
      <c r="E211" s="82"/>
      <c r="F211" s="82"/>
    </row>
    <row r="212" spans="2:6" ht="22.15" customHeight="1">
      <c r="B212" s="82"/>
      <c r="E212" s="82"/>
      <c r="F212" s="82"/>
    </row>
    <row r="213" spans="2:6" ht="22.15" customHeight="1">
      <c r="B213" s="82"/>
      <c r="E213" s="82"/>
      <c r="F213" s="82"/>
    </row>
    <row r="214" spans="2:6" ht="22.15" customHeight="1">
      <c r="B214" s="82"/>
      <c r="E214" s="82"/>
      <c r="F214" s="82"/>
    </row>
    <row r="215" spans="2:6" ht="22.15" customHeight="1">
      <c r="B215" s="82"/>
      <c r="E215" s="82"/>
      <c r="F215" s="82"/>
    </row>
    <row r="216" spans="2:6" ht="22.15" customHeight="1">
      <c r="B216" s="82"/>
      <c r="E216" s="82"/>
      <c r="F216" s="82"/>
    </row>
    <row r="217" spans="2:6" ht="22.15" customHeight="1">
      <c r="B217" s="82"/>
      <c r="E217" s="82"/>
      <c r="F217" s="82"/>
    </row>
    <row r="218" spans="2:6" ht="22.15" customHeight="1">
      <c r="B218" s="82"/>
      <c r="E218" s="82"/>
      <c r="F218" s="82"/>
    </row>
    <row r="219" spans="2:6" ht="22.15" customHeight="1">
      <c r="B219" s="82"/>
      <c r="E219" s="82"/>
      <c r="F219" s="82"/>
    </row>
    <row r="220" spans="2:6" ht="22.15" customHeight="1">
      <c r="B220" s="82"/>
      <c r="E220" s="82"/>
      <c r="F220" s="82"/>
    </row>
    <row r="221" spans="2:6" ht="22.15" customHeight="1">
      <c r="B221" s="82"/>
      <c r="E221" s="82"/>
      <c r="F221" s="82"/>
    </row>
    <row r="222" spans="2:6" ht="22.15" customHeight="1">
      <c r="B222" s="82"/>
      <c r="E222" s="82"/>
      <c r="F222" s="82"/>
    </row>
    <row r="223" spans="2:6" ht="22.15" customHeight="1">
      <c r="B223" s="82"/>
      <c r="E223" s="82"/>
      <c r="F223" s="82"/>
    </row>
    <row r="224" spans="2:6" ht="22.15" customHeight="1">
      <c r="B224" s="82"/>
      <c r="E224" s="82"/>
      <c r="F224" s="82"/>
    </row>
    <row r="225" spans="2:6" ht="22.15" customHeight="1">
      <c r="B225" s="82"/>
      <c r="E225" s="82"/>
      <c r="F225" s="82"/>
    </row>
    <row r="226" spans="2:6" ht="22.15" customHeight="1">
      <c r="B226" s="82"/>
      <c r="E226" s="82"/>
      <c r="F226" s="82"/>
    </row>
    <row r="227" spans="2:6" ht="22.15" customHeight="1">
      <c r="B227" s="82"/>
      <c r="E227" s="82"/>
      <c r="F227" s="82"/>
    </row>
    <row r="228" spans="2:6" ht="22.15" customHeight="1">
      <c r="B228" s="82"/>
      <c r="E228" s="82"/>
      <c r="F228" s="82"/>
    </row>
    <row r="229" spans="2:6" ht="22.15" customHeight="1">
      <c r="B229" s="82"/>
      <c r="E229" s="82"/>
    </row>
    <row r="230" spans="2:6" ht="22.15" customHeight="1">
      <c r="B230" s="82"/>
      <c r="E230" s="82"/>
    </row>
    <row r="231" spans="2:6" ht="22.15" customHeight="1">
      <c r="B231" s="82"/>
      <c r="E231" s="82"/>
    </row>
    <row r="232" spans="2:6" ht="22.15" customHeight="1">
      <c r="B232" s="82"/>
      <c r="E232" s="82"/>
    </row>
    <row r="233" spans="2:6" ht="22.15" customHeight="1">
      <c r="B233" s="82"/>
      <c r="E233" s="82"/>
    </row>
    <row r="234" spans="2:6" ht="22.15" customHeight="1">
      <c r="B234" s="82"/>
      <c r="E234" s="82"/>
    </row>
    <row r="235" spans="2:6" ht="22.15" customHeight="1">
      <c r="B235" s="82"/>
      <c r="E235" s="82"/>
    </row>
    <row r="236" spans="2:6" ht="22.15" customHeight="1">
      <c r="B236" s="82"/>
      <c r="E236" s="82"/>
    </row>
    <row r="237" spans="2:6" ht="22.15" customHeight="1">
      <c r="B237" s="82"/>
      <c r="E237" s="82"/>
    </row>
    <row r="238" spans="2:6" ht="22.15" customHeight="1">
      <c r="B238" s="82"/>
      <c r="E238" s="82"/>
    </row>
    <row r="239" spans="2:6" ht="22.15" customHeight="1">
      <c r="B239" s="82"/>
      <c r="E239" s="82"/>
    </row>
    <row r="240" spans="2:6" ht="22.15" customHeight="1">
      <c r="B240" s="82"/>
      <c r="E240" s="82"/>
    </row>
    <row r="241" spans="2:5" ht="22.15" customHeight="1">
      <c r="B241" s="82"/>
      <c r="E241" s="82"/>
    </row>
    <row r="242" spans="2:5" ht="22.15" customHeight="1">
      <c r="B242" s="82"/>
      <c r="E242" s="82"/>
    </row>
    <row r="243" spans="2:5" ht="22.15" customHeight="1">
      <c r="B243" s="82"/>
      <c r="E243" s="82"/>
    </row>
    <row r="244" spans="2:5" ht="22.15" customHeight="1">
      <c r="B244" s="82"/>
      <c r="E244" s="82"/>
    </row>
    <row r="245" spans="2:5" ht="22.15" customHeight="1">
      <c r="B245" s="82"/>
      <c r="E245" s="82"/>
    </row>
    <row r="246" spans="2:5" ht="22.15" customHeight="1">
      <c r="B246" s="82"/>
      <c r="E246" s="82"/>
    </row>
    <row r="247" spans="2:5" ht="22.15" customHeight="1">
      <c r="B247" s="82"/>
      <c r="E247" s="82"/>
    </row>
    <row r="248" spans="2:5" ht="22.15" customHeight="1">
      <c r="B248" s="82"/>
      <c r="E248" s="82"/>
    </row>
    <row r="249" spans="2:5" ht="22.15" customHeight="1">
      <c r="B249" s="82"/>
      <c r="E249" s="82"/>
    </row>
    <row r="250" spans="2:5" ht="22.15" customHeight="1">
      <c r="B250" s="82"/>
      <c r="E250" s="82"/>
    </row>
    <row r="251" spans="2:5" ht="22.15" customHeight="1">
      <c r="B251" s="82"/>
      <c r="E251" s="82"/>
    </row>
    <row r="252" spans="2:5" ht="22.15" customHeight="1">
      <c r="B252" s="82"/>
      <c r="E252" s="82"/>
    </row>
    <row r="253" spans="2:5" ht="22.15" customHeight="1">
      <c r="B253" s="82"/>
      <c r="E253" s="82"/>
    </row>
    <row r="254" spans="2:5" ht="22.15" customHeight="1">
      <c r="B254" s="82"/>
      <c r="E254" s="82"/>
    </row>
    <row r="255" spans="2:5" ht="22.15" customHeight="1">
      <c r="B255" s="82"/>
      <c r="E255" s="82"/>
    </row>
    <row r="256" spans="2:5" ht="22.15" customHeight="1">
      <c r="B256" s="82"/>
      <c r="E256" s="82"/>
    </row>
    <row r="257" spans="2:5" ht="22.15" customHeight="1">
      <c r="B257" s="82"/>
      <c r="E257" s="82"/>
    </row>
    <row r="258" spans="2:5" ht="22.15" customHeight="1">
      <c r="B258" s="82"/>
      <c r="E258" s="82"/>
    </row>
    <row r="259" spans="2:5" ht="22.15" customHeight="1">
      <c r="B259" s="82"/>
      <c r="E259" s="82"/>
    </row>
    <row r="260" spans="2:5" ht="22.15" customHeight="1">
      <c r="B260" s="82"/>
      <c r="E260" s="82"/>
    </row>
    <row r="261" spans="2:5" ht="22.15" customHeight="1">
      <c r="B261" s="82"/>
      <c r="E261" s="82"/>
    </row>
    <row r="262" spans="2:5" ht="22.15" customHeight="1">
      <c r="B262" s="82"/>
      <c r="E262" s="82"/>
    </row>
    <row r="263" spans="2:5" ht="22.15" customHeight="1">
      <c r="B263" s="82"/>
      <c r="E263" s="82"/>
    </row>
    <row r="264" spans="2:5" ht="22.15" customHeight="1">
      <c r="B264" s="82"/>
      <c r="E264" s="82"/>
    </row>
    <row r="265" spans="2:5" ht="22.15" customHeight="1">
      <c r="B265" s="82"/>
      <c r="E265" s="82"/>
    </row>
    <row r="266" spans="2:5" ht="22.15" customHeight="1">
      <c r="B266" s="82"/>
      <c r="E266" s="82"/>
    </row>
    <row r="267" spans="2:5" ht="22.15" customHeight="1">
      <c r="B267" s="82"/>
      <c r="E267" s="82"/>
    </row>
    <row r="268" spans="2:5" ht="22.15" customHeight="1">
      <c r="B268" s="82"/>
      <c r="E268" s="82"/>
    </row>
    <row r="269" spans="2:5" ht="22.15" customHeight="1">
      <c r="B269" s="82"/>
      <c r="E269" s="82"/>
    </row>
    <row r="270" spans="2:5" ht="22.15" customHeight="1">
      <c r="B270" s="82"/>
      <c r="E270" s="82"/>
    </row>
    <row r="271" spans="2:5" ht="22.15" customHeight="1">
      <c r="B271" s="82"/>
      <c r="E271" s="82"/>
    </row>
    <row r="272" spans="2:5" ht="22.15" customHeight="1">
      <c r="B272" s="82"/>
      <c r="E272" s="82"/>
    </row>
    <row r="273" spans="2:5" ht="22.15" customHeight="1">
      <c r="B273" s="82"/>
      <c r="E273" s="82"/>
    </row>
    <row r="274" spans="2:5" ht="22.15" customHeight="1">
      <c r="B274" s="82"/>
      <c r="E274" s="82"/>
    </row>
    <row r="275" spans="2:5" ht="22.15" customHeight="1">
      <c r="B275" s="82"/>
      <c r="E275" s="82"/>
    </row>
    <row r="276" spans="2:5" ht="22.15" customHeight="1">
      <c r="B276" s="82"/>
      <c r="E276" s="82"/>
    </row>
    <row r="277" spans="2:5" ht="22.15" customHeight="1">
      <c r="B277" s="82"/>
      <c r="E277" s="82"/>
    </row>
    <row r="278" spans="2:5" ht="22.15" customHeight="1">
      <c r="B278" s="82"/>
      <c r="E278" s="82"/>
    </row>
    <row r="279" spans="2:5" ht="22.15" customHeight="1">
      <c r="B279" s="82"/>
      <c r="E279" s="82"/>
    </row>
    <row r="280" spans="2:5" ht="22.15" customHeight="1">
      <c r="B280" s="82"/>
      <c r="E280" s="82"/>
    </row>
    <row r="281" spans="2:5" ht="22.15" customHeight="1">
      <c r="B281" s="82"/>
      <c r="E281" s="82"/>
    </row>
    <row r="282" spans="2:5" ht="22.15" customHeight="1">
      <c r="B282" s="82"/>
      <c r="E282" s="82"/>
    </row>
    <row r="283" spans="2:5" ht="22.15" customHeight="1">
      <c r="B283" s="82"/>
      <c r="E283" s="82"/>
    </row>
    <row r="284" spans="2:5" ht="22.15" customHeight="1">
      <c r="B284" s="82"/>
      <c r="E284" s="82"/>
    </row>
    <row r="1048572" spans="4:4" ht="22.15" customHeight="1">
      <c r="D1048572" s="152" t="s">
        <v>2889</v>
      </c>
    </row>
  </sheetData>
  <sheetProtection algorithmName="SHA-512" hashValue="UhRGwhLfSdQQJrXcwoGgThBzU2i329V1XY4X3jSsUBGMR2wzT+VzsKFS6Tluc6cNL4+ThlCZ6VGu0MrVO9GWvA==" saltValue="1xGgKuTB5b7P9QTowjixng==" spinCount="100000" sheet="1" objects="1" scenarios="1"/>
  <dataConsolidate link="1"/>
  <mergeCells count="17">
    <mergeCell ref="B77:F78"/>
    <mergeCell ref="F57:F63"/>
    <mergeCell ref="F64:F69"/>
    <mergeCell ref="F70:F71"/>
    <mergeCell ref="F79:F96"/>
    <mergeCell ref="H67:H75"/>
    <mergeCell ref="C1:F1"/>
    <mergeCell ref="F40:F48"/>
    <mergeCell ref="B3:G3"/>
    <mergeCell ref="F52:F56"/>
    <mergeCell ref="F37:F39"/>
    <mergeCell ref="F25:F36"/>
    <mergeCell ref="F14:F16"/>
    <mergeCell ref="F6:F13"/>
    <mergeCell ref="F17:F24"/>
    <mergeCell ref="F72:F75"/>
    <mergeCell ref="F49:F51"/>
  </mergeCells>
  <conditionalFormatting sqref="H67 I75 H76:I78 H84:I86">
    <cfRule type="notContainsBlanks" dxfId="134" priority="12">
      <formula>LEN(TRIM(H67))&gt;0</formula>
    </cfRule>
  </conditionalFormatting>
  <conditionalFormatting sqref="H52:I54">
    <cfRule type="containsText" dxfId="133" priority="2" operator="containsText" text="BRASIL">
      <formula>NOT(ISERROR(SEARCH("BRASIL",H52)))</formula>
    </cfRule>
    <cfRule type="notContainsBlanks" dxfId="132" priority="3">
      <formula>LEN(TRIM(H52))&gt;0</formula>
    </cfRule>
  </conditionalFormatting>
  <conditionalFormatting sqref="I72:I74">
    <cfRule type="containsText" dxfId="131" priority="11" operator="containsText" text="BRASIL">
      <formula>NOT(ISERROR(SEARCH("BRASIL",I72)))</formula>
    </cfRule>
    <cfRule type="notContainsBlanks" dxfId="130" priority="13">
      <formula>LEN(TRIM(I72))&gt;0</formula>
    </cfRule>
  </conditionalFormatting>
  <dataValidations count="1">
    <dataValidation type="list" allowBlank="1" showInputMessage="1" showErrorMessage="1" sqref="D1048572:D1048576 D79:D283 D6:D76" xr:uid="{00000000-0002-0000-0300-000000000000}">
      <formula1>Afirmativa</formula1>
    </dataValidation>
  </dataValidations>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99B65-84F4-42C6-835A-4AA99353D927}">
  <dimension ref="A1:B87"/>
  <sheetViews>
    <sheetView topLeftCell="A42" workbookViewId="0">
      <selection activeCell="A2" sqref="A2"/>
    </sheetView>
  </sheetViews>
  <sheetFormatPr defaultRowHeight="14.5"/>
  <cols>
    <col min="1" max="1" width="64.26953125" bestFit="1" customWidth="1"/>
    <col min="2" max="2" width="4.26953125" bestFit="1" customWidth="1"/>
  </cols>
  <sheetData>
    <row r="1" spans="1:2">
      <c r="A1" s="467" t="s">
        <v>251</v>
      </c>
      <c r="B1" s="468" t="s">
        <v>5826</v>
      </c>
    </row>
    <row r="2" spans="1:2">
      <c r="A2" s="467" t="s">
        <v>46</v>
      </c>
      <c r="B2" s="468" t="s">
        <v>5826</v>
      </c>
    </row>
    <row r="3" spans="1:2">
      <c r="A3" s="467" t="s">
        <v>6016</v>
      </c>
      <c r="B3" s="468" t="s">
        <v>5826</v>
      </c>
    </row>
    <row r="4" spans="1:2">
      <c r="A4" s="469" t="s">
        <v>157</v>
      </c>
      <c r="B4" s="241" t="s">
        <v>5826</v>
      </c>
    </row>
    <row r="5" spans="1:2">
      <c r="A5" s="469" t="s">
        <v>6017</v>
      </c>
      <c r="B5" s="241" t="s">
        <v>5826</v>
      </c>
    </row>
    <row r="6" spans="1:2">
      <c r="A6" s="469" t="s">
        <v>47</v>
      </c>
      <c r="B6" s="241" t="s">
        <v>5826</v>
      </c>
    </row>
    <row r="7" spans="1:2">
      <c r="A7" s="469" t="s">
        <v>156</v>
      </c>
      <c r="B7" s="241" t="s">
        <v>5826</v>
      </c>
    </row>
    <row r="8" spans="1:2">
      <c r="A8" s="469" t="s">
        <v>162</v>
      </c>
      <c r="B8" s="241" t="s">
        <v>5826</v>
      </c>
    </row>
    <row r="9" spans="1:2">
      <c r="A9" s="469" t="s">
        <v>158</v>
      </c>
      <c r="B9" s="241" t="s">
        <v>5826</v>
      </c>
    </row>
    <row r="10" spans="1:2">
      <c r="A10" s="470" t="s">
        <v>6018</v>
      </c>
      <c r="B10" s="471" t="s">
        <v>5826</v>
      </c>
    </row>
    <row r="11" spans="1:2">
      <c r="A11" s="469" t="s">
        <v>3768</v>
      </c>
      <c r="B11" s="241" t="s">
        <v>5826</v>
      </c>
    </row>
    <row r="12" spans="1:2">
      <c r="A12" s="469" t="s">
        <v>3765</v>
      </c>
      <c r="B12" s="241" t="s">
        <v>5826</v>
      </c>
    </row>
    <row r="13" spans="1:2">
      <c r="A13" s="469" t="s">
        <v>6019</v>
      </c>
      <c r="B13" s="241" t="s">
        <v>5826</v>
      </c>
    </row>
    <row r="14" spans="1:2">
      <c r="A14" s="469" t="s">
        <v>3820</v>
      </c>
      <c r="B14" s="241" t="s">
        <v>5826</v>
      </c>
    </row>
    <row r="15" spans="1:2">
      <c r="A15" s="469" t="s">
        <v>3802</v>
      </c>
      <c r="B15" s="241" t="s">
        <v>5826</v>
      </c>
    </row>
    <row r="16" spans="1:2">
      <c r="A16" s="469" t="s">
        <v>3847</v>
      </c>
      <c r="B16" s="241" t="s">
        <v>5826</v>
      </c>
    </row>
    <row r="17" spans="1:2">
      <c r="A17" s="469" t="s">
        <v>3844</v>
      </c>
      <c r="B17" s="241" t="s">
        <v>5826</v>
      </c>
    </row>
    <row r="18" spans="1:2">
      <c r="A18" s="469" t="s">
        <v>3853</v>
      </c>
      <c r="B18" s="241" t="s">
        <v>5826</v>
      </c>
    </row>
    <row r="19" spans="1:2">
      <c r="A19" s="472" t="s">
        <v>6020</v>
      </c>
      <c r="B19" s="473" t="s">
        <v>5826</v>
      </c>
    </row>
    <row r="20" spans="1:2">
      <c r="A20" s="472" t="s">
        <v>1569</v>
      </c>
      <c r="B20" s="473" t="s">
        <v>5826</v>
      </c>
    </row>
    <row r="21" spans="1:2">
      <c r="A21" s="469" t="s">
        <v>4672</v>
      </c>
      <c r="B21" s="241" t="s">
        <v>5826</v>
      </c>
    </row>
    <row r="22" spans="1:2">
      <c r="A22" s="469" t="s">
        <v>4666</v>
      </c>
      <c r="B22" s="241" t="s">
        <v>5826</v>
      </c>
    </row>
    <row r="23" spans="1:2">
      <c r="A23" s="469" t="s">
        <v>4657</v>
      </c>
      <c r="B23" s="241" t="s">
        <v>5826</v>
      </c>
    </row>
    <row r="24" spans="1:2">
      <c r="A24" s="469" t="s">
        <v>4654</v>
      </c>
      <c r="B24" s="241" t="s">
        <v>5826</v>
      </c>
    </row>
    <row r="25" spans="1:2">
      <c r="A25" s="472" t="s">
        <v>4136</v>
      </c>
      <c r="B25" s="473" t="s">
        <v>5826</v>
      </c>
    </row>
    <row r="26" spans="1:2">
      <c r="A26" s="469" t="s">
        <v>3689</v>
      </c>
      <c r="B26" s="241" t="s">
        <v>5826</v>
      </c>
    </row>
    <row r="27" spans="1:2">
      <c r="A27" s="469" t="s">
        <v>4603</v>
      </c>
      <c r="B27" s="241" t="s">
        <v>5826</v>
      </c>
    </row>
    <row r="28" spans="1:2">
      <c r="A28" s="469" t="s">
        <v>4629</v>
      </c>
      <c r="B28" s="241" t="s">
        <v>5826</v>
      </c>
    </row>
    <row r="29" spans="1:2">
      <c r="A29" s="469" t="s">
        <v>4615</v>
      </c>
      <c r="B29" s="241" t="s">
        <v>5826</v>
      </c>
    </row>
    <row r="30" spans="1:2">
      <c r="A30" s="469" t="s">
        <v>4618</v>
      </c>
      <c r="B30" s="241" t="s">
        <v>5826</v>
      </c>
    </row>
    <row r="31" spans="1:2">
      <c r="A31" s="469" t="s">
        <v>4606</v>
      </c>
      <c r="B31" s="241" t="s">
        <v>5826</v>
      </c>
    </row>
    <row r="32" spans="1:2">
      <c r="A32" s="469" t="s">
        <v>3707</v>
      </c>
      <c r="B32" s="241" t="s">
        <v>5826</v>
      </c>
    </row>
    <row r="33" spans="1:2">
      <c r="A33" s="469" t="s">
        <v>4483</v>
      </c>
      <c r="B33" s="241" t="s">
        <v>5826</v>
      </c>
    </row>
    <row r="34" spans="1:2">
      <c r="A34" s="469" t="s">
        <v>4493</v>
      </c>
      <c r="B34" s="241" t="s">
        <v>5826</v>
      </c>
    </row>
    <row r="35" spans="1:2">
      <c r="A35" s="469" t="s">
        <v>4477</v>
      </c>
      <c r="B35" s="241" t="s">
        <v>5826</v>
      </c>
    </row>
    <row r="36" spans="1:2">
      <c r="A36" s="469" t="s">
        <v>4490</v>
      </c>
      <c r="B36" s="241" t="s">
        <v>5826</v>
      </c>
    </row>
    <row r="37" spans="1:2">
      <c r="A37" s="469" t="s">
        <v>4486</v>
      </c>
      <c r="B37" s="241" t="s">
        <v>5826</v>
      </c>
    </row>
    <row r="38" spans="1:2">
      <c r="A38" s="469" t="s">
        <v>4520</v>
      </c>
      <c r="B38" s="241" t="s">
        <v>5826</v>
      </c>
    </row>
    <row r="39" spans="1:2">
      <c r="A39" s="469" t="s">
        <v>4508</v>
      </c>
      <c r="B39" s="241" t="s">
        <v>5826</v>
      </c>
    </row>
    <row r="40" spans="1:2">
      <c r="A40" s="469" t="s">
        <v>4436</v>
      </c>
      <c r="B40" s="241" t="s">
        <v>5826</v>
      </c>
    </row>
    <row r="41" spans="1:2">
      <c r="A41" s="469" t="s">
        <v>3874</v>
      </c>
      <c r="B41" s="241" t="s">
        <v>5826</v>
      </c>
    </row>
    <row r="42" spans="1:2">
      <c r="A42" s="469" t="s">
        <v>3891</v>
      </c>
      <c r="B42" s="241" t="s">
        <v>5826</v>
      </c>
    </row>
    <row r="43" spans="1:2">
      <c r="A43" s="469" t="s">
        <v>3875</v>
      </c>
      <c r="B43" s="241" t="s">
        <v>5826</v>
      </c>
    </row>
    <row r="44" spans="1:2">
      <c r="A44" s="469" t="s">
        <v>3879</v>
      </c>
      <c r="B44" s="241" t="s">
        <v>5826</v>
      </c>
    </row>
    <row r="45" spans="1:2">
      <c r="A45" s="469" t="s">
        <v>3868</v>
      </c>
      <c r="B45" s="241" t="s">
        <v>5826</v>
      </c>
    </row>
    <row r="46" spans="1:2">
      <c r="A46" s="469" t="s">
        <v>4568</v>
      </c>
      <c r="B46" s="241" t="s">
        <v>5826</v>
      </c>
    </row>
    <row r="47" spans="1:2">
      <c r="A47" s="469" t="s">
        <v>6021</v>
      </c>
      <c r="B47" s="241" t="s">
        <v>5826</v>
      </c>
    </row>
    <row r="48" spans="1:2">
      <c r="A48" s="469" t="s">
        <v>4541</v>
      </c>
      <c r="B48" s="241" t="s">
        <v>5826</v>
      </c>
    </row>
    <row r="49" spans="1:2">
      <c r="A49" s="469" t="s">
        <v>4690</v>
      </c>
      <c r="B49" s="241" t="s">
        <v>5826</v>
      </c>
    </row>
    <row r="50" spans="1:2">
      <c r="A50" s="469" t="s">
        <v>4693</v>
      </c>
      <c r="B50" s="241" t="s">
        <v>5826</v>
      </c>
    </row>
    <row r="51" spans="1:2">
      <c r="A51" s="469" t="s">
        <v>4687</v>
      </c>
      <c r="B51" s="241" t="s">
        <v>5826</v>
      </c>
    </row>
    <row r="52" spans="1:2">
      <c r="A52" s="469" t="s">
        <v>3673</v>
      </c>
      <c r="B52" s="241" t="s">
        <v>5826</v>
      </c>
    </row>
    <row r="53" spans="1:2">
      <c r="A53" s="469" t="s">
        <v>3679</v>
      </c>
      <c r="B53" s="241" t="s">
        <v>5826</v>
      </c>
    </row>
    <row r="54" spans="1:2">
      <c r="A54" s="469" t="s">
        <v>3682</v>
      </c>
      <c r="B54" s="241" t="s">
        <v>5826</v>
      </c>
    </row>
    <row r="55" spans="1:2">
      <c r="A55" s="469" t="s">
        <v>6022</v>
      </c>
      <c r="B55" s="241" t="s">
        <v>5826</v>
      </c>
    </row>
    <row r="56" spans="1:2">
      <c r="A56" s="469" t="s">
        <v>113</v>
      </c>
      <c r="B56" s="241" t="s">
        <v>5826</v>
      </c>
    </row>
    <row r="57" spans="1:2">
      <c r="A57" s="469" t="s">
        <v>6023</v>
      </c>
      <c r="B57" s="241" t="s">
        <v>5826</v>
      </c>
    </row>
    <row r="58" spans="1:2">
      <c r="A58" s="472" t="s">
        <v>127</v>
      </c>
      <c r="B58" s="473" t="s">
        <v>5826</v>
      </c>
    </row>
    <row r="59" spans="1:2">
      <c r="A59" s="472" t="s">
        <v>6</v>
      </c>
      <c r="B59" s="473" t="s">
        <v>5826</v>
      </c>
    </row>
    <row r="60" spans="1:2">
      <c r="A60" s="472" t="s">
        <v>128</v>
      </c>
      <c r="B60" s="473" t="s">
        <v>5826</v>
      </c>
    </row>
    <row r="61" spans="1:2">
      <c r="A61" s="469" t="s">
        <v>90</v>
      </c>
      <c r="B61" s="241" t="s">
        <v>5826</v>
      </c>
    </row>
    <row r="62" spans="1:2">
      <c r="A62" s="469" t="s">
        <v>99</v>
      </c>
      <c r="B62" s="241" t="s">
        <v>5826</v>
      </c>
    </row>
    <row r="63" spans="1:2">
      <c r="A63" s="469" t="s">
        <v>93</v>
      </c>
      <c r="B63" s="241" t="s">
        <v>5826</v>
      </c>
    </row>
    <row r="64" spans="1:2">
      <c r="A64" s="469" t="s">
        <v>100</v>
      </c>
      <c r="B64" s="241" t="s">
        <v>5826</v>
      </c>
    </row>
    <row r="65" spans="1:2">
      <c r="A65" s="469" t="s">
        <v>20</v>
      </c>
      <c r="B65" s="241" t="s">
        <v>5826</v>
      </c>
    </row>
    <row r="66" spans="1:2">
      <c r="A66" s="469" t="s">
        <v>444</v>
      </c>
      <c r="B66" s="241" t="s">
        <v>5826</v>
      </c>
    </row>
    <row r="67" spans="1:2">
      <c r="A67" s="469" t="s">
        <v>443</v>
      </c>
      <c r="B67" s="241" t="s">
        <v>5826</v>
      </c>
    </row>
    <row r="68" spans="1:2">
      <c r="A68" s="469" t="s">
        <v>17</v>
      </c>
      <c r="B68" s="241" t="s">
        <v>5826</v>
      </c>
    </row>
    <row r="69" spans="1:2">
      <c r="A69" s="469" t="s">
        <v>14</v>
      </c>
      <c r="B69" s="241" t="s">
        <v>5826</v>
      </c>
    </row>
    <row r="70" spans="1:2">
      <c r="A70" s="469" t="s">
        <v>107</v>
      </c>
      <c r="B70" s="241" t="s">
        <v>5826</v>
      </c>
    </row>
    <row r="71" spans="1:2">
      <c r="A71" s="469" t="s">
        <v>3696</v>
      </c>
      <c r="B71" s="241" t="s">
        <v>5826</v>
      </c>
    </row>
    <row r="72" spans="1:2">
      <c r="A72" s="469" t="s">
        <v>3693</v>
      </c>
      <c r="B72" s="241" t="s">
        <v>5826</v>
      </c>
    </row>
    <row r="73" spans="1:2">
      <c r="A73" s="469" t="s">
        <v>5883</v>
      </c>
      <c r="B73" s="241" t="s">
        <v>5826</v>
      </c>
    </row>
    <row r="74" spans="1:2">
      <c r="A74" s="469" t="s">
        <v>3710</v>
      </c>
      <c r="B74" s="241" t="s">
        <v>5826</v>
      </c>
    </row>
    <row r="75" spans="1:2">
      <c r="A75" s="469" t="s">
        <v>3713</v>
      </c>
      <c r="B75" s="241" t="s">
        <v>5826</v>
      </c>
    </row>
    <row r="76" spans="1:2">
      <c r="A76" s="469" t="s">
        <v>3749</v>
      </c>
      <c r="B76" s="241" t="s">
        <v>5826</v>
      </c>
    </row>
    <row r="77" spans="1:2">
      <c r="A77" s="469" t="s">
        <v>3896</v>
      </c>
      <c r="B77" s="241" t="s">
        <v>5826</v>
      </c>
    </row>
    <row r="78" spans="1:2">
      <c r="A78" s="469" t="s">
        <v>3863</v>
      </c>
      <c r="B78" s="241" t="s">
        <v>5826</v>
      </c>
    </row>
    <row r="79" spans="1:2">
      <c r="A79" s="469" t="s">
        <v>3745</v>
      </c>
      <c r="B79" s="241" t="s">
        <v>5826</v>
      </c>
    </row>
    <row r="80" spans="1:2">
      <c r="A80" s="469" t="s">
        <v>3720</v>
      </c>
      <c r="B80" s="241" t="s">
        <v>5826</v>
      </c>
    </row>
    <row r="81" spans="1:2">
      <c r="A81" s="469" t="s">
        <v>6024</v>
      </c>
      <c r="B81" s="241" t="s">
        <v>5826</v>
      </c>
    </row>
    <row r="82" spans="1:2">
      <c r="A82" s="469" t="s">
        <v>3729</v>
      </c>
      <c r="B82" s="241" t="s">
        <v>5826</v>
      </c>
    </row>
    <row r="83" spans="1:2">
      <c r="A83" s="469" t="s">
        <v>6025</v>
      </c>
      <c r="B83" s="241" t="s">
        <v>5826</v>
      </c>
    </row>
    <row r="84" spans="1:2">
      <c r="A84" s="469" t="s">
        <v>5884</v>
      </c>
      <c r="B84" s="241" t="s">
        <v>5826</v>
      </c>
    </row>
    <row r="85" spans="1:2">
      <c r="A85" s="469" t="s">
        <v>3733</v>
      </c>
      <c r="B85" s="241" t="s">
        <v>5826</v>
      </c>
    </row>
    <row r="86" spans="1:2">
      <c r="A86" s="469" t="s">
        <v>1395</v>
      </c>
      <c r="B86" s="241" t="s">
        <v>5826</v>
      </c>
    </row>
    <row r="87" spans="1:2">
      <c r="A87" s="469" t="s">
        <v>6026</v>
      </c>
      <c r="B87" s="241" t="s">
        <v>5826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O156"/>
  <sheetViews>
    <sheetView showGridLines="0" topLeftCell="A7" zoomScaleNormal="100" workbookViewId="0">
      <selection activeCell="C63" sqref="C63"/>
    </sheetView>
  </sheetViews>
  <sheetFormatPr defaultColWidth="9.1796875" defaultRowHeight="14.5"/>
  <cols>
    <col min="1" max="1" width="4.54296875" style="80" customWidth="1"/>
    <col min="2" max="2" width="11.7265625" style="95" bestFit="1" customWidth="1"/>
    <col min="3" max="3" width="110.54296875" style="82" customWidth="1"/>
    <col min="4" max="4" width="23.7265625" style="106" bestFit="1" customWidth="1"/>
    <col min="5" max="5" width="9.453125" style="92" hidden="1" customWidth="1"/>
    <col min="6" max="6" width="39.26953125" style="82" customWidth="1"/>
    <col min="7" max="7" width="3.26953125" style="141" customWidth="1"/>
    <col min="8" max="8" width="4" style="141" hidden="1" customWidth="1"/>
    <col min="9" max="9" width="83.1796875" style="125" hidden="1" customWidth="1"/>
    <col min="10" max="10" width="78.453125" style="82" hidden="1" customWidth="1"/>
    <col min="11" max="11" width="17.54296875" style="82" hidden="1" customWidth="1"/>
    <col min="12" max="12" width="11.453125" style="82" hidden="1" customWidth="1"/>
    <col min="13" max="16384" width="9.1796875" style="82"/>
  </cols>
  <sheetData>
    <row r="1" spans="1:12" ht="40.5" customHeight="1">
      <c r="A1" s="80">
        <v>2</v>
      </c>
      <c r="B1" s="552" t="str">
        <f>HLOOKUP('General Information'!$C$6,'IDIOMA (hide)'!$A$1:$D$5016,A1,0)</f>
        <v>LTEP - Levantamento Técnico de Estimativa de Projeto TASY EMR
Código do documento: 0060 - Rev 024</v>
      </c>
      <c r="C1" s="552"/>
      <c r="D1" s="552"/>
      <c r="E1" s="552"/>
      <c r="F1" s="552"/>
      <c r="G1" s="552"/>
      <c r="H1" s="552"/>
      <c r="I1" s="552"/>
      <c r="J1" s="552"/>
      <c r="K1" s="81"/>
    </row>
    <row r="2" spans="1:12">
      <c r="B2" s="81"/>
      <c r="C2" s="81"/>
      <c r="D2" s="81"/>
      <c r="E2" s="83" t="s">
        <v>2789</v>
      </c>
      <c r="F2" s="81"/>
      <c r="G2" s="137"/>
      <c r="H2" s="137"/>
      <c r="I2" s="186"/>
      <c r="J2" s="81" t="s">
        <v>2789</v>
      </c>
      <c r="K2" s="81" t="s">
        <v>2789</v>
      </c>
      <c r="L2" s="82" t="s">
        <v>2789</v>
      </c>
    </row>
    <row r="3" spans="1:12" ht="21.5" thickBot="1">
      <c r="B3" s="108" t="s">
        <v>2352</v>
      </c>
      <c r="C3" s="108"/>
      <c r="D3" s="108"/>
      <c r="E3" s="108"/>
      <c r="F3" s="108"/>
      <c r="G3" s="108"/>
      <c r="H3" s="108"/>
      <c r="I3" s="108"/>
    </row>
    <row r="4" spans="1:12" ht="10.15" customHeight="1">
      <c r="B4" s="188">
        <v>215</v>
      </c>
      <c r="C4" s="188">
        <v>216</v>
      </c>
      <c r="D4" s="188">
        <v>217</v>
      </c>
      <c r="E4" s="189"/>
      <c r="F4" s="188">
        <v>218</v>
      </c>
      <c r="G4" s="137"/>
      <c r="H4" s="137"/>
      <c r="I4" s="186"/>
      <c r="J4" s="612" t="s">
        <v>1951</v>
      </c>
      <c r="K4" s="612"/>
      <c r="L4" s="612"/>
    </row>
    <row r="5" spans="1:12">
      <c r="B5" s="84" t="str">
        <f>HLOOKUP('General Information'!$C$6,'IDIOMA (hide)'!$A$1:$D$5016,B4,0)</f>
        <v>ID Pergunta</v>
      </c>
      <c r="C5" s="84" t="str">
        <f>HLOOKUP('General Information'!$C$6,'IDIOMA (hide)'!$A$1:$D$5016,C4,0)</f>
        <v>Pergunta</v>
      </c>
      <c r="D5" s="84" t="str">
        <f>HLOOKUP('General Information'!$C$6,'IDIOMA (hide)'!$A$1:$D$5016,D4,0)</f>
        <v>Resposta</v>
      </c>
      <c r="E5" s="84" t="s">
        <v>1948</v>
      </c>
      <c r="F5" s="84" t="str">
        <f>HLOOKUP('General Information'!$C$6,'IDIOMA (hide)'!$A$1:$D$5016,F4,0)</f>
        <v>Horas Adicionais</v>
      </c>
      <c r="G5" s="146" t="s">
        <v>2361</v>
      </c>
      <c r="H5" s="143"/>
      <c r="J5" s="84" t="s">
        <v>1947</v>
      </c>
      <c r="K5" s="84" t="s">
        <v>1949</v>
      </c>
      <c r="L5" s="84" t="s">
        <v>465</v>
      </c>
    </row>
    <row r="6" spans="1:12" ht="15" customHeight="1">
      <c r="A6" s="80">
        <v>62</v>
      </c>
      <c r="B6" s="85">
        <v>9</v>
      </c>
      <c r="C6" s="86" t="str">
        <f>HLOOKUP('General Information'!$C$6,'IDIOMA (hide)'!$A$1:$D$5016,A6,0)</f>
        <v>Quantas recepções a instituição possui?</v>
      </c>
      <c r="D6" s="22"/>
      <c r="E6" s="89">
        <v>916</v>
      </c>
      <c r="F6" s="389" t="str">
        <f>IF(D6&gt;1,D6*(K6*0.5),"0")</f>
        <v>0</v>
      </c>
      <c r="G6" s="613" t="str">
        <f>HLOOKUP('General Information'!$C$6,'IDIOMA (hide)'!$A$1:$D$5016,I6,0)</f>
        <v>LTEP - Levantamento Técnico de Estimativa de Projeto TASY EMR
Código do documento: 0060 - Rev 024</v>
      </c>
      <c r="H6" s="288"/>
      <c r="I6" s="80">
        <v>2</v>
      </c>
      <c r="J6" s="9" t="s">
        <v>457</v>
      </c>
      <c r="K6" s="85">
        <f>VLOOKUP(E6,'BASE_FUNCOES (hide)'!A:I,9,0)</f>
        <v>24</v>
      </c>
      <c r="L6" s="88" t="str">
        <f>IF(D6&gt;0,CONCATENATE("Acrescido ",D6*50,"% de horas em virtude da instituição possuir ",D6," recepções."),"")</f>
        <v/>
      </c>
    </row>
    <row r="7" spans="1:12">
      <c r="A7" s="80">
        <v>63</v>
      </c>
      <c r="B7" s="85">
        <v>10</v>
      </c>
      <c r="C7" s="86" t="str">
        <f>HLOOKUP('General Information'!$C$6,'IDIOMA (hide)'!$A$1:$D$5016,A7,0)</f>
        <v>Quantos setores utilizarão um painel de chamadas para controle de filas de atendimento?</v>
      </c>
      <c r="D7" s="22"/>
      <c r="E7" s="89">
        <v>10021</v>
      </c>
      <c r="F7" s="389">
        <f>IF(D7&gt;1,(D7*(K7*0.4)),0)</f>
        <v>0</v>
      </c>
      <c r="G7" s="614"/>
      <c r="H7" s="288"/>
      <c r="I7" s="80">
        <v>1</v>
      </c>
      <c r="J7" s="9" t="s">
        <v>458</v>
      </c>
      <c r="K7" s="85">
        <f>VLOOKUP(E7,'BASE_FUNCOES (hide)'!A:I,9,0)</f>
        <v>16</v>
      </c>
      <c r="L7" s="88" t="str">
        <f>IF(D7&gt;0,CONCATENATE("Acrescido ",D7*40,"% de horas em virtude da instituição possuir ",D7," setores que utilizarão painel de chamadas para fila de atendimento."),"")</f>
        <v/>
      </c>
    </row>
    <row r="8" spans="1:12" s="106" customFormat="1">
      <c r="A8" s="80">
        <v>431</v>
      </c>
      <c r="B8" s="85">
        <v>74</v>
      </c>
      <c r="C8" s="86" t="str">
        <f>HLOOKUP('General Information'!$C$6,'IDIOMA (hide)'!$A$1:$D$5016,A8,0)</f>
        <v>Requer a personalização de relatórios no formato do hospital (contrato, etiquetas, aviso de privacidade etc.)?</v>
      </c>
      <c r="D8" s="22"/>
      <c r="E8" s="89">
        <v>260</v>
      </c>
      <c r="F8" s="389">
        <f>IF(D8&gt;1,(D8*8),0)</f>
        <v>0</v>
      </c>
      <c r="G8" s="614"/>
      <c r="H8" s="374"/>
      <c r="I8" s="375">
        <v>150</v>
      </c>
      <c r="J8" s="9" t="s">
        <v>5801</v>
      </c>
      <c r="K8" s="89">
        <v>8</v>
      </c>
      <c r="L8" s="377"/>
    </row>
    <row r="9" spans="1:12">
      <c r="A9" s="80">
        <v>68</v>
      </c>
      <c r="B9" s="85">
        <v>14</v>
      </c>
      <c r="C9" s="86" t="str">
        <f>HLOOKUP('General Information'!$C$6,'IDIOMA (hide)'!$A$1:$D$5016,A9,0)</f>
        <v>Utilizará auto atendimento?</v>
      </c>
      <c r="D9" s="22"/>
      <c r="E9" s="89">
        <v>10021</v>
      </c>
      <c r="F9" s="389">
        <f>IF(OR(D9="Yes",D9="Yes",D9="Yes")=TRUE,K9,0)</f>
        <v>0</v>
      </c>
      <c r="G9" s="614"/>
      <c r="H9" s="288"/>
      <c r="I9" s="80" t="s">
        <v>2889</v>
      </c>
      <c r="J9" s="8" t="s">
        <v>3466</v>
      </c>
      <c r="K9" s="85">
        <v>24</v>
      </c>
      <c r="L9" s="88" t="str">
        <f>IF(D9="Sim","Acrescido 12 horas em virtude da instituição utilizar o auto-atendimento.","")</f>
        <v/>
      </c>
    </row>
    <row r="10" spans="1:12">
      <c r="A10" s="80">
        <v>477</v>
      </c>
      <c r="B10" s="85">
        <v>96</v>
      </c>
      <c r="C10" s="86" t="str">
        <f>HLOOKUP('General Information'!$C$6,'IDIOMA (hide)'!$A$1:$D$5016,A10,0)</f>
        <v>O cliente irá utilizar a Tele Consulta?</v>
      </c>
      <c r="D10" s="22"/>
      <c r="E10" s="85">
        <v>821</v>
      </c>
      <c r="F10" s="389">
        <f>IF(D10="Yes",K10,0)</f>
        <v>0</v>
      </c>
      <c r="G10" s="615"/>
      <c r="H10" s="288"/>
      <c r="I10" s="80" t="s">
        <v>5825</v>
      </c>
      <c r="J10" s="8" t="s">
        <v>5827</v>
      </c>
      <c r="K10" s="85">
        <v>4</v>
      </c>
      <c r="L10" s="88"/>
    </row>
    <row r="11" spans="1:12">
      <c r="A11" s="80">
        <v>46</v>
      </c>
      <c r="B11" s="85">
        <v>1</v>
      </c>
      <c r="C11" s="86" t="str">
        <f>HLOOKUP('General Information'!$C$6,'IDIOMA (hide)'!$A$1:$D$5016,A11,0)</f>
        <v>Quantos convênios a instituição atende?</v>
      </c>
      <c r="D11" s="22"/>
      <c r="E11" s="89">
        <v>921</v>
      </c>
      <c r="F11" s="389">
        <f>IF(D11="1 a 30",0,IF(D11="31 a 60",K11*0.25,IF(D11="61 a 100",K11*0.4,IF(D11="acima de 100",K11*0.6,0))))</f>
        <v>0</v>
      </c>
      <c r="G11" s="606" t="str">
        <f>HLOOKUP('General Information'!$C$6,'IDIOMA (hide)'!$A$1:$D$5016,I11,0)</f>
        <v>Faturamento</v>
      </c>
      <c r="H11" s="288"/>
      <c r="I11" s="80">
        <v>210</v>
      </c>
      <c r="J11" s="8" t="s">
        <v>447</v>
      </c>
      <c r="K11" s="85">
        <f>VLOOKUP(E11,'BASE_FUNCOES (hide)'!A:I,9,0)</f>
        <v>40</v>
      </c>
      <c r="L11" s="88" t="str">
        <f>IF(D11="1 a 30","",IF(D11="31 a 60","Acrescido 25% de horas em virtude da instituição atender de 31 a 60 convênios.",IF(D11="61 a 100","Acrescido 40% de horas em virtude da instituição atender de 61 a 100 convênios.",IF(D11="acima de 100","Acrescido 60% de horas em virtude da instituição atender mais de 100 convênios.",""))))</f>
        <v/>
      </c>
    </row>
    <row r="12" spans="1:12">
      <c r="A12" s="80">
        <v>48</v>
      </c>
      <c r="B12" s="85">
        <v>3</v>
      </c>
      <c r="C12" s="86" t="str">
        <f>HLOOKUP('General Information'!$C$6,'IDIOMA (hide)'!$A$1:$D$5016,A12,0)</f>
        <v>Possui processo de auditoria externa de contas?</v>
      </c>
      <c r="D12" s="22"/>
      <c r="E12" s="89">
        <v>1116</v>
      </c>
      <c r="F12" s="389">
        <f>IF(OR(D12="Sim",D12="Yes",D12="Si")=TRUE,K12*0.3,0)</f>
        <v>0</v>
      </c>
      <c r="G12" s="606"/>
      <c r="H12" s="288"/>
      <c r="I12" s="80">
        <v>0</v>
      </c>
      <c r="J12" s="8" t="s">
        <v>2910</v>
      </c>
      <c r="K12" s="85">
        <f>VLOOKUP(E12,'BASE_FUNCOES (hide)'!A:I,9,0)</f>
        <v>32</v>
      </c>
      <c r="L12" s="88" t="str">
        <f>IF(D12="Sim","Acrescido 30% de horas em virtude da instituição possuir processo de auditoria de contas externas.","")</f>
        <v/>
      </c>
    </row>
    <row r="13" spans="1:12">
      <c r="A13" s="80">
        <v>55</v>
      </c>
      <c r="B13" s="85">
        <v>7</v>
      </c>
      <c r="C13" s="86" t="str">
        <f>HLOOKUP('General Information'!$C$6,'IDIOMA (hide)'!$A$1:$D$5016,A13,0)</f>
        <v>Quantas centrais de atendimentos/autorização existem?</v>
      </c>
      <c r="D13" s="22"/>
      <c r="E13" s="89">
        <v>3004</v>
      </c>
      <c r="F13" s="389">
        <f>IF(D13&gt;1,(D13*(K13*0.4)),0)</f>
        <v>0</v>
      </c>
      <c r="G13" s="606"/>
      <c r="H13" s="288"/>
      <c r="I13" s="80">
        <v>2</v>
      </c>
      <c r="J13" s="9" t="s">
        <v>453</v>
      </c>
      <c r="K13" s="85">
        <f>VLOOKUP(E13,'BASE_FUNCOES (hide)'!A:I,9,0)</f>
        <v>16</v>
      </c>
      <c r="L13" s="88" t="str">
        <f>IF(D13&gt;0,CONCATENATE("Acrescido ",D13*40," % em virtude da instituição possuir ",D13," centrais de atendimento/autorização."),"")</f>
        <v/>
      </c>
    </row>
    <row r="14" spans="1:12" s="106" customFormat="1">
      <c r="A14" s="80">
        <v>432</v>
      </c>
      <c r="B14" s="85">
        <v>75</v>
      </c>
      <c r="C14" s="86" t="str">
        <f>HLOOKUP('General Information'!$C$6,'IDIOMA (hide)'!$A$1:$D$5016,A14,0)</f>
        <v>Não aplicável</v>
      </c>
      <c r="D14" s="22"/>
      <c r="E14" s="89">
        <v>7028</v>
      </c>
      <c r="F14" s="389">
        <f>IF(D14&gt;5,20*(D14-5),0)</f>
        <v>0</v>
      </c>
      <c r="G14" s="606"/>
      <c r="H14" s="374"/>
      <c r="I14" s="375">
        <v>0</v>
      </c>
      <c r="J14" s="376" t="s">
        <v>5816</v>
      </c>
      <c r="K14" s="89"/>
      <c r="L14" s="377"/>
    </row>
    <row r="15" spans="1:12" s="106" customFormat="1">
      <c r="A15" s="80">
        <v>433</v>
      </c>
      <c r="B15" s="85">
        <v>76</v>
      </c>
      <c r="C15" s="86" t="str">
        <f>HLOOKUP('General Information'!$C$6,'IDIOMA (hide)'!$A$1:$D$5016,A15,0)</f>
        <v>Não aplicável</v>
      </c>
      <c r="D15" s="22"/>
      <c r="E15" s="89">
        <v>7028</v>
      </c>
      <c r="F15" s="389">
        <f>D15*K15</f>
        <v>0</v>
      </c>
      <c r="G15" s="606"/>
      <c r="H15" s="374"/>
      <c r="I15" s="375" t="s">
        <v>2889</v>
      </c>
      <c r="J15" s="412" t="s">
        <v>5818</v>
      </c>
      <c r="K15" s="89">
        <v>16</v>
      </c>
      <c r="L15" s="377"/>
    </row>
    <row r="16" spans="1:12" ht="13.5" customHeight="1">
      <c r="A16" s="80">
        <v>70</v>
      </c>
      <c r="B16" s="85">
        <v>15</v>
      </c>
      <c r="C16" s="86" t="str">
        <f>HLOOKUP('General Information'!$C$6,'IDIOMA (hide)'!$A$1:$D$5016,A16,0)</f>
        <v>É realizado atendimento para o SUS?</v>
      </c>
      <c r="D16" s="22"/>
      <c r="E16" s="89">
        <v>281</v>
      </c>
      <c r="F16" s="389">
        <f>IF(OR(D16="Sim",D16="Yes",D16="Si")=TRUE,K16,0)</f>
        <v>0</v>
      </c>
      <c r="G16" s="606"/>
      <c r="H16" s="288"/>
      <c r="I16" s="80" t="s">
        <v>2889</v>
      </c>
      <c r="J16" s="56" t="s">
        <v>2065</v>
      </c>
      <c r="K16" s="85">
        <v>8</v>
      </c>
      <c r="L16" s="88"/>
    </row>
    <row r="17" spans="1:12" ht="14.5" customHeight="1">
      <c r="A17" s="80">
        <v>47</v>
      </c>
      <c r="B17" s="85">
        <v>2</v>
      </c>
      <c r="C17" s="86" t="str">
        <f>HLOOKUP('General Information'!$C$6,'IDIOMA (hide)'!$A$1:$D$5016,A17,0)</f>
        <v>Os setores de farmácia e almoxarifado utilizam o processo de requisição?</v>
      </c>
      <c r="D17" s="22"/>
      <c r="E17" s="89">
        <v>109</v>
      </c>
      <c r="F17" s="389">
        <f>IF(OR(D17="Yes",D17="Yes",D17="Yes")=TRUE,K17*0.5,0)</f>
        <v>0</v>
      </c>
      <c r="G17" s="613" t="str">
        <f>HLOOKUP('General Information'!$C$6,'IDIOMA (hide)'!$A$1:$D$5016,I17,0)</f>
        <v>Suprimentos</v>
      </c>
      <c r="H17" s="288"/>
      <c r="I17" s="80">
        <v>209</v>
      </c>
      <c r="J17" s="56" t="s">
        <v>448</v>
      </c>
      <c r="K17" s="85">
        <f>VLOOKUP(E17,'BASE_FUNCOES (hide)'!A:I,9,0)</f>
        <v>8</v>
      </c>
      <c r="L17" s="88" t="str">
        <f>IF(D17="Sim","Acrescido 50% de horas pois os setores de farmacia e/ou almoxarifado utilizam o processo de requisição","")</f>
        <v/>
      </c>
    </row>
    <row r="18" spans="1:12" s="106" customFormat="1">
      <c r="A18" s="80">
        <v>434</v>
      </c>
      <c r="B18" s="85">
        <v>77</v>
      </c>
      <c r="C18" s="86" t="str">
        <f>HLOOKUP('General Information'!$C$6,'IDIOMA (hide)'!$A$1:$D$5016,A18,0)</f>
        <v>Quantos Armazéns Centrais você possui na instituição?</v>
      </c>
      <c r="D18" s="22"/>
      <c r="E18" s="89">
        <v>919</v>
      </c>
      <c r="F18" s="389">
        <f>IF(D18&gt;2,20*(D18-2),0)</f>
        <v>0</v>
      </c>
      <c r="G18" s="614"/>
      <c r="H18" s="374"/>
      <c r="I18" s="375">
        <v>5</v>
      </c>
      <c r="J18" s="56" t="s">
        <v>3467</v>
      </c>
      <c r="K18" s="89"/>
      <c r="L18" s="377"/>
    </row>
    <row r="19" spans="1:12">
      <c r="A19" s="80">
        <v>53</v>
      </c>
      <c r="B19" s="85">
        <v>5</v>
      </c>
      <c r="C19" s="86" t="str">
        <f>HLOOKUP('General Information'!$C$6,'IDIOMA (hide)'!$A$1:$D$5016,A19,0)</f>
        <v>Quantos setores utilizarão o atendimento do lote?</v>
      </c>
      <c r="D19" s="22"/>
      <c r="E19" s="89">
        <v>7029</v>
      </c>
      <c r="F19" s="389">
        <f>IF(D19&gt;1,D19*(K19*0.25),0)</f>
        <v>0</v>
      </c>
      <c r="G19" s="614"/>
      <c r="H19" s="288"/>
      <c r="I19" s="80"/>
      <c r="J19" s="56" t="s">
        <v>452</v>
      </c>
      <c r="K19" s="85">
        <f>VLOOKUP(E19,'BASE_FUNCOES (hide)'!A:I,9,0)</f>
        <v>24</v>
      </c>
      <c r="L19" s="88" t="str">
        <f>IF(D19&gt;0,CONCATENATE("Acrescido ",D19*25,"% de horas em virtude de ",D19," setores utilizarem atendimento lote."),"")</f>
        <v/>
      </c>
    </row>
    <row r="20" spans="1:12" s="106" customFormat="1">
      <c r="A20" s="80">
        <v>435</v>
      </c>
      <c r="B20" s="85">
        <v>78</v>
      </c>
      <c r="C20" s="86" t="str">
        <f>HLOOKUP('General Information'!$C$6,'IDIOMA (hide)'!$A$1:$D$5016,A20,0)</f>
        <v>Qual é a forma de gerenciamento de inventário (PEPS, UEPS, MÉDIA)?</v>
      </c>
      <c r="D20" s="22"/>
      <c r="E20" s="89">
        <v>919</v>
      </c>
      <c r="F20" s="389">
        <f>IF(D20&lt;&gt;0,K20,0)</f>
        <v>0</v>
      </c>
      <c r="G20" s="614"/>
      <c r="H20" s="374"/>
      <c r="I20" s="375">
        <v>5</v>
      </c>
      <c r="J20" s="56" t="s">
        <v>5817</v>
      </c>
      <c r="K20" s="89">
        <v>16</v>
      </c>
      <c r="L20" s="377"/>
    </row>
    <row r="21" spans="1:12">
      <c r="A21" s="80">
        <v>54</v>
      </c>
      <c r="B21" s="85">
        <v>6</v>
      </c>
      <c r="C21" s="86" t="str">
        <f>HLOOKUP('General Information'!$C$6,'IDIOMA (hide)'!$A$1:$D$5016,A21,0)</f>
        <v>Quantos setores utilizarão o processo de devolução de materiais do paciente?</v>
      </c>
      <c r="D21" s="22"/>
      <c r="E21" s="89">
        <v>42</v>
      </c>
      <c r="F21" s="389">
        <f>IF(D21&gt;1,(D21*(K21*0.25)),0)</f>
        <v>0</v>
      </c>
      <c r="G21" s="614"/>
      <c r="H21" s="288"/>
      <c r="I21" s="80">
        <v>1</v>
      </c>
      <c r="J21" s="56" t="s">
        <v>452</v>
      </c>
      <c r="K21" s="85">
        <f>VLOOKUP(E21,'BASE_FUNCOES (hide)'!A:I,9,0)</f>
        <v>8</v>
      </c>
      <c r="L21" s="88" t="str">
        <f>IF(D21&gt;0,CONCATENATE("Acrescido ",D21*25,"% de horas em virtude da instiuição possuir ",D21," setores utilizarem atendimento lote."),"")</f>
        <v/>
      </c>
    </row>
    <row r="22" spans="1:12" s="106" customFormat="1">
      <c r="A22" s="80">
        <v>436</v>
      </c>
      <c r="B22" s="85">
        <v>79</v>
      </c>
      <c r="C22" s="86" t="str">
        <f>HLOOKUP('General Information'!$C$6,'IDIOMA (hide)'!$A$1:$D$5016,A22,0)</f>
        <v>Quantos pontos de venda de Farmácia Externa possui a instituição?</v>
      </c>
      <c r="D22" s="22"/>
      <c r="E22" s="89">
        <v>10015</v>
      </c>
      <c r="F22" s="389">
        <f>IF(D22&gt;2,K22*(D22-2),0)</f>
        <v>0</v>
      </c>
      <c r="G22" s="615"/>
      <c r="H22" s="374"/>
      <c r="I22" s="375" t="s">
        <v>2890</v>
      </c>
      <c r="J22" s="56" t="s">
        <v>3468</v>
      </c>
      <c r="K22" s="89">
        <v>20</v>
      </c>
      <c r="L22" s="377"/>
    </row>
    <row r="23" spans="1:12" ht="15" customHeight="1">
      <c r="A23" s="80">
        <v>51</v>
      </c>
      <c r="B23" s="85">
        <v>4</v>
      </c>
      <c r="C23" s="86" t="str">
        <f>HLOOKUP('General Information'!$C$6,'IDIOMA (hide)'!$A$1:$D$5016,A23,0)</f>
        <v>É realizado importação do extrato bancário?</v>
      </c>
      <c r="D23" s="22"/>
      <c r="E23" s="89">
        <v>814</v>
      </c>
      <c r="F23" s="389">
        <f>IF(OR(D23="Yes",D23="Yes",D23="Yes")=TRUE,(K23*0.4),0)</f>
        <v>0</v>
      </c>
      <c r="G23" s="618" t="str">
        <f>HLOOKUP('General Information'!$C$6,'IDIOMA (hide)'!$A$1:$D$5016,I23,0)</f>
        <v>Financeiro</v>
      </c>
      <c r="H23" s="288"/>
      <c r="I23" s="80">
        <v>211</v>
      </c>
      <c r="J23" s="56" t="s">
        <v>2908</v>
      </c>
      <c r="K23" s="85">
        <f>VLOOKUP(E23,'BASE_FUNCOES (hide)'!A:I,9,0)</f>
        <v>40</v>
      </c>
      <c r="L23" s="88" t="str">
        <f>IF(D23="Não","Reduzido 40% de horas pois a instituição não deseja realizar a importação de extrato bancário.","")</f>
        <v/>
      </c>
    </row>
    <row r="24" spans="1:12" s="106" customFormat="1" ht="15" customHeight="1">
      <c r="A24" s="80">
        <v>437</v>
      </c>
      <c r="B24" s="85">
        <v>80</v>
      </c>
      <c r="C24" s="86" t="str">
        <f>HLOOKUP('General Information'!$C$6,'IDIOMA (hide)'!$A$1:$D$5016,A24,0)</f>
        <v>Você gerencia moeda estrangeira (USD, EUR, ETC)? Em quais processos?</v>
      </c>
      <c r="D24" s="22"/>
      <c r="E24" s="89">
        <v>851</v>
      </c>
      <c r="F24" s="389">
        <f>IF(D24="Yes",K24,0)</f>
        <v>0</v>
      </c>
      <c r="G24" s="619"/>
      <c r="H24" s="374"/>
      <c r="I24" s="375" t="s">
        <v>2890</v>
      </c>
      <c r="J24" s="56" t="s">
        <v>5819</v>
      </c>
      <c r="K24" s="89">
        <v>8</v>
      </c>
      <c r="L24" s="377"/>
    </row>
    <row r="25" spans="1:12">
      <c r="A25" s="80">
        <v>66</v>
      </c>
      <c r="B25" s="85">
        <v>12</v>
      </c>
      <c r="C25" s="86" t="str">
        <f>HLOOKUP('General Information'!$C$6,'IDIOMA (hide)'!$A$1:$D$5016,A25,0)</f>
        <v>É realizado a importação de extratos da operadora de cartão de crédito?</v>
      </c>
      <c r="D25" s="22"/>
      <c r="E25" s="89">
        <v>3020</v>
      </c>
      <c r="F25" s="389">
        <f>IF(OR(D25="Yes",D25="Yes",D25="Yes")=TRUE,K25,0)</f>
        <v>0</v>
      </c>
      <c r="G25" s="619"/>
      <c r="H25" s="288"/>
      <c r="I25" s="80"/>
      <c r="J25" s="8" t="s">
        <v>2909</v>
      </c>
      <c r="K25" s="85">
        <f>VLOOKUP(E25,'BASE_FUNCOES (hide)'!A:I,9,0)</f>
        <v>16</v>
      </c>
      <c r="L25" s="88" t="str">
        <f>IF(D25="Sim","Acrescido 100% de horas em virtude da instituição realizar a importação de extratos de cartão de crédito","" )</f>
        <v/>
      </c>
    </row>
    <row r="26" spans="1:12" s="106" customFormat="1">
      <c r="A26" s="80">
        <v>438</v>
      </c>
      <c r="B26" s="85">
        <v>81</v>
      </c>
      <c r="C26" s="86" t="str">
        <f>HLOOKUP('General Information'!$C$6,'IDIOMA (hide)'!$A$1:$D$5016,A26,0)</f>
        <v>Quantos layouts de pagamentos eletrônicos você gerencia na instituição?</v>
      </c>
      <c r="D26" s="22"/>
      <c r="E26" s="90">
        <v>860</v>
      </c>
      <c r="F26" s="389">
        <f>D26*K26</f>
        <v>0</v>
      </c>
      <c r="G26" s="619"/>
      <c r="H26" s="374"/>
      <c r="I26" s="375">
        <v>1</v>
      </c>
      <c r="J26" s="378" t="s">
        <v>3469</v>
      </c>
      <c r="K26" s="89">
        <v>32</v>
      </c>
      <c r="L26" s="377"/>
    </row>
    <row r="27" spans="1:12">
      <c r="A27" s="80">
        <v>67</v>
      </c>
      <c r="B27" s="85">
        <v>13</v>
      </c>
      <c r="C27" s="86" t="str">
        <f>HLOOKUP('General Information'!$C$6,'IDIOMA (hide)'!$A$1:$D$5016,A27,0)</f>
        <v>Quantos caixas existem em toda a instituição?</v>
      </c>
      <c r="D27" s="22"/>
      <c r="E27" s="89">
        <v>813</v>
      </c>
      <c r="F27" s="389">
        <f>IF(D27&gt;10,K27*0.5,0)</f>
        <v>0</v>
      </c>
      <c r="G27" s="619"/>
      <c r="H27" s="288"/>
      <c r="I27" s="80"/>
      <c r="J27" s="8" t="s">
        <v>462</v>
      </c>
      <c r="K27" s="85">
        <f>VLOOKUP(E27,'BASE_FUNCOES (hide)'!A:I,9,0)</f>
        <v>24</v>
      </c>
      <c r="L27" s="88" t="str">
        <f>IF(D27&gt;10,CONCATENATE("Acrescido 50% de horas em virtude da instituição possuir ",D27," caixas."),"")</f>
        <v/>
      </c>
    </row>
    <row r="28" spans="1:12">
      <c r="A28" s="80">
        <v>65</v>
      </c>
      <c r="B28" s="85">
        <v>11</v>
      </c>
      <c r="C28" s="86" t="str">
        <f>HLOOKUP('General Information'!$C$6,'IDIOMA (hide)'!$A$1:$D$5016,A28,0)</f>
        <v>Quantos Terceiros possuem repasse de pagamento?Ex.: Medicos, clinicas, laboratorios, corpo clinico e etc.</v>
      </c>
      <c r="D28" s="22"/>
      <c r="E28" s="89">
        <v>92</v>
      </c>
      <c r="F28" s="389">
        <f>IF(D28="0 a 100",0,IF(D28="101 a 200",K28*0.2,IF(D28="201 a 300",K28*0.4,IF(D28="acima de 300",(K28*0.6),0))))</f>
        <v>0</v>
      </c>
      <c r="G28" s="619"/>
      <c r="H28" s="288"/>
      <c r="I28" s="80">
        <v>19</v>
      </c>
      <c r="J28" s="8" t="s">
        <v>459</v>
      </c>
      <c r="K28" s="85">
        <f>VLOOKUP(E28,'BASE_FUNCOES (hide)'!A:I,9,0)</f>
        <v>24</v>
      </c>
      <c r="L28" s="88" t="str">
        <f>IF(D28="0 a 100","",IF(D28="101 a 200","Acrescido 20% de horas em virtude da instituição possuir de 101 a 200 terceiros para realização de repasse.",IF(D28="201 a 300","Acrescido 40% de horas em virtude da instituição possuir de 201 a 300 terceiros para realização de repasse.",IF(D28="acima de 300","Acrescido 60% de horas em virtude da instituição possuir mais de 300 terceiros para realização de repasse.",""))))</f>
        <v/>
      </c>
    </row>
    <row r="29" spans="1:12">
      <c r="A29" s="80">
        <v>476</v>
      </c>
      <c r="B29" s="85">
        <v>98</v>
      </c>
      <c r="C29" s="86" t="str">
        <f>HLOOKUP('General Information'!$C$6,'IDIOMA (hide)'!$A$1:$D$5016,A29,0)</f>
        <v>Utilizará o processo de Contabilidade On Line?</v>
      </c>
      <c r="D29" s="22"/>
      <c r="E29" s="89">
        <v>7050</v>
      </c>
      <c r="F29" s="389">
        <f>IF(D29="Yes",K29,0)</f>
        <v>0</v>
      </c>
      <c r="G29" s="605"/>
      <c r="H29" s="288"/>
      <c r="I29" s="80" t="s">
        <v>2889</v>
      </c>
      <c r="J29" s="8" t="s">
        <v>5823</v>
      </c>
      <c r="K29" s="85">
        <v>16</v>
      </c>
      <c r="L29" s="88"/>
    </row>
    <row r="30" spans="1:12" ht="13.9" customHeight="1">
      <c r="A30" s="80">
        <v>56</v>
      </c>
      <c r="B30" s="85">
        <v>8</v>
      </c>
      <c r="C30" s="86" t="str">
        <f>HLOOKUP('General Information'!$C$6,'IDIOMA (hide)'!$A$1:$D$5016,A30,0)</f>
        <v>Quantos setores utilizarão o processo de Ordem de Serviço?</v>
      </c>
      <c r="D30" s="22"/>
      <c r="E30" s="89">
        <v>297</v>
      </c>
      <c r="F30" s="389">
        <f>IF(D30&gt;1,D30*(K30*0.5),0)</f>
        <v>0</v>
      </c>
      <c r="G30" s="617" t="str">
        <f>HLOOKUP('General Information'!$C$6,'IDIOMA (hide)'!$A$1:$D$5016,I30,0)</f>
        <v>Apoio</v>
      </c>
      <c r="H30" s="288"/>
      <c r="I30" s="80">
        <v>208</v>
      </c>
      <c r="J30" s="8" t="s">
        <v>454</v>
      </c>
      <c r="K30" s="85">
        <f>VLOOKUP(E30,'BASE_FUNCOES (hide)'!A:I,9,0)</f>
        <v>24</v>
      </c>
      <c r="L30" s="88" t="str">
        <f>IF(D30&gt;0,CONCATENATE("Acrescido ",D30*50,"% de horas em virtude da intituição possuir  ",D30," setores com automatização do processo de ordem de serviço"),"")</f>
        <v/>
      </c>
    </row>
    <row r="31" spans="1:12">
      <c r="A31" s="80">
        <v>71</v>
      </c>
      <c r="B31" s="85">
        <v>16</v>
      </c>
      <c r="C31" s="86" t="str">
        <f>HLOOKUP('General Information'!$C$6,'IDIOMA (hide)'!$A$1:$D$5016,A31,0)</f>
        <v>Deseja implantar o processo de Privacy? Ex. GDPR/LGPD</v>
      </c>
      <c r="D31" s="22"/>
      <c r="E31" s="89">
        <v>3291</v>
      </c>
      <c r="F31" s="389" t="str">
        <f>IF(OR(D31="Yes",D31="Yes",D31="Yes")=TRUE,K31,"0")</f>
        <v>0</v>
      </c>
      <c r="G31" s="617"/>
      <c r="H31" s="288"/>
      <c r="I31" s="190" t="s">
        <v>5826</v>
      </c>
      <c r="J31" s="8" t="s">
        <v>2906</v>
      </c>
      <c r="K31" s="85">
        <v>80</v>
      </c>
      <c r="L31" s="88"/>
    </row>
    <row r="32" spans="1:12" s="106" customFormat="1">
      <c r="A32" s="80">
        <v>439</v>
      </c>
      <c r="B32" s="85">
        <v>17</v>
      </c>
      <c r="C32" s="86" t="str">
        <f>HLOOKUP('General Information'!$C$6,'IDIOMA (hide)'!$A$1:$D$5016,A32,0)</f>
        <v>O cliente deseja criar relatórios personalizados? Quantos</v>
      </c>
      <c r="D32" s="22"/>
      <c r="E32" s="390">
        <v>69</v>
      </c>
      <c r="F32" s="391">
        <f>IF(D32&gt;1,(D32*K32),0)</f>
        <v>0</v>
      </c>
      <c r="G32" s="617"/>
      <c r="H32" s="142"/>
      <c r="I32" s="379"/>
      <c r="J32" s="378" t="s">
        <v>3470</v>
      </c>
      <c r="K32" s="89">
        <v>24</v>
      </c>
      <c r="L32" s="377" t="str">
        <f>IF(D32="1 a 30","",IF(D32="31 a 60","Acrescido 25% de horas em virtude da instituição atender de 31 a 60 convênios.",IF(D32="61 a 100","Acrescido 40% de horas em virtude da instituição atender de 61 a 100 convênios.",IF(D32="acima de 100","Acrescido 60% de horas em virtude da instituição atender mais de 100 convênios.",""))))</f>
        <v/>
      </c>
    </row>
    <row r="33" spans="1:12" s="106" customFormat="1">
      <c r="A33" s="80">
        <v>440</v>
      </c>
      <c r="B33" s="85">
        <v>91</v>
      </c>
      <c r="C33" s="86" t="str">
        <f>HLOOKUP('General Information'!$C$6,'IDIOMA (hide)'!$A$1:$D$5016,A33,0)</f>
        <v>Cliente quer construir indicadores para medir? Quantos</v>
      </c>
      <c r="D33" s="22"/>
      <c r="E33" s="390">
        <v>290</v>
      </c>
      <c r="F33" s="391">
        <f>IF(D33&gt;1,(D33*K33),0)</f>
        <v>0</v>
      </c>
      <c r="G33" s="617"/>
      <c r="H33" s="379"/>
      <c r="I33" s="379"/>
      <c r="J33" s="378" t="s">
        <v>3470</v>
      </c>
      <c r="K33" s="89">
        <v>24</v>
      </c>
      <c r="L33" s="377" t="str">
        <f>IF(D33="1 a 30","",IF(D33="31 a 60","Acrescido 25% de horas em virtude da instituição atender de 31 a 60 convênios.",IF(D33="61 a 100","Acrescido 40% de horas em virtude da instituição atender de 61 a 100 convênios.",IF(D33="acima de 100","Acrescido 60% de horas em virtude da instituição atender mais de 100 convênios.",""))))</f>
        <v/>
      </c>
    </row>
    <row r="34" spans="1:12" ht="15.75" customHeight="1">
      <c r="A34" s="80">
        <v>479</v>
      </c>
      <c r="B34" s="85">
        <v>99</v>
      </c>
      <c r="C34" s="86" t="str">
        <f>HLOOKUP('General Information'!$C$6,'IDIOMA (hide)'!$A$1:$D$5016,A34,0)</f>
        <v>Quantos convênios a instituição atende?</v>
      </c>
      <c r="D34" s="167"/>
      <c r="E34" s="390">
        <v>69</v>
      </c>
      <c r="F34" s="391">
        <f>IF(D34="1 a 30",0,IF(D34="31 a 60",K34*0.25,IF(D34="61 a 100",K34*0.4,IF(D34="Acima de 100",K34*0.6,0))))</f>
        <v>0</v>
      </c>
      <c r="G34" s="617"/>
      <c r="H34" s="379"/>
      <c r="J34" s="8" t="s">
        <v>460</v>
      </c>
      <c r="K34" s="85">
        <f>VLOOKUP(E34,'BASE_FUNCOES (hide)'!A:I,9,0)</f>
        <v>24</v>
      </c>
      <c r="L34" s="88" t="str">
        <f>IF(D34="1 a 30","",IF(D34="31 a 60","Acrescido 25% de horas em virtude da instituição atender de 31 a 60 convênios.",IF(D34="61 a 100","Acrescido 40% de horas em virtude da instituição atender de 61 a 100 convênios.",IF(D34="acima de 100","Acrescido 60% de horas em virtude da instituição atender mais de 100 convênios.",""))))</f>
        <v/>
      </c>
    </row>
    <row r="35" spans="1:12" hidden="1">
      <c r="A35" s="80">
        <v>479</v>
      </c>
      <c r="B35" s="85">
        <v>18</v>
      </c>
      <c r="C35" s="86" t="str">
        <f>HLOOKUP('General Information'!$C$6,'IDIOMA (hide)'!$A$1:$D$5016,A35,0)</f>
        <v>Quantos convênios a instituição atende?</v>
      </c>
      <c r="D35" s="167"/>
      <c r="E35" s="89">
        <v>27</v>
      </c>
      <c r="F35" s="389">
        <f>IF(D35="1 a 30",0,IF(D35="31 a 60",K35*0.25,IF(D35="61 a 100",K35*0.4,IF(D35="Acima de 100",K35*0.6,0))))</f>
        <v>0</v>
      </c>
      <c r="G35" s="617"/>
      <c r="H35" s="379"/>
      <c r="J35" s="8" t="s">
        <v>464</v>
      </c>
      <c r="K35" s="85">
        <f>VLOOKUP(E35,'BASE_FUNCOES (hide)'!A:I,9,0)</f>
        <v>24</v>
      </c>
      <c r="L35" s="88" t="str">
        <f>IF(D35="1 a 30","",IF(D35="31 a 60","Acrescido 25% de horas em virtude da instituição atender de 31 a 60 convênios.",IF(D35="61 a 100","Acrescido 40% de horas em virtude da instituição atender de 61 a 100 convênios.",IF(D35="acima de 100","Acrescido 60% de horas em virtude da instituição atender mais de 100 convênios.",""))))</f>
        <v/>
      </c>
    </row>
    <row r="36" spans="1:12">
      <c r="A36" s="80">
        <v>531</v>
      </c>
      <c r="B36" s="85">
        <v>114</v>
      </c>
      <c r="C36" s="86" t="s">
        <v>5996</v>
      </c>
      <c r="D36" s="167"/>
      <c r="E36" s="390">
        <v>8000</v>
      </c>
      <c r="F36" s="530">
        <f>IF(D36="Yes","Função Planejamento Orçamentário Adicionada",0)</f>
        <v>0</v>
      </c>
      <c r="G36" s="518"/>
      <c r="H36" s="379"/>
      <c r="J36" s="8" t="s">
        <v>2960</v>
      </c>
      <c r="K36" s="85">
        <f>VLOOKUP(E36,'BASE_FUNCOES (hide)'!A:I,9,0)</f>
        <v>4</v>
      </c>
      <c r="L36" s="88" t="str">
        <f>IF(D36="1 a 30","",IF(D36="31 a 60","Acrescido 25% de horas em virtude da instituição atender de 31 a 60 convênios.",IF(D36="61 a 100","Acrescido 40% de horas em virtude da instituição atender de 61 a 100 convênios.",IF(D36="acima de 100","Acrescido 60% de horas em virtude da instituição atender mais de 100 convênios.",""))))</f>
        <v/>
      </c>
    </row>
    <row r="37" spans="1:12">
      <c r="B37" s="94"/>
      <c r="C37" s="94"/>
      <c r="D37" s="94"/>
      <c r="E37" s="80"/>
      <c r="F37" s="93"/>
      <c r="G37" s="82"/>
      <c r="H37" s="379"/>
      <c r="J37" s="23"/>
      <c r="K37" s="94"/>
    </row>
    <row r="38" spans="1:12" ht="21">
      <c r="B38" s="257" t="s">
        <v>6350</v>
      </c>
      <c r="C38" s="94"/>
      <c r="D38" s="94"/>
      <c r="E38" s="80"/>
      <c r="F38" s="93"/>
      <c r="G38" s="82"/>
      <c r="H38" s="379"/>
      <c r="J38" s="23"/>
      <c r="K38" s="94"/>
    </row>
    <row r="39" spans="1:12">
      <c r="B39" s="82"/>
      <c r="C39" s="80">
        <v>216</v>
      </c>
      <c r="D39" s="80">
        <v>217</v>
      </c>
      <c r="E39" s="80"/>
      <c r="F39" s="522">
        <v>218</v>
      </c>
      <c r="G39" s="82"/>
      <c r="H39" s="379"/>
      <c r="J39" s="23"/>
      <c r="K39" s="94"/>
    </row>
    <row r="40" spans="1:12" ht="15.75" customHeight="1">
      <c r="A40" s="80">
        <v>215</v>
      </c>
      <c r="B40" s="84" t="str">
        <f>HLOOKUP('General Information'!$C$6,'IDIOMA (hide)'!$A$1:$D$5016,A40,0)</f>
        <v>ID Pergunta</v>
      </c>
      <c r="C40" s="84" t="str">
        <f>HLOOKUP('General Information'!$C$6,'IDIOMA (hide)'!$A$1:$D$5016,C39,0)</f>
        <v>Pergunta</v>
      </c>
      <c r="D40" s="84" t="str">
        <f>HLOOKUP('General Information'!$C$6,'IDIOMA (hide)'!$A$1:$D$5016,D39,0)</f>
        <v>Resposta</v>
      </c>
      <c r="E40" s="84" t="s">
        <v>1948</v>
      </c>
      <c r="F40" s="84" t="str">
        <f>HLOOKUP('General Information'!$C$6,'IDIOMA (hide)'!$A$1:$D$5016,F39,0)</f>
        <v>Horas Adicionais</v>
      </c>
      <c r="G40" s="146" t="s">
        <v>2361</v>
      </c>
      <c r="H40" s="143"/>
      <c r="J40" s="84" t="s">
        <v>1947</v>
      </c>
      <c r="K40" s="84" t="s">
        <v>1949</v>
      </c>
      <c r="L40" s="84" t="s">
        <v>465</v>
      </c>
    </row>
    <row r="41" spans="1:12">
      <c r="A41" s="80">
        <v>517</v>
      </c>
      <c r="B41" s="85">
        <v>100</v>
      </c>
      <c r="C41" s="86" t="str">
        <f>HLOOKUP('General Information'!$C$6,'IDIOMA (hide)'!$A$1:$D$5016,A41,0)</f>
        <v>Utiliza o processo de compras  diretas de OPME?</v>
      </c>
      <c r="D41" s="4"/>
      <c r="E41" s="89">
        <f>'BASE_FUNCOES (hide)'!A389</f>
        <v>267</v>
      </c>
      <c r="F41" s="533">
        <f>IF(D41="Yes","Funções Inclusas: Aprovações Pendentes, Solicitação de Compras, Cotação de Compras, Ordem de Compra",0)</f>
        <v>0</v>
      </c>
      <c r="G41" s="617" t="str">
        <f>B38</f>
        <v>OPERADORA (BRAZIL ONLY)</v>
      </c>
      <c r="H41" s="379"/>
      <c r="I41" s="125" t="s">
        <v>6003</v>
      </c>
      <c r="J41" s="8" t="s">
        <v>6238</v>
      </c>
      <c r="K41" s="85">
        <f>VLOOKUP(E41,'BASE_FUNCOES (hide)'!A:I,9,0)</f>
        <v>12</v>
      </c>
      <c r="L41" s="88" t="str">
        <f>IF(D41="1 a 30","",IF(D41="31 a 60","Acrescido 25% de horas em virtude da instituição atender de 31 a 60 convênios.",IF(D41="61 a 100","Acrescido 40% de horas em virtude da instituição atender de 61 a 100 convênios.",IF(D41="acima de 100","Acrescido 60% de horas em virtude da instituição atender mais de 100 convênios.",""))))</f>
        <v/>
      </c>
    </row>
    <row r="42" spans="1:12" ht="45" hidden="1" customHeight="1">
      <c r="B42" s="85"/>
      <c r="C42" s="86" t="s">
        <v>6002</v>
      </c>
      <c r="D42" s="4"/>
      <c r="E42" s="89">
        <f>'BASE_FUNCOES (hide)'!A398</f>
        <v>913</v>
      </c>
      <c r="F42" s="533">
        <f t="shared" ref="F42:F48" si="0">IF(D42="Yes","Funções Inclusas: Aprovações Pendentes, Solicitação de Compras, Cotação de Compras, Ordem de Compra",0)</f>
        <v>0</v>
      </c>
      <c r="G42" s="617"/>
      <c r="H42" s="379"/>
      <c r="J42" s="8" t="s">
        <v>6238</v>
      </c>
      <c r="K42" s="85"/>
      <c r="L42" s="88"/>
    </row>
    <row r="43" spans="1:12" ht="45" hidden="1" customHeight="1">
      <c r="B43" s="85"/>
      <c r="C43" s="86" t="s">
        <v>6002</v>
      </c>
      <c r="D43" s="4"/>
      <c r="E43" s="89">
        <f>'BASE_FUNCOES (hide)'!A397</f>
        <v>915</v>
      </c>
      <c r="F43" s="533">
        <f t="shared" si="0"/>
        <v>0</v>
      </c>
      <c r="G43" s="617"/>
      <c r="H43" s="379"/>
      <c r="J43" s="8" t="s">
        <v>6238</v>
      </c>
      <c r="K43" s="85"/>
      <c r="L43" s="88"/>
    </row>
    <row r="44" spans="1:12" ht="45" hidden="1" customHeight="1">
      <c r="B44" s="85"/>
      <c r="C44" s="86" t="s">
        <v>6002</v>
      </c>
      <c r="D44" s="4"/>
      <c r="E44" s="89">
        <f>'BASE_FUNCOES (hide)'!A396</f>
        <v>917</v>
      </c>
      <c r="F44" s="533">
        <f t="shared" si="0"/>
        <v>0</v>
      </c>
      <c r="G44" s="617"/>
      <c r="H44" s="379"/>
      <c r="J44" s="8" t="s">
        <v>6238</v>
      </c>
      <c r="K44" s="85"/>
      <c r="L44" s="88"/>
    </row>
    <row r="45" spans="1:12">
      <c r="A45" s="80">
        <v>518</v>
      </c>
      <c r="B45" s="85">
        <v>101</v>
      </c>
      <c r="C45" s="86" t="str">
        <f>HLOOKUP('General Information'!$C$6,'IDIOMA (hide)'!$A$1:$D$5016,A45,0)</f>
        <v xml:space="preserve">Utiliza o processo de compras de materiais e medicamentos? </v>
      </c>
      <c r="D45" s="4"/>
      <c r="E45" s="89">
        <f>E41</f>
        <v>267</v>
      </c>
      <c r="F45" s="533">
        <f t="shared" si="0"/>
        <v>0</v>
      </c>
      <c r="G45" s="617"/>
      <c r="H45" s="379"/>
      <c r="I45" s="125" t="s">
        <v>6003</v>
      </c>
      <c r="J45" s="8" t="s">
        <v>6238</v>
      </c>
      <c r="K45" s="85">
        <f>VLOOKUP(E45,'BASE_FUNCOES (hide)'!A:I,9,0)</f>
        <v>12</v>
      </c>
      <c r="L45" s="88" t="str">
        <f>IF(D45="1 a 30","",IF(D45="31 a 60","Acrescido 25% de horas em virtude da instituição atender de 31 a 60 convênios.",IF(D45="61 a 100","Acrescido 40% de horas em virtude da instituição atender de 61 a 100 convênios.",IF(D45="acima de 100","Acrescido 60% de horas em virtude da instituição atender mais de 100 convênios.",""))))</f>
        <v/>
      </c>
    </row>
    <row r="46" spans="1:12" ht="45" hidden="1" customHeight="1">
      <c r="B46" s="85"/>
      <c r="C46" s="422" t="s">
        <v>6004</v>
      </c>
      <c r="D46" s="4"/>
      <c r="E46" s="89">
        <f t="shared" ref="E46:E48" si="1">E42</f>
        <v>913</v>
      </c>
      <c r="F46" s="533">
        <f t="shared" si="0"/>
        <v>0</v>
      </c>
      <c r="G46" s="617"/>
      <c r="H46" s="379"/>
      <c r="J46" s="8" t="s">
        <v>6238</v>
      </c>
      <c r="K46" s="85"/>
      <c r="L46" s="88"/>
    </row>
    <row r="47" spans="1:12" ht="45" hidden="1" customHeight="1">
      <c r="B47" s="85"/>
      <c r="C47" s="422" t="s">
        <v>6004</v>
      </c>
      <c r="D47" s="4"/>
      <c r="E47" s="89">
        <f t="shared" si="1"/>
        <v>915</v>
      </c>
      <c r="F47" s="533">
        <f t="shared" si="0"/>
        <v>0</v>
      </c>
      <c r="G47" s="617"/>
      <c r="H47" s="379"/>
      <c r="J47" s="8" t="s">
        <v>6238</v>
      </c>
      <c r="K47" s="85"/>
      <c r="L47" s="88"/>
    </row>
    <row r="48" spans="1:12" ht="45" hidden="1" customHeight="1">
      <c r="B48" s="85"/>
      <c r="C48" s="422" t="s">
        <v>6004</v>
      </c>
      <c r="D48" s="4"/>
      <c r="E48" s="89">
        <f t="shared" si="1"/>
        <v>917</v>
      </c>
      <c r="F48" s="533">
        <f t="shared" si="0"/>
        <v>0</v>
      </c>
      <c r="G48" s="617"/>
      <c r="H48" s="379"/>
      <c r="J48" s="8" t="s">
        <v>6238</v>
      </c>
      <c r="K48" s="85"/>
      <c r="L48" s="88"/>
    </row>
    <row r="49" spans="1:12">
      <c r="A49" s="80">
        <v>519</v>
      </c>
      <c r="B49" s="85">
        <v>102</v>
      </c>
      <c r="C49" s="86" t="str">
        <f>HLOOKUP('General Information'!$C$6,'IDIOMA (hide)'!$A$1:$D$5016,A49,0)</f>
        <v>Utiliza o processo de controle de estoques?</v>
      </c>
      <c r="D49" s="4"/>
      <c r="E49" s="489">
        <f>'BASE_FUNCOES (hide)'!A319</f>
        <v>143</v>
      </c>
      <c r="F49" s="534">
        <f>IF(D49="Yes","Funções Inclusas: Administração de Estoque, Nota Fiscal, Requisição de Materiais e Medicamentos, Atendimento da Requisição.",0)</f>
        <v>0</v>
      </c>
      <c r="G49" s="617"/>
      <c r="H49" s="379"/>
      <c r="I49" s="125" t="s">
        <v>6006</v>
      </c>
      <c r="J49" s="8" t="s">
        <v>6239</v>
      </c>
      <c r="K49" s="85">
        <f>VLOOKUP(E49,'BASE_FUNCOES (hide)'!A:I,9,0)</f>
        <v>24</v>
      </c>
      <c r="L49" s="88" t="str">
        <f t="shared" ref="L49:L65" si="2">IF(D49="1 a 30","",IF(D49="31 a 60","Acrescido 25% de horas em virtude da instituição atender de 31 a 60 convênios.",IF(D49="61 a 100","Acrescido 40% de horas em virtude da instituição atender de 61 a 100 convênios.",IF(D49="acima de 100","Acrescido 60% de horas em virtude da instituição atender mais de 100 convênios.",""))))</f>
        <v/>
      </c>
    </row>
    <row r="50" spans="1:12" ht="15" hidden="1" customHeight="1">
      <c r="B50" s="85"/>
      <c r="C50" s="86" t="s">
        <v>6005</v>
      </c>
      <c r="D50" s="4"/>
      <c r="E50" s="89">
        <f>'BASE_FUNCOES (hide)'!A257</f>
        <v>40</v>
      </c>
      <c r="F50" s="535" t="s">
        <v>5927</v>
      </c>
      <c r="G50" s="617"/>
      <c r="H50" s="379"/>
      <c r="J50" s="8" t="s">
        <v>6239</v>
      </c>
      <c r="K50" s="85"/>
      <c r="L50" s="88"/>
    </row>
    <row r="51" spans="1:12" ht="15" hidden="1" customHeight="1">
      <c r="B51" s="85"/>
      <c r="C51" s="86" t="s">
        <v>6005</v>
      </c>
      <c r="D51" s="4"/>
      <c r="E51" s="89">
        <f>'BASE_FUNCOES (hide)'!A256</f>
        <v>919</v>
      </c>
      <c r="F51" s="535"/>
      <c r="G51" s="617"/>
      <c r="H51" s="379"/>
      <c r="J51" s="8" t="s">
        <v>6239</v>
      </c>
      <c r="K51" s="85"/>
      <c r="L51" s="88"/>
    </row>
    <row r="52" spans="1:12" ht="15" hidden="1" customHeight="1">
      <c r="B52" s="85"/>
      <c r="C52" s="86" t="s">
        <v>6005</v>
      </c>
      <c r="D52" s="4"/>
      <c r="E52" s="89">
        <f>'BASE_FUNCOES (hide)'!A260</f>
        <v>109</v>
      </c>
      <c r="F52" s="535"/>
      <c r="G52" s="617"/>
      <c r="H52" s="379"/>
      <c r="J52" s="8" t="s">
        <v>6239</v>
      </c>
      <c r="K52" s="85"/>
      <c r="L52" s="88"/>
    </row>
    <row r="53" spans="1:12">
      <c r="A53" s="80">
        <v>520</v>
      </c>
      <c r="B53" s="85">
        <v>103</v>
      </c>
      <c r="C53" s="86" t="str">
        <f>HLOOKUP('General Information'!$C$6,'IDIOMA (hide)'!$A$1:$D$5016,A53,0)</f>
        <v>Se utiliza o processo de qualidade?</v>
      </c>
      <c r="D53" s="4"/>
      <c r="E53" s="85">
        <v>4003</v>
      </c>
      <c r="F53" s="534">
        <f>IF(D53="Yes","Funções Inclusas: Incluir funções: Consulta da Qualidade, Gestão da Qualidade",0)</f>
        <v>0</v>
      </c>
      <c r="G53" s="617"/>
      <c r="H53" s="379"/>
      <c r="J53" s="8" t="s">
        <v>6239</v>
      </c>
      <c r="K53" s="85">
        <f>VLOOKUP(E53,'BASE_FUNCOES (hide)'!A:I,9,0)</f>
        <v>0</v>
      </c>
      <c r="L53" s="88" t="str">
        <f t="shared" si="2"/>
        <v/>
      </c>
    </row>
    <row r="54" spans="1:12" ht="15" hidden="1" customHeight="1">
      <c r="B54" s="85"/>
      <c r="C54" s="95" t="s">
        <v>6007</v>
      </c>
      <c r="D54" s="4"/>
      <c r="E54" s="94">
        <v>4000</v>
      </c>
      <c r="F54" s="531">
        <f>IF(D54="Yes","Funções Inclusas: Incluir funções: Consulta da Qualidade, Gestão da Qualidade",0)</f>
        <v>0</v>
      </c>
      <c r="G54" s="617"/>
      <c r="H54" s="379"/>
      <c r="J54" s="8"/>
      <c r="K54" s="85"/>
      <c r="L54" s="88"/>
    </row>
    <row r="55" spans="1:12">
      <c r="A55" s="80">
        <v>521</v>
      </c>
      <c r="B55" s="85">
        <v>104</v>
      </c>
      <c r="C55" s="86" t="str">
        <f>HLOOKUP('General Information'!$C$6,'IDIOMA (hide)'!$A$1:$D$5016,A55,0)</f>
        <v>Se utiliza o processo de painel de chamadas?</v>
      </c>
      <c r="D55" s="4"/>
      <c r="E55" s="85">
        <v>10021</v>
      </c>
      <c r="F55" s="536">
        <f>IF(D55="Yes","Funções Inclusas: Gerenciamento de Senhas",0)</f>
        <v>0</v>
      </c>
      <c r="G55" s="617"/>
      <c r="H55" s="379"/>
      <c r="J55" s="8" t="s">
        <v>6240</v>
      </c>
      <c r="K55" s="85"/>
      <c r="L55" s="88"/>
    </row>
    <row r="56" spans="1:12">
      <c r="A56" s="80">
        <v>522</v>
      </c>
      <c r="B56" s="85">
        <v>105</v>
      </c>
      <c r="C56" s="86" t="str">
        <f>HLOOKUP('General Information'!$C$6,'IDIOMA (hide)'!$A$1:$D$5016,A56,0)</f>
        <v>Utiliza o processo de Auditoria Concorrente?</v>
      </c>
      <c r="D56" s="4"/>
      <c r="E56" s="85">
        <f>'BASE_FUNCOES (hide)'!A691</f>
        <v>1397</v>
      </c>
      <c r="F56" s="536" t="str">
        <f>IF(D56="Yes","Função já é padrão em qualquer modalidade","")</f>
        <v/>
      </c>
      <c r="G56" s="617"/>
      <c r="H56" s="379"/>
      <c r="J56" s="8"/>
      <c r="K56" s="85">
        <f>VLOOKUP(E56,'BASE_FUNCOES (hide)'!A:I,9,0)</f>
        <v>56</v>
      </c>
      <c r="L56" s="88" t="str">
        <f t="shared" si="2"/>
        <v/>
      </c>
    </row>
    <row r="57" spans="1:12">
      <c r="A57" s="80">
        <v>523</v>
      </c>
      <c r="B57" s="85">
        <v>106</v>
      </c>
      <c r="C57" s="86" t="str">
        <f>HLOOKUP('General Information'!$C$6,'IDIOMA (hide)'!$A$1:$D$5016,A57,0)</f>
        <v xml:space="preserve">O cliente já possui recurso próprio ou hospital com Tasy? </v>
      </c>
      <c r="D57" s="4"/>
      <c r="E57" s="85">
        <v>281</v>
      </c>
      <c r="F57" s="534">
        <f>IF(D57="Yes","Funções Inclusas: Prontuário, Call Center e Entrada Única",0)</f>
        <v>0</v>
      </c>
      <c r="G57" s="617"/>
      <c r="H57" s="379"/>
      <c r="J57" s="8" t="s">
        <v>6241</v>
      </c>
      <c r="K57" s="85"/>
      <c r="L57" s="88"/>
    </row>
    <row r="58" spans="1:12">
      <c r="A58" s="80">
        <v>524</v>
      </c>
      <c r="B58" s="85">
        <v>107</v>
      </c>
      <c r="C58" s="86" t="str">
        <f>HLOOKUP('General Information'!$C$6,'IDIOMA (hide)'!$A$1:$D$5016,A58,0)</f>
        <v>Haverá acompanhamento do monitoramento ANS?</v>
      </c>
      <c r="D58" s="4"/>
      <c r="E58" s="89" t="str">
        <f>'Hours Detail'!E15</f>
        <v>010</v>
      </c>
      <c r="F58" s="537">
        <f>IF(D58="Yes",40,0)</f>
        <v>0</v>
      </c>
      <c r="G58" s="617"/>
      <c r="J58" s="8" t="s">
        <v>6015</v>
      </c>
      <c r="K58" s="85" t="e">
        <f>VLOOKUP(E58,'BASE_FUNCOES (hide)'!A:I,9,0)</f>
        <v>#N/A</v>
      </c>
      <c r="L58" s="88" t="str">
        <f t="shared" si="2"/>
        <v/>
      </c>
    </row>
    <row r="59" spans="1:12">
      <c r="A59" s="80">
        <v>525</v>
      </c>
      <c r="B59" s="85">
        <v>108</v>
      </c>
      <c r="C59" s="86" t="str">
        <f>HLOOKUP('General Information'!$C$6,'IDIOMA (hide)'!$A$1:$D$5016,A59,0)</f>
        <v xml:space="preserve">Haverá acompanhamento para o SIP? </v>
      </c>
      <c r="D59" s="4"/>
      <c r="E59" s="89" t="s">
        <v>6242</v>
      </c>
      <c r="F59" s="537">
        <f>IF(D59="Yes",40,0)</f>
        <v>0</v>
      </c>
      <c r="G59" s="617"/>
      <c r="J59" s="8" t="s">
        <v>6012</v>
      </c>
      <c r="K59" s="85" t="e">
        <f>VLOOKUP(E59,'BASE_FUNCOES (hide)'!A:I,9,0)</f>
        <v>#N/A</v>
      </c>
      <c r="L59" s="88" t="str">
        <f t="shared" si="2"/>
        <v/>
      </c>
    </row>
    <row r="60" spans="1:12">
      <c r="A60" s="80">
        <v>526</v>
      </c>
      <c r="B60" s="85">
        <v>109</v>
      </c>
      <c r="C60" s="86" t="str">
        <f>HLOOKUP('General Information'!$C$6,'IDIOMA (hide)'!$A$1:$D$5016,A60,0)</f>
        <v xml:space="preserve">Haverá acompanhamento para o DIOPS e geração livros auxiliares para auditoria? </v>
      </c>
      <c r="D60" s="4"/>
      <c r="E60" s="89" t="s">
        <v>6242</v>
      </c>
      <c r="F60" s="537">
        <f>IF(D60="Yes",40,0)</f>
        <v>0</v>
      </c>
      <c r="G60" s="617"/>
      <c r="J60" s="8" t="s">
        <v>6013</v>
      </c>
      <c r="K60" s="85" t="e">
        <f>VLOOKUP(E60,'BASE_FUNCOES (hide)'!A:I,9,0)</f>
        <v>#N/A</v>
      </c>
      <c r="L60" s="88" t="str">
        <f t="shared" si="2"/>
        <v/>
      </c>
    </row>
    <row r="61" spans="1:12">
      <c r="A61" s="80">
        <v>527</v>
      </c>
      <c r="B61" s="85">
        <v>110</v>
      </c>
      <c r="C61" s="86" t="str">
        <f>HLOOKUP('General Information'!$C$6,'IDIOMA (hide)'!$A$1:$D$5016,A61,0)</f>
        <v>Quantidade de prestadores?</v>
      </c>
      <c r="D61" s="22"/>
      <c r="E61" s="89">
        <v>1203</v>
      </c>
      <c r="F61" s="537">
        <f>IF(D61="De 1000 até 1999",K61*10%,IF(D61="2000 até 3999",K61*20%,IF(D61="4000 até 5999",K61*30%,IF(D61="Acima de 6000.",K61*40%,0))))</f>
        <v>0</v>
      </c>
      <c r="G61" s="617"/>
      <c r="H61" s="519"/>
      <c r="I61" s="520"/>
      <c r="J61" s="8" t="s">
        <v>6328</v>
      </c>
      <c r="K61" s="85">
        <f>VLOOKUP(E61,'BASE_FUNCOES (hide)'!A:I,9,0)</f>
        <v>40</v>
      </c>
      <c r="L61" s="88" t="str">
        <f t="shared" si="2"/>
        <v/>
      </c>
    </row>
    <row r="62" spans="1:12" ht="15" hidden="1" customHeight="1">
      <c r="A62" s="80">
        <v>526</v>
      </c>
      <c r="B62" s="85"/>
      <c r="C62" s="422"/>
      <c r="D62" s="543"/>
      <c r="E62" s="90">
        <v>1306</v>
      </c>
      <c r="F62" s="538">
        <f>IF(D62="De 1000 até 1999",K62*10%,IF(D62="2000 até 3999",K62*20%,IF(D62="4000 até 5999",K62*30%,IF(D62="Acima de 6000.",K62*40%,0))))</f>
        <v>0</v>
      </c>
      <c r="G62" s="617"/>
      <c r="H62" s="519"/>
      <c r="I62" s="520"/>
      <c r="J62" s="8" t="s">
        <v>6328</v>
      </c>
      <c r="K62" s="85">
        <f>VLOOKUP(E62,'BASE_FUNCOES (hide)'!A:I,9,0)</f>
        <v>40</v>
      </c>
      <c r="L62" s="88"/>
    </row>
    <row r="63" spans="1:12">
      <c r="A63" s="80">
        <v>528</v>
      </c>
      <c r="B63" s="85">
        <v>111</v>
      </c>
      <c r="C63" s="86" t="str">
        <f>HLOOKUP('General Information'!$C$6,'IDIOMA (hide)'!$A$1:$D$5016,A63,0)</f>
        <v xml:space="preserve">Quantidade de locais de atendimento presenciais? </v>
      </c>
      <c r="D63" s="22"/>
      <c r="E63" s="89">
        <v>1274</v>
      </c>
      <c r="F63" s="539">
        <f>IF(D63&gt;1,(K63*40%)*D63,0)</f>
        <v>0</v>
      </c>
      <c r="G63" s="617"/>
      <c r="J63" s="8" t="s">
        <v>6237</v>
      </c>
      <c r="K63" s="85">
        <f>VLOOKUP(E63,'BASE_FUNCOES (hide)'!A:I,9,0)</f>
        <v>24</v>
      </c>
      <c r="L63" s="88" t="str">
        <f t="shared" si="2"/>
        <v/>
      </c>
    </row>
    <row r="64" spans="1:12">
      <c r="A64" s="80">
        <v>529</v>
      </c>
      <c r="B64" s="85">
        <v>112</v>
      </c>
      <c r="C64" s="86" t="str">
        <f>HLOOKUP('General Information'!$C$6,'IDIOMA (hide)'!$A$1:$D$5016,A64,0)</f>
        <v>Quantidade de bancos que importam extrato no controle bancário?</v>
      </c>
      <c r="D64" s="22"/>
      <c r="E64" s="89">
        <v>814</v>
      </c>
      <c r="F64" s="537">
        <f>IF(D64="Yes",(K64*40%),0)</f>
        <v>0</v>
      </c>
      <c r="G64" s="617"/>
      <c r="J64" s="8" t="s">
        <v>2908</v>
      </c>
      <c r="K64" s="85">
        <f>VLOOKUP(E64,'BASE_FUNCOES (hide)'!A:I,9,0)</f>
        <v>40</v>
      </c>
      <c r="L64" s="88" t="str">
        <f t="shared" si="2"/>
        <v/>
      </c>
    </row>
    <row r="65" spans="1:13">
      <c r="A65" s="80">
        <v>530</v>
      </c>
      <c r="B65" s="85">
        <v>113</v>
      </c>
      <c r="C65" s="86" t="str">
        <f>HLOOKUP('General Information'!$C$6,'IDIOMA (hide)'!$A$1:$D$5016,A65,0)</f>
        <v xml:space="preserve">Quantidade de bancos que geram cobrança escritural? </v>
      </c>
      <c r="D65" s="22"/>
      <c r="E65" s="89">
        <v>815</v>
      </c>
      <c r="F65" s="539">
        <f>IF(D65&gt;1,(K65*20%)*D65,0)</f>
        <v>0</v>
      </c>
      <c r="G65" s="617"/>
      <c r="J65" s="8" t="s">
        <v>6014</v>
      </c>
      <c r="K65" s="85">
        <f>VLOOKUP(E65,'BASE_FUNCOES (hide)'!A:I,9,0)</f>
        <v>24</v>
      </c>
      <c r="L65" s="88" t="str">
        <f t="shared" si="2"/>
        <v/>
      </c>
    </row>
    <row r="66" spans="1:13">
      <c r="J66" s="521"/>
      <c r="K66" s="521"/>
      <c r="L66" s="521"/>
      <c r="M66" s="521"/>
    </row>
    <row r="67" spans="1:13">
      <c r="D67" s="503"/>
      <c r="F67" s="521"/>
      <c r="J67" s="521"/>
      <c r="K67" s="521"/>
      <c r="L67" s="521"/>
      <c r="M67" s="521"/>
    </row>
    <row r="68" spans="1:13">
      <c r="F68" s="521"/>
    </row>
    <row r="69" spans="1:13" ht="21.5" thickBot="1">
      <c r="A69" s="80">
        <v>205</v>
      </c>
      <c r="B69" s="108" t="str">
        <f>HLOOKUP('General Information'!$C$6,'IDIOMA (hide)'!$A$1:$D$5016,A69,0)</f>
        <v>Assistencial</v>
      </c>
      <c r="C69" s="108"/>
      <c r="D69" s="108"/>
      <c r="E69" s="108"/>
      <c r="F69" s="108"/>
      <c r="G69" s="108"/>
      <c r="H69" s="420"/>
      <c r="I69" s="108"/>
    </row>
    <row r="70" spans="1:13" ht="10" customHeight="1">
      <c r="B70" s="98"/>
      <c r="C70" s="98"/>
      <c r="D70" s="98"/>
      <c r="E70" s="98"/>
      <c r="F70" s="98"/>
      <c r="G70" s="140"/>
      <c r="H70" s="140"/>
      <c r="I70" s="187"/>
      <c r="J70" s="98"/>
      <c r="K70" s="94"/>
    </row>
    <row r="71" spans="1:13" ht="21">
      <c r="B71" s="84" t="str">
        <f>HLOOKUP('General Information'!$C$6,'IDIOMA (hide)'!$A$1:$D$5016,B4,0)</f>
        <v>ID Pergunta</v>
      </c>
      <c r="C71" s="84" t="str">
        <f>HLOOKUP('General Information'!$C$6,'IDIOMA (hide)'!$A$1:$D$5016,C4,0)</f>
        <v>Pergunta</v>
      </c>
      <c r="D71" s="84" t="str">
        <f>HLOOKUP('General Information'!$C$6,'IDIOMA (hide)'!$A$1:$D$5016,D4,0)</f>
        <v>Resposta</v>
      </c>
      <c r="E71" s="84" t="s">
        <v>1948</v>
      </c>
      <c r="F71" s="84" t="str">
        <f>HLOOKUP('General Information'!$C$6,'IDIOMA (hide)'!$A$1:$D$5016,F4,0)</f>
        <v>Horas Adicionais</v>
      </c>
      <c r="G71" s="146"/>
      <c r="H71" s="143"/>
      <c r="I71" s="187"/>
      <c r="J71" s="98"/>
      <c r="K71" s="94"/>
    </row>
    <row r="72" spans="1:13" ht="14.5" customHeight="1">
      <c r="A72" s="80">
        <v>69</v>
      </c>
      <c r="B72" s="85">
        <v>28</v>
      </c>
      <c r="C72" s="86" t="str">
        <f>HLOOKUP('General Information'!$C$6,'IDIOMA (hide)'!$A$1:$D$5016,A72,0)</f>
        <v>É realizado serviços de oncologia?</v>
      </c>
      <c r="D72" s="22"/>
      <c r="E72" s="85">
        <v>281</v>
      </c>
      <c r="F72" s="87">
        <f>IF(OR(D72="Sim",D72="Yes",D72="Si")=TRUE,K72,0)</f>
        <v>0</v>
      </c>
      <c r="G72" s="613" t="str">
        <f>HLOOKUP('General Information'!$C$6,'IDIOMA (hide)'!$A$1:$D$5016,I72,0)</f>
        <v>Prontuario / Mentor</v>
      </c>
      <c r="H72" s="288"/>
      <c r="I72" s="80">
        <v>272</v>
      </c>
      <c r="J72" s="8" t="s">
        <v>2911</v>
      </c>
      <c r="K72" s="85">
        <v>32</v>
      </c>
      <c r="L72" s="88"/>
    </row>
    <row r="73" spans="1:13">
      <c r="A73" s="80">
        <v>74</v>
      </c>
      <c r="B73" s="85">
        <v>31</v>
      </c>
      <c r="C73" s="86" t="str">
        <f>HLOOKUP('General Information'!$C$6,'IDIOMA (hide)'!$A$1:$D$5016,A73,0)</f>
        <v>Deseja implantar o item de Prontuário Oftalmologia?</v>
      </c>
      <c r="D73" s="22"/>
      <c r="E73" s="85">
        <v>281</v>
      </c>
      <c r="F73" s="87">
        <f>IF(OR(D73="Sim",D73="Yes",D73="Si")=TRUE,K73,0)</f>
        <v>0</v>
      </c>
      <c r="G73" s="614"/>
      <c r="H73" s="288"/>
      <c r="I73" s="80"/>
      <c r="J73" s="8" t="s">
        <v>2912</v>
      </c>
      <c r="K73" s="85">
        <v>40</v>
      </c>
      <c r="L73" s="88"/>
    </row>
    <row r="74" spans="1:13" ht="13.5" customHeight="1">
      <c r="A74" s="80">
        <v>72</v>
      </c>
      <c r="B74" s="85">
        <v>29</v>
      </c>
      <c r="C74" s="86" t="str">
        <f>HLOOKUP('General Information'!$C$6,'IDIOMA (hide)'!$A$1:$D$5016,A74,0)</f>
        <v>Instituição utiliza Protocolo de Sepse Ilas II?</v>
      </c>
      <c r="D74" s="22"/>
      <c r="E74" s="85">
        <v>354</v>
      </c>
      <c r="F74" s="87">
        <f>IF(OR(D74="Sim",D74="Yes",D74="Si")=TRUE,K74,0)</f>
        <v>0</v>
      </c>
      <c r="G74" s="614"/>
      <c r="H74" s="288"/>
      <c r="I74" s="80"/>
      <c r="J74" s="8" t="s">
        <v>2913</v>
      </c>
      <c r="K74" s="85">
        <v>40</v>
      </c>
      <c r="L74" s="88"/>
    </row>
    <row r="75" spans="1:13" ht="13.5" customHeight="1">
      <c r="A75" s="80">
        <v>342</v>
      </c>
      <c r="B75" s="85">
        <v>73</v>
      </c>
      <c r="C75" s="221" t="str">
        <f>HLOOKUP('General Information'!$C$6,'IDIOMA (hide)'!$A$1:$D$5016,A75,0)</f>
        <v>A função Gestão dos Planos Terapêuticos - GPT - será utilizada em qual setor ?</v>
      </c>
      <c r="D75" s="22"/>
      <c r="E75" s="85">
        <v>252</v>
      </c>
      <c r="F75" s="87">
        <f>IF(OR(D75="Enfermagem e Farmácia",D75="Nursing and Pharmacy",D75="Enfermería y Farmacia")=TRUE,K75*1,0)</f>
        <v>0</v>
      </c>
      <c r="G75" s="614"/>
      <c r="H75" s="288"/>
      <c r="I75" s="80"/>
      <c r="J75" s="8" t="s">
        <v>2808</v>
      </c>
      <c r="K75" s="85">
        <f>VLOOKUP(E75,'BASE_FUNCOES (hide)'!A:I,9,0)</f>
        <v>32</v>
      </c>
      <c r="L75" s="88"/>
    </row>
    <row r="76" spans="1:13" ht="13.5" customHeight="1">
      <c r="A76" s="80">
        <v>343</v>
      </c>
      <c r="B76" s="85">
        <v>60</v>
      </c>
      <c r="C76" s="86" t="str">
        <f>HLOOKUP('General Information'!$C$6,'IDIOMA (hide)'!$A$1:$D$5016,A76,0)</f>
        <v>Quantos consultórios ambulatoriais?</v>
      </c>
      <c r="D76" s="22"/>
      <c r="E76" s="85">
        <v>28122</v>
      </c>
      <c r="F76" s="87">
        <f>IF(D76="1 a 10",0,IF(D76="11 a 30",K76*0.25,IF(D76="31 a 50",K76*0.5,IF(D76="51 a 100",K76*0.75,IF(D76="acima de 100",K76*1,0)))))</f>
        <v>0</v>
      </c>
      <c r="G76" s="614"/>
      <c r="H76" s="288"/>
      <c r="I76" s="80"/>
      <c r="J76" s="8" t="s">
        <v>2791</v>
      </c>
      <c r="K76" s="85">
        <f>VLOOKUP(E76,'BASE_FUNCOES (hide)'!A:I,9,0)</f>
        <v>80</v>
      </c>
      <c r="L76" s="88"/>
    </row>
    <row r="77" spans="1:13">
      <c r="A77" s="80">
        <v>73</v>
      </c>
      <c r="B77" s="224">
        <v>30</v>
      </c>
      <c r="C77" s="225" t="str">
        <f>HLOOKUP('General Information'!$C$6,'IDIOMA (hide)'!$A$1:$D$5016,A77,0)</f>
        <v>O cliente deseja medir os indicadores de qualidade do protocolo de Sepse?</v>
      </c>
      <c r="D77" s="28"/>
      <c r="E77" s="224">
        <v>275</v>
      </c>
      <c r="F77" s="101" t="str">
        <f>CONCATENATE("Detalhe de horas GQA: ",VLOOKUP(E77,'Hours Detail'!E:H,4,FALSE))</f>
        <v>Detalhe de horas GQA: No</v>
      </c>
      <c r="G77" s="614"/>
      <c r="H77" s="288"/>
      <c r="I77" s="147" t="str">
        <f>IF((D77="Sim")*AND(VLOOKUP(E77,'Hours Detail'!E:H,4,FALSE)="Não"),"Para medir os indicadores de Qualidade do protocolo Sepse, é necessária a implantação da função Gestão de Qualidade Assistencial GQA. É necessário adicionar ao escopo a função GQA na aba Detalhe de horas","")</f>
        <v/>
      </c>
      <c r="J77" s="8" t="s">
        <v>2803</v>
      </c>
      <c r="K77" s="85"/>
      <c r="L77" s="88"/>
    </row>
    <row r="78" spans="1:13">
      <c r="A78" s="80">
        <v>344</v>
      </c>
      <c r="B78" s="85">
        <v>61</v>
      </c>
      <c r="C78" s="245" t="str">
        <f>HLOOKUP('General Information'!$C$6,'IDIOMA (hide)'!$A$1:$D$5016,A78,0)</f>
        <v>Deseja implantar certificação digital para o Prontuário Eletrônico Paciente?</v>
      </c>
      <c r="D78" s="28"/>
      <c r="E78" s="85">
        <v>28188</v>
      </c>
      <c r="F78" s="101" t="str">
        <f>CONCATENATE("Detalhe de horas Certificação Digital: ",VLOOKUP(E78,'Hours Detail'!E:H,4,FALSE))</f>
        <v>Detalhe de horas Certificação Digital: No</v>
      </c>
      <c r="G78" s="614"/>
      <c r="H78" s="288"/>
      <c r="I78" s="125" t="str">
        <f>IF((D78="Sim")*AND('Hours Detail'!H255="Não"),"Para a implantação do Certificação Digital. É necessário adicionar ao escopo a função Certificado Digital na aba Detalhe de horas","")</f>
        <v/>
      </c>
      <c r="J78" s="8" t="s">
        <v>2802</v>
      </c>
      <c r="K78" s="85"/>
      <c r="L78" s="88"/>
    </row>
    <row r="79" spans="1:13">
      <c r="A79" s="80">
        <v>473</v>
      </c>
      <c r="B79" s="85">
        <v>92</v>
      </c>
      <c r="C79" s="245" t="str">
        <f>HLOOKUP('General Information'!$C$6,'IDIOMA (hide)'!$A$1:$D$5016,A79,0)</f>
        <v>Em relação ao Care Plan, o cliente irá criar o seu plano de cuidado e cadastrar no Tasy, ou integrará com a Elevier?</v>
      </c>
      <c r="D79" s="28"/>
      <c r="E79" s="85">
        <v>99023</v>
      </c>
      <c r="F79" s="101">
        <f>IF(D79="Elsevier",K79,IF(D79="Tasy",8,0))</f>
        <v>0</v>
      </c>
      <c r="G79" s="614"/>
      <c r="H79" s="288"/>
      <c r="J79" s="8" t="s">
        <v>5804</v>
      </c>
      <c r="K79" s="85">
        <v>40</v>
      </c>
      <c r="L79" s="88"/>
    </row>
    <row r="80" spans="1:13">
      <c r="A80" s="80">
        <v>474</v>
      </c>
      <c r="B80" s="394">
        <v>93</v>
      </c>
      <c r="C80" s="245" t="str">
        <f>HLOOKUP('General Information'!$C$6,'IDIOMA (hide)'!$A$1:$D$5016,A80,0)</f>
        <v>Será utilizado o TNM?</v>
      </c>
      <c r="D80" s="22"/>
      <c r="E80" s="85">
        <v>3131</v>
      </c>
      <c r="F80" s="395">
        <f>IF(D80="Yes",K80,0)</f>
        <v>0</v>
      </c>
      <c r="G80" s="614"/>
      <c r="H80" s="288"/>
      <c r="J80" s="8" t="s">
        <v>5810</v>
      </c>
      <c r="K80" s="85">
        <v>40</v>
      </c>
      <c r="L80" s="88"/>
    </row>
    <row r="81" spans="1:12">
      <c r="A81" s="80">
        <v>478</v>
      </c>
      <c r="B81" s="394">
        <v>97</v>
      </c>
      <c r="C81" s="245" t="str">
        <f>HLOOKUP('General Information'!$C$6,'IDIOMA (hide)'!$A$1:$D$5016,A81,0)</f>
        <v>Será utilizado o Neocenter?</v>
      </c>
      <c r="D81" s="22"/>
      <c r="E81" s="85">
        <v>2314</v>
      </c>
      <c r="F81" s="395">
        <f>IF(D81="Yes",K81,0)</f>
        <v>0</v>
      </c>
      <c r="G81" s="614"/>
      <c r="H81" s="288"/>
      <c r="J81" s="8" t="s">
        <v>5833</v>
      </c>
      <c r="K81" s="85">
        <v>40</v>
      </c>
      <c r="L81" s="88"/>
    </row>
    <row r="82" spans="1:12" hidden="1">
      <c r="B82" s="394">
        <v>94</v>
      </c>
      <c r="C82" s="408" t="str">
        <f>C80</f>
        <v>Será utilizado o TNM?</v>
      </c>
      <c r="D82" s="22"/>
      <c r="E82" s="85">
        <v>281</v>
      </c>
      <c r="F82" s="395">
        <f>IF(D80="Yes",K80,0)</f>
        <v>0</v>
      </c>
      <c r="G82" s="614"/>
      <c r="H82" s="288"/>
      <c r="J82" s="8" t="s">
        <v>5811</v>
      </c>
      <c r="K82" s="85">
        <v>40</v>
      </c>
      <c r="L82" s="88"/>
    </row>
    <row r="83" spans="1:12">
      <c r="A83" s="80">
        <v>475</v>
      </c>
      <c r="B83" s="394">
        <v>95</v>
      </c>
      <c r="C83" s="245" t="str">
        <f>HLOOKUP('General Information'!$C$6,'IDIOMA (hide)'!$A$1:$D$5016,A83,0)</f>
        <v>O cliente utilizará Jornada do Paciente?</v>
      </c>
      <c r="D83" s="22"/>
      <c r="E83" s="85">
        <v>2811</v>
      </c>
      <c r="F83" s="395">
        <f>IF(D83="Yes",K83,0)</f>
        <v>0</v>
      </c>
      <c r="G83" s="615"/>
      <c r="H83" s="288"/>
      <c r="J83" s="8" t="s">
        <v>5813</v>
      </c>
      <c r="K83" s="85">
        <v>40</v>
      </c>
      <c r="L83" s="88"/>
    </row>
    <row r="84" spans="1:12">
      <c r="B84" s="394"/>
      <c r="C84" s="245" t="s">
        <v>6001</v>
      </c>
      <c r="D84" s="495"/>
      <c r="E84" s="496">
        <v>6001</v>
      </c>
      <c r="F84" s="395">
        <v>3</v>
      </c>
      <c r="G84" s="488"/>
      <c r="H84" s="288"/>
      <c r="J84" s="8"/>
      <c r="K84" s="85"/>
      <c r="L84" s="88"/>
    </row>
    <row r="85" spans="1:12">
      <c r="B85" s="394"/>
      <c r="C85" s="245"/>
      <c r="D85" s="495"/>
      <c r="E85" s="496"/>
      <c r="F85" s="395"/>
      <c r="G85" s="488"/>
      <c r="H85" s="288"/>
      <c r="J85" s="8"/>
      <c r="K85" s="85"/>
      <c r="L85" s="88"/>
    </row>
    <row r="86" spans="1:12">
      <c r="B86" s="394"/>
      <c r="C86" s="245"/>
      <c r="D86" s="495"/>
      <c r="E86" s="496"/>
      <c r="F86" s="395"/>
      <c r="G86" s="488"/>
      <c r="H86" s="288"/>
      <c r="J86" s="8"/>
      <c r="K86" s="85"/>
      <c r="L86" s="88"/>
    </row>
    <row r="87" spans="1:12">
      <c r="A87" s="80">
        <v>488</v>
      </c>
      <c r="B87" s="226"/>
      <c r="C87" s="84" t="str">
        <f>HLOOKUP('General Information'!$C$6,'IDIOMA (hide)'!$A$1:$D$5016,A87,0)</f>
        <v>PEP / CPOE / ADEP</v>
      </c>
      <c r="D87" s="227"/>
      <c r="E87" s="228"/>
      <c r="F87" s="275" t="str">
        <f>HLOOKUP('General Information'!$C$6,'IDIOMA (hide)'!$A$1:$D$5016,F4,0)</f>
        <v>Horas Adicionais</v>
      </c>
      <c r="G87" s="230"/>
      <c r="H87" s="288"/>
      <c r="I87" s="147"/>
      <c r="J87" s="8"/>
      <c r="K87" s="85"/>
      <c r="L87" s="88"/>
    </row>
    <row r="88" spans="1:12">
      <c r="A88" s="80">
        <v>329</v>
      </c>
      <c r="B88" s="610" t="str">
        <f>HLOOKUP('General Information'!$C$6,'IDIOMA (hide)'!$A$1:$D$5016,A88,0)</f>
        <v>Quais são os tipos de serviços existentes na instituição?</v>
      </c>
      <c r="C88" s="610"/>
      <c r="D88" s="616"/>
      <c r="E88" s="610"/>
      <c r="F88" s="610"/>
      <c r="G88" s="613"/>
      <c r="H88" s="288"/>
      <c r="I88" s="147"/>
      <c r="J88" s="8"/>
      <c r="K88" s="85"/>
      <c r="L88" s="88"/>
    </row>
    <row r="89" spans="1:12">
      <c r="A89" s="80">
        <v>333</v>
      </c>
      <c r="B89" s="222">
        <v>62</v>
      </c>
      <c r="C89" s="99" t="str">
        <f>HLOOKUP('General Information'!$C$6,'IDIOMA (hide)'!$A$1:$D$5016,A89,0)</f>
        <v>UTI</v>
      </c>
      <c r="D89" s="29"/>
      <c r="E89" s="222"/>
      <c r="F89" s="233">
        <f>IF(D89="Yes",0.3,0)</f>
        <v>0</v>
      </c>
      <c r="G89" s="614"/>
      <c r="H89" s="288"/>
      <c r="I89" s="147"/>
      <c r="J89" s="8"/>
      <c r="K89" s="85"/>
      <c r="L89" s="88"/>
    </row>
    <row r="90" spans="1:12">
      <c r="A90" s="80">
        <v>334</v>
      </c>
      <c r="B90" s="222">
        <v>63</v>
      </c>
      <c r="C90" s="99" t="str">
        <f>HLOOKUP('General Information'!$C$6,'IDIOMA (hide)'!$A$1:$D$5016,A90,0)</f>
        <v>Internação</v>
      </c>
      <c r="D90" s="29"/>
      <c r="E90" s="222"/>
      <c r="F90" s="233">
        <f>IF(D90="Yes",0.3,0)</f>
        <v>0</v>
      </c>
      <c r="G90" s="614"/>
      <c r="H90" s="288"/>
      <c r="I90" s="147"/>
      <c r="J90" s="8"/>
      <c r="K90" s="85"/>
      <c r="L90" s="88"/>
    </row>
    <row r="91" spans="1:12">
      <c r="A91" s="80">
        <v>335</v>
      </c>
      <c r="B91" s="222">
        <v>64</v>
      </c>
      <c r="C91" s="99" t="str">
        <f>HLOOKUP('General Information'!$C$6,'IDIOMA (hide)'!$A$1:$D$5016,A91,0)</f>
        <v>Centro Cirurgico</v>
      </c>
      <c r="D91" s="29"/>
      <c r="E91" s="222"/>
      <c r="F91" s="233">
        <f>IF(D91="Yes",0.2,0)</f>
        <v>0</v>
      </c>
      <c r="G91" s="614"/>
      <c r="H91" s="288"/>
      <c r="I91" s="147"/>
      <c r="J91" s="8"/>
      <c r="K91" s="85"/>
      <c r="L91" s="88"/>
    </row>
    <row r="92" spans="1:12">
      <c r="A92" s="80">
        <v>336</v>
      </c>
      <c r="B92" s="222">
        <v>65</v>
      </c>
      <c r="C92" s="99" t="str">
        <f>HLOOKUP('General Information'!$C$6,'IDIOMA (hide)'!$A$1:$D$5016,A92,0)</f>
        <v>Pronto Atendimento</v>
      </c>
      <c r="D92" s="29"/>
      <c r="E92" s="222"/>
      <c r="F92" s="233">
        <f>IF(D92="Yes",0.2,0)</f>
        <v>0</v>
      </c>
      <c r="G92" s="614"/>
      <c r="H92" s="288"/>
      <c r="I92" s="147"/>
      <c r="J92" s="8"/>
      <c r="K92" s="85"/>
      <c r="L92" s="88"/>
    </row>
    <row r="93" spans="1:12">
      <c r="A93" s="80">
        <v>337</v>
      </c>
      <c r="B93" s="222">
        <v>66</v>
      </c>
      <c r="C93" s="99" t="str">
        <f>HLOOKUP('General Information'!$C$6,'IDIOMA (hide)'!$A$1:$D$5016,A93,0)</f>
        <v>Oncologia</v>
      </c>
      <c r="D93" s="29"/>
      <c r="E93" s="222"/>
      <c r="F93" s="233">
        <f>IF(D93="Yes",0.15,0)</f>
        <v>0</v>
      </c>
      <c r="G93" s="614"/>
      <c r="H93" s="288"/>
      <c r="I93" s="147"/>
      <c r="J93" s="8"/>
      <c r="K93" s="85"/>
      <c r="L93" s="88"/>
    </row>
    <row r="94" spans="1:12">
      <c r="A94" s="80">
        <v>338</v>
      </c>
      <c r="B94" s="222">
        <v>67</v>
      </c>
      <c r="C94" s="99" t="str">
        <f>HLOOKUP('General Information'!$C$6,'IDIOMA (hide)'!$A$1:$D$5016,A94,0)</f>
        <v>Hemodiálises</v>
      </c>
      <c r="D94" s="29"/>
      <c r="E94" s="222"/>
      <c r="F94" s="233">
        <f>IF(D94="Yes",0.1,0)</f>
        <v>0</v>
      </c>
      <c r="G94" s="614"/>
      <c r="H94" s="288"/>
      <c r="I94" s="147"/>
      <c r="J94" s="8"/>
      <c r="K94" s="85"/>
      <c r="L94" s="88"/>
    </row>
    <row r="95" spans="1:12">
      <c r="A95" s="80">
        <v>339</v>
      </c>
      <c r="B95" s="222">
        <v>68</v>
      </c>
      <c r="C95" s="99" t="str">
        <f>HLOOKUP('General Information'!$C$6,'IDIOMA (hide)'!$A$1:$D$5016,A95,0)</f>
        <v>Exames de Imagem</v>
      </c>
      <c r="D95" s="29"/>
      <c r="E95" s="222"/>
      <c r="F95" s="233">
        <f>IF(D95="Yes",0.1,0)</f>
        <v>0</v>
      </c>
      <c r="G95" s="614"/>
      <c r="H95" s="288"/>
      <c r="I95" s="147"/>
      <c r="J95" s="8"/>
      <c r="K95" s="85"/>
      <c r="L95" s="88"/>
    </row>
    <row r="96" spans="1:12">
      <c r="A96" s="80">
        <v>340</v>
      </c>
      <c r="B96" s="85">
        <v>69</v>
      </c>
      <c r="C96" s="86" t="str">
        <f>HLOOKUP('General Information'!$C$6,'IDIOMA (hide)'!$A$1:$D$5016,A96,0)</f>
        <v>Outros (nutrição, banco de sangue, etc.)</v>
      </c>
      <c r="D96" s="29"/>
      <c r="E96" s="223"/>
      <c r="F96" s="233">
        <f>IF(D96="Yes",0.15,0)</f>
        <v>0</v>
      </c>
      <c r="G96" s="614"/>
      <c r="H96" s="288"/>
      <c r="I96" s="147"/>
      <c r="J96" s="8"/>
      <c r="K96" s="85"/>
      <c r="L96" s="88"/>
    </row>
    <row r="97" spans="1:12">
      <c r="A97" s="80">
        <v>330</v>
      </c>
      <c r="B97" s="85">
        <v>70</v>
      </c>
      <c r="C97" s="251" t="str">
        <f>HLOOKUP('General Information'!$C$6,'IDIOMA (hide)'!$A$1:$D$5016,A97,0)</f>
        <v>Prontuário Eletrônico Paciente - PEP</v>
      </c>
      <c r="D97" s="368" t="s">
        <v>2891</v>
      </c>
      <c r="E97" s="85">
        <v>281</v>
      </c>
      <c r="F97" s="87">
        <f>SUM(F89:F96)*K97</f>
        <v>0</v>
      </c>
      <c r="G97" s="614"/>
      <c r="H97" s="288"/>
      <c r="I97" s="147"/>
      <c r="J97" s="8" t="s">
        <v>2846</v>
      </c>
      <c r="K97" s="85">
        <f>VLOOKUP(E97,'BASE_FUNCOES (hide)'!A:I,9,0)</f>
        <v>120</v>
      </c>
      <c r="L97" s="88"/>
    </row>
    <row r="98" spans="1:12">
      <c r="A98" s="80">
        <v>332</v>
      </c>
      <c r="B98" s="85">
        <v>71</v>
      </c>
      <c r="C98" s="251" t="str">
        <f>HLOOKUP('General Information'!$C$6,'IDIOMA (hide)'!$A$1:$D$5016,A98,0)</f>
        <v>CPOE</v>
      </c>
      <c r="D98" s="368" t="s">
        <v>2891</v>
      </c>
      <c r="E98" s="85">
        <v>2314</v>
      </c>
      <c r="F98" s="87">
        <f>SUM(F89:F96)*K98</f>
        <v>0</v>
      </c>
      <c r="G98" s="614"/>
      <c r="H98" s="288"/>
      <c r="I98" s="147"/>
      <c r="J98" s="8" t="s">
        <v>2846</v>
      </c>
      <c r="K98" s="85">
        <f>VLOOKUP(E98,'BASE_FUNCOES (hide)'!A:I,9,0)</f>
        <v>160</v>
      </c>
      <c r="L98" s="88"/>
    </row>
    <row r="99" spans="1:12">
      <c r="A99" s="80">
        <v>331</v>
      </c>
      <c r="B99" s="85">
        <v>72</v>
      </c>
      <c r="C99" s="251" t="str">
        <f>HLOOKUP('General Information'!$C$6,'IDIOMA (hide)'!$A$1:$D$5016,A99,0)</f>
        <v>Adm. Eletrônica da Prescrição - ADEP</v>
      </c>
      <c r="D99" s="368" t="s">
        <v>2891</v>
      </c>
      <c r="E99" s="85">
        <v>1113</v>
      </c>
      <c r="F99" s="87">
        <f>SUM(F89:F96)*K99</f>
        <v>0</v>
      </c>
      <c r="G99" s="615"/>
      <c r="H99" s="288"/>
      <c r="I99" s="147"/>
      <c r="J99" s="8" t="s">
        <v>2846</v>
      </c>
      <c r="K99" s="85">
        <f>VLOOKUP(E99,'BASE_FUNCOES (hide)'!A:I,9,0)</f>
        <v>40</v>
      </c>
      <c r="L99" s="88"/>
    </row>
    <row r="100" spans="1:12">
      <c r="B100" s="226"/>
      <c r="C100" s="229"/>
      <c r="D100" s="227"/>
      <c r="E100" s="228"/>
      <c r="F100" s="276" t="str">
        <f>HLOOKUP('General Information'!$C$6,'IDIOMA (hide)'!$A$1:$D$5016,F4,0)</f>
        <v>Horas Adicionais</v>
      </c>
      <c r="G100" s="230"/>
      <c r="H100" s="288"/>
      <c r="I100" s="190">
        <v>347</v>
      </c>
      <c r="J100" s="8"/>
      <c r="K100" s="85"/>
      <c r="L100" s="88"/>
    </row>
    <row r="101" spans="1:12">
      <c r="A101" s="80">
        <v>59</v>
      </c>
      <c r="B101" s="222">
        <v>24</v>
      </c>
      <c r="C101" s="99" t="str">
        <f>HLOOKUP('General Information'!$C$6,'IDIOMA (hide)'!$A$1:$D$5016,A101,0)</f>
        <v>Possui P.A com processos diferentes? Ex: P.A Adulto e P.A Infantil. Caso possua, quantos são?</v>
      </c>
      <c r="D101" s="29"/>
      <c r="E101" s="222">
        <v>935</v>
      </c>
      <c r="F101" s="100">
        <f>D101*(K101*0.3)</f>
        <v>0</v>
      </c>
      <c r="G101" s="605" t="s">
        <v>2362</v>
      </c>
      <c r="H101" s="288"/>
      <c r="I101" s="80"/>
      <c r="J101" s="9" t="s">
        <v>455</v>
      </c>
      <c r="K101" s="85">
        <f>VLOOKUP(E101,'BASE_FUNCOES (hide)'!A:I,9,0)</f>
        <v>40</v>
      </c>
      <c r="L101" s="88" t="str">
        <f>IF(D101&gt;0,CONCATENATE("Acrescido ",D101*30,"% de horas em virtude da instituição possuir B32'mais de um P.A com processos diferentes."),"")</f>
        <v/>
      </c>
    </row>
    <row r="102" spans="1:12">
      <c r="A102" s="80">
        <v>165</v>
      </c>
      <c r="B102" s="85">
        <v>33</v>
      </c>
      <c r="C102" s="86" t="str">
        <f>HLOOKUP('General Information'!$C$6,'IDIOMA (hide)'!$A$1:$D$5016,A102,0)</f>
        <v>Cliente deseja implantar Protocolo de Manchester (somente versão 2.0)?</v>
      </c>
      <c r="D102" s="22"/>
      <c r="E102" s="89"/>
      <c r="F102" s="274" t="str">
        <f>IF(D102="Yes",HLOOKUP('General Information'!$C$6,'IDIOMA (hide)'!$A$1:$D$5016,G114,0),"")</f>
        <v/>
      </c>
      <c r="G102" s="606"/>
      <c r="H102" s="288"/>
      <c r="I102" s="607" t="str">
        <f>IF(D102="Yes",HLOOKUP('General Information'!$C$6,'IDIOMA (hide)'!$A$1:$D$5016,I100,0),"")</f>
        <v/>
      </c>
      <c r="J102" s="290" t="s">
        <v>2287</v>
      </c>
      <c r="K102" s="85"/>
      <c r="L102" s="88"/>
    </row>
    <row r="103" spans="1:12">
      <c r="A103" s="80">
        <v>49</v>
      </c>
      <c r="B103" s="85">
        <v>19</v>
      </c>
      <c r="C103" s="86" t="str">
        <f>HLOOKUP('General Information'!$C$6,'IDIOMA (hide)'!$A$1:$D$5016,A103,0)</f>
        <v>Existe Banco de Sangue ou agencia transfuncional?</v>
      </c>
      <c r="D103" s="22"/>
      <c r="E103" s="85">
        <v>450</v>
      </c>
      <c r="F103" s="87">
        <f>IF(OR(D103="Banco de Sangue",D103="Blood Bank",D103="Banco de Sangre")=TRUE,K103*1,0)</f>
        <v>0</v>
      </c>
      <c r="G103" s="606" t="str">
        <f>HLOOKUP('General Information'!$C$6,'IDIOMA (hide)'!$A$1:$D$5016,H103,0)</f>
        <v>Apoio</v>
      </c>
      <c r="H103" s="406">
        <v>208</v>
      </c>
      <c r="I103" s="607"/>
      <c r="J103" s="290" t="s">
        <v>2832</v>
      </c>
      <c r="K103" s="85">
        <f>VLOOKUP(E103,'BASE_FUNCOES (hide)'!A:I,9,0)</f>
        <v>24</v>
      </c>
      <c r="L103" s="88" t="str">
        <f>IF(D103="Sim","Acrescido 100% de horas em virtude da instituição possuir Banco de Sangue.","")</f>
        <v/>
      </c>
    </row>
    <row r="104" spans="1:12">
      <c r="A104" s="80">
        <v>50</v>
      </c>
      <c r="B104" s="85">
        <v>20</v>
      </c>
      <c r="C104" s="86" t="str">
        <f>HLOOKUP('General Information'!$C$6,'IDIOMA (hide)'!$A$1:$D$5016,A104,0)</f>
        <v>Possui centro obstétrico?</v>
      </c>
      <c r="D104" s="22"/>
      <c r="E104" s="85">
        <v>900</v>
      </c>
      <c r="F104" s="87">
        <f>IF(OR(D104="Yes",D104="Yes",D104="Yes")=TRUE,K104*0.3,0)</f>
        <v>0</v>
      </c>
      <c r="G104" s="608"/>
      <c r="H104" s="289"/>
      <c r="I104" s="607"/>
      <c r="J104" s="290" t="s">
        <v>450</v>
      </c>
      <c r="K104" s="85">
        <f>VLOOKUP(E104,'BASE_FUNCOES (hide)'!A:I,9,0)</f>
        <v>24</v>
      </c>
      <c r="L104" s="88" t="str">
        <f>IF(D104="Sim","Acrescido 30% de horas em virtude da instituição possuir centro obstétrico","")</f>
        <v/>
      </c>
    </row>
    <row r="105" spans="1:12">
      <c r="A105" s="80">
        <v>164</v>
      </c>
      <c r="B105" s="85">
        <v>32</v>
      </c>
      <c r="C105" s="86" t="str">
        <f>HLOOKUP('General Information'!$C$6,'IDIOMA (hide)'!$A$1:$D$5016,A105,0)</f>
        <v xml:space="preserve">Possui processo de diálise externa? </v>
      </c>
      <c r="D105" s="22"/>
      <c r="E105" s="89">
        <v>7009</v>
      </c>
      <c r="F105" s="87">
        <f>IF(OR(D105="Yes",D105="Yes",D105="Yes")=TRUE,K105,0)</f>
        <v>0</v>
      </c>
      <c r="G105" s="608"/>
      <c r="H105" s="289"/>
      <c r="I105" s="607"/>
      <c r="J105" s="290" t="s">
        <v>2288</v>
      </c>
      <c r="K105" s="85">
        <v>20</v>
      </c>
      <c r="L105" s="88"/>
    </row>
    <row r="106" spans="1:12">
      <c r="A106" s="80">
        <v>57</v>
      </c>
      <c r="B106" s="85">
        <v>22</v>
      </c>
      <c r="C106" s="86" t="str">
        <f>HLOOKUP('General Information'!$C$6,'IDIOMA (hide)'!$A$1:$D$5016,A106,0)</f>
        <v>Controla ou pretende controlar o processo de produção de refeição?</v>
      </c>
      <c r="D106" s="22"/>
      <c r="E106" s="85">
        <v>1003</v>
      </c>
      <c r="F106" s="87">
        <f>IF(OR(D106="Yes",D106="Yes",D106="Yes")=TRUE,K106,0)</f>
        <v>0</v>
      </c>
      <c r="G106" s="608"/>
      <c r="H106" s="289"/>
      <c r="I106" s="147"/>
      <c r="J106" s="8" t="s">
        <v>451</v>
      </c>
      <c r="K106" s="85">
        <f>VLOOKUP(E106,'BASE_FUNCOES (hide)'!A:I,9,0)</f>
        <v>40</v>
      </c>
      <c r="L106" s="88" t="str">
        <f>IF(D106="Sim","Acrescido 100% de horas em virtude da instituição controlar o processo de processo de produção de refeição","")</f>
        <v/>
      </c>
    </row>
    <row r="107" spans="1:12">
      <c r="A107" s="80">
        <v>61</v>
      </c>
      <c r="B107" s="85">
        <v>26</v>
      </c>
      <c r="C107" s="86" t="str">
        <f>HLOOKUP('General Information'!$C$6,'IDIOMA (hide)'!$A$1:$D$5016,A107,0)</f>
        <v>Possui algumas certificação?Ex: ISO,JCI,ONA, HIMSS</v>
      </c>
      <c r="D107" s="22"/>
      <c r="E107" s="85">
        <v>4000</v>
      </c>
      <c r="F107" s="87">
        <f>IF(OR(D107="Yes",D107="Yes",D107="Yes")=TRUE,K107,0)</f>
        <v>0</v>
      </c>
      <c r="G107" s="608"/>
      <c r="H107" s="289"/>
      <c r="I107" s="147"/>
      <c r="J107" s="8" t="s">
        <v>456</v>
      </c>
      <c r="K107" s="85">
        <f>VLOOKUP(E107,'BASE_FUNCOES (hide)'!A:I,9,0)</f>
        <v>40</v>
      </c>
      <c r="L107" s="88" t="str">
        <f>IF(D107="Sim","Acrescido 100% de horas em virtude da instiuição possuir  ou ter interesse em possuir certificações com JCI, ONA, ISO e etc.","")</f>
        <v/>
      </c>
    </row>
    <row r="108" spans="1:12">
      <c r="A108" s="80">
        <v>64</v>
      </c>
      <c r="B108" s="85">
        <v>27</v>
      </c>
      <c r="C108" s="86" t="str">
        <f>HLOOKUP('General Information'!$C$6,'IDIOMA (hide)'!$A$1:$D$5016,A108,0)</f>
        <v>Quantos profissionais atuam com plantões na instituição?</v>
      </c>
      <c r="D108" s="22"/>
      <c r="E108" s="85">
        <v>1008</v>
      </c>
      <c r="F108" s="87">
        <f>IF(D108="0 a 100",0,IF(D108="101 a 200",K108*0.2,IF(D108="201 a 300",K108*0.4,IF(D108="Acima de 300",(K108*0.6),0))))</f>
        <v>0</v>
      </c>
      <c r="G108" s="608"/>
      <c r="H108" s="289"/>
      <c r="I108" s="147"/>
      <c r="J108" s="8" t="s">
        <v>459</v>
      </c>
      <c r="K108" s="85">
        <f>VLOOKUP(E108,'BASE_FUNCOES (hide)'!A:I,9,0)</f>
        <v>8</v>
      </c>
      <c r="L108" s="88" t="str">
        <f>IF(D108="0 a 100","",IF(D108="101 a 200","Acrescido 20% de horas em virtude da instituição possuir de 101 a 200 profissionais que atuam com plantões.",IF(D108="201 a 300","Acrescido 40% de horas em virtude da instituição possuir de 201 a 300  profissionais que atuam com plantões.",IF(D108="acima de 300","Acrescido 60% de horas em virtude da instituição possuir mais de 300 profissionais que atuam com plantões.",""))))</f>
        <v/>
      </c>
    </row>
    <row r="109" spans="1:12" ht="14.5" hidden="1" customHeight="1">
      <c r="A109" s="80">
        <v>78</v>
      </c>
      <c r="B109" s="90">
        <v>28</v>
      </c>
      <c r="C109" s="91" t="s">
        <v>2048</v>
      </c>
      <c r="D109" s="167"/>
      <c r="E109" s="90">
        <v>281</v>
      </c>
      <c r="F109" s="145">
        <f>IF(D109="Sim",K109,0)</f>
        <v>0</v>
      </c>
      <c r="G109" s="138"/>
      <c r="H109" s="138"/>
      <c r="I109" s="147"/>
      <c r="J109" s="8" t="s">
        <v>2065</v>
      </c>
      <c r="K109" s="85">
        <v>8</v>
      </c>
      <c r="L109" s="88"/>
    </row>
    <row r="110" spans="1:12" ht="8.25" customHeight="1">
      <c r="I110" s="147"/>
    </row>
    <row r="111" spans="1:12" ht="31.15" customHeight="1" thickBot="1">
      <c r="A111" s="80">
        <v>274</v>
      </c>
      <c r="B111" s="593" t="str">
        <f>HLOOKUP('General Information'!$C$6,'IDIOMA (hide)'!$A$1:$D$5016,A111,0)</f>
        <v>Integração</v>
      </c>
      <c r="C111" s="593"/>
      <c r="D111" s="593"/>
      <c r="E111" s="593"/>
      <c r="F111" s="593"/>
      <c r="G111" s="593"/>
      <c r="H111" s="593"/>
      <c r="I111" s="593"/>
      <c r="J111" s="593"/>
      <c r="K111" s="593"/>
    </row>
    <row r="112" spans="1:12" ht="10" customHeight="1">
      <c r="B112" s="98"/>
      <c r="C112" s="98"/>
      <c r="D112" s="98"/>
      <c r="E112" s="98"/>
      <c r="F112" s="98"/>
      <c r="G112" s="140"/>
      <c r="H112" s="140"/>
      <c r="I112" s="187"/>
      <c r="J112" s="98"/>
      <c r="K112" s="94"/>
    </row>
    <row r="113" spans="1:12" ht="15" customHeight="1">
      <c r="B113" s="84" t="str">
        <f>HLOOKUP('General Information'!$C$6,'IDIOMA (hide)'!$A$1:$D$5016,B4,0)</f>
        <v>ID Pergunta</v>
      </c>
      <c r="C113" s="84" t="str">
        <f>HLOOKUP('General Information'!$C$6,'IDIOMA (hide)'!$A$1:$D$5016,C4,0)</f>
        <v>Pergunta</v>
      </c>
      <c r="D113" s="84" t="str">
        <f>HLOOKUP('General Information'!$C$6,'IDIOMA (hide)'!$A$1:$D$5016,D4,0)</f>
        <v>Resposta</v>
      </c>
      <c r="E113" s="84" t="s">
        <v>1948</v>
      </c>
      <c r="F113" s="84" t="str">
        <f>HLOOKUP('General Information'!$C$6,'IDIOMA (hide)'!$A$1:$D$5016,G139,0)</f>
        <v>Informação</v>
      </c>
      <c r="G113" s="143">
        <v>352</v>
      </c>
      <c r="H113" s="143"/>
      <c r="I113" s="607" t="str">
        <f>IF(D114="Yes",HLOOKUP('General Information'!$C$6,'IDIOMA (hide)'!$A$1:$D$5016,G113,0),"")</f>
        <v/>
      </c>
      <c r="J113" s="23"/>
      <c r="K113" s="94"/>
    </row>
    <row r="114" spans="1:12">
      <c r="A114" s="80">
        <v>75</v>
      </c>
      <c r="B114" s="85">
        <v>34</v>
      </c>
      <c r="C114" s="86" t="str">
        <f>HLOOKUP('General Information'!$C$6,'IDIOMA (hide)'!$A$1:$D$5016,A114,0)</f>
        <v>O cliente necessita de integrações com outros sistemas e/ou equipamentos, customizações e/ou migrações?</v>
      </c>
      <c r="D114" s="22"/>
      <c r="E114" s="89"/>
      <c r="F114" s="269" t="str">
        <f>IF(D114="Yes",HLOOKUP('General Information'!$C$6,'IDIOMA (hide)'!$A$1:$D$5016,G114,0),"")</f>
        <v/>
      </c>
      <c r="G114" s="272">
        <v>355</v>
      </c>
      <c r="H114" s="139"/>
      <c r="I114" s="607"/>
      <c r="J114" s="8" t="s">
        <v>2287</v>
      </c>
      <c r="K114" s="85"/>
      <c r="L114" s="88"/>
    </row>
    <row r="115" spans="1:12">
      <c r="B115" s="94"/>
      <c r="C115" s="95"/>
      <c r="D115" s="96"/>
      <c r="E115" s="94"/>
      <c r="F115" s="97"/>
      <c r="G115" s="139"/>
      <c r="H115" s="139"/>
      <c r="I115" s="607"/>
      <c r="J115" s="23"/>
      <c r="K115" s="94"/>
    </row>
    <row r="116" spans="1:12" ht="21.5" thickBot="1">
      <c r="A116" s="80">
        <v>214</v>
      </c>
      <c r="B116" s="593" t="str">
        <f>HLOOKUP('General Information'!$C$6,'IDIOMA (hide)'!$A$1:$D$5016,A116,0)</f>
        <v>Mobilidade</v>
      </c>
      <c r="C116" s="593"/>
      <c r="D116" s="593"/>
      <c r="E116" s="593"/>
      <c r="F116" s="593"/>
      <c r="G116" s="593"/>
      <c r="H116" s="593"/>
      <c r="I116" s="593"/>
      <c r="J116" s="593"/>
      <c r="K116" s="593"/>
    </row>
    <row r="117" spans="1:12" ht="7.5" customHeight="1">
      <c r="B117" s="98"/>
      <c r="C117" s="98"/>
      <c r="D117" s="98"/>
      <c r="E117" s="98"/>
      <c r="F117" s="98"/>
      <c r="G117" s="140"/>
      <c r="H117" s="140"/>
      <c r="I117" s="187"/>
      <c r="J117" s="98"/>
    </row>
    <row r="118" spans="1:12">
      <c r="B118" s="562" t="s">
        <v>2108</v>
      </c>
      <c r="C118" s="563"/>
      <c r="D118" s="564"/>
      <c r="E118" s="84" t="s">
        <v>1948</v>
      </c>
      <c r="F118" s="84" t="str">
        <f>HLOOKUP('General Information'!$C$6,'IDIOMA (hide)'!$A$1:$D$5016,F4,0)</f>
        <v>Horas Adicionais</v>
      </c>
      <c r="G118" s="143"/>
      <c r="H118" s="143"/>
      <c r="J118" s="84" t="s">
        <v>1947</v>
      </c>
      <c r="K118" s="84" t="s">
        <v>1949</v>
      </c>
      <c r="L118" s="84" t="s">
        <v>465</v>
      </c>
    </row>
    <row r="119" spans="1:12">
      <c r="A119" s="80">
        <v>107</v>
      </c>
      <c r="B119" s="85">
        <v>35</v>
      </c>
      <c r="C119" s="86" t="str">
        <f>HLOOKUP('General Information'!$C$6,'IDIOMA (hide)'!$A$1:$D$5016,A119,0)</f>
        <v>Será utilizado Prontuário Eletrônico Paciente no iPAD?</v>
      </c>
      <c r="D119" s="540"/>
      <c r="E119" s="85">
        <v>2681</v>
      </c>
      <c r="F119" s="87">
        <f>IF(OR(D119="Yes",D119="Yes",D119="Yes")=TRUE,K119,0)</f>
        <v>0</v>
      </c>
      <c r="G119" s="139"/>
      <c r="H119" s="139"/>
      <c r="J119" s="88"/>
      <c r="K119" s="85">
        <f>VLOOKUP(E119,'BASE_FUNCOES (hide)'!A:I,9,0)</f>
        <v>4</v>
      </c>
      <c r="L119" s="88"/>
    </row>
    <row r="120" spans="1:12">
      <c r="A120" s="80">
        <v>108</v>
      </c>
      <c r="B120" s="609" t="str">
        <f>HLOOKUP('General Information'!$C$6,'IDIOMA (hide)'!$A$1:$D$5016,A120,0)</f>
        <v>Informe abaixo quais funcionalidades serão utilizadas no iPAD</v>
      </c>
      <c r="C120" s="609"/>
      <c r="D120" s="609"/>
      <c r="E120" s="609"/>
      <c r="F120" s="609"/>
      <c r="G120" s="144"/>
      <c r="H120" s="144"/>
      <c r="J120" s="88"/>
      <c r="K120" s="85"/>
      <c r="L120" s="88"/>
    </row>
    <row r="121" spans="1:12">
      <c r="A121" s="80">
        <v>109</v>
      </c>
      <c r="B121" s="222">
        <v>36</v>
      </c>
      <c r="C121" s="86" t="str">
        <f>HLOOKUP('General Information'!$C$6,'IDIOMA (hide)'!$A$1:$D$5016,A121,0)</f>
        <v>iOS - Exames Laboratoriais</v>
      </c>
      <c r="D121" s="541"/>
      <c r="E121" s="7">
        <v>2681</v>
      </c>
      <c r="F121" s="100">
        <f t="shared" ref="F121:F126" si="3">IF(OR(D121="Yes",D121="Yes",D121="Yes")=TRUE,K121,0)</f>
        <v>0</v>
      </c>
      <c r="G121" s="139"/>
      <c r="H121" s="139"/>
      <c r="J121" s="88" t="s">
        <v>2109</v>
      </c>
      <c r="K121" s="85">
        <v>4</v>
      </c>
      <c r="L121" s="88"/>
    </row>
    <row r="122" spans="1:12">
      <c r="A122" s="80">
        <v>110</v>
      </c>
      <c r="B122" s="222">
        <v>37</v>
      </c>
      <c r="C122" s="86" t="str">
        <f>HLOOKUP('General Information'!$C$6,'IDIOMA (hide)'!$A$1:$D$5016,A122,0)</f>
        <v>iOS - Evoluções</v>
      </c>
      <c r="D122" s="540"/>
      <c r="E122" s="7">
        <v>2681</v>
      </c>
      <c r="F122" s="100">
        <f t="shared" si="3"/>
        <v>0</v>
      </c>
      <c r="G122" s="139"/>
      <c r="H122" s="139"/>
      <c r="J122" s="88" t="s">
        <v>2109</v>
      </c>
      <c r="K122" s="85">
        <v>4</v>
      </c>
      <c r="L122" s="88"/>
    </row>
    <row r="123" spans="1:12">
      <c r="A123" s="80">
        <v>111</v>
      </c>
      <c r="B123" s="222">
        <v>38</v>
      </c>
      <c r="C123" s="86" t="str">
        <f>HLOOKUP('General Information'!$C$6,'IDIOMA (hide)'!$A$1:$D$5016,A123,0)</f>
        <v>iOS - Exames No Laboratoriais</v>
      </c>
      <c r="D123" s="540"/>
      <c r="E123" s="7">
        <v>2681</v>
      </c>
      <c r="F123" s="100">
        <f t="shared" si="3"/>
        <v>0</v>
      </c>
      <c r="G123" s="139"/>
      <c r="H123" s="139"/>
      <c r="J123" s="88" t="s">
        <v>2109</v>
      </c>
      <c r="K123" s="85">
        <v>4</v>
      </c>
      <c r="L123" s="88"/>
    </row>
    <row r="124" spans="1:12">
      <c r="A124" s="80">
        <v>112</v>
      </c>
      <c r="B124" s="222">
        <v>39</v>
      </c>
      <c r="C124" s="86" t="str">
        <f>HLOOKUP('General Information'!$C$6,'IDIOMA (hide)'!$A$1:$D$5016,A124,0)</f>
        <v>iOS - Diagnósticos</v>
      </c>
      <c r="D124" s="540"/>
      <c r="E124" s="7">
        <v>2681</v>
      </c>
      <c r="F124" s="100">
        <f t="shared" si="3"/>
        <v>0</v>
      </c>
      <c r="G124" s="139"/>
      <c r="H124" s="139"/>
      <c r="J124" s="88" t="s">
        <v>2109</v>
      </c>
      <c r="K124" s="85">
        <v>4</v>
      </c>
      <c r="L124" s="88"/>
    </row>
    <row r="125" spans="1:12">
      <c r="A125" s="80">
        <v>113</v>
      </c>
      <c r="B125" s="222">
        <v>40</v>
      </c>
      <c r="C125" s="86" t="str">
        <f>HLOOKUP('General Information'!$C$6,'IDIOMA (hide)'!$A$1:$D$5016,A125,0)</f>
        <v>iOS - PEP</v>
      </c>
      <c r="D125" s="540"/>
      <c r="E125" s="7">
        <v>2681</v>
      </c>
      <c r="F125" s="100">
        <f t="shared" si="3"/>
        <v>0</v>
      </c>
      <c r="G125" s="139"/>
      <c r="H125" s="139"/>
      <c r="J125" s="88" t="s">
        <v>2109</v>
      </c>
      <c r="K125" s="85">
        <v>4</v>
      </c>
      <c r="L125" s="88"/>
    </row>
    <row r="126" spans="1:12">
      <c r="A126" s="80">
        <v>114</v>
      </c>
      <c r="B126" s="222">
        <v>41</v>
      </c>
      <c r="C126" s="86" t="str">
        <f>HLOOKUP('General Information'!$C$6,'IDIOMA (hide)'!$A$1:$D$5016,A126,0)</f>
        <v>iOS - Sinais Vitais e Monitorização</v>
      </c>
      <c r="D126" s="542"/>
      <c r="E126" s="7">
        <v>2681</v>
      </c>
      <c r="F126" s="100">
        <f t="shared" si="3"/>
        <v>0</v>
      </c>
      <c r="G126" s="139"/>
      <c r="H126" s="139"/>
      <c r="J126" s="88" t="s">
        <v>2109</v>
      </c>
      <c r="K126" s="85">
        <v>4</v>
      </c>
      <c r="L126" s="88"/>
    </row>
    <row r="127" spans="1:12">
      <c r="B127" s="562" t="s">
        <v>2107</v>
      </c>
      <c r="C127" s="563"/>
      <c r="D127" s="564"/>
      <c r="E127" s="102"/>
      <c r="F127" s="84" t="str">
        <f>HLOOKUP('General Information'!$C$6,'IDIOMA (hide)'!$A$1:$D$5016,F4,0)</f>
        <v>Horas Adicionais</v>
      </c>
      <c r="G127" s="143"/>
      <c r="H127" s="143"/>
      <c r="J127" s="88"/>
      <c r="K127" s="85"/>
      <c r="L127" s="88"/>
    </row>
    <row r="128" spans="1:12">
      <c r="A128" s="80">
        <v>115</v>
      </c>
      <c r="B128" s="223">
        <v>42</v>
      </c>
      <c r="C128" s="86" t="str">
        <f>HLOOKUP('General Information'!$C$6,'IDIOMA (hide)'!$A$1:$D$5016,A128,0)</f>
        <v>Serão utilizados aplicativos PALM?</v>
      </c>
      <c r="D128" s="30"/>
      <c r="E128" s="92">
        <v>88</v>
      </c>
      <c r="F128" s="103">
        <f>IF(OR(D128="Yes",D128="Yes",D128="Yes")=TRUE,K128,0)</f>
        <v>0</v>
      </c>
      <c r="G128" s="139"/>
      <c r="H128" s="139"/>
      <c r="J128" s="88"/>
      <c r="K128" s="85">
        <f>VLOOKUP(E128,'BASE_FUNCOES (hide)'!A:I,9,0)</f>
        <v>12</v>
      </c>
      <c r="L128" s="88"/>
    </row>
    <row r="129" spans="1:12">
      <c r="A129" s="80">
        <v>116</v>
      </c>
      <c r="B129" s="610" t="str">
        <f>HLOOKUP('General Information'!$C$6,'IDIOMA (hide)'!$A$1:$D$5016,A129,0)</f>
        <v>Informe abaixo quais funcionalidades serão utilizadas no PALM</v>
      </c>
      <c r="C129" s="610"/>
      <c r="D129" s="610"/>
      <c r="E129" s="610"/>
      <c r="F129" s="610"/>
      <c r="G129" s="144"/>
      <c r="H129" s="144"/>
      <c r="J129" s="88"/>
      <c r="K129" s="85"/>
      <c r="L129" s="88"/>
    </row>
    <row r="130" spans="1:12">
      <c r="A130" s="80">
        <v>117</v>
      </c>
      <c r="B130" s="222">
        <v>43</v>
      </c>
      <c r="C130" s="86" t="str">
        <f>HLOOKUP('General Information'!$C$6,'IDIOMA (hide)'!$A$1:$D$5016,A130,0)</f>
        <v>Atendimento do Lote da Prescrição</v>
      </c>
      <c r="D130" s="22"/>
      <c r="E130" s="89">
        <v>88</v>
      </c>
      <c r="F130" s="87">
        <f>IF(OR(D130="Yes",D130="Yes",D130="Yes")=TRUE,K130,0)</f>
        <v>0</v>
      </c>
      <c r="G130" s="139"/>
      <c r="H130" s="139"/>
      <c r="J130" s="88" t="s">
        <v>2110</v>
      </c>
      <c r="K130" s="85">
        <v>12</v>
      </c>
      <c r="L130" s="88"/>
    </row>
    <row r="131" spans="1:12">
      <c r="A131" s="80">
        <v>118</v>
      </c>
      <c r="B131" s="222">
        <v>44</v>
      </c>
      <c r="C131" s="86" t="str">
        <f>HLOOKUP('General Information'!$C$6,'IDIOMA (hide)'!$A$1:$D$5016,A131,0)</f>
        <v>Checagem Adep</v>
      </c>
      <c r="D131" s="22"/>
      <c r="E131" s="89">
        <v>88</v>
      </c>
      <c r="F131" s="87">
        <f t="shared" ref="F131:F139" si="4">IF(OR(D131="Yes",D131="Yes",D131="Yes")=TRUE,K131,0)</f>
        <v>0</v>
      </c>
      <c r="G131" s="139"/>
      <c r="H131" s="139"/>
      <c r="J131" s="88" t="s">
        <v>2110</v>
      </c>
      <c r="K131" s="85">
        <v>12</v>
      </c>
      <c r="L131" s="88"/>
    </row>
    <row r="132" spans="1:12">
      <c r="A132" s="80">
        <v>119</v>
      </c>
      <c r="B132" s="222">
        <v>45</v>
      </c>
      <c r="C132" s="86" t="str">
        <f>HLOOKUP('General Information'!$C$6,'IDIOMA (hide)'!$A$1:$D$5016,A132,0)</f>
        <v>Checagem Beira Leito</v>
      </c>
      <c r="D132" s="22"/>
      <c r="E132" s="89">
        <v>88</v>
      </c>
      <c r="F132" s="87">
        <f t="shared" si="4"/>
        <v>0</v>
      </c>
      <c r="G132" s="139"/>
      <c r="H132" s="139"/>
      <c r="J132" s="88" t="s">
        <v>2110</v>
      </c>
      <c r="K132" s="85">
        <v>12</v>
      </c>
      <c r="L132" s="88"/>
    </row>
    <row r="133" spans="1:12">
      <c r="A133" s="80">
        <v>120</v>
      </c>
      <c r="B133" s="222">
        <v>46</v>
      </c>
      <c r="C133" s="86" t="str">
        <f>HLOOKUP('General Information'!$C$6,'IDIOMA (hide)'!$A$1:$D$5016,A133,0)</f>
        <v>Checagem Quimioterapia</v>
      </c>
      <c r="D133" s="22"/>
      <c r="E133" s="89">
        <v>88</v>
      </c>
      <c r="F133" s="87">
        <f t="shared" si="4"/>
        <v>0</v>
      </c>
      <c r="G133" s="139"/>
      <c r="H133" s="139"/>
      <c r="I133" s="611"/>
      <c r="J133" s="88" t="s">
        <v>2110</v>
      </c>
      <c r="K133" s="85">
        <v>12</v>
      </c>
      <c r="L133" s="88"/>
    </row>
    <row r="134" spans="1:12">
      <c r="A134" s="80">
        <v>121</v>
      </c>
      <c r="B134" s="222">
        <v>47</v>
      </c>
      <c r="C134" s="86" t="str">
        <f>HLOOKUP('General Information'!$C$6,'IDIOMA (hide)'!$A$1:$D$5016,A134,0)</f>
        <v>Execução da Prescrição</v>
      </c>
      <c r="D134" s="22"/>
      <c r="E134" s="89">
        <v>88</v>
      </c>
      <c r="F134" s="87">
        <f t="shared" si="4"/>
        <v>0</v>
      </c>
      <c r="G134" s="139"/>
      <c r="H134" s="139"/>
      <c r="I134" s="611"/>
      <c r="J134" s="88" t="s">
        <v>2110</v>
      </c>
      <c r="K134" s="85">
        <v>12</v>
      </c>
      <c r="L134" s="88"/>
    </row>
    <row r="135" spans="1:12">
      <c r="A135" s="80">
        <v>122</v>
      </c>
      <c r="B135" s="222">
        <v>48</v>
      </c>
      <c r="C135" s="86" t="str">
        <f>HLOOKUP('General Information'!$C$6,'IDIOMA (hide)'!$A$1:$D$5016,A135,0)</f>
        <v>Inspeção Recebimento</v>
      </c>
      <c r="D135" s="22"/>
      <c r="E135" s="89">
        <v>88</v>
      </c>
      <c r="F135" s="87">
        <f t="shared" si="4"/>
        <v>0</v>
      </c>
      <c r="G135" s="139"/>
      <c r="H135" s="139"/>
      <c r="I135" s="611"/>
      <c r="J135" s="88" t="s">
        <v>2110</v>
      </c>
      <c r="K135" s="85">
        <v>12</v>
      </c>
      <c r="L135" s="88"/>
    </row>
    <row r="136" spans="1:12">
      <c r="A136" s="80">
        <v>123</v>
      </c>
      <c r="B136" s="222">
        <v>49</v>
      </c>
      <c r="C136" s="86" t="str">
        <f>HLOOKUP('General Information'!$C$6,'IDIOMA (hide)'!$A$1:$D$5016,A136,0)</f>
        <v>Inventário</v>
      </c>
      <c r="D136" s="22"/>
      <c r="E136" s="89">
        <v>88</v>
      </c>
      <c r="F136" s="87">
        <f t="shared" si="4"/>
        <v>0</v>
      </c>
      <c r="G136" s="139"/>
      <c r="H136" s="139"/>
      <c r="I136" s="611"/>
      <c r="J136" s="88" t="s">
        <v>2110</v>
      </c>
      <c r="K136" s="85">
        <v>12</v>
      </c>
      <c r="L136" s="88"/>
    </row>
    <row r="137" spans="1:12">
      <c r="A137" s="80">
        <v>124</v>
      </c>
      <c r="B137" s="222">
        <v>50</v>
      </c>
      <c r="C137" s="86" t="str">
        <f>HLOOKUP('General Information'!$C$6,'IDIOMA (hide)'!$A$1:$D$5016,A137,0)</f>
        <v>Ordem de Serviço</v>
      </c>
      <c r="D137" s="22"/>
      <c r="E137" s="89">
        <v>88</v>
      </c>
      <c r="F137" s="87">
        <f t="shared" si="4"/>
        <v>0</v>
      </c>
      <c r="G137" s="139"/>
      <c r="H137" s="139"/>
      <c r="I137" s="611"/>
      <c r="J137" s="88" t="s">
        <v>2110</v>
      </c>
      <c r="K137" s="85">
        <v>12</v>
      </c>
      <c r="L137" s="88"/>
    </row>
    <row r="138" spans="1:12">
      <c r="A138" s="80">
        <v>125</v>
      </c>
      <c r="B138" s="222">
        <v>51</v>
      </c>
      <c r="C138" s="86" t="str">
        <f>HLOOKUP('General Information'!$C$6,'IDIOMA (hide)'!$A$1:$D$5016,A138,0)</f>
        <v>Sinais vitais e monitorização</v>
      </c>
      <c r="D138" s="22"/>
      <c r="E138" s="89">
        <v>88</v>
      </c>
      <c r="F138" s="87">
        <f t="shared" si="4"/>
        <v>0</v>
      </c>
      <c r="G138" s="139"/>
      <c r="H138" s="139"/>
      <c r="I138" s="611"/>
      <c r="J138" s="88" t="s">
        <v>2110</v>
      </c>
      <c r="K138" s="85">
        <v>12</v>
      </c>
      <c r="L138" s="88"/>
    </row>
    <row r="139" spans="1:12">
      <c r="A139" s="80">
        <v>126</v>
      </c>
      <c r="B139" s="222">
        <v>52</v>
      </c>
      <c r="C139" s="86" t="str">
        <f>HLOOKUP('General Information'!$C$6,'IDIOMA (hide)'!$A$1:$D$5016,A139,0)</f>
        <v>Agenda Web</v>
      </c>
      <c r="D139" s="22"/>
      <c r="E139" s="89">
        <v>88</v>
      </c>
      <c r="F139" s="87">
        <f t="shared" si="4"/>
        <v>0</v>
      </c>
      <c r="G139" s="272">
        <v>356</v>
      </c>
      <c r="H139" s="272"/>
      <c r="I139" s="611"/>
      <c r="J139" s="88" t="s">
        <v>2110</v>
      </c>
      <c r="K139" s="85">
        <v>12</v>
      </c>
      <c r="L139" s="88"/>
    </row>
    <row r="140" spans="1:12">
      <c r="I140" s="611"/>
    </row>
    <row r="141" spans="1:12" ht="21.5" thickBot="1">
      <c r="A141" s="80">
        <v>275</v>
      </c>
      <c r="B141" s="108" t="str">
        <f>HLOOKUP('General Information'!$C$6,'IDIOMA (hide)'!$A$1:$D$5016,A141,0)</f>
        <v>Execução do projeto</v>
      </c>
      <c r="C141" s="108"/>
      <c r="D141" s="108"/>
      <c r="E141" s="108"/>
      <c r="F141" s="108"/>
      <c r="G141" s="108"/>
      <c r="H141" s="108"/>
      <c r="I141" s="108"/>
    </row>
    <row r="142" spans="1:12" ht="10" customHeight="1">
      <c r="B142" s="92"/>
      <c r="C142" s="104"/>
      <c r="D142" s="105"/>
      <c r="F142" s="93"/>
      <c r="G142" s="125"/>
      <c r="H142" s="125"/>
      <c r="J142" s="23"/>
    </row>
    <row r="143" spans="1:12">
      <c r="B143" s="84" t="str">
        <f>HLOOKUP('General Information'!$C$6,'IDIOMA (hide)'!$A$1:$D$5016,B4,0)</f>
        <v>ID Pergunta</v>
      </c>
      <c r="C143" s="84" t="str">
        <f>HLOOKUP('General Information'!$C$6,'IDIOMA (hide)'!$A$1:$D$5016,C4,0)</f>
        <v>Pergunta</v>
      </c>
      <c r="D143" s="84" t="str">
        <f>HLOOKUP('General Information'!$C$6,'IDIOMA (hide)'!$A$1:$D$5016,D4,0)</f>
        <v>Resposta</v>
      </c>
      <c r="F143" s="93"/>
      <c r="G143" s="142"/>
      <c r="H143" s="142"/>
      <c r="J143" s="23"/>
    </row>
    <row r="144" spans="1:12">
      <c r="B144" s="85"/>
      <c r="C144" s="86" t="s">
        <v>5923</v>
      </c>
      <c r="D144" s="443"/>
      <c r="F144" s="93"/>
      <c r="G144" s="142"/>
      <c r="H144" s="142"/>
      <c r="J144" s="23"/>
    </row>
    <row r="145" spans="1:15">
      <c r="A145" s="80">
        <v>127</v>
      </c>
      <c r="B145" s="85">
        <v>53</v>
      </c>
      <c r="C145" s="86" t="str">
        <f>HLOOKUP('General Information'!$C$6,'IDIOMA (hide)'!$A$1:$D$5016,A145,0)</f>
        <v>Quantidade de Consultores para implantação?</v>
      </c>
      <c r="D145" s="444">
        <f>IFERROR(ROUNDUP(Summary!P14,0)/D144/160,1)</f>
        <v>1</v>
      </c>
      <c r="E145" s="94"/>
      <c r="F145" s="107" t="s">
        <v>5924</v>
      </c>
      <c r="G145" s="107"/>
      <c r="H145" s="107"/>
      <c r="I145" s="107"/>
      <c r="M145" s="80">
        <v>408</v>
      </c>
    </row>
    <row r="146" spans="1:15">
      <c r="A146" s="80">
        <v>128</v>
      </c>
      <c r="B146" s="85">
        <v>54</v>
      </c>
      <c r="C146" s="86" t="str">
        <f>HLOOKUP('General Information'!$C$6,'IDIOMA (hide)'!$A$1:$D$5016,A146,0)</f>
        <v>Percentual de Gerência de Projeto?</v>
      </c>
      <c r="D146" s="168">
        <v>0.2</v>
      </c>
      <c r="E146" s="82"/>
      <c r="F146" s="107" t="str">
        <f>HLOOKUP('General Information'!$C$6,'IDIOMA (hide)'!$A$1:$D$5016,O146,0)</f>
        <v>Mínimo recomendado pela área de Projetos é 20%.</v>
      </c>
      <c r="O146" s="80">
        <v>220</v>
      </c>
    </row>
    <row r="147" spans="1:15">
      <c r="A147" s="80">
        <v>129</v>
      </c>
      <c r="B147" s="85">
        <v>55</v>
      </c>
      <c r="C147" s="86" t="str">
        <f>HLOOKUP('General Information'!$C$6,'IDIOMA (hide)'!$A$1:$D$5016,A147,0)</f>
        <v>Quantidade de horas para o Lançamento de Projetos por recurso</v>
      </c>
      <c r="D147" s="169">
        <v>8</v>
      </c>
      <c r="E147" s="82"/>
      <c r="F147" s="107" t="str">
        <f>HLOOKUP('General Information'!$C$6,'IDIOMA (hide)'!$A$1:$D$5016,O147,0)</f>
        <v>Mínimo recomendado pela área de Projetos são 8 horas.</v>
      </c>
      <c r="O147" s="80">
        <v>221</v>
      </c>
    </row>
    <row r="148" spans="1:15">
      <c r="A148" s="80">
        <v>130</v>
      </c>
      <c r="B148" s="85">
        <v>56</v>
      </c>
      <c r="C148" s="86" t="str">
        <f>HLOOKUP('General Information'!$C$6,'IDIOMA (hide)'!$A$1:$D$5016,A148,0)</f>
        <v>Validação da Instalação do Produto?</v>
      </c>
      <c r="D148" s="169">
        <v>8</v>
      </c>
      <c r="E148" s="82"/>
      <c r="F148" s="107" t="str">
        <f>HLOOKUP('General Information'!$C$6,'IDIOMA (hide)'!$A$1:$D$5016,O147,0)</f>
        <v>Mínimo recomendado pela área de Projetos são 8 horas.</v>
      </c>
      <c r="O148" s="80"/>
    </row>
    <row r="149" spans="1:15">
      <c r="A149" s="80">
        <v>131</v>
      </c>
      <c r="B149" s="85">
        <v>57</v>
      </c>
      <c r="C149" s="86" t="str">
        <f>HLOOKUP('General Information'!$C$6,'IDIOMA (hide)'!$A$1:$D$5016,A149,0)</f>
        <v>Quantidade de horas para Teste Piloto por recurso?</v>
      </c>
      <c r="D149" s="169">
        <v>40</v>
      </c>
      <c r="E149" s="82"/>
      <c r="F149" s="107" t="str">
        <f>HLOOKUP('General Information'!$C$6,'IDIOMA (hide)'!$A$1:$D$5016,O149,0)</f>
        <v>Mínimo recomendado pela área de Projetos são 40 horas.</v>
      </c>
      <c r="O149" s="80">
        <v>223</v>
      </c>
    </row>
    <row r="150" spans="1:15">
      <c r="A150" s="80">
        <v>132</v>
      </c>
      <c r="B150" s="85">
        <v>58</v>
      </c>
      <c r="C150" s="86" t="str">
        <f>HLOOKUP('General Information'!$C$6,'IDIOMA (hide)'!$A$1:$D$5016,A150,0)</f>
        <v>Quantidade de horas para Processo de Virada por recurso?</v>
      </c>
      <c r="D150" s="169">
        <v>16</v>
      </c>
      <c r="E150" s="82"/>
      <c r="F150" s="107" t="str">
        <f>HLOOKUP('General Information'!$C$6,'IDIOMA (hide)'!$A$1:$D$5016,O150,0)</f>
        <v>Mínimo recomendado pela área de Projetos são 16 horas.</v>
      </c>
      <c r="O150" s="80">
        <v>222</v>
      </c>
    </row>
    <row r="151" spans="1:15">
      <c r="A151" s="80">
        <v>133</v>
      </c>
      <c r="B151" s="85">
        <v>59</v>
      </c>
      <c r="C151" s="86" t="str">
        <f>HLOOKUP('General Information'!$C$6,'IDIOMA (hide)'!$A$1:$D$5016,A151,0)</f>
        <v>Quantidade de horas mensal de Acompanhamento Pós-Virada por recurso?</v>
      </c>
      <c r="D151" s="22">
        <v>160</v>
      </c>
      <c r="E151" s="82"/>
      <c r="F151" s="107" t="str">
        <f>HLOOKUP('General Information'!$C$6,'IDIOMA (hide)'!$A$1:$D$5016,O151,0)</f>
        <v>Mínimo recomendado pela área de Projetos são 160 horas.</v>
      </c>
      <c r="O151" s="80">
        <v>224</v>
      </c>
    </row>
    <row r="152" spans="1:15">
      <c r="D152" s="419"/>
    </row>
    <row r="155" spans="1:15">
      <c r="D155" s="549"/>
    </row>
    <row r="156" spans="1:15">
      <c r="D156" s="430"/>
    </row>
  </sheetData>
  <sheetProtection algorithmName="SHA-512" hashValue="6cnEh0R4o4ozmKbnLrcKa4tAghH3aHm8qG1BEJMmSrzF7SGy1iSHSpcp/Ff1GnAhSEEUgSoZt9hyvEbiDZKHhA==" saltValue="sAVOO1tchHQVpY/O1P7Uhg==" spinCount="100000" sheet="1" objects="1" scenarios="1"/>
  <protectedRanges>
    <protectedRange password="CF7A" sqref="D17 D101 D103:D104 D78:D86 D6:D7 D11:D13 D106:D108 D19 D21 D23 D25 D27:D30" name="Perguntas"/>
    <protectedRange password="CF7A" sqref="D8" name="Perguntas_1"/>
    <protectedRange password="CF7A" sqref="D14" name="Perguntas_2"/>
    <protectedRange password="CF7A" sqref="D15" name="Perguntas_3"/>
    <protectedRange password="CF7A" sqref="D18" name="Perguntas_5"/>
    <protectedRange password="CF7A" sqref="D20" name="Perguntas_6"/>
    <protectedRange password="CF7A" sqref="D22" name="Perguntas_7"/>
    <protectedRange password="CF7A" sqref="D24" name="Perguntas_8"/>
    <protectedRange password="CF7A" sqref="D26" name="Perguntas_9"/>
  </protectedRanges>
  <mergeCells count="22">
    <mergeCell ref="B1:J1"/>
    <mergeCell ref="J4:L4"/>
    <mergeCell ref="G88:G99"/>
    <mergeCell ref="G11:G16"/>
    <mergeCell ref="B88:F88"/>
    <mergeCell ref="G30:G35"/>
    <mergeCell ref="G17:G22"/>
    <mergeCell ref="G23:G29"/>
    <mergeCell ref="G6:G10"/>
    <mergeCell ref="G72:G83"/>
    <mergeCell ref="G41:G65"/>
    <mergeCell ref="B120:F120"/>
    <mergeCell ref="B129:F129"/>
    <mergeCell ref="B127:D127"/>
    <mergeCell ref="I113:I115"/>
    <mergeCell ref="I133:I140"/>
    <mergeCell ref="B116:K116"/>
    <mergeCell ref="B111:K111"/>
    <mergeCell ref="G101:G102"/>
    <mergeCell ref="I102:I105"/>
    <mergeCell ref="B118:D118"/>
    <mergeCell ref="G103:G108"/>
  </mergeCells>
  <conditionalFormatting sqref="A8">
    <cfRule type="duplicateValues" dxfId="129" priority="42"/>
    <cfRule type="duplicateValues" dxfId="128" priority="40"/>
    <cfRule type="duplicateValues" dxfId="127" priority="39"/>
    <cfRule type="duplicateValues" dxfId="126" priority="41"/>
  </conditionalFormatting>
  <conditionalFormatting sqref="A14">
    <cfRule type="duplicateValues" dxfId="125" priority="36"/>
    <cfRule type="duplicateValues" dxfId="124" priority="38"/>
    <cfRule type="duplicateValues" dxfId="123" priority="37"/>
    <cfRule type="duplicateValues" dxfId="122" priority="35"/>
  </conditionalFormatting>
  <conditionalFormatting sqref="A15">
    <cfRule type="duplicateValues" dxfId="121" priority="34"/>
    <cfRule type="duplicateValues" dxfId="120" priority="33"/>
    <cfRule type="duplicateValues" dxfId="119" priority="32"/>
    <cfRule type="duplicateValues" dxfId="118" priority="31"/>
  </conditionalFormatting>
  <conditionalFormatting sqref="A18">
    <cfRule type="duplicateValues" dxfId="117" priority="29"/>
    <cfRule type="duplicateValues" dxfId="116" priority="30"/>
    <cfRule type="duplicateValues" dxfId="115" priority="28"/>
    <cfRule type="duplicateValues" dxfId="114" priority="27"/>
  </conditionalFormatting>
  <conditionalFormatting sqref="A20">
    <cfRule type="duplicateValues" dxfId="113" priority="23"/>
    <cfRule type="duplicateValues" dxfId="112" priority="24"/>
    <cfRule type="duplicateValues" dxfId="111" priority="25"/>
    <cfRule type="duplicateValues" dxfId="110" priority="26"/>
  </conditionalFormatting>
  <conditionalFormatting sqref="A22">
    <cfRule type="duplicateValues" dxfId="109" priority="22"/>
    <cfRule type="duplicateValues" dxfId="108" priority="21"/>
    <cfRule type="duplicateValues" dxfId="107" priority="19"/>
    <cfRule type="duplicateValues" dxfId="106" priority="20"/>
  </conditionalFormatting>
  <conditionalFormatting sqref="A24">
    <cfRule type="duplicateValues" dxfId="105" priority="18"/>
    <cfRule type="duplicateValues" dxfId="104" priority="17"/>
    <cfRule type="duplicateValues" dxfId="103" priority="16"/>
    <cfRule type="duplicateValues" dxfId="102" priority="15"/>
  </conditionalFormatting>
  <conditionalFormatting sqref="A26">
    <cfRule type="duplicateValues" dxfId="101" priority="13"/>
    <cfRule type="duplicateValues" dxfId="100" priority="14"/>
    <cfRule type="duplicateValues" dxfId="99" priority="12"/>
    <cfRule type="duplicateValues" dxfId="98" priority="11"/>
  </conditionalFormatting>
  <conditionalFormatting sqref="A32">
    <cfRule type="duplicateValues" dxfId="97" priority="10"/>
    <cfRule type="duplicateValues" dxfId="96" priority="9"/>
    <cfRule type="duplicateValues" dxfId="95" priority="8"/>
    <cfRule type="duplicateValues" dxfId="94" priority="7"/>
  </conditionalFormatting>
  <conditionalFormatting sqref="A33">
    <cfRule type="duplicateValues" dxfId="93" priority="4"/>
    <cfRule type="duplicateValues" dxfId="92" priority="5"/>
    <cfRule type="duplicateValues" dxfId="91" priority="6"/>
    <cfRule type="duplicateValues" dxfId="90" priority="3"/>
  </conditionalFormatting>
  <conditionalFormatting sqref="F102">
    <cfRule type="containsText" dxfId="89" priority="47" operator="containsText" text="IMPORT">
      <formula>NOT(ISERROR(SEARCH("IMPORT",F102)))</formula>
    </cfRule>
  </conditionalFormatting>
  <conditionalFormatting sqref="F114">
    <cfRule type="containsText" dxfId="88" priority="46" operator="containsText" text="IMPORT">
      <formula>NOT(ISERROR(SEARCH("IMPORT",F114)))</formula>
    </cfRule>
  </conditionalFormatting>
  <conditionalFormatting sqref="I102:I105">
    <cfRule type="notContainsBlanks" dxfId="87" priority="51">
      <formula>LEN(TRIM(I102))&gt;0</formula>
    </cfRule>
  </conditionalFormatting>
  <conditionalFormatting sqref="I113:I115">
    <cfRule type="notContainsBlanks" dxfId="86" priority="50">
      <formula>LEN(TRIM(I113))&gt;0</formula>
    </cfRule>
  </conditionalFormatting>
  <dataValidations count="20">
    <dataValidation type="list" allowBlank="1" showInputMessage="1" showErrorMessage="1" sqref="D142 D115 D109" xr:uid="{00000000-0002-0000-0400-000000000000}">
      <formula1>"Sim, Não"</formula1>
    </dataValidation>
    <dataValidation type="list" allowBlank="1" showInputMessage="1" showErrorMessage="1" sqref="D108 D28" xr:uid="{00000000-0002-0000-0400-000001000000}">
      <formula1>"0 a 100, 101 a 200, 201 a 300, acima de 300"</formula1>
    </dataValidation>
    <dataValidation type="list" allowBlank="1" showInputMessage="1" showErrorMessage="1" sqref="D31 D114 D121:D126 D119 D128 D130:D139 D12 D87 D9:D10 D16:D17 D72:D74 D104:D107 D102 D23:D25 D100 D77:D78 D89:D96" xr:uid="{00000000-0002-0000-0400-000002000000}">
      <formula1>Afirmativa</formula1>
    </dataValidation>
    <dataValidation type="list" allowBlank="1" showInputMessage="1" showErrorMessage="1" sqref="D9:D12 D23:D25 D16:D17 D28" xr:uid="{00000000-0002-0000-0400-000003000000}">
      <formula1>"1 a 30, 31 a 60, 61 a 100, acima de 100"</formula1>
    </dataValidation>
    <dataValidation type="decimal" allowBlank="1" showInputMessage="1" showErrorMessage="1" errorTitle="Atenção - Attention - Atención!" error="O tempo deverá estar entre 8 e 16 horas._x000a_The time must be between 8 and 16 hours. _x000a_El tiempo debe ser entre 8 y 16 horas." sqref="D147:D148" xr:uid="{00000000-0002-0000-0400-000004000000}">
      <formula1>8</formula1>
      <formula2>16</formula2>
    </dataValidation>
    <dataValidation type="decimal" allowBlank="1" showInputMessage="1" showErrorMessage="1" errorTitle="Atenção - Attention - Atención!" error="O percentual deverá estar entre 20% e 100%._x000a_The percentage must be between 20% until 100%._x000a_El porcentaje debe estar entre 20% y el 100%._x000a_" sqref="D146" xr:uid="{00000000-0002-0000-0400-000005000000}">
      <formula1>0.2</formula1>
      <formula2>1</formula2>
    </dataValidation>
    <dataValidation type="decimal" allowBlank="1" showInputMessage="1" showErrorMessage="1" errorTitle="Atenção - Attention - Atención!" error="O tempo deverá estar entre 40 e 80 horas._x000a_The time must be between 40 and 80 hours. _x000a_El tiempo debe ser entre 40 y 80 horas." sqref="D149" xr:uid="{00000000-0002-0000-0400-000006000000}">
      <formula1>40</formula1>
      <formula2>80</formula2>
    </dataValidation>
    <dataValidation type="decimal" allowBlank="1" showInputMessage="1" showErrorMessage="1" errorTitle="Atenção - Attention - Atención!" error="O tempo deverá estar entre 16 e 32 horas._x000a_The time must be between 16 and 32 hours. _x000a_El tiempo debe ser entre 16 y 32 horas." sqref="D150" xr:uid="{00000000-0002-0000-0400-000007000000}">
      <formula1>16</formula1>
      <formula2>32</formula2>
    </dataValidation>
    <dataValidation type="decimal" allowBlank="1" showInputMessage="1" showErrorMessage="1" errorTitle="Atenção - Attention - Atención!" error="O tempo deverá estar entre 160 e 240 horas._x000a_The time must be between 160 and 240 hours. _x000a_El tiempo debe ser entre 160 y 240 horas." sqref="D151" xr:uid="{00000000-0002-0000-0400-000008000000}">
      <formula1>160</formula1>
      <formula2>320</formula2>
    </dataValidation>
    <dataValidation type="decimal" allowBlank="1" showInputMessage="1" showErrorMessage="1" errorTitle="Atenção - Attention - Atención!" error="A resposta deverá ser preenchida com números._x000a_This answer must be fulfilled with numbers._x000a_Esta respuesta debe cumplirse con números." sqref="D6 D101 D27 D30 D19:D22" xr:uid="{00000000-0002-0000-0400-000009000000}">
      <formula1>0</formula1>
      <formula2>999</formula2>
    </dataValidation>
    <dataValidation type="decimal" allowBlank="1" showInputMessage="1" showErrorMessage="1" errorTitle="Atenção - Attention - Atención!" error="A resposta deverá ser preenchida com números._x000a_This answer must be fulfilled with numbers._x000a_Esta respuesta debe cumplirse con números._x000a_" sqref="D7:D8 D13:D15" xr:uid="{00000000-0002-0000-0400-00000A000000}">
      <formula1>0</formula1>
      <formula2>999</formula2>
    </dataValidation>
    <dataValidation allowBlank="1" showInputMessage="1" showErrorMessage="1" errorTitle="Atenção - Attention - Atención!" error="A resposta deverá ser preenchida com números. (mínimo=1)_x000a_This answer must be fulfilled with numbers. (minimum=1)_x000a_Esta respuesta debe cumplirse con números. (mínimo=1)" sqref="D145" xr:uid="{00000000-0002-0000-0400-00000B000000}"/>
    <dataValidation type="list" allowBlank="1" showInputMessage="1" showErrorMessage="1" sqref="D76" xr:uid="{00000000-0002-0000-0400-00000C000000}">
      <formula1>"1 a 10, 11 a 30, 31 a 50, 51 a 100, Acima de 100"</formula1>
    </dataValidation>
    <dataValidation type="list" allowBlank="1" showInputMessage="1" showErrorMessage="1" sqref="D75" xr:uid="{00000000-0002-0000-0400-00000D000000}">
      <formula1>Assistencial</formula1>
    </dataValidation>
    <dataValidation type="list" allowBlank="1" showInputMessage="1" showErrorMessage="1" sqref="D103" xr:uid="{00000000-0002-0000-0400-00000E000000}">
      <formula1>Banco_sangue</formula1>
    </dataValidation>
    <dataValidation type="whole" allowBlank="1" showInputMessage="1" showErrorMessage="1" sqref="D18" xr:uid="{20783B1D-F026-4B57-BC45-52A627D5703E}">
      <formula1>0</formula1>
      <formula2>50</formula2>
    </dataValidation>
    <dataValidation type="list" allowBlank="1" showInputMessage="1" showErrorMessage="1" sqref="D79" xr:uid="{B14857EF-63DA-4683-94DB-307495C728FF}">
      <formula1>"Elsevier, Tasy, No"</formula1>
    </dataValidation>
    <dataValidation type="list" allowBlank="1" showInputMessage="1" showErrorMessage="1" sqref="D29 D80:D81 D83:D86 D64 D36 D41:D60" xr:uid="{CCAA65B2-DF9D-4E02-A3E5-27F3E6433D76}">
      <formula1>"Yes, No"</formula1>
    </dataValidation>
    <dataValidation type="list" allowBlank="1" showInputMessage="1" showErrorMessage="1" sqref="D29" xr:uid="{923E7836-C6F6-4922-A0EC-C09B816A9B87}">
      <formula1>"Yes,No"</formula1>
    </dataValidation>
    <dataValidation type="list" allowBlank="1" showInputMessage="1" showErrorMessage="1" sqref="D61" xr:uid="{B9B7D1C5-15F2-443E-934E-96B7CEFB2AC2}">
      <formula1>"De 1000 até 1999,2000 até 3999,4000 até 5999,acima de 6000."</formula1>
    </dataValidation>
  </dataValidations>
  <pageMargins left="0.511811024" right="0.511811024" top="0.78740157499999996" bottom="0.78740157499999996" header="0.31496062000000002" footer="0.31496062000000002"/>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O705"/>
  <sheetViews>
    <sheetView showGridLines="0" zoomScale="115" zoomScaleNormal="115" workbookViewId="0">
      <selection activeCell="H27" sqref="H27:H28"/>
    </sheetView>
  </sheetViews>
  <sheetFormatPr defaultColWidth="9.1796875" defaultRowHeight="14.5" outlineLevelRow="1"/>
  <cols>
    <col min="1" max="1" width="4" style="172" bestFit="1" customWidth="1"/>
    <col min="2" max="2" width="8.26953125" style="77" customWidth="1"/>
    <col min="3" max="3" width="12.7265625" style="77" bestFit="1" customWidth="1"/>
    <col min="4" max="4" width="36.81640625" style="59" customWidth="1"/>
    <col min="5" max="5" width="12" style="59" customWidth="1"/>
    <col min="6" max="6" width="56.453125" style="59" customWidth="1"/>
    <col min="7" max="7" width="57.453125" style="59" customWidth="1"/>
    <col min="8" max="8" width="28.81640625" style="59" customWidth="1"/>
    <col min="9" max="9" width="32.26953125" style="78" bestFit="1" customWidth="1"/>
    <col min="10" max="10" width="21" style="79" customWidth="1"/>
    <col min="11" max="11" width="30" style="79" bestFit="1" customWidth="1"/>
    <col min="12" max="12" width="102.453125" style="59" customWidth="1"/>
    <col min="13" max="13" width="47.1796875" style="60" bestFit="1" customWidth="1"/>
    <col min="14" max="14" width="29" style="59" customWidth="1"/>
    <col min="15" max="15" width="9.1796875" style="172"/>
    <col min="16" max="16384" width="9.1796875" style="59"/>
  </cols>
  <sheetData>
    <row r="1" spans="1:15" ht="38.25" customHeight="1">
      <c r="A1" s="172">
        <v>2</v>
      </c>
      <c r="B1" s="552" t="str">
        <f>HLOOKUP('General Information'!$C$6,'IDIOMA (hide)'!$A$1:$D$5016,A1,0)</f>
        <v>LTEP - Levantamento Técnico de Estimativa de Projeto TASY EMR
Código do documento: 0060 - Rev 024</v>
      </c>
      <c r="C1" s="552"/>
      <c r="D1" s="552"/>
      <c r="E1" s="552"/>
      <c r="F1" s="552"/>
      <c r="G1" s="552"/>
      <c r="H1" s="552"/>
      <c r="I1" s="552"/>
      <c r="J1" s="552"/>
      <c r="K1" s="552"/>
      <c r="L1" s="552"/>
    </row>
    <row r="2" spans="1:15">
      <c r="B2" s="171">
        <v>197</v>
      </c>
      <c r="C2" s="171"/>
      <c r="H2" s="172">
        <v>189</v>
      </c>
    </row>
    <row r="3" spans="1:15" ht="21.5" thickBot="1">
      <c r="B3" s="108" t="str">
        <f>HLOOKUP('General Information'!$C$6,'IDIOMA (hide)'!$A$1:$D$5016,B2,0)</f>
        <v>Detalhamento de Horas</v>
      </c>
      <c r="C3" s="108"/>
      <c r="D3" s="108"/>
      <c r="E3" s="108"/>
      <c r="F3" s="108"/>
      <c r="G3" s="108"/>
      <c r="H3" s="175">
        <v>190</v>
      </c>
      <c r="I3" s="108"/>
      <c r="J3" s="108"/>
      <c r="K3" s="61"/>
      <c r="L3" s="62"/>
      <c r="M3" s="63"/>
      <c r="N3" s="63"/>
    </row>
    <row r="4" spans="1:15" ht="21">
      <c r="B4" s="148"/>
      <c r="C4" s="148"/>
      <c r="D4" s="98"/>
      <c r="E4" s="98"/>
      <c r="F4" s="98"/>
      <c r="G4" s="244"/>
      <c r="H4" s="620" t="str">
        <f>HLOOKUP('General Information'!$C$6,'IDIOMA (hide)'!$A$1:$D$5016,H2,0)</f>
        <v>Alterações manuais do escopo serão destacadas em vermelho.</v>
      </c>
      <c r="I4" s="98"/>
      <c r="J4" s="491"/>
      <c r="K4" s="323"/>
    </row>
    <row r="5" spans="1:15" s="172" customFormat="1" ht="27.75" customHeight="1">
      <c r="B5" s="171">
        <v>184</v>
      </c>
      <c r="C5" s="171"/>
      <c r="D5" s="171">
        <v>185</v>
      </c>
      <c r="E5" s="171">
        <v>186</v>
      </c>
      <c r="F5" s="171">
        <v>187</v>
      </c>
      <c r="G5" s="243">
        <v>188</v>
      </c>
      <c r="H5" s="621"/>
      <c r="I5" s="173">
        <v>191</v>
      </c>
      <c r="J5" s="173">
        <v>192</v>
      </c>
      <c r="K5" s="173">
        <v>193</v>
      </c>
      <c r="L5" s="173">
        <v>194</v>
      </c>
      <c r="M5" s="173">
        <v>195</v>
      </c>
      <c r="N5" s="173">
        <v>196</v>
      </c>
    </row>
    <row r="6" spans="1:15" ht="66" customHeight="1">
      <c r="B6" s="64" t="str">
        <f>HLOOKUP('General Information'!$C$6,'IDIOMA (hide)'!$A$1:$D$5016,B5,0)</f>
        <v>ID MODULE</v>
      </c>
      <c r="C6" s="64" t="s">
        <v>5889</v>
      </c>
      <c r="D6" s="64" t="str">
        <f>HLOOKUP('General Information'!$C$6,'IDIOMA (hide)'!$A$1:$D$5016,D5,0)</f>
        <v>MODULE</v>
      </c>
      <c r="E6" s="64" t="str">
        <f>HLOOKUP('General Information'!$C$6,'IDIOMA (hide)'!$A$1:$D$5016,E5,0)</f>
        <v>ID FUNCTION</v>
      </c>
      <c r="F6" s="64" t="str">
        <f>HLOOKUP('General Information'!$C$6,'IDIOMA (hide)'!$A$1:$D$5016,F5,0)</f>
        <v>DESCRIPTION FUNCTION</v>
      </c>
      <c r="G6" s="64" t="str">
        <f>HLOOKUP('General Information'!$C$6,'IDIOMA (hide)'!$A$1:$D$5016,G5,0)</f>
        <v>Escopo Original</v>
      </c>
      <c r="H6" s="64" t="str">
        <f>HLOOKUP('General Information'!$C$6,'IDIOMA (hide)'!$A$1:$D$5016,H3,0)</f>
        <v>SCOPE</v>
      </c>
      <c r="I6" s="64" t="str">
        <f>HLOOKUP('General Information'!$C$6,'IDIOMA (hide)'!$A$1:$D$5016,I5,0)</f>
        <v>HOURS STANDARD IMPLANTATION</v>
      </c>
      <c r="J6" s="64" t="str">
        <f>HLOOKUP('General Information'!$C$6,'IDIOMA (hide)'!$A$1:$D$5016,J5,0)</f>
        <v>ADDITIONAL HOURS (QUESTIONS)</v>
      </c>
      <c r="K6" s="64" t="str">
        <f>HLOOKUP('General Information'!$C$6,'IDIOMA (hide)'!$A$1:$D$5016,K5,0)</f>
        <v>TOTAL HOURS (STANDARD HOURS + ADDITIONAL HOURS)</v>
      </c>
      <c r="L6" s="64" t="str">
        <f>HLOOKUP('General Information'!$C$6,'IDIOMA (hide)'!$A$1:$D$5016,L5,0)</f>
        <v>VARIABLE HOURS JUSTIFICATION</v>
      </c>
      <c r="M6" s="64" t="str">
        <f>HLOOKUP('General Information'!$C$6,'IDIOMA (hide)'!$A$1:$D$5016,M5,0)</f>
        <v>PHASE</v>
      </c>
      <c r="N6" s="64" t="str">
        <f>HLOOKUP('General Information'!$C$6,'IDIOMA (hide)'!$A$1:$D$5016,N5,0)</f>
        <v>Deployment Wave</v>
      </c>
    </row>
    <row r="7" spans="1:15" ht="14.5" customHeight="1">
      <c r="A7" s="172">
        <v>166</v>
      </c>
      <c r="B7" s="72"/>
      <c r="C7" s="72"/>
      <c r="D7" s="65" t="str">
        <f>HLOOKUP('General Information'!$C$6,'IDIOMA (hide)'!$A$1:$D$5016,A7,0)</f>
        <v>Inicialização</v>
      </c>
      <c r="E7" s="74"/>
      <c r="F7" s="66" t="str">
        <f>HLOOKUP('General Information'!$C$6,'IDIOMA (hide)'!$A$1:$D$5016,O7,0)</f>
        <v>Lançamento de Projetos</v>
      </c>
      <c r="G7" s="258" t="s">
        <v>2889</v>
      </c>
      <c r="H7" s="166" t="str">
        <f t="shared" ref="H7:H15" si="0">G7</f>
        <v>Yes</v>
      </c>
      <c r="I7" s="461">
        <f>Questions!D145*Questions!D147</f>
        <v>8</v>
      </c>
      <c r="J7" s="65"/>
      <c r="K7" s="76">
        <f t="shared" ref="K7:K14" si="1">IF(H7="Yes",ROUNDUP((I7*J7)+I7,0),0)</f>
        <v>8</v>
      </c>
      <c r="L7" s="163" t="str">
        <f>IF(ISERROR(VLOOKUP(E7,Questions!$E$5:$L$568,6,0))=FALSE,VLOOKUP(E7,Questions!$E$5:$L$568,6,0),"")</f>
        <v/>
      </c>
      <c r="M7" s="165" t="s">
        <v>2393</v>
      </c>
      <c r="N7" s="164" t="s">
        <v>2377</v>
      </c>
      <c r="O7" s="172">
        <v>175</v>
      </c>
    </row>
    <row r="8" spans="1:15" ht="14.5" customHeight="1">
      <c r="A8" s="172">
        <v>167</v>
      </c>
      <c r="B8" s="72"/>
      <c r="C8" s="72"/>
      <c r="D8" s="65" t="str">
        <f>HLOOKUP('General Information'!$C$6,'IDIOMA (hide)'!$A$1:$D$5016,A8,0)</f>
        <v>Instalação</v>
      </c>
      <c r="E8" s="74"/>
      <c r="F8" s="66" t="str">
        <f>HLOOKUP('General Information'!$C$6,'IDIOMA (hide)'!$A$1:$D$5016,O8,0)</f>
        <v>Validação da Instalação do Produto</v>
      </c>
      <c r="G8" s="258" t="s">
        <v>2889</v>
      </c>
      <c r="H8" s="166" t="str">
        <f t="shared" si="0"/>
        <v>Yes</v>
      </c>
      <c r="I8" s="461">
        <f>Questions!D148</f>
        <v>8</v>
      </c>
      <c r="J8" s="65"/>
      <c r="K8" s="76">
        <f t="shared" si="1"/>
        <v>8</v>
      </c>
      <c r="L8" s="163" t="str">
        <f>IF(ISERROR(VLOOKUP(E8,Questions!$E$5:$L$568,6,0))=FALSE,VLOOKUP(E8,Questions!$E$5:$L$568,6,0),"")</f>
        <v/>
      </c>
      <c r="M8" s="165" t="s">
        <v>2394</v>
      </c>
      <c r="N8" s="164" t="s">
        <v>2377</v>
      </c>
      <c r="O8" s="172">
        <v>176</v>
      </c>
    </row>
    <row r="9" spans="1:15" ht="14.5" customHeight="1">
      <c r="A9" s="172">
        <v>168</v>
      </c>
      <c r="B9" s="72"/>
      <c r="C9" s="72"/>
      <c r="D9" s="65" t="str">
        <f>HLOOKUP('General Information'!$C$6,'IDIOMA (hide)'!$A$1:$D$5016,A9,0)</f>
        <v>Go Live</v>
      </c>
      <c r="E9" s="74"/>
      <c r="F9" s="66" t="str">
        <f>HLOOKUP('General Information'!$C$6,'IDIOMA (hide)'!$A$1:$D$5016,O9,0)</f>
        <v>Teste Piloto</v>
      </c>
      <c r="G9" s="258" t="s">
        <v>2889</v>
      </c>
      <c r="H9" s="166" t="str">
        <f t="shared" si="0"/>
        <v>Yes</v>
      </c>
      <c r="I9" s="461">
        <f>Questions!D149*Questions!D145</f>
        <v>40</v>
      </c>
      <c r="J9" s="65"/>
      <c r="K9" s="76">
        <f t="shared" si="1"/>
        <v>40</v>
      </c>
      <c r="L9" s="163" t="str">
        <f>IF(ISERROR(VLOOKUP(E9,Questions!$E$5:$L$568,6,0))=FALSE,VLOOKUP(E9,Questions!$E$5:$L$568,6,0),"")</f>
        <v/>
      </c>
      <c r="M9" s="165" t="s">
        <v>2395</v>
      </c>
      <c r="N9" s="164" t="s">
        <v>2377</v>
      </c>
      <c r="O9" s="172">
        <v>177</v>
      </c>
    </row>
    <row r="10" spans="1:15" ht="14.5" customHeight="1">
      <c r="A10" s="172">
        <v>169</v>
      </c>
      <c r="B10" s="72"/>
      <c r="C10" s="72"/>
      <c r="D10" s="65" t="str">
        <f>HLOOKUP('General Information'!$C$6,'IDIOMA (hide)'!$A$1:$D$5016,A10,0)</f>
        <v>Go Live</v>
      </c>
      <c r="E10" s="74"/>
      <c r="F10" s="66" t="str">
        <f>HLOOKUP('General Information'!$C$6,'IDIOMA (hide)'!$A$1:$D$5016,O10,0)</f>
        <v>Processo de Virada</v>
      </c>
      <c r="G10" s="258" t="s">
        <v>2889</v>
      </c>
      <c r="H10" s="166" t="str">
        <f t="shared" si="0"/>
        <v>Yes</v>
      </c>
      <c r="I10" s="461">
        <f>Questions!D145*Questions!D150</f>
        <v>16</v>
      </c>
      <c r="J10" s="65"/>
      <c r="K10" s="76">
        <f t="shared" si="1"/>
        <v>16</v>
      </c>
      <c r="L10" s="163" t="str">
        <f>IF(ISERROR(VLOOKUP(E10,Questions!$E$5:$L$568,6,0))=FALSE,VLOOKUP(E10,Questions!$E$5:$L$568,6,0),"")</f>
        <v/>
      </c>
      <c r="M10" s="165" t="s">
        <v>2395</v>
      </c>
      <c r="N10" s="164" t="s">
        <v>2377</v>
      </c>
      <c r="O10" s="172">
        <v>178</v>
      </c>
    </row>
    <row r="11" spans="1:15" ht="14.5" customHeight="1">
      <c r="A11" s="172">
        <v>170</v>
      </c>
      <c r="B11" s="72"/>
      <c r="C11" s="72"/>
      <c r="D11" s="65" t="str">
        <f>HLOOKUP('General Information'!$C$6,'IDIOMA (hide)'!$A$1:$D$5016,A11,0)</f>
        <v>Go Live</v>
      </c>
      <c r="E11" s="74"/>
      <c r="F11" s="66" t="str">
        <f>HLOOKUP('General Information'!$C$6,'IDIOMA (hide)'!$A$1:$D$5016,O11,0)</f>
        <v>Acompanhamento Pós-Virada</v>
      </c>
      <c r="G11" s="258" t="s">
        <v>2889</v>
      </c>
      <c r="H11" s="166" t="str">
        <f t="shared" si="0"/>
        <v>Yes</v>
      </c>
      <c r="I11" s="461">
        <f>Questions!D145*Questions!D151</f>
        <v>160</v>
      </c>
      <c r="J11" s="65"/>
      <c r="K11" s="76">
        <f t="shared" si="1"/>
        <v>160</v>
      </c>
      <c r="L11" s="163" t="str">
        <f>IF(ISERROR(VLOOKUP(E11,Questions!$E$5:$L$568,6,0))=FALSE,VLOOKUP(E11,Questions!$E$5:$L$568,6,0),"")</f>
        <v/>
      </c>
      <c r="M11" s="165" t="s">
        <v>2395</v>
      </c>
      <c r="N11" s="164" t="s">
        <v>2377</v>
      </c>
      <c r="O11" s="172">
        <v>179</v>
      </c>
    </row>
    <row r="12" spans="1:15" ht="14.5" customHeight="1">
      <c r="A12" s="172">
        <v>171</v>
      </c>
      <c r="B12" s="72"/>
      <c r="C12" s="72"/>
      <c r="D12" s="65" t="str">
        <f>HLOOKUP('General Information'!$C$6,'IDIOMA (hide)'!$A$1:$D$5016,A12,0)</f>
        <v>Inicialização - 2ª Onda</v>
      </c>
      <c r="E12" s="74"/>
      <c r="F12" s="66" t="str">
        <f>HLOOKUP('General Information'!$C$6,'IDIOMA (hide)'!$A$1:$D$5016,O12,0)</f>
        <v>Lançamento de Projetos</v>
      </c>
      <c r="G12" s="258" t="s">
        <v>2889</v>
      </c>
      <c r="H12" s="22" t="str">
        <f t="shared" si="0"/>
        <v>Yes</v>
      </c>
      <c r="I12" s="461">
        <f>Questions!D145*Questions!D147</f>
        <v>8</v>
      </c>
      <c r="J12" s="65"/>
      <c r="K12" s="76">
        <f t="shared" si="1"/>
        <v>8</v>
      </c>
      <c r="L12" s="163" t="str">
        <f>IF(ISERROR(VLOOKUP(E12,Questions!$E$5:$L$568,6,0))=FALSE,VLOOKUP(E12,Questions!$E$5:$L$568,6,0),"")</f>
        <v/>
      </c>
      <c r="M12" s="165" t="s">
        <v>2393</v>
      </c>
      <c r="N12" s="164" t="s">
        <v>2376</v>
      </c>
      <c r="O12" s="172">
        <v>180</v>
      </c>
    </row>
    <row r="13" spans="1:15" ht="14.5" customHeight="1">
      <c r="A13" s="172">
        <v>172</v>
      </c>
      <c r="B13" s="72"/>
      <c r="C13" s="72"/>
      <c r="D13" s="65" t="str">
        <f>HLOOKUP('General Information'!$C$6,'IDIOMA (hide)'!$A$1:$D$5016,A13,0)</f>
        <v>Go Live - 2ª Onda</v>
      </c>
      <c r="E13" s="74"/>
      <c r="F13" s="66" t="str">
        <f>HLOOKUP('General Information'!$C$6,'IDIOMA (hide)'!$A$1:$D$5016,O13,0)</f>
        <v>Teste Piloto</v>
      </c>
      <c r="G13" s="258" t="s">
        <v>2889</v>
      </c>
      <c r="H13" s="22" t="str">
        <f t="shared" si="0"/>
        <v>Yes</v>
      </c>
      <c r="I13" s="461">
        <f>Questions!D149*Questions!D145</f>
        <v>40</v>
      </c>
      <c r="J13" s="65"/>
      <c r="K13" s="76">
        <f t="shared" si="1"/>
        <v>40</v>
      </c>
      <c r="L13" s="163" t="str">
        <f>IF(ISERROR(VLOOKUP(E13,Questions!$E$5:$L$568,6,0))=FALSE,VLOOKUP(E13,Questions!$E$5:$L$568,6,0),"")</f>
        <v/>
      </c>
      <c r="M13" s="165" t="s">
        <v>2395</v>
      </c>
      <c r="N13" s="164" t="s">
        <v>2376</v>
      </c>
      <c r="O13" s="172">
        <v>181</v>
      </c>
    </row>
    <row r="14" spans="1:15" ht="14.5" customHeight="1">
      <c r="A14" s="172">
        <v>173</v>
      </c>
      <c r="B14" s="72"/>
      <c r="C14" s="72"/>
      <c r="D14" s="65" t="str">
        <f>HLOOKUP('General Information'!$C$6,'IDIOMA (hide)'!$A$1:$D$5016,A14,0)</f>
        <v>Go Live - 2ª Onda</v>
      </c>
      <c r="E14" s="74"/>
      <c r="F14" s="66" t="str">
        <f>HLOOKUP('General Information'!$C$6,'IDIOMA (hide)'!$A$1:$D$5016,O14,0)</f>
        <v>Processo de Virada</v>
      </c>
      <c r="G14" s="258" t="s">
        <v>2889</v>
      </c>
      <c r="H14" s="22" t="str">
        <f t="shared" si="0"/>
        <v>Yes</v>
      </c>
      <c r="I14" s="461">
        <f>Questions!D145*Questions!D150</f>
        <v>16</v>
      </c>
      <c r="J14" s="65"/>
      <c r="K14" s="76">
        <f t="shared" si="1"/>
        <v>16</v>
      </c>
      <c r="L14" s="163" t="str">
        <f>IF(ISERROR(VLOOKUP(E14,Questions!$E$5:$L$568,6,0))=FALSE,VLOOKUP(E14,Questions!$E$5:$L$568,6,0),"")</f>
        <v/>
      </c>
      <c r="M14" s="165" t="s">
        <v>2395</v>
      </c>
      <c r="N14" s="164" t="s">
        <v>2376</v>
      </c>
      <c r="O14" s="172">
        <v>182</v>
      </c>
    </row>
    <row r="15" spans="1:15" ht="14.5" customHeight="1">
      <c r="A15" s="172">
        <v>174</v>
      </c>
      <c r="B15" s="490"/>
      <c r="C15" s="72"/>
      <c r="D15" s="65" t="str">
        <f>HLOOKUP('General Information'!$C$6,'IDIOMA (hide)'!$A$1:$D$5016,A15,0)</f>
        <v>Go Live - 2ª Onda</v>
      </c>
      <c r="E15" s="245" t="s">
        <v>6242</v>
      </c>
      <c r="F15" s="66" t="str">
        <f>HLOOKUP('General Information'!$C$6,'IDIOMA (hide)'!$A$1:$D$5016,O15,0)</f>
        <v>Acompanhamento Pós-Virada</v>
      </c>
      <c r="G15" s="258" t="s">
        <v>2889</v>
      </c>
      <c r="H15" s="22" t="str">
        <f t="shared" si="0"/>
        <v>Yes</v>
      </c>
      <c r="I15" s="461">
        <f>Questions!D145*Questions!D151</f>
        <v>160</v>
      </c>
      <c r="J15" s="75">
        <f>ROUNDUP(SUMIF(Questions!$E$5:$E$558,'Hours Detail'!E15,Questions!$F$5:$F$558),0)</f>
        <v>0</v>
      </c>
      <c r="K15" s="76">
        <f>IF(H15="Yes",ROUNDUP((I15+J15)+I15,0),0)</f>
        <v>320</v>
      </c>
      <c r="L15" s="163" t="str">
        <f>IF(ISERROR(VLOOKUP(E15,Questions!$E$5:$L$568,6,0))=FALSE,VLOOKUP(E15,Questions!$E$5:$L$568,6,0),"")</f>
        <v>(acrescer 40 horas), normalmente o envio do primeiro monitoramento ocorre 2 meses após a virada.</v>
      </c>
      <c r="M15" s="165" t="s">
        <v>2395</v>
      </c>
      <c r="N15" s="164" t="s">
        <v>2376</v>
      </c>
      <c r="O15" s="172">
        <v>183</v>
      </c>
    </row>
    <row r="16" spans="1:15" ht="6.75" customHeight="1">
      <c r="B16" s="67"/>
      <c r="C16" s="67"/>
      <c r="D16" s="68"/>
      <c r="E16" s="67"/>
      <c r="F16" s="68"/>
      <c r="G16" s="68"/>
      <c r="H16" s="67"/>
      <c r="I16" s="68"/>
      <c r="J16" s="69"/>
      <c r="K16" s="239">
        <f>IF(H16="Yes",ROUNDUP(IF(E16&lt;&gt;281,IF(E16&lt;&gt;252,IF(E16&lt;&gt;1355,IF(E16&lt;&gt;2314,IF('General Information'!$C$19="HTML5",(I16+J16)*120%,I16+J16),I16+J16),I16+J16),I16+J16),I16+J16),I16+J16),I16+J16)</f>
        <v>0</v>
      </c>
      <c r="L16" s="70" t="str">
        <f>IF(ISERROR(VLOOKUP(E16,Questions!$E$5:$L$568,6,0))=FALSE,VLOOKUP(E16,Questions!$E$5:$L$568,6,0),"")</f>
        <v/>
      </c>
      <c r="M16" s="71"/>
      <c r="N16" s="151"/>
    </row>
    <row r="17" spans="1:14" ht="14.5" customHeight="1" outlineLevel="1">
      <c r="B17" s="72">
        <f>VLOOKUP('Hours Detail'!E17,'BASE_FUNCOES (hide)'!A:W,5,FALSE)</f>
        <v>3</v>
      </c>
      <c r="C17" s="72" t="s">
        <v>5929</v>
      </c>
      <c r="D17" s="73" t="str">
        <f>IF('General Information'!$C$6="Português",VLOOKUP(B17,'ESTRUTURA_MODULO(hide)'!A:D,2,0),IF('General Information'!$C$6="English",VLOOKUP(B17,'ESTRUTURA_MODULO(hide)'!A:D,3,0),IF('General Information'!$C$6="Español",VLOOKUP(B17,'ESTRUTURA_MODULO(hide)'!A:D,4,0))))</f>
        <v>Cadastros e Funções Gerais</v>
      </c>
      <c r="E17" s="253">
        <v>4</v>
      </c>
      <c r="F17" s="73" t="str">
        <f>IF('General Information'!$C$6="Português",VLOOKUP(E17,'BASE_FUNCOES (hide)'!A:H,2,0),IF('General Information'!$C$6="English",VLOOKUP(E17,'BASE_FUNCOES (hide)'!A:H,3,0),IF('General Information'!$C$6="Español",VLOOKUP(E17,'BASE_FUNCOES (hide)'!A:H,4,0))))</f>
        <v>Cadastro Médico</v>
      </c>
      <c r="G17" s="73" t="str">
        <f>IF(AND('General Information'!$D$16=1,VLOOKUP(B17,Modules!$B$5:$E$496,4,0)=1)=TRUE,VLOOKUP('Hours Detail'!E17,'BASE_FUNCOES (hide)'!$A:$V,10,0),IF(AND('General Information'!$D$16=2,VLOOKUP(B17,Modules!$B$5:$E$496,4,0)=1)=TRUE,VLOOKUP('Hours Detail'!E17,'BASE_FUNCOES (hide)'!$A:$V,11,0),IF(AND('General Information'!$D$16=3,VLOOKUP(B17,Modules!$B$5:$E$496,4,0)=1)=TRUE,VLOOKUP('Hours Detail'!E17,'BASE_FUNCOES (hide)'!$A:$V,12,0),IF(AND('General Information'!$D$16=4,VLOOKUP(B17,Modules!$B$5:$E$496,4,0)=1)=TRUE,VLOOKUP('Hours Detail'!E17,'BASE_FUNCOES (hide)'!$A:$V,13,0),IF(AND('General Information'!$D$16=5,VLOOKUP(B17,Modules!$B$5:$E$496,4,0)=1)=TRUE,VLOOKUP('Hours Detail'!E17,'BASE_FUNCOES (hide)'!$A:$V,14,0),  IF(AND('General Information'!$D$16=6,VLOOKUP(B17,Modules!$B$5:$E$496,4,0)=1)=TRUE,VLOOKUP('Hours Detail'!E17,'BASE_FUNCOES (hide)'!$A:$V,15,0),"No"))))))</f>
        <v>No</v>
      </c>
      <c r="H17" s="166" t="str">
        <f>G17</f>
        <v>No</v>
      </c>
      <c r="I17" s="75">
        <f>IF('General Information'!$C$4="Mexico",(ROUNDUP(VLOOKUP(E17,'BASE_FUNCOES (hide)'!A:X,21,0),0)),(ROUNDUP(VLOOKUP(E17,'BASE_FUNCOES (hide)'!A:L,9,0),0)))</f>
        <v>8</v>
      </c>
      <c r="J17" s="75">
        <f>ROUNDUP(SUMIF(Questions!$E$5:$E$558,'Hours Detail'!E17,Questions!$F$5:$F$558),0)</f>
        <v>0</v>
      </c>
      <c r="K17" s="76">
        <f>IF(H17="Yes",ROUNDUP(IF(VLOOKUP(E17,'BASE_FUNCOES (hide)'!A:T,16,FALSE)&lt;&gt;"No",IF('General Information'!$C$19="HTML5",(I17+J17)*'BASE_FUNCOES (hide)'!$T$2,I17+J17),I17+J17),I17+J17),I17+J17)</f>
        <v>8</v>
      </c>
      <c r="L17" s="265" t="str">
        <f>IF(OR(E17=121,E17=88,E17=2682,E17=2703,E17=2687,E17=2689,E17=2681,E17=2685)=FALSE,"",IF('General Information'!$C$19="HTML5","FUNÇÃO DISPONÍVEL APENAS PARA BRASIL",IF(J18&lt;&gt;0,VLOOKUP(E18,Questions!$E$5:$L$568,5,0),"")))</f>
        <v/>
      </c>
      <c r="M17" s="164" t="s">
        <v>2396</v>
      </c>
      <c r="N17" s="369" t="s">
        <v>2377</v>
      </c>
    </row>
    <row r="18" spans="1:14" ht="14.5" customHeight="1" outlineLevel="1">
      <c r="B18" s="72">
        <f>VLOOKUP('Hours Detail'!E18,'BASE_FUNCOES (hide)'!A:W,5,FALSE)</f>
        <v>3</v>
      </c>
      <c r="C18" s="72" t="s">
        <v>5929</v>
      </c>
      <c r="D18" s="73" t="str">
        <f>IF('General Information'!$C$6="Português",VLOOKUP(B18,'ESTRUTURA_MODULO(hide)'!A:D,2,0),IF('General Information'!$C$6="English",VLOOKUP(B18,'ESTRUTURA_MODULO(hide)'!A:D,3,0),IF('General Information'!$C$6="Español",VLOOKUP(B18,'ESTRUTURA_MODULO(hide)'!A:D,4,0))))</f>
        <v>Cadastros e Funções Gerais</v>
      </c>
      <c r="E18" s="253">
        <v>53</v>
      </c>
      <c r="F18" s="73" t="str">
        <f>IF('General Information'!$C$6="Português",VLOOKUP(E18,'BASE_FUNCOES (hide)'!A:H,2,0),IF('General Information'!$C$6="English",VLOOKUP(E18,'BASE_FUNCOES (hide)'!A:H,3,0),IF('General Information'!$C$6="Español",VLOOKUP(E18,'BASE_FUNCOES (hide)'!A:H,4,0))))</f>
        <v>Cadastro de CEP</v>
      </c>
      <c r="G18" s="73" t="str">
        <f>IF(AND('General Information'!$D$16=1,VLOOKUP(B18,Modules!$B$5:$E$496,4,0)=1)=TRUE,VLOOKUP('Hours Detail'!E18,'BASE_FUNCOES (hide)'!$A:$V,10,0),IF(AND('General Information'!$D$16=2,VLOOKUP(B18,Modules!$B$5:$E$496,4,0)=1)=TRUE,VLOOKUP('Hours Detail'!E18,'BASE_FUNCOES (hide)'!$A:$V,11,0),IF(AND('General Information'!$D$16=3,VLOOKUP(B18,Modules!$B$5:$E$496,4,0)=1)=TRUE,VLOOKUP('Hours Detail'!E18,'BASE_FUNCOES (hide)'!$A:$V,12,0),IF(AND('General Information'!$D$16=4,VLOOKUP(B18,Modules!$B$5:$E$496,4,0)=1)=TRUE,VLOOKUP('Hours Detail'!E18,'BASE_FUNCOES (hide)'!$A:$V,13,0),IF(AND('General Information'!$D$16=5,VLOOKUP(B18,Modules!$B$5:$E$496,4,0)=1)=TRUE,VLOOKUP('Hours Detail'!E18,'BASE_FUNCOES (hide)'!$A:$V,14,0),  IF(AND('General Information'!$D$16=6,VLOOKUP(B18,Modules!$B$5:$E$496,4,0)=1)=TRUE,VLOOKUP('Hours Detail'!E18,'BASE_FUNCOES (hide)'!$A:$V,15,0),"No"))))))</f>
        <v>No</v>
      </c>
      <c r="H18" s="166" t="str">
        <f t="shared" ref="H18:H81" si="2">G18</f>
        <v>No</v>
      </c>
      <c r="I18" s="75">
        <f>IF('General Information'!$C$4="Mexico",(ROUNDUP(VLOOKUP(E18,'BASE_FUNCOES (hide)'!A:X,21,0),0)),(ROUNDUP(VLOOKUP(E18,'BASE_FUNCOES (hide)'!A:L,9,0),0)))</f>
        <v>4</v>
      </c>
      <c r="J18" s="75">
        <f>ROUNDUP(SUMIF(Questions!$E$5:$E$558,'Hours Detail'!E18,Questions!$F$5:$F$558),0)</f>
        <v>0</v>
      </c>
      <c r="K18" s="76">
        <f>IF(H18="Yes",ROUNDUP(IF(VLOOKUP(E18,'BASE_FUNCOES (hide)'!A:T,16,FALSE)&lt;&gt;"No",IF('General Information'!$C$19="HTML5",(I18+J18)*'BASE_FUNCOES (hide)'!$T$2,I18+J18),I18+J18),I18+J18),I18+J18)</f>
        <v>4</v>
      </c>
      <c r="L18" s="265" t="str">
        <f>IF(OR(E18=121,E18=88,E18=2682,E18=2703,E18=2687,E18=2689,E18=2681,E18=2685)=FALSE,"",IF('General Information'!$C$19="HTML5","FUNÇÃO DISPONÍVEL APENAS PARA BRASIL",IF(J19&lt;&gt;0,VLOOKUP(E19,Questions!$E$5:$L$568,5,0),"")))</f>
        <v/>
      </c>
      <c r="M18" s="164" t="s">
        <v>2396</v>
      </c>
      <c r="N18" s="369" t="s">
        <v>2377</v>
      </c>
    </row>
    <row r="19" spans="1:14" ht="14.5" customHeight="1" outlineLevel="1">
      <c r="B19" s="72">
        <f>VLOOKUP('Hours Detail'!E19,'BASE_FUNCOES (hide)'!A:W,5,FALSE)</f>
        <v>3</v>
      </c>
      <c r="C19" s="72" t="s">
        <v>5929</v>
      </c>
      <c r="D19" s="73" t="str">
        <f>IF('General Information'!$C$6="Português",VLOOKUP(B19,'ESTRUTURA_MODULO(hide)'!A:D,2,0),IF('General Information'!$C$6="English",VLOOKUP(B19,'ESTRUTURA_MODULO(hide)'!A:D,3,0),IF('General Information'!$C$6="Español",VLOOKUP(B19,'ESTRUTURA_MODULO(hide)'!A:D,4,0))))</f>
        <v>Cadastros e Funções Gerais</v>
      </c>
      <c r="E19" s="253">
        <v>132</v>
      </c>
      <c r="F19" s="73" t="str">
        <f>IF('General Information'!$C$6="Português",VLOOKUP(E19,'BASE_FUNCOES (hide)'!A:H,2,0),IF('General Information'!$C$6="English",VLOOKUP(E19,'BASE_FUNCOES (hide)'!A:H,3,0),IF('General Information'!$C$6="Español",VLOOKUP(E19,'BASE_FUNCOES (hide)'!A:H,4,0))))</f>
        <v>Cadastro de Materiais</v>
      </c>
      <c r="G19" s="73" t="str">
        <f>IF(AND('General Information'!$D$16=1,VLOOKUP(B19,Modules!$B$5:$E$496,4,0)=1)=TRUE,VLOOKUP('Hours Detail'!E19,'BASE_FUNCOES (hide)'!$A:$V,10,0),IF(AND('General Information'!$D$16=2,VLOOKUP(B19,Modules!$B$5:$E$496,4,0)=1)=TRUE,VLOOKUP('Hours Detail'!E19,'BASE_FUNCOES (hide)'!$A:$V,11,0),IF(AND('General Information'!$D$16=3,VLOOKUP(B19,Modules!$B$5:$E$496,4,0)=1)=TRUE,VLOOKUP('Hours Detail'!E19,'BASE_FUNCOES (hide)'!$A:$V,12,0),IF(AND('General Information'!$D$16=4,VLOOKUP(B19,Modules!$B$5:$E$496,4,0)=1)=TRUE,VLOOKUP('Hours Detail'!E19,'BASE_FUNCOES (hide)'!$A:$V,13,0),IF(AND('General Information'!$D$16=5,VLOOKUP(B19,Modules!$B$5:$E$496,4,0)=1)=TRUE,VLOOKUP('Hours Detail'!E19,'BASE_FUNCOES (hide)'!$A:$V,14,0),  IF(AND('General Information'!$D$16=6,VLOOKUP(B19,Modules!$B$5:$E$496,4,0)=1)=TRUE,VLOOKUP('Hours Detail'!E19,'BASE_FUNCOES (hide)'!$A:$V,15,0),"No"))))))</f>
        <v>No</v>
      </c>
      <c r="H19" s="166" t="str">
        <f t="shared" si="2"/>
        <v>No</v>
      </c>
      <c r="I19" s="75">
        <f>IF('General Information'!$C$4="Mexico",(ROUNDUP(VLOOKUP(E19,'BASE_FUNCOES (hide)'!A:X,21,0),0)),(ROUNDUP(VLOOKUP(E19,'BASE_FUNCOES (hide)'!A:L,9,0),0)))</f>
        <v>32</v>
      </c>
      <c r="J19" s="75">
        <f>ROUNDUP(SUMIF(Questions!$E$5:$E$558,'Hours Detail'!E19,Questions!$F$5:$F$558),0)</f>
        <v>0</v>
      </c>
      <c r="K19" s="76">
        <f>IF(H19="Yes",ROUNDUP(IF(VLOOKUP(E19,'BASE_FUNCOES (hide)'!A:T,16,FALSE)&lt;&gt;"No",IF('General Information'!$C$19="HTML5",(I19+J19)*'BASE_FUNCOES (hide)'!$T$2,I19+J19),I19+J19),I19+J19),I19+J19)</f>
        <v>32</v>
      </c>
      <c r="L19" s="265" t="str">
        <f>IF(OR(E19=121,E19=88,E19=2682,E19=2703,E19=2687,E19=2689,E19=2681,E19=2685)=FALSE,"",IF('General Information'!$C$19="HTML5","FUNÇÃO DISPONÍVEL APENAS PARA BRASIL",IF(J20&lt;&gt;0,VLOOKUP(E20,Questions!$E$5:$L$568,5,0),"")))</f>
        <v/>
      </c>
      <c r="M19" s="164" t="s">
        <v>2396</v>
      </c>
      <c r="N19" s="369" t="s">
        <v>2377</v>
      </c>
    </row>
    <row r="20" spans="1:14" ht="14.5" customHeight="1" outlineLevel="1">
      <c r="B20" s="72">
        <f>VLOOKUP('Hours Detail'!E20,'BASE_FUNCOES (hide)'!A:W,5,FALSE)</f>
        <v>3</v>
      </c>
      <c r="C20" s="72" t="s">
        <v>5929</v>
      </c>
      <c r="D20" s="73" t="str">
        <f>IF('General Information'!$C$6="Português",VLOOKUP(B20,'ESTRUTURA_MODULO(hide)'!A:D,2,0),IF('General Information'!$C$6="English",VLOOKUP(B20,'ESTRUTURA_MODULO(hide)'!A:D,3,0),IF('General Information'!$C$6="Español",VLOOKUP(B20,'ESTRUTURA_MODULO(hide)'!A:D,4,0))))</f>
        <v>Cadastros e Funções Gerais</v>
      </c>
      <c r="E20" s="253">
        <v>705</v>
      </c>
      <c r="F20" s="73" t="str">
        <f>IF('General Information'!$C$6="Português",VLOOKUP(E20,'BASE_FUNCOES (hide)'!A:H,2,0),IF('General Information'!$C$6="English",VLOOKUP(E20,'BASE_FUNCOES (hide)'!A:H,3,0),IF('General Information'!$C$6="Español",VLOOKUP(E20,'BASE_FUNCOES (hide)'!A:H,4,0))))</f>
        <v>Cargas</v>
      </c>
      <c r="G20" s="73" t="str">
        <f>IF(AND('General Information'!$D$16=1,VLOOKUP(B20,Modules!$B$5:$E$496,4,0)=1)=TRUE,VLOOKUP('Hours Detail'!E20,'BASE_FUNCOES (hide)'!$A:$V,10,0),IF(AND('General Information'!$D$16=2,VLOOKUP(B20,Modules!$B$5:$E$496,4,0)=1)=TRUE,VLOOKUP('Hours Detail'!E20,'BASE_FUNCOES (hide)'!$A:$V,11,0),IF(AND('General Information'!$D$16=3,VLOOKUP(B20,Modules!$B$5:$E$496,4,0)=1)=TRUE,VLOOKUP('Hours Detail'!E20,'BASE_FUNCOES (hide)'!$A:$V,12,0),IF(AND('General Information'!$D$16=4,VLOOKUP(B20,Modules!$B$5:$E$496,4,0)=1)=TRUE,VLOOKUP('Hours Detail'!E20,'BASE_FUNCOES (hide)'!$A:$V,13,0),IF(AND('General Information'!$D$16=5,VLOOKUP(B20,Modules!$B$5:$E$496,4,0)=1)=TRUE,VLOOKUP('Hours Detail'!E20,'BASE_FUNCOES (hide)'!$A:$V,14,0),  IF(AND('General Information'!$D$16=6,VLOOKUP(B20,Modules!$B$5:$E$496,4,0)=1)=TRUE,VLOOKUP('Hours Detail'!E20,'BASE_FUNCOES (hide)'!$A:$V,15,0),"No"))))))</f>
        <v>No</v>
      </c>
      <c r="H20" s="166" t="str">
        <f t="shared" si="2"/>
        <v>No</v>
      </c>
      <c r="I20" s="75">
        <f>IF('General Information'!$C$4="Mexico",(ROUNDUP(VLOOKUP(E20,'BASE_FUNCOES (hide)'!A:X,21,0),0)),(ROUNDUP(VLOOKUP(E20,'BASE_FUNCOES (hide)'!A:L,9,0),0)))</f>
        <v>12</v>
      </c>
      <c r="J20" s="75">
        <f>ROUNDUP(SUMIF(Questions!$E$5:$E$558,'Hours Detail'!E20,Questions!$F$5:$F$558),0)</f>
        <v>0</v>
      </c>
      <c r="K20" s="76">
        <f>IF(H20="Yes",ROUNDUP(IF(VLOOKUP(E20,'BASE_FUNCOES (hide)'!A:T,16,FALSE)&lt;&gt;"No",IF('General Information'!$C$19="HTML5",(I20+J20)*'BASE_FUNCOES (hide)'!$T$2,I20+J20),I20+J20),I20+J20),I20+J20)</f>
        <v>12</v>
      </c>
      <c r="L20" s="265" t="str">
        <f>IF(OR(E20=121,E20=88,E20=2682,E20=2703,E20=2687,E20=2689,E20=2681,E20=2685)=FALSE,"",IF('General Information'!$C$19="HTML5","FUNÇÃO DISPONÍVEL APENAS PARA BRASIL",IF(J21&lt;&gt;0,VLOOKUP(E21,Questions!$E$5:$L$568,5,0),"")))</f>
        <v/>
      </c>
      <c r="M20" s="164" t="s">
        <v>2396</v>
      </c>
      <c r="N20" s="369" t="s">
        <v>2377</v>
      </c>
    </row>
    <row r="21" spans="1:14" ht="14.5" customHeight="1" outlineLevel="1">
      <c r="B21" s="72">
        <f>VLOOKUP('Hours Detail'!E21,'BASE_FUNCOES (hide)'!A:W,5,FALSE)</f>
        <v>3</v>
      </c>
      <c r="C21" s="72" t="s">
        <v>5929</v>
      </c>
      <c r="D21" s="73" t="str">
        <f>IF('General Information'!$C$6="Português",VLOOKUP(B21,'ESTRUTURA_MODULO(hide)'!A:D,2,0),IF('General Information'!$C$6="English",VLOOKUP(B21,'ESTRUTURA_MODULO(hide)'!A:D,3,0),IF('General Information'!$C$6="Español",VLOOKUP(B21,'ESTRUTURA_MODULO(hide)'!A:D,4,0))))</f>
        <v>Cadastros e Funções Gerais</v>
      </c>
      <c r="E21" s="253">
        <v>911</v>
      </c>
      <c r="F21" s="73" t="str">
        <f>IF('General Information'!$C$6="Português",VLOOKUP(E21,'BASE_FUNCOES (hide)'!A:H,2,0),IF('General Information'!$C$6="English",VLOOKUP(E21,'BASE_FUNCOES (hide)'!A:H,3,0),IF('General Information'!$C$6="Español",VLOOKUP(E21,'BASE_FUNCOES (hide)'!A:H,4,0))))</f>
        <v>Empresa/Estabelecimento/Contas/CC</v>
      </c>
      <c r="G21" s="73" t="str">
        <f>IF(AND('General Information'!$D$16=1,VLOOKUP(B21,Modules!$B$5:$E$496,4,0)=1)=TRUE,VLOOKUP('Hours Detail'!E21,'BASE_FUNCOES (hide)'!$A:$V,10,0),IF(AND('General Information'!$D$16=2,VLOOKUP(B21,Modules!$B$5:$E$496,4,0)=1)=TRUE,VLOOKUP('Hours Detail'!E21,'BASE_FUNCOES (hide)'!$A:$V,11,0),IF(AND('General Information'!$D$16=3,VLOOKUP(B21,Modules!$B$5:$E$496,4,0)=1)=TRUE,VLOOKUP('Hours Detail'!E21,'BASE_FUNCOES (hide)'!$A:$V,12,0),IF(AND('General Information'!$D$16=4,VLOOKUP(B21,Modules!$B$5:$E$496,4,0)=1)=TRUE,VLOOKUP('Hours Detail'!E21,'BASE_FUNCOES (hide)'!$A:$V,13,0),IF(AND('General Information'!$D$16=5,VLOOKUP(B21,Modules!$B$5:$E$496,4,0)=1)=TRUE,VLOOKUP('Hours Detail'!E21,'BASE_FUNCOES (hide)'!$A:$V,14,0),  IF(AND('General Information'!$D$16=6,VLOOKUP(B21,Modules!$B$5:$E$496,4,0)=1)=TRUE,VLOOKUP('Hours Detail'!E21,'BASE_FUNCOES (hide)'!$A:$V,15,0),"No"))))))</f>
        <v>No</v>
      </c>
      <c r="H21" s="166" t="str">
        <f t="shared" si="2"/>
        <v>No</v>
      </c>
      <c r="I21" s="75">
        <f>IF('General Information'!$C$4="Mexico",(ROUNDUP(VLOOKUP(E21,'BASE_FUNCOES (hide)'!A:X,21,0),0)),(ROUNDUP(VLOOKUP(E21,'BASE_FUNCOES (hide)'!A:L,9,0),0)))</f>
        <v>24</v>
      </c>
      <c r="J21" s="75">
        <f>ROUNDUP(SUMIF(Questions!$E$5:$E$558,'Hours Detail'!E21,Questions!$F$5:$F$558),0)</f>
        <v>0</v>
      </c>
      <c r="K21" s="76">
        <f>IF(H21="Yes",ROUNDUP(IF(VLOOKUP(E21,'BASE_FUNCOES (hide)'!A:T,16,FALSE)&lt;&gt;"No",IF('General Information'!$C$19="HTML5",(I21+J21)*'BASE_FUNCOES (hide)'!$T$2,I21+J21),I21+J21),I21+J21),I21+J21)</f>
        <v>24</v>
      </c>
      <c r="L21" s="265" t="str">
        <f>IF(OR(E21=121,E21=88,E21=2682,E21=2703,E21=2687,E21=2689,E21=2681,E21=2685)=FALSE,"",IF('General Information'!$C$19="HTML5","FUNÇÃO DISPONÍVEL APENAS PARA BRASIL",IF(J22&lt;&gt;0,VLOOKUP(E22,Questions!$E$5:$L$568,5,0),"")))</f>
        <v/>
      </c>
      <c r="M21" s="164" t="s">
        <v>2396</v>
      </c>
      <c r="N21" s="369" t="s">
        <v>2377</v>
      </c>
    </row>
    <row r="22" spans="1:14" ht="14.5" customHeight="1" outlineLevel="1">
      <c r="A22" s="59"/>
      <c r="B22" s="72">
        <f>VLOOKUP('Hours Detail'!E22,'BASE_FUNCOES (hide)'!A:W,5,FALSE)</f>
        <v>3</v>
      </c>
      <c r="C22" s="72" t="s">
        <v>5929</v>
      </c>
      <c r="D22" s="73" t="str">
        <f>IF('General Information'!$C$6="Português",VLOOKUP(B22,'ESTRUTURA_MODULO(hide)'!A:D,2,0),IF('General Information'!$C$6="English",VLOOKUP(B22,'ESTRUTURA_MODULO(hide)'!A:D,3,0),IF('General Information'!$C$6="Español",VLOOKUP(B22,'ESTRUTURA_MODULO(hide)'!A:D,4,0))))</f>
        <v>Cadastros e Funções Gerais</v>
      </c>
      <c r="E22" s="253">
        <v>1</v>
      </c>
      <c r="F22" s="73" t="str">
        <f>IF('General Information'!$C$6="Português",VLOOKUP(E22,'BASE_FUNCOES (hide)'!A:H,2,0),IF('General Information'!$C$6="English",VLOOKUP(E22,'BASE_FUNCOES (hide)'!A:H,3,0),IF('General Information'!$C$6="Español",VLOOKUP(E22,'BASE_FUNCOES (hide)'!A:H,4,0))))</f>
        <v>Estrutura Atendimento</v>
      </c>
      <c r="G22" s="73" t="str">
        <f>IF(AND('General Information'!$D$16=1,VLOOKUP(B22,Modules!$B$5:$E$496,4,0)=1)=TRUE,VLOOKUP('Hours Detail'!E22,'BASE_FUNCOES (hide)'!$A:$V,10,0),IF(AND('General Information'!$D$16=2,VLOOKUP(B22,Modules!$B$5:$E$496,4,0)=1)=TRUE,VLOOKUP('Hours Detail'!E22,'BASE_FUNCOES (hide)'!$A:$V,11,0),IF(AND('General Information'!$D$16=3,VLOOKUP(B22,Modules!$B$5:$E$496,4,0)=1)=TRUE,VLOOKUP('Hours Detail'!E22,'BASE_FUNCOES (hide)'!$A:$V,12,0),IF(AND('General Information'!$D$16=4,VLOOKUP(B22,Modules!$B$5:$E$496,4,0)=1)=TRUE,VLOOKUP('Hours Detail'!E22,'BASE_FUNCOES (hide)'!$A:$V,13,0),IF(AND('General Information'!$D$16=5,VLOOKUP(B22,Modules!$B$5:$E$496,4,0)=1)=TRUE,VLOOKUP('Hours Detail'!E22,'BASE_FUNCOES (hide)'!$A:$V,14,0),  IF(AND('General Information'!$D$16=6,VLOOKUP(B22,Modules!$B$5:$E$496,4,0)=1)=TRUE,VLOOKUP('Hours Detail'!E22,'BASE_FUNCOES (hide)'!$A:$V,15,0),"No"))))))</f>
        <v>No</v>
      </c>
      <c r="H22" s="166" t="str">
        <f t="shared" si="2"/>
        <v>No</v>
      </c>
      <c r="I22" s="75">
        <f>IF('General Information'!$C$4="Mexico",(ROUNDUP(VLOOKUP(E22,'BASE_FUNCOES (hide)'!A:X,21,0),0)),(ROUNDUP(VLOOKUP(E22,'BASE_FUNCOES (hide)'!A:L,9,0),0)))</f>
        <v>8</v>
      </c>
      <c r="J22" s="75">
        <f>ROUNDUP(SUMIF(Questions!$E$5:$E$558,'Hours Detail'!E22,Questions!$F$5:$F$558),0)</f>
        <v>0</v>
      </c>
      <c r="K22" s="76">
        <f>IF(H22="Yes",ROUNDUP(IF(VLOOKUP(E22,'BASE_FUNCOES (hide)'!A:T,16,FALSE)&lt;&gt;"No",IF('General Information'!$C$19="HTML5",(I22+J22)*'BASE_FUNCOES (hide)'!$T$2,I22+J22),I22+J22),I22+J22),I22+J22)</f>
        <v>8</v>
      </c>
      <c r="L22" s="265" t="str">
        <f>IF(OR(E22=121,E22=88,E22=2682,E22=2703,E22=2687,E22=2689,E22=2681,E22=2685)=FALSE,"",IF('General Information'!$C$19="HTML5","FUNÇÃO DISPONÍVEL APENAS PARA BRASIL",IF(J23&lt;&gt;0,VLOOKUP(E23,Questions!$E$5:$L$568,5,0),"")))</f>
        <v/>
      </c>
      <c r="M22" s="164" t="s">
        <v>2396</v>
      </c>
      <c r="N22" s="369" t="s">
        <v>2377</v>
      </c>
    </row>
    <row r="23" spans="1:14" ht="14.5" customHeight="1" outlineLevel="1">
      <c r="A23" s="59"/>
      <c r="B23" s="72">
        <f>VLOOKUP('Hours Detail'!E23,'BASE_FUNCOES (hide)'!A:W,5,FALSE)</f>
        <v>3</v>
      </c>
      <c r="C23" s="72" t="s">
        <v>5929</v>
      </c>
      <c r="D23" s="73" t="str">
        <f>IF('General Information'!$C$6="Português",VLOOKUP(B23,'ESTRUTURA_MODULO(hide)'!A:D,2,0),IF('General Information'!$C$6="English",VLOOKUP(B23,'ESTRUTURA_MODULO(hide)'!A:D,3,0),IF('General Information'!$C$6="Español",VLOOKUP(B23,'ESTRUTURA_MODULO(hide)'!A:D,4,0))))</f>
        <v>Cadastros e Funções Gerais</v>
      </c>
      <c r="E23" s="253">
        <v>947</v>
      </c>
      <c r="F23" s="73" t="str">
        <f>IF('General Information'!$C$6="Português",VLOOKUP(E23,'BASE_FUNCOES (hide)'!A:H,2,0),IF('General Information'!$C$6="English",VLOOKUP(E23,'BASE_FUNCOES (hide)'!A:H,3,0),IF('General Information'!$C$6="Español",VLOOKUP(E23,'BASE_FUNCOES (hide)'!A:H,4,0))))</f>
        <v>Exames e Procedimentos Internos</v>
      </c>
      <c r="G23" s="73" t="str">
        <f>IF(AND('General Information'!$D$16=1,VLOOKUP(B23,Modules!$B$5:$E$496,4,0)=1)=TRUE,VLOOKUP('Hours Detail'!E23,'BASE_FUNCOES (hide)'!$A:$V,10,0),IF(AND('General Information'!$D$16=2,VLOOKUP(B23,Modules!$B$5:$E$496,4,0)=1)=TRUE,VLOOKUP('Hours Detail'!E23,'BASE_FUNCOES (hide)'!$A:$V,11,0),IF(AND('General Information'!$D$16=3,VLOOKUP(B23,Modules!$B$5:$E$496,4,0)=1)=TRUE,VLOOKUP('Hours Detail'!E23,'BASE_FUNCOES (hide)'!$A:$V,12,0),IF(AND('General Information'!$D$16=4,VLOOKUP(B23,Modules!$B$5:$E$496,4,0)=1)=TRUE,VLOOKUP('Hours Detail'!E23,'BASE_FUNCOES (hide)'!$A:$V,13,0),IF(AND('General Information'!$D$16=5,VLOOKUP(B23,Modules!$B$5:$E$496,4,0)=1)=TRUE,VLOOKUP('Hours Detail'!E23,'BASE_FUNCOES (hide)'!$A:$V,14,0),  IF(AND('General Information'!$D$16=6,VLOOKUP(B23,Modules!$B$5:$E$496,4,0)=1)=TRUE,VLOOKUP('Hours Detail'!E23,'BASE_FUNCOES (hide)'!$A:$V,15,0),"No"))))))</f>
        <v>No</v>
      </c>
      <c r="H23" s="166" t="str">
        <f t="shared" si="2"/>
        <v>No</v>
      </c>
      <c r="I23" s="75">
        <f>IF('General Information'!$C$4="Mexico",(ROUNDUP(VLOOKUP(E23,'BASE_FUNCOES (hide)'!A:X,21,0),0)),(ROUNDUP(VLOOKUP(E23,'BASE_FUNCOES (hide)'!A:L,9,0),0)))</f>
        <v>16</v>
      </c>
      <c r="J23" s="75">
        <f>ROUNDUP(SUMIF(Questions!$E$5:$E$558,'Hours Detail'!E23,Questions!$F$5:$F$558),0)</f>
        <v>0</v>
      </c>
      <c r="K23" s="76">
        <f>IF(H23="Yes",ROUNDUP(IF(VLOOKUP(E23,'BASE_FUNCOES (hide)'!A:T,16,FALSE)&lt;&gt;"No",IF('General Information'!$C$19="HTML5",(I23+J23)*'BASE_FUNCOES (hide)'!$T$2,I23+J23),I23+J23),I23+J23),I23+J23)</f>
        <v>16</v>
      </c>
      <c r="L23" s="265" t="str">
        <f>IF(OR(E23=121,E23=88,E23=2682,E23=2703,E23=2687,E23=2689,E23=2681,E23=2685)=FALSE,"",IF('General Information'!$C$19="HTML5","FUNÇÃO DISPONÍVEL APENAS PARA BRASIL",IF(J24&lt;&gt;0,VLOOKUP(E24,Questions!$E$5:$L$568,5,0),"")))</f>
        <v/>
      </c>
      <c r="M23" s="164" t="s">
        <v>2396</v>
      </c>
      <c r="N23" s="369" t="s">
        <v>2377</v>
      </c>
    </row>
    <row r="24" spans="1:14" ht="14.5" customHeight="1" outlineLevel="1">
      <c r="A24" s="59"/>
      <c r="B24" s="72">
        <f>VLOOKUP('Hours Detail'!E24,'BASE_FUNCOES (hide)'!A:W,5,FALSE)</f>
        <v>3</v>
      </c>
      <c r="C24" s="72" t="s">
        <v>5929</v>
      </c>
      <c r="D24" s="73" t="str">
        <f>IF('General Information'!$C$6="Português",VLOOKUP(B24,'ESTRUTURA_MODULO(hide)'!A:D,2,0),IF('General Information'!$C$6="English",VLOOKUP(B24,'ESTRUTURA_MODULO(hide)'!A:D,3,0),IF('General Information'!$C$6="Español",VLOOKUP(B24,'ESTRUTURA_MODULO(hide)'!A:D,4,0))))</f>
        <v>Cadastros e Funções Gerais</v>
      </c>
      <c r="E24" s="253">
        <v>6</v>
      </c>
      <c r="F24" s="73" t="str">
        <f>IF('General Information'!$C$6="Português",VLOOKUP(E24,'BASE_FUNCOES (hide)'!A:H,2,0),IF('General Information'!$C$6="English",VLOOKUP(E24,'BASE_FUNCOES (hide)'!A:H,3,0),IF('General Information'!$C$6="Español",VLOOKUP(E24,'BASE_FUNCOES (hide)'!A:H,4,0))))</f>
        <v>Pessoa Jurídica</v>
      </c>
      <c r="G24" s="73" t="str">
        <f>IF(AND('General Information'!$D$16=1,VLOOKUP(B24,Modules!$B$5:$E$496,4,0)=1)=TRUE,VLOOKUP('Hours Detail'!E24,'BASE_FUNCOES (hide)'!$A:$V,10,0),IF(AND('General Information'!$D$16=2,VLOOKUP(B24,Modules!$B$5:$E$496,4,0)=1)=TRUE,VLOOKUP('Hours Detail'!E24,'BASE_FUNCOES (hide)'!$A:$V,11,0),IF(AND('General Information'!$D$16=3,VLOOKUP(B24,Modules!$B$5:$E$496,4,0)=1)=TRUE,VLOOKUP('Hours Detail'!E24,'BASE_FUNCOES (hide)'!$A:$V,12,0),IF(AND('General Information'!$D$16=4,VLOOKUP(B24,Modules!$B$5:$E$496,4,0)=1)=TRUE,VLOOKUP('Hours Detail'!E24,'BASE_FUNCOES (hide)'!$A:$V,13,0),IF(AND('General Information'!$D$16=5,VLOOKUP(B24,Modules!$B$5:$E$496,4,0)=1)=TRUE,VLOOKUP('Hours Detail'!E24,'BASE_FUNCOES (hide)'!$A:$V,14,0),  IF(AND('General Information'!$D$16=6,VLOOKUP(B24,Modules!$B$5:$E$496,4,0)=1)=TRUE,VLOOKUP('Hours Detail'!E24,'BASE_FUNCOES (hide)'!$A:$V,15,0),"No"))))))</f>
        <v>No</v>
      </c>
      <c r="H24" s="166" t="str">
        <f t="shared" si="2"/>
        <v>No</v>
      </c>
      <c r="I24" s="75">
        <f>IF('General Information'!$C$4="Mexico",(ROUNDUP(VLOOKUP(E24,'BASE_FUNCOES (hide)'!A:X,21,0),0)),(ROUNDUP(VLOOKUP(E24,'BASE_FUNCOES (hide)'!A:L,9,0),0)))</f>
        <v>12</v>
      </c>
      <c r="J24" s="75">
        <f>ROUNDUP(SUMIF(Questions!$E$5:$E$558,'Hours Detail'!E24,Questions!$F$5:$F$558),0)</f>
        <v>0</v>
      </c>
      <c r="K24" s="76">
        <f>IF(H24="Yes",ROUNDUP(IF(VLOOKUP(E24,'BASE_FUNCOES (hide)'!A:T,16,FALSE)&lt;&gt;"No",IF('General Information'!$C$19="HTML5",(I24+J24)*'BASE_FUNCOES (hide)'!$T$2,I24+J24),I24+J24),I24+J24),I24+J24)</f>
        <v>12</v>
      </c>
      <c r="L24" s="265" t="str">
        <f>IF(OR(E24=121,E24=88,E24=2682,E24=2703,E24=2687,E24=2689,E24=2681,E24=2685)=FALSE,"",IF('General Information'!$C$19="HTML5","FUNÇÃO DISPONÍVEL APENAS PARA BRASIL",IF(J25&lt;&gt;0,VLOOKUP(E25,Questions!$E$5:$L$568,5,0),"")))</f>
        <v/>
      </c>
      <c r="M24" s="164" t="s">
        <v>2396</v>
      </c>
      <c r="N24" s="369" t="s">
        <v>2377</v>
      </c>
    </row>
    <row r="25" spans="1:14" ht="14.5" customHeight="1" outlineLevel="1">
      <c r="A25" s="59"/>
      <c r="B25" s="72">
        <f>VLOOKUP('Hours Detail'!E25,'BASE_FUNCOES (hide)'!A:W,5,FALSE)</f>
        <v>3</v>
      </c>
      <c r="C25" s="72" t="s">
        <v>5929</v>
      </c>
      <c r="D25" s="73" t="str">
        <f>IF('General Information'!$C$6="Português",VLOOKUP(B25,'ESTRUTURA_MODULO(hide)'!A:D,2,0),IF('General Information'!$C$6="English",VLOOKUP(B25,'ESTRUTURA_MODULO(hide)'!A:D,3,0),IF('General Information'!$C$6="Español",VLOOKUP(B25,'ESTRUTURA_MODULO(hide)'!A:D,4,0))))</f>
        <v>Cadastros e Funções Gerais</v>
      </c>
      <c r="E25" s="253">
        <v>25</v>
      </c>
      <c r="F25" s="73" t="str">
        <f>IF('General Information'!$C$6="Português",VLOOKUP(E25,'BASE_FUNCOES (hide)'!A:H,2,0),IF('General Information'!$C$6="English",VLOOKUP(E25,'BASE_FUNCOES (hide)'!A:H,3,0),IF('General Information'!$C$6="Español",VLOOKUP(E25,'BASE_FUNCOES (hide)'!A:H,4,0))))</f>
        <v>Procedimentos</v>
      </c>
      <c r="G25" s="73" t="str">
        <f>IF(AND('General Information'!$D$16=1,VLOOKUP(B25,Modules!$B$5:$E$496,4,0)=1)=TRUE,VLOOKUP('Hours Detail'!E25,'BASE_FUNCOES (hide)'!$A:$V,10,0),IF(AND('General Information'!$D$16=2,VLOOKUP(B25,Modules!$B$5:$E$496,4,0)=1)=TRUE,VLOOKUP('Hours Detail'!E25,'BASE_FUNCOES (hide)'!$A:$V,11,0),IF(AND('General Information'!$D$16=3,VLOOKUP(B25,Modules!$B$5:$E$496,4,0)=1)=TRUE,VLOOKUP('Hours Detail'!E25,'BASE_FUNCOES (hide)'!$A:$V,12,0),IF(AND('General Information'!$D$16=4,VLOOKUP(B25,Modules!$B$5:$E$496,4,0)=1)=TRUE,VLOOKUP('Hours Detail'!E25,'BASE_FUNCOES (hide)'!$A:$V,13,0),IF(AND('General Information'!$D$16=5,VLOOKUP(B25,Modules!$B$5:$E$496,4,0)=1)=TRUE,VLOOKUP('Hours Detail'!E25,'BASE_FUNCOES (hide)'!$A:$V,14,0),  IF(AND('General Information'!$D$16=6,VLOOKUP(B25,Modules!$B$5:$E$496,4,0)=1)=TRUE,VLOOKUP('Hours Detail'!E25,'BASE_FUNCOES (hide)'!$A:$V,15,0),"No"))))))</f>
        <v>No</v>
      </c>
      <c r="H25" s="166" t="str">
        <f t="shared" si="2"/>
        <v>No</v>
      </c>
      <c r="I25" s="75">
        <f>IF('General Information'!$C$4="Mexico",(ROUNDUP(VLOOKUP(E25,'BASE_FUNCOES (hide)'!A:X,21,0),0)),(ROUNDUP(VLOOKUP(E25,'BASE_FUNCOES (hide)'!A:L,9,0),0)))</f>
        <v>10</v>
      </c>
      <c r="J25" s="75">
        <f>ROUNDUP(SUMIF(Questions!$E$5:$E$558,'Hours Detail'!E25,Questions!$F$5:$F$558),0)</f>
        <v>0</v>
      </c>
      <c r="K25" s="76">
        <f>IF(H25="Yes",ROUNDUP(IF(VLOOKUP(E25,'BASE_FUNCOES (hide)'!A:T,16,FALSE)&lt;&gt;"No",IF('General Information'!$C$19="HTML5",(I25+J25)*'BASE_FUNCOES (hide)'!$T$2,I25+J25),I25+J25),I25+J25),I25+J25)</f>
        <v>10</v>
      </c>
      <c r="L25" s="265" t="str">
        <f>IF(OR(E25=121,E25=88,E25=2682,E25=2703,E25=2687,E25=2689,E25=2681,E25=2685)=FALSE,"",IF('General Information'!$C$19="HTML5","FUNÇÃO DISPONÍVEL APENAS PARA BRASIL",IF(J26&lt;&gt;0,VLOOKUP(E26,Questions!$E$5:$L$568,5,0),"")))</f>
        <v/>
      </c>
      <c r="M25" s="164" t="s">
        <v>2396</v>
      </c>
      <c r="N25" s="369" t="s">
        <v>2377</v>
      </c>
    </row>
    <row r="26" spans="1:14" ht="14.5" customHeight="1" outlineLevel="1">
      <c r="B26" s="72">
        <f>VLOOKUP('Hours Detail'!E26,'BASE_FUNCOES (hide)'!A:W,5,FALSE)</f>
        <v>3</v>
      </c>
      <c r="C26" s="72" t="s">
        <v>5929</v>
      </c>
      <c r="D26" s="73" t="str">
        <f>IF('General Information'!$C$6="Português",VLOOKUP(B26,'ESTRUTURA_MODULO(hide)'!A:D,2,0),IF('General Information'!$C$6="English",VLOOKUP(B26,'ESTRUTURA_MODULO(hide)'!A:D,3,0),IF('General Information'!$C$6="Español",VLOOKUP(B26,'ESTRUTURA_MODULO(hide)'!A:D,4,0))))</f>
        <v>Cadastros e Funções Gerais</v>
      </c>
      <c r="E26" s="253">
        <v>15</v>
      </c>
      <c r="F26" s="73" t="str">
        <f>IF('General Information'!$C$6="Português",VLOOKUP(E26,'BASE_FUNCOES (hide)'!A:H,2,0),IF('General Information'!$C$6="English",VLOOKUP(E26,'BASE_FUNCOES (hide)'!A:H,3,0),IF('General Information'!$C$6="Español",VLOOKUP(E26,'BASE_FUNCOES (hide)'!A:H,4,0))))</f>
        <v>Tipos de Acomodação</v>
      </c>
      <c r="G26" s="73" t="str">
        <f>IF(AND('General Information'!$D$16=1,VLOOKUP(B26,Modules!$B$5:$E$496,4,0)=1)=TRUE,VLOOKUP('Hours Detail'!E26,'BASE_FUNCOES (hide)'!$A:$V,10,0),IF(AND('General Information'!$D$16=2,VLOOKUP(B26,Modules!$B$5:$E$496,4,0)=1)=TRUE,VLOOKUP('Hours Detail'!E26,'BASE_FUNCOES (hide)'!$A:$V,11,0),IF(AND('General Information'!$D$16=3,VLOOKUP(B26,Modules!$B$5:$E$496,4,0)=1)=TRUE,VLOOKUP('Hours Detail'!E26,'BASE_FUNCOES (hide)'!$A:$V,12,0),IF(AND('General Information'!$D$16=4,VLOOKUP(B26,Modules!$B$5:$E$496,4,0)=1)=TRUE,VLOOKUP('Hours Detail'!E26,'BASE_FUNCOES (hide)'!$A:$V,13,0),IF(AND('General Information'!$D$16=5,VLOOKUP(B26,Modules!$B$5:$E$496,4,0)=1)=TRUE,VLOOKUP('Hours Detail'!E26,'BASE_FUNCOES (hide)'!$A:$V,14,0),  IF(AND('General Information'!$D$16=6,VLOOKUP(B26,Modules!$B$5:$E$496,4,0)=1)=TRUE,VLOOKUP('Hours Detail'!E26,'BASE_FUNCOES (hide)'!$A:$V,15,0),"No"))))))</f>
        <v>No</v>
      </c>
      <c r="H26" s="166" t="str">
        <f t="shared" si="2"/>
        <v>No</v>
      </c>
      <c r="I26" s="75">
        <f>IF('General Information'!$C$4="Mexico",(ROUNDUP(VLOOKUP(E26,'BASE_FUNCOES (hide)'!A:X,21,0),0)),(ROUNDUP(VLOOKUP(E26,'BASE_FUNCOES (hide)'!A:L,9,0),0)))</f>
        <v>2</v>
      </c>
      <c r="J26" s="75">
        <f>ROUNDUP(SUMIF(Questions!$E$5:$E$558,'Hours Detail'!E26,Questions!$F$5:$F$558),0)</f>
        <v>0</v>
      </c>
      <c r="K26" s="76">
        <f>IF(H26="Yes",ROUNDUP(IF(VLOOKUP(E26,'BASE_FUNCOES (hide)'!A:T,16,FALSE)&lt;&gt;"No",IF('General Information'!$C$19="HTML5",(I26+J26)*'BASE_FUNCOES (hide)'!$T$2,I26+J26),I26+J26),I26+J26),I26+J26)</f>
        <v>2</v>
      </c>
      <c r="L26" s="265" t="str">
        <f>IF(OR(E26=121,E26=88,E26=2682,E26=2703,E26=2687,E26=2689,E26=2681,E26=2685)=FALSE,"",IF('General Information'!$C$19="HTML5","FUNÇÃO DISPONÍVEL APENAS PARA BRASIL",IF(J27&lt;&gt;0,VLOOKUP(E27,Questions!$E$5:$L$568,5,0),"")))</f>
        <v/>
      </c>
      <c r="M26" s="164" t="s">
        <v>2396</v>
      </c>
      <c r="N26" s="369" t="s">
        <v>2377</v>
      </c>
    </row>
    <row r="27" spans="1:14" ht="14.5" customHeight="1" outlineLevel="1">
      <c r="B27" s="72">
        <f>VLOOKUP('Hours Detail'!E27,'BASE_FUNCOES (hide)'!A:W,5,FALSE)</f>
        <v>3</v>
      </c>
      <c r="C27" s="72" t="s">
        <v>5929</v>
      </c>
      <c r="D27" s="73" t="str">
        <f>IF('General Information'!$C$6="Português",VLOOKUP(B27,'ESTRUTURA_MODULO(hide)'!A:D,2,0),IF('General Information'!$C$6="English",VLOOKUP(B27,'ESTRUTURA_MODULO(hide)'!A:D,3,0),IF('General Information'!$C$6="Español",VLOOKUP(B27,'ESTRUTURA_MODULO(hide)'!A:D,4,0))))</f>
        <v>Cadastros e Funções Gerais</v>
      </c>
      <c r="E27" s="254">
        <v>230</v>
      </c>
      <c r="F27" s="73" t="str">
        <f>IF('General Information'!$C$6="Português",VLOOKUP(E27,'BASE_FUNCOES (hide)'!A:H,2,0),IF('General Information'!$C$6="English",VLOOKUP(E27,'BASE_FUNCOES (hide)'!A:H,3,0),IF('General Information'!$C$6="Español",VLOOKUP(E27,'BASE_FUNCOES (hide)'!A:H,4,0))))</f>
        <v>Cadastro de Funcionários</v>
      </c>
      <c r="G27" s="73" t="str">
        <f>IF(AND('General Information'!$D$16=1,VLOOKUP(B27,Modules!$B$5:$E$496,4,0)=1)=TRUE,VLOOKUP('Hours Detail'!E27,'BASE_FUNCOES (hide)'!$A:$V,10,0),IF(AND('General Information'!$D$16=2,VLOOKUP(B27,Modules!$B$5:$E$496,4,0)=1)=TRUE,VLOOKUP('Hours Detail'!E27,'BASE_FUNCOES (hide)'!$A:$V,11,0),IF(AND('General Information'!$D$16=3,VLOOKUP(B27,Modules!$B$5:$E$496,4,0)=1)=TRUE,VLOOKUP('Hours Detail'!E27,'BASE_FUNCOES (hide)'!$A:$V,12,0),IF(AND('General Information'!$D$16=4,VLOOKUP(B27,Modules!$B$5:$E$496,4,0)=1)=TRUE,VLOOKUP('Hours Detail'!E27,'BASE_FUNCOES (hide)'!$A:$V,13,0),IF(AND('General Information'!$D$16=5,VLOOKUP(B27,Modules!$B$5:$E$496,4,0)=1)=TRUE,VLOOKUP('Hours Detail'!E27,'BASE_FUNCOES (hide)'!$A:$V,14,0),  IF(AND('General Information'!$D$16=6,VLOOKUP(B27,Modules!$B$5:$E$496,4,0)=1)=TRUE,VLOOKUP('Hours Detail'!E27,'BASE_FUNCOES (hide)'!$A:$V,15,0),"No"))))))</f>
        <v>No</v>
      </c>
      <c r="H27" s="22" t="s">
        <v>2890</v>
      </c>
      <c r="I27" s="75">
        <f>IF('General Information'!$C$4="Mexico",(ROUNDUP(VLOOKUP(E27,'BASE_FUNCOES (hide)'!A:X,21,0),0)),(ROUNDUP(VLOOKUP(E27,'BASE_FUNCOES (hide)'!A:L,9,0),0)))</f>
        <v>4</v>
      </c>
      <c r="J27" s="75">
        <f>ROUNDUP(SUMIF(Questions!$E$5:$E$558,'Hours Detail'!E27,Questions!$F$5:$F$558),0)</f>
        <v>0</v>
      </c>
      <c r="K27" s="76">
        <f>IF(H27="Yes",ROUNDUP(IF(VLOOKUP(E27,'BASE_FUNCOES (hide)'!A:T,16,FALSE)&lt;&gt;"No",IF('General Information'!$C$19="HTML5",(I27+J27)*'BASE_FUNCOES (hide)'!$T$2,I27+J27),I27+J27),I27+J27),I27+J27)</f>
        <v>4</v>
      </c>
      <c r="L27" s="265" t="str">
        <f>IF(OR(E27=121,E27=88,E27=2682,E27=2703,E27=2687,E27=2689,E27=2681,E27=2685)=FALSE,"",IF('General Information'!$C$19="HTML5","FUNÇÃO DISPONÍVEL APENAS PARA BRASIL",IF(J28&lt;&gt;0,VLOOKUP(E28,Questions!$E$5:$L$568,5,0),"")))</f>
        <v/>
      </c>
      <c r="M27" s="164" t="s">
        <v>2396</v>
      </c>
      <c r="N27" s="369" t="s">
        <v>2377</v>
      </c>
    </row>
    <row r="28" spans="1:14" ht="14.5" customHeight="1" outlineLevel="1">
      <c r="B28" s="72">
        <f>VLOOKUP('Hours Detail'!E28,'BASE_FUNCOES (hide)'!A:W,5,FALSE)</f>
        <v>3</v>
      </c>
      <c r="C28" s="72" t="s">
        <v>5929</v>
      </c>
      <c r="D28" s="73" t="str">
        <f>IF('General Information'!$C$6="Português",VLOOKUP(B28,'ESTRUTURA_MODULO(hide)'!A:D,2,0),IF('General Information'!$C$6="English",VLOOKUP(B28,'ESTRUTURA_MODULO(hide)'!A:D,3,0),IF('General Information'!$C$6="Español",VLOOKUP(B28,'ESTRUTURA_MODULO(hide)'!A:D,4,0))))</f>
        <v>Cadastros e Funções Gerais</v>
      </c>
      <c r="E28" s="254">
        <v>100</v>
      </c>
      <c r="F28" s="73" t="str">
        <f>IF('General Information'!$C$6="Português",VLOOKUP(E28,'BASE_FUNCOES (hide)'!A:H,2,0),IF('General Information'!$C$6="English",VLOOKUP(E28,'BASE_FUNCOES (hide)'!A:H,3,0),IF('General Information'!$C$6="Español",VLOOKUP(E28,'BASE_FUNCOES (hide)'!A:H,4,0))))</f>
        <v>Questionário</v>
      </c>
      <c r="G28" s="73" t="str">
        <f>IF(AND('General Information'!$D$16=1,VLOOKUP(B28,Modules!$B$5:$E$496,4,0)=1)=TRUE,VLOOKUP('Hours Detail'!E28,'BASE_FUNCOES (hide)'!$A:$V,10,0),IF(AND('General Information'!$D$16=2,VLOOKUP(B28,Modules!$B$5:$E$496,4,0)=1)=TRUE,VLOOKUP('Hours Detail'!E28,'BASE_FUNCOES (hide)'!$A:$V,11,0),IF(AND('General Information'!$D$16=3,VLOOKUP(B28,Modules!$B$5:$E$496,4,0)=1)=TRUE,VLOOKUP('Hours Detail'!E28,'BASE_FUNCOES (hide)'!$A:$V,12,0),IF(AND('General Information'!$D$16=4,VLOOKUP(B28,Modules!$B$5:$E$496,4,0)=1)=TRUE,VLOOKUP('Hours Detail'!E28,'BASE_FUNCOES (hide)'!$A:$V,13,0),IF(AND('General Information'!$D$16=5,VLOOKUP(B28,Modules!$B$5:$E$496,4,0)=1)=TRUE,VLOOKUP('Hours Detail'!E28,'BASE_FUNCOES (hide)'!$A:$V,14,0),  IF(AND('General Information'!$D$16=6,VLOOKUP(B28,Modules!$B$5:$E$496,4,0)=1)=TRUE,VLOOKUP('Hours Detail'!E28,'BASE_FUNCOES (hide)'!$A:$V,15,0),"No"))))))</f>
        <v>No</v>
      </c>
      <c r="H28" s="22" t="s">
        <v>2890</v>
      </c>
      <c r="I28" s="75">
        <f>IF('General Information'!$C$4="Mexico",(ROUNDUP(VLOOKUP(E28,'BASE_FUNCOES (hide)'!A:X,21,0),0)),(ROUNDUP(VLOOKUP(E28,'BASE_FUNCOES (hide)'!A:L,9,0),0)))</f>
        <v>4</v>
      </c>
      <c r="J28" s="75">
        <f>ROUNDUP(SUMIF(Questions!$E$5:$E$558,'Hours Detail'!E28,Questions!$F$5:$F$558),0)</f>
        <v>0</v>
      </c>
      <c r="K28" s="76">
        <f>IF(H28="Yes",ROUNDUP(IF(VLOOKUP(E28,'BASE_FUNCOES (hide)'!A:T,16,FALSE)&lt;&gt;"No",IF('General Information'!$C$19="HTML5",(I28+J28)*'BASE_FUNCOES (hide)'!$T$2,I28+J28),I28+J28),I28+J28),I28+J28)</f>
        <v>4</v>
      </c>
      <c r="L28" s="265" t="str">
        <f>IF(OR(E28=121,E28=88,E28=2682,E28=2703,E28=2687,E28=2689,E28=2681,E28=2685)=FALSE,"",IF('General Information'!$C$19="HTML5","FUNÇÃO DISPONÍVEL APENAS PARA BRASIL",IF(J29&lt;&gt;0,VLOOKUP(E29,Questions!$E$5:$L$568,5,0),"")))</f>
        <v/>
      </c>
      <c r="M28" s="164" t="s">
        <v>2396</v>
      </c>
      <c r="N28" s="369" t="s">
        <v>2377</v>
      </c>
    </row>
    <row r="29" spans="1:14" ht="14.5" customHeight="1" outlineLevel="1">
      <c r="B29" s="72">
        <f>VLOOKUP('Hours Detail'!E29,'BASE_FUNCOES (hide)'!A:W,5,FALSE)</f>
        <v>3</v>
      </c>
      <c r="C29" s="72" t="s">
        <v>5929</v>
      </c>
      <c r="D29" s="73" t="str">
        <f>IF('General Information'!$C$6="Português",VLOOKUP(B29,'ESTRUTURA_MODULO(hide)'!A:D,2,0),IF('General Information'!$C$6="English",VLOOKUP(B29,'ESTRUTURA_MODULO(hide)'!A:D,3,0),IF('General Information'!$C$6="Español",VLOOKUP(B29,'ESTRUTURA_MODULO(hide)'!A:D,4,0))))</f>
        <v>Cadastros e Funções Gerais</v>
      </c>
      <c r="E29" s="254">
        <v>944</v>
      </c>
      <c r="F29" s="73" t="str">
        <f>IF('General Information'!$C$6="Português",VLOOKUP(E29,'BASE_FUNCOES (hide)'!A:H,2,0),IF('General Information'!$C$6="English",VLOOKUP(E29,'BASE_FUNCOES (hide)'!A:H,3,0),IF('General Information'!$C$6="Español",VLOOKUP(E29,'BASE_FUNCOES (hide)'!A:H,4,0))))</f>
        <v xml:space="preserve">Avaliações </v>
      </c>
      <c r="G29" s="73" t="str">
        <f>IF(AND('General Information'!$D$16=1,VLOOKUP(B29,Modules!$B$5:$E$496,4,0)=1)=TRUE,VLOOKUP('Hours Detail'!E29,'BASE_FUNCOES (hide)'!$A:$V,10,0),IF(AND('General Information'!$D$16=2,VLOOKUP(B29,Modules!$B$5:$E$496,4,0)=1)=TRUE,VLOOKUP('Hours Detail'!E29,'BASE_FUNCOES (hide)'!$A:$V,11,0),IF(AND('General Information'!$D$16=3,VLOOKUP(B29,Modules!$B$5:$E$496,4,0)=1)=TRUE,VLOOKUP('Hours Detail'!E29,'BASE_FUNCOES (hide)'!$A:$V,12,0),IF(AND('General Information'!$D$16=4,VLOOKUP(B29,Modules!$B$5:$E$496,4,0)=1)=TRUE,VLOOKUP('Hours Detail'!E29,'BASE_FUNCOES (hide)'!$A:$V,13,0),IF(AND('General Information'!$D$16=5,VLOOKUP(B29,Modules!$B$5:$E$496,4,0)=1)=TRUE,VLOOKUP('Hours Detail'!E29,'BASE_FUNCOES (hide)'!$A:$V,14,0),  IF(AND('General Information'!$D$16=6,VLOOKUP(B29,Modules!$B$5:$E$496,4,0)=1)=TRUE,VLOOKUP('Hours Detail'!E29,'BASE_FUNCOES (hide)'!$A:$V,15,0),"No"))))))</f>
        <v>No</v>
      </c>
      <c r="H29" s="22" t="s">
        <v>2890</v>
      </c>
      <c r="I29" s="75">
        <f>IF('General Information'!$C$4="Mexico",(ROUNDUP(VLOOKUP(E29,'BASE_FUNCOES (hide)'!A:X,21,0),0)),(ROUNDUP(VLOOKUP(E29,'BASE_FUNCOES (hide)'!A:L,9,0),0)))</f>
        <v>2</v>
      </c>
      <c r="J29" s="75">
        <f>ROUNDUP(SUMIF(Questions!$E$5:$E$558,'Hours Detail'!E29,Questions!$F$5:$F$558),0)</f>
        <v>0</v>
      </c>
      <c r="K29" s="76">
        <f>IF(H29="Yes",ROUNDUP(IF(VLOOKUP(E29,'BASE_FUNCOES (hide)'!A:T,16,FALSE)&lt;&gt;"No",IF('General Information'!$C$19="HTML5",(I29+J29)*'BASE_FUNCOES (hide)'!$T$2,I29+J29),I29+J29),I29+J29),I29+J29)</f>
        <v>2</v>
      </c>
      <c r="L29" s="265" t="str">
        <f>IF(OR(E29=121,E29=88,E29=2682,E29=2703,E29=2687,E29=2689,E29=2681,E29=2685)=FALSE,"",IF('General Information'!$C$19="HTML5","FUNÇÃO DISPONÍVEL APENAS PARA BRASIL",IF(J30&lt;&gt;0,VLOOKUP(E30,Questions!$E$5:$L$568,5,0),"")))</f>
        <v/>
      </c>
      <c r="M29" s="164" t="s">
        <v>2396</v>
      </c>
      <c r="N29" s="369" t="s">
        <v>2377</v>
      </c>
    </row>
    <row r="30" spans="1:14" ht="14.5" customHeight="1" outlineLevel="1">
      <c r="B30" s="72">
        <f>VLOOKUP('Hours Detail'!E30,'BASE_FUNCOES (hide)'!A:W,5,FALSE)</f>
        <v>3</v>
      </c>
      <c r="C30" s="72" t="s">
        <v>5929</v>
      </c>
      <c r="D30" s="73" t="str">
        <f>IF('General Information'!$C$6="Português",VLOOKUP(B30,'ESTRUTURA_MODULO(hide)'!A:D,2,0),IF('General Information'!$C$6="English",VLOOKUP(B30,'ESTRUTURA_MODULO(hide)'!A:D,3,0),IF('General Information'!$C$6="Español",VLOOKUP(B30,'ESTRUTURA_MODULO(hide)'!A:D,4,0))))</f>
        <v>Cadastros e Funções Gerais</v>
      </c>
      <c r="E30" s="254">
        <v>909</v>
      </c>
      <c r="F30" s="73" t="str">
        <f>IF('General Information'!$C$6="Português",VLOOKUP(E30,'BASE_FUNCOES (hide)'!A:H,2,0),IF('General Information'!$C$6="English",VLOOKUP(E30,'BASE_FUNCOES (hide)'!A:H,3,0),IF('General Information'!$C$6="Español",VLOOKUP(E30,'BASE_FUNCOES (hide)'!A:H,4,0))))</f>
        <v>Cadastro Avaliações</v>
      </c>
      <c r="G30" s="73" t="str">
        <f>IF(AND('General Information'!$D$16=1,VLOOKUP(B30,Modules!$B$5:$E$496,4,0)=1)=TRUE,VLOOKUP('Hours Detail'!E30,'BASE_FUNCOES (hide)'!$A:$V,10,0),IF(AND('General Information'!$D$16=2,VLOOKUP(B30,Modules!$B$5:$E$496,4,0)=1)=TRUE,VLOOKUP('Hours Detail'!E30,'BASE_FUNCOES (hide)'!$A:$V,11,0),IF(AND('General Information'!$D$16=3,VLOOKUP(B30,Modules!$B$5:$E$496,4,0)=1)=TRUE,VLOOKUP('Hours Detail'!E30,'BASE_FUNCOES (hide)'!$A:$V,12,0),IF(AND('General Information'!$D$16=4,VLOOKUP(B30,Modules!$B$5:$E$496,4,0)=1)=TRUE,VLOOKUP('Hours Detail'!E30,'BASE_FUNCOES (hide)'!$A:$V,13,0),IF(AND('General Information'!$D$16=5,VLOOKUP(B30,Modules!$B$5:$E$496,4,0)=1)=TRUE,VLOOKUP('Hours Detail'!E30,'BASE_FUNCOES (hide)'!$A:$V,14,0),  IF(AND('General Information'!$D$16=6,VLOOKUP(B30,Modules!$B$5:$E$496,4,0)=1)=TRUE,VLOOKUP('Hours Detail'!E30,'BASE_FUNCOES (hide)'!$A:$V,15,0),"No"))))))</f>
        <v>No</v>
      </c>
      <c r="H30" s="22" t="str">
        <f t="shared" si="2"/>
        <v>No</v>
      </c>
      <c r="I30" s="75">
        <f>IF('General Information'!$C$4="Mexico",(ROUNDUP(VLOOKUP(E30,'BASE_FUNCOES (hide)'!A:X,21,0),0)),(ROUNDUP(VLOOKUP(E30,'BASE_FUNCOES (hide)'!A:L,9,0),0)))</f>
        <v>8</v>
      </c>
      <c r="J30" s="75">
        <f>ROUNDUP(SUMIF(Questions!$E$5:$E$558,'Hours Detail'!E30,Questions!$F$5:$F$558),0)</f>
        <v>0</v>
      </c>
      <c r="K30" s="76">
        <f>IF(H30="Yes",ROUNDUP(IF(VLOOKUP(E30,'BASE_FUNCOES (hide)'!A:T,16,FALSE)&lt;&gt;"No",IF('General Information'!$C$19="HTML5",(I30+J30)*'BASE_FUNCOES (hide)'!$T$2,I30+J30),I30+J30),I30+J30),I30+J30)</f>
        <v>8</v>
      </c>
      <c r="L30" s="265" t="str">
        <f>IF(OR(E30=121,E30=88,E30=2682,E30=2703,E30=2687,E30=2689,E30=2681,E30=2685)=FALSE,"",IF('General Information'!$C$19="HTML5","FUNÇÃO DISPONÍVEL APENAS PARA BRASIL",IF(J31&lt;&gt;0,VLOOKUP(E31,Questions!$E$5:$L$568,5,0),"")))</f>
        <v/>
      </c>
      <c r="M30" s="164" t="s">
        <v>2396</v>
      </c>
      <c r="N30" s="369" t="s">
        <v>2377</v>
      </c>
    </row>
    <row r="31" spans="1:14" ht="14.5" customHeight="1" outlineLevel="1">
      <c r="B31" s="72">
        <f>VLOOKUP('Hours Detail'!E31,'BASE_FUNCOES (hide)'!A:W,5,FALSE)</f>
        <v>3</v>
      </c>
      <c r="C31" s="72" t="s">
        <v>5929</v>
      </c>
      <c r="D31" s="73" t="str">
        <f>IF('General Information'!$C$6="Português",VLOOKUP(B31,'ESTRUTURA_MODULO(hide)'!A:D,2,0),IF('General Information'!$C$6="English",VLOOKUP(B31,'ESTRUTURA_MODULO(hide)'!A:D,3,0),IF('General Information'!$C$6="Español",VLOOKUP(B31,'ESTRUTURA_MODULO(hide)'!A:D,4,0))))</f>
        <v>Cadastros e Funções Gerais</v>
      </c>
      <c r="E31" s="254">
        <v>18</v>
      </c>
      <c r="F31" s="73" t="str">
        <f>IF('General Information'!$C$6="Português",VLOOKUP(E31,'BASE_FUNCOES (hide)'!A:H,2,0),IF('General Information'!$C$6="English",VLOOKUP(E31,'BASE_FUNCOES (hide)'!A:H,3,0),IF('General Information'!$C$6="Español",VLOOKUP(E31,'BASE_FUNCOES (hide)'!A:H,4,0))))</f>
        <v>Cadastro de Estrutura da Conta Paciente</v>
      </c>
      <c r="G31" s="73" t="str">
        <f>IF(AND('General Information'!$D$16=1,VLOOKUP(B31,Modules!$B$5:$E$496,4,0)=1)=TRUE,VLOOKUP('Hours Detail'!E31,'BASE_FUNCOES (hide)'!$A:$V,10,0),IF(AND('General Information'!$D$16=2,VLOOKUP(B31,Modules!$B$5:$E$496,4,0)=1)=TRUE,VLOOKUP('Hours Detail'!E31,'BASE_FUNCOES (hide)'!$A:$V,11,0),IF(AND('General Information'!$D$16=3,VLOOKUP(B31,Modules!$B$5:$E$496,4,0)=1)=TRUE,VLOOKUP('Hours Detail'!E31,'BASE_FUNCOES (hide)'!$A:$V,12,0),IF(AND('General Information'!$D$16=4,VLOOKUP(B31,Modules!$B$5:$E$496,4,0)=1)=TRUE,VLOOKUP('Hours Detail'!E31,'BASE_FUNCOES (hide)'!$A:$V,13,0),IF(AND('General Information'!$D$16=5,VLOOKUP(B31,Modules!$B$5:$E$496,4,0)=1)=TRUE,VLOOKUP('Hours Detail'!E31,'BASE_FUNCOES (hide)'!$A:$V,14,0),  IF(AND('General Information'!$D$16=6,VLOOKUP(B31,Modules!$B$5:$E$496,4,0)=1)=TRUE,VLOOKUP('Hours Detail'!E31,'BASE_FUNCOES (hide)'!$A:$V,15,0),"No"))))))</f>
        <v>No</v>
      </c>
      <c r="H31" s="22" t="str">
        <f t="shared" si="2"/>
        <v>No</v>
      </c>
      <c r="I31" s="75">
        <f>IF('General Information'!$C$4="Mexico",(ROUNDUP(VLOOKUP(E31,'BASE_FUNCOES (hide)'!A:X,21,0),0)),(ROUNDUP(VLOOKUP(E31,'BASE_FUNCOES (hide)'!A:L,9,0),0)))</f>
        <v>8</v>
      </c>
      <c r="J31" s="75">
        <f>ROUNDUP(SUMIF(Questions!$E$5:$E$558,'Hours Detail'!E31,Questions!$F$5:$F$558),0)</f>
        <v>0</v>
      </c>
      <c r="K31" s="76">
        <f>IF(H31="Yes",ROUNDUP(IF(VLOOKUP(E31,'BASE_FUNCOES (hide)'!A:T,16,FALSE)&lt;&gt;"No",IF('General Information'!$C$19="HTML5",(I31+J31)*'BASE_FUNCOES (hide)'!$T$2,I31+J31),I31+J31),I31+J31),I31+J31)</f>
        <v>8</v>
      </c>
      <c r="L31" s="265" t="str">
        <f>IF(OR(E31=121,E31=88,E31=2682,E31=2703,E31=2687,E31=2689,E31=2681,E31=2685)=FALSE,"",IF('General Information'!$C$19="HTML5","FUNÇÃO DISPONÍVEL APENAS PARA BRASIL",IF(J32&lt;&gt;0,VLOOKUP(E32,Questions!$E$5:$L$568,5,0),"")))</f>
        <v/>
      </c>
      <c r="M31" s="164" t="s">
        <v>2396</v>
      </c>
      <c r="N31" s="369" t="s">
        <v>2377</v>
      </c>
    </row>
    <row r="32" spans="1:14" ht="14.5" customHeight="1" outlineLevel="1">
      <c r="B32" s="72">
        <f>VLOOKUP('Hours Detail'!E32,'BASE_FUNCOES (hide)'!A:W,5,FALSE)</f>
        <v>3</v>
      </c>
      <c r="C32" s="72" t="s">
        <v>5929</v>
      </c>
      <c r="D32" s="73" t="str">
        <f>IF('General Information'!$C$6="Português",VLOOKUP(B32,'ESTRUTURA_MODULO(hide)'!A:D,2,0),IF('General Information'!$C$6="English",VLOOKUP(B32,'ESTRUTURA_MODULO(hide)'!A:D,3,0),IF('General Information'!$C$6="Español",VLOOKUP(B32,'ESTRUTURA_MODULO(hide)'!A:D,4,0))))</f>
        <v>Cadastros e Funções Gerais</v>
      </c>
      <c r="E32" s="254">
        <v>7023</v>
      </c>
      <c r="F32" s="73" t="str">
        <f>IF('General Information'!$C$6="Português",VLOOKUP(E32,'BASE_FUNCOES (hide)'!A:H,2,0),IF('General Information'!$C$6="English",VLOOKUP(E32,'BASE_FUNCOES (hide)'!A:H,3,0),IF('General Information'!$C$6="Español",VLOOKUP(E32,'BASE_FUNCOES (hide)'!A:H,4,0))))</f>
        <v>Cadastro de Estruturas Internas</v>
      </c>
      <c r="G32" s="73" t="str">
        <f>IF(AND('General Information'!$D$16=1,VLOOKUP(B32,Modules!$B$5:$E$496,4,0)=1)=TRUE,VLOOKUP('Hours Detail'!E32,'BASE_FUNCOES (hide)'!$A:$V,10,0),IF(AND('General Information'!$D$16=2,VLOOKUP(B32,Modules!$B$5:$E$496,4,0)=1)=TRUE,VLOOKUP('Hours Detail'!E32,'BASE_FUNCOES (hide)'!$A:$V,11,0),IF(AND('General Information'!$D$16=3,VLOOKUP(B32,Modules!$B$5:$E$496,4,0)=1)=TRUE,VLOOKUP('Hours Detail'!E32,'BASE_FUNCOES (hide)'!$A:$V,12,0),IF(AND('General Information'!$D$16=4,VLOOKUP(B32,Modules!$B$5:$E$496,4,0)=1)=TRUE,VLOOKUP('Hours Detail'!E32,'BASE_FUNCOES (hide)'!$A:$V,13,0),IF(AND('General Information'!$D$16=5,VLOOKUP(B32,Modules!$B$5:$E$496,4,0)=1)=TRUE,VLOOKUP('Hours Detail'!E32,'BASE_FUNCOES (hide)'!$A:$V,14,0),  IF(AND('General Information'!$D$16=6,VLOOKUP(B32,Modules!$B$5:$E$496,4,0)=1)=TRUE,VLOOKUP('Hours Detail'!E32,'BASE_FUNCOES (hide)'!$A:$V,15,0),"No"))))))</f>
        <v>No</v>
      </c>
      <c r="H32" s="22" t="str">
        <f t="shared" si="2"/>
        <v>No</v>
      </c>
      <c r="I32" s="75">
        <f>IF('General Information'!$C$4="Mexico",(ROUNDUP(VLOOKUP(E32,'BASE_FUNCOES (hide)'!A:X,21,0),0)),(ROUNDUP(VLOOKUP(E32,'BASE_FUNCOES (hide)'!A:L,9,0),0)))</f>
        <v>2</v>
      </c>
      <c r="J32" s="75">
        <f>ROUNDUP(SUMIF(Questions!$E$5:$E$558,'Hours Detail'!E32,Questions!$F$5:$F$558),0)</f>
        <v>0</v>
      </c>
      <c r="K32" s="76">
        <f>IF(H32="Yes",ROUNDUP(IF(VLOOKUP(E32,'BASE_FUNCOES (hide)'!A:T,16,FALSE)&lt;&gt;"No",IF('General Information'!$C$19="HTML5",(I32+J32)*'BASE_FUNCOES (hide)'!$T$2,I32+J32),I32+J32),I32+J32),I32+J32)</f>
        <v>2</v>
      </c>
      <c r="L32" s="265" t="str">
        <f>IF(OR(E32=121,E32=88,E32=2682,E32=2703,E32=2687,E32=2689,E32=2681,E32=2685)=FALSE,"",IF('General Information'!$C$19="HTML5","FUNÇÃO DISPONÍVEL APENAS PARA BRASIL",IF(J33&lt;&gt;0,VLOOKUP(E33,Questions!$E$5:$L$568,5,0),"")))</f>
        <v/>
      </c>
      <c r="M32" s="164" t="s">
        <v>2396</v>
      </c>
      <c r="N32" s="369" t="s">
        <v>2377</v>
      </c>
    </row>
    <row r="33" spans="1:14" ht="14.5" customHeight="1" outlineLevel="1">
      <c r="A33" s="59"/>
      <c r="B33" s="72">
        <f>VLOOKUP('Hours Detail'!E33,'BASE_FUNCOES (hide)'!A:W,5,FALSE)</f>
        <v>3</v>
      </c>
      <c r="C33" s="72" t="s">
        <v>5929</v>
      </c>
      <c r="D33" s="73" t="str">
        <f>IF('General Information'!$C$6="Português",VLOOKUP(B33,'ESTRUTURA_MODULO(hide)'!A:D,2,0),IF('General Information'!$C$6="English",VLOOKUP(B33,'ESTRUTURA_MODULO(hide)'!A:D,3,0),IF('General Information'!$C$6="Español",VLOOKUP(B33,'ESTRUTURA_MODULO(hide)'!A:D,4,0))))</f>
        <v>Cadastros e Funções Gerais</v>
      </c>
      <c r="E33" s="254">
        <v>1120</v>
      </c>
      <c r="F33" s="73" t="str">
        <f>IF('General Information'!$C$6="Português",VLOOKUP(E33,'BASE_FUNCOES (hide)'!A:H,2,0),IF('General Information'!$C$6="English",VLOOKUP(E33,'BASE_FUNCOES (hide)'!A:H,3,0),IF('General Information'!$C$6="Español",VLOOKUP(E33,'BASE_FUNCOES (hide)'!A:H,4,0))))</f>
        <v>Cadastro de Transações Financeiras</v>
      </c>
      <c r="G33" s="73" t="str">
        <f>IF(AND('General Information'!$D$16=1,VLOOKUP(B33,Modules!$B$5:$E$496,4,0)=1)=TRUE,VLOOKUP('Hours Detail'!E33,'BASE_FUNCOES (hide)'!$A:$V,10,0),IF(AND('General Information'!$D$16=2,VLOOKUP(B33,Modules!$B$5:$E$496,4,0)=1)=TRUE,VLOOKUP('Hours Detail'!E33,'BASE_FUNCOES (hide)'!$A:$V,11,0),IF(AND('General Information'!$D$16=3,VLOOKUP(B33,Modules!$B$5:$E$496,4,0)=1)=TRUE,VLOOKUP('Hours Detail'!E33,'BASE_FUNCOES (hide)'!$A:$V,12,0),IF(AND('General Information'!$D$16=4,VLOOKUP(B33,Modules!$B$5:$E$496,4,0)=1)=TRUE,VLOOKUP('Hours Detail'!E33,'BASE_FUNCOES (hide)'!$A:$V,13,0),IF(AND('General Information'!$D$16=5,VLOOKUP(B33,Modules!$B$5:$E$496,4,0)=1)=TRUE,VLOOKUP('Hours Detail'!E33,'BASE_FUNCOES (hide)'!$A:$V,14,0),  IF(AND('General Information'!$D$16=6,VLOOKUP(B33,Modules!$B$5:$E$496,4,0)=1)=TRUE,VLOOKUP('Hours Detail'!E33,'BASE_FUNCOES (hide)'!$A:$V,15,0),"No"))))))</f>
        <v>No</v>
      </c>
      <c r="H33" s="22" t="str">
        <f t="shared" si="2"/>
        <v>No</v>
      </c>
      <c r="I33" s="75">
        <f>IF('General Information'!$C$4="Mexico",(ROUNDUP(VLOOKUP(E33,'BASE_FUNCOES (hide)'!A:X,21,0),0)),(ROUNDUP(VLOOKUP(E33,'BASE_FUNCOES (hide)'!A:L,9,0),0)))</f>
        <v>24</v>
      </c>
      <c r="J33" s="75">
        <f>ROUNDUP(SUMIF(Questions!$E$5:$E$558,'Hours Detail'!E33,Questions!$F$5:$F$558),0)</f>
        <v>0</v>
      </c>
      <c r="K33" s="76">
        <f>IF(H33="Yes",ROUNDUP(IF(VLOOKUP(E33,'BASE_FUNCOES (hide)'!A:T,16,FALSE)&lt;&gt;"No",IF('General Information'!$C$19="HTML5",(I33+J33)*'BASE_FUNCOES (hide)'!$T$2,I33+J33),I33+J33),I33+J33),I33+J33)</f>
        <v>24</v>
      </c>
      <c r="L33" s="265" t="str">
        <f>IF(OR(E33=121,E33=88,E33=2682,E33=2703,E33=2687,E33=2689,E33=2681,E33=2685)=FALSE,"",IF('General Information'!$C$19="HTML5","FUNÇÃO DISPONÍVEL APENAS PARA BRASIL",IF(J34&lt;&gt;0,VLOOKUP(E34,Questions!$E$5:$L$568,5,0),"")))</f>
        <v/>
      </c>
      <c r="M33" s="164" t="s">
        <v>2396</v>
      </c>
      <c r="N33" s="369" t="s">
        <v>2377</v>
      </c>
    </row>
    <row r="34" spans="1:14" ht="14.5" customHeight="1" outlineLevel="1">
      <c r="A34" s="59"/>
      <c r="B34" s="72">
        <f>VLOOKUP('Hours Detail'!E34,'BASE_FUNCOES (hide)'!A:W,5,FALSE)</f>
        <v>3</v>
      </c>
      <c r="C34" s="72" t="s">
        <v>5929</v>
      </c>
      <c r="D34" s="73" t="str">
        <f>IF('General Information'!$C$6="Português",VLOOKUP(B34,'ESTRUTURA_MODULO(hide)'!A:D,2,0),IF('General Information'!$C$6="English",VLOOKUP(B34,'ESTRUTURA_MODULO(hide)'!A:D,3,0),IF('General Information'!$C$6="Español",VLOOKUP(B34,'ESTRUTURA_MODULO(hide)'!A:D,4,0))))</f>
        <v>Cadastros e Funções Gerais</v>
      </c>
      <c r="E34" s="254">
        <v>5513</v>
      </c>
      <c r="F34" s="73" t="str">
        <f>IF('General Information'!$C$6="Português",VLOOKUP(E34,'BASE_FUNCOES (hide)'!A:H,2,0),IF('General Information'!$C$6="English",VLOOKUP(E34,'BASE_FUNCOES (hide)'!A:H,3,0),IF('General Information'!$C$6="Español",VLOOKUP(E34,'BASE_FUNCOES (hide)'!A:H,4,0))))</f>
        <v>Cadastros Financeiros</v>
      </c>
      <c r="G34" s="73" t="str">
        <f>IF(AND('General Information'!$D$16=1,VLOOKUP(B34,Modules!$B$5:$E$496,4,0)=1)=TRUE,VLOOKUP('Hours Detail'!E34,'BASE_FUNCOES (hide)'!$A:$V,10,0),IF(AND('General Information'!$D$16=2,VLOOKUP(B34,Modules!$B$5:$E$496,4,0)=1)=TRUE,VLOOKUP('Hours Detail'!E34,'BASE_FUNCOES (hide)'!$A:$V,11,0),IF(AND('General Information'!$D$16=3,VLOOKUP(B34,Modules!$B$5:$E$496,4,0)=1)=TRUE,VLOOKUP('Hours Detail'!E34,'BASE_FUNCOES (hide)'!$A:$V,12,0),IF(AND('General Information'!$D$16=4,VLOOKUP(B34,Modules!$B$5:$E$496,4,0)=1)=TRUE,VLOOKUP('Hours Detail'!E34,'BASE_FUNCOES (hide)'!$A:$V,13,0),IF(AND('General Information'!$D$16=5,VLOOKUP(B34,Modules!$B$5:$E$496,4,0)=1)=TRUE,VLOOKUP('Hours Detail'!E34,'BASE_FUNCOES (hide)'!$A:$V,14,0),  IF(AND('General Information'!$D$16=6,VLOOKUP(B34,Modules!$B$5:$E$496,4,0)=1)=TRUE,VLOOKUP('Hours Detail'!E34,'BASE_FUNCOES (hide)'!$A:$V,15,0),"No"))))))</f>
        <v>No</v>
      </c>
      <c r="H34" s="22" t="str">
        <f t="shared" si="2"/>
        <v>No</v>
      </c>
      <c r="I34" s="75">
        <f>IF('General Information'!$C$4="Mexico",(ROUNDUP(VLOOKUP(E34,'BASE_FUNCOES (hide)'!A:X,21,0),0)),(ROUNDUP(VLOOKUP(E34,'BASE_FUNCOES (hide)'!A:L,9,0),0)))</f>
        <v>4</v>
      </c>
      <c r="J34" s="75">
        <f>ROUNDUP(SUMIF(Questions!$E$5:$E$558,'Hours Detail'!E34,Questions!$F$5:$F$558),0)</f>
        <v>0</v>
      </c>
      <c r="K34" s="76">
        <f>IF(H34="Yes",ROUNDUP(IF(VLOOKUP(E34,'BASE_FUNCOES (hide)'!A:T,16,FALSE)&lt;&gt;"No",IF('General Information'!$C$19="HTML5",(I34+J34)*'BASE_FUNCOES (hide)'!$T$2,I34+J34),I34+J34),I34+J34),I34+J34)</f>
        <v>4</v>
      </c>
      <c r="L34" s="265" t="str">
        <f>IF(OR(E34=121,E34=88,E34=2682,E34=2703,E34=2687,E34=2689,E34=2681,E34=2685)=FALSE,"",IF('General Information'!$C$19="HTML5","FUNÇÃO DISPONÍVEL APENAS PARA BRASIL",IF(J35&lt;&gt;0,VLOOKUP(E35,Questions!$E$5:$L$568,5,0),"")))</f>
        <v/>
      </c>
      <c r="M34" s="164" t="s">
        <v>2396</v>
      </c>
      <c r="N34" s="369" t="s">
        <v>2377</v>
      </c>
    </row>
    <row r="35" spans="1:14" ht="14.5" customHeight="1" outlineLevel="1">
      <c r="A35" s="59"/>
      <c r="B35" s="72">
        <f>VLOOKUP('Hours Detail'!E35,'BASE_FUNCOES (hide)'!A:W,5,FALSE)</f>
        <v>3</v>
      </c>
      <c r="C35" s="72" t="s">
        <v>5929</v>
      </c>
      <c r="D35" s="73" t="str">
        <f>IF('General Information'!$C$6="Português",VLOOKUP(B35,'ESTRUTURA_MODULO(hide)'!A:D,2,0),IF('General Information'!$C$6="English",VLOOKUP(B35,'ESTRUTURA_MODULO(hide)'!A:D,3,0),IF('General Information'!$C$6="Español",VLOOKUP(B35,'ESTRUTURA_MODULO(hide)'!A:D,4,0))))</f>
        <v>Cadastros e Funções Gerais</v>
      </c>
      <c r="E35" s="254">
        <v>290</v>
      </c>
      <c r="F35" s="73" t="str">
        <f>IF('General Information'!$C$6="Português",VLOOKUP(E35,'BASE_FUNCOES (hide)'!A:H,2,0),IF('General Information'!$C$6="English",VLOOKUP(E35,'BASE_FUNCOES (hide)'!A:H,3,0),IF('General Information'!$C$6="Español",VLOOKUP(E35,'BASE_FUNCOES (hide)'!A:H,4,0))))</f>
        <v>Protocolo Documento</v>
      </c>
      <c r="G35" s="73" t="str">
        <f>IF(AND('General Information'!$D$16=1,VLOOKUP(B35,Modules!$B$5:$E$496,4,0)=1)=TRUE,VLOOKUP('Hours Detail'!E35,'BASE_FUNCOES (hide)'!$A:$V,10,0),IF(AND('General Information'!$D$16=2,VLOOKUP(B35,Modules!$B$5:$E$496,4,0)=1)=TRUE,VLOOKUP('Hours Detail'!E35,'BASE_FUNCOES (hide)'!$A:$V,11,0),IF(AND('General Information'!$D$16=3,VLOOKUP(B35,Modules!$B$5:$E$496,4,0)=1)=TRUE,VLOOKUP('Hours Detail'!E35,'BASE_FUNCOES (hide)'!$A:$V,12,0),IF(AND('General Information'!$D$16=4,VLOOKUP(B35,Modules!$B$5:$E$496,4,0)=1)=TRUE,VLOOKUP('Hours Detail'!E35,'BASE_FUNCOES (hide)'!$A:$V,13,0),IF(AND('General Information'!$D$16=5,VLOOKUP(B35,Modules!$B$5:$E$496,4,0)=1)=TRUE,VLOOKUP('Hours Detail'!E35,'BASE_FUNCOES (hide)'!$A:$V,14,0),  IF(AND('General Information'!$D$16=6,VLOOKUP(B35,Modules!$B$5:$E$496,4,0)=1)=TRUE,VLOOKUP('Hours Detail'!E35,'BASE_FUNCOES (hide)'!$A:$V,15,0),"No"))))))</f>
        <v>No</v>
      </c>
      <c r="H35" s="22" t="str">
        <f t="shared" si="2"/>
        <v>No</v>
      </c>
      <c r="I35" s="75">
        <f>IF('General Information'!$C$4="Mexico",(ROUNDUP(VLOOKUP(E35,'BASE_FUNCOES (hide)'!A:X,21,0),0)),(ROUNDUP(VLOOKUP(E35,'BASE_FUNCOES (hide)'!A:L,9,0),0)))</f>
        <v>4</v>
      </c>
      <c r="J35" s="75">
        <f>ROUNDUP(SUMIF(Questions!$E$5:$E$558,'Hours Detail'!E35,Questions!$F$5:$F$558),0)</f>
        <v>0</v>
      </c>
      <c r="K35" s="76">
        <f>IF(H35="Yes",ROUNDUP(IF(VLOOKUP(E35,'BASE_FUNCOES (hide)'!A:T,16,FALSE)&lt;&gt;"No",IF('General Information'!$C$19="HTML5",(I35+J35)*'BASE_FUNCOES (hide)'!$T$2,I35+J35),I35+J35),I35+J35),I35+J35)</f>
        <v>4</v>
      </c>
      <c r="L35" s="265" t="str">
        <f>IF(OR(E35=121,E35=88,E35=2682,E35=2703,E35=2687,E35=2689,E35=2681,E35=2685)=FALSE,"",IF('General Information'!$C$19="HTML5","FUNÇÃO DISPONÍVEL APENAS PARA BRASIL",IF(J36&lt;&gt;0,VLOOKUP(E36,Questions!$E$5:$L$568,5,0),"")))</f>
        <v/>
      </c>
      <c r="M35" s="164" t="s">
        <v>2396</v>
      </c>
      <c r="N35" s="369" t="s">
        <v>2377</v>
      </c>
    </row>
    <row r="36" spans="1:14" ht="14.5" customHeight="1" outlineLevel="1">
      <c r="A36" s="59"/>
      <c r="B36" s="72">
        <f>VLOOKUP('Hours Detail'!E36,'BASE_FUNCOES (hide)'!A:W,5,FALSE)</f>
        <v>36</v>
      </c>
      <c r="C36" s="72" t="s">
        <v>5929</v>
      </c>
      <c r="D36" s="73" t="str">
        <f>IF('General Information'!$C$6="Português",VLOOKUP(B36,'ESTRUTURA_MODULO(hide)'!A:D,2,0),IF('General Information'!$C$6="English",VLOOKUP(B36,'ESTRUTURA_MODULO(hide)'!A:D,3,0),IF('General Information'!$C$6="Español",VLOOKUP(B36,'ESTRUTURA_MODULO(hide)'!A:D,4,0))))</f>
        <v>Gerenciador do Sistema</v>
      </c>
      <c r="E36" s="253">
        <v>6001</v>
      </c>
      <c r="F36" s="73" t="str">
        <f>IF('General Information'!$C$6="Português",VLOOKUP(E36,'BASE_FUNCOES (hide)'!A:H,2,0),IF('General Information'!$C$6="English",VLOOKUP(E36,'BASE_FUNCOES (hide)'!A:H,3,0),IF('General Information'!$C$6="Español",VLOOKUP(E36,'BASE_FUNCOES (hide)'!A:H,4,0))))</f>
        <v>Administração do Sistema</v>
      </c>
      <c r="G36" s="73" t="str">
        <f>IF(AND('General Information'!$D$16=1,VLOOKUP(B36,Modules!$B$5:$E$496,4,0)=1)=TRUE,VLOOKUP('Hours Detail'!E36,'BASE_FUNCOES (hide)'!$A:$V,10,0),IF(AND('General Information'!$D$16=2,VLOOKUP(B36,Modules!$B$5:$E$496,4,0)=1)=TRUE,VLOOKUP('Hours Detail'!E36,'BASE_FUNCOES (hide)'!$A:$V,11,0),IF(AND('General Information'!$D$16=3,VLOOKUP(B36,Modules!$B$5:$E$496,4,0)=1)=TRUE,VLOOKUP('Hours Detail'!E36,'BASE_FUNCOES (hide)'!$A:$V,12,0),IF(AND('General Information'!$D$16=4,VLOOKUP(B36,Modules!$B$5:$E$496,4,0)=1)=TRUE,VLOOKUP('Hours Detail'!E36,'BASE_FUNCOES (hide)'!$A:$V,13,0),IF(AND('General Information'!$D$16=5,VLOOKUP(B36,Modules!$B$5:$E$496,4,0)=1)=TRUE,VLOOKUP('Hours Detail'!E36,'BASE_FUNCOES (hide)'!$A:$V,14,0),  IF(AND('General Information'!$D$16=6,VLOOKUP(B36,Modules!$B$5:$E$496,4,0)=1)=TRUE,VLOOKUP('Hours Detail'!E36,'BASE_FUNCOES (hide)'!$A:$V,15,0),"No"))))))</f>
        <v>No</v>
      </c>
      <c r="H36" s="166" t="str">
        <f t="shared" si="2"/>
        <v>No</v>
      </c>
      <c r="I36" s="75">
        <f>IF('General Information'!$C$4="Mexico",(ROUNDUP(VLOOKUP(E36,'BASE_FUNCOES (hide)'!A:X,21,0),0)),(ROUNDUP(VLOOKUP(E36,'BASE_FUNCOES (hide)'!A:L,9,0),0)))</f>
        <v>32</v>
      </c>
      <c r="J36" s="75">
        <f>ROUNDUP(SUMIF(Questions!$E$5:$E$558,'Hours Detail'!E36,Questions!$F$5:$F$558),0)</f>
        <v>3</v>
      </c>
      <c r="K36" s="76">
        <f>IF(H36="Yes",ROUNDUP(IF(VLOOKUP(E36,'BASE_FUNCOES (hide)'!A:T,16,FALSE)&lt;&gt;"No",IF('General Information'!$C$19="HTML5",(I36+J36)*'BASE_FUNCOES (hide)'!$T$2,I36+J36),I36+J36),I36+J36),I36+J36)</f>
        <v>35</v>
      </c>
      <c r="L36" s="265" t="str">
        <f>IF(OR(E36=121,E36=88,E36=2682,E36=2703,E36=2687,E36=2689,E36=2681,E36=2685)=FALSE,"",IF('General Information'!$C$19="HTML5","FUNÇÃO DISPONÍVEL APENAS PARA BRASIL",IF(J37&lt;&gt;0,VLOOKUP(E37,Questions!$E$5:$L$568,5,0),"")))</f>
        <v/>
      </c>
      <c r="M36" s="164" t="s">
        <v>2396</v>
      </c>
      <c r="N36" s="369" t="s">
        <v>2377</v>
      </c>
    </row>
    <row r="37" spans="1:14" ht="14.5" customHeight="1" outlineLevel="1">
      <c r="A37" s="59"/>
      <c r="B37" s="72">
        <f>VLOOKUP('Hours Detail'!E37,'BASE_FUNCOES (hide)'!A:W,5,FALSE)</f>
        <v>36</v>
      </c>
      <c r="C37" s="72" t="s">
        <v>5929</v>
      </c>
      <c r="D37" s="73" t="str">
        <f>IF('General Information'!$C$6="Português",VLOOKUP(B37,'ESTRUTURA_MODULO(hide)'!A:D,2,0),IF('General Information'!$C$6="English",VLOOKUP(B37,'ESTRUTURA_MODULO(hide)'!A:D,3,0),IF('General Information'!$C$6="Español",VLOOKUP(B37,'ESTRUTURA_MODULO(hide)'!A:D,4,0))))</f>
        <v>Gerenciador do Sistema</v>
      </c>
      <c r="E37" s="254">
        <v>211</v>
      </c>
      <c r="F37" s="73" t="str">
        <f>IF('General Information'!$C$6="Português",VLOOKUP(E37,'BASE_FUNCOES (hide)'!A:H,2,0),IF('General Information'!$C$6="English",VLOOKUP(E37,'BASE_FUNCOES (hide)'!A:H,3,0),IF('General Information'!$C$6="Español",VLOOKUP(E37,'BASE_FUNCOES (hide)'!A:H,4,0))))</f>
        <v>4Test</v>
      </c>
      <c r="G37" s="73" t="str">
        <f>IF(AND('General Information'!$D$16=1,VLOOKUP(B37,Modules!$B$5:$E$496,4,0)=1)=TRUE,VLOOKUP('Hours Detail'!E37,'BASE_FUNCOES (hide)'!$A:$V,10,0),IF(AND('General Information'!$D$16=2,VLOOKUP(B37,Modules!$B$5:$E$496,4,0)=1)=TRUE,VLOOKUP('Hours Detail'!E37,'BASE_FUNCOES (hide)'!$A:$V,11,0),IF(AND('General Information'!$D$16=3,VLOOKUP(B37,Modules!$B$5:$E$496,4,0)=1)=TRUE,VLOOKUP('Hours Detail'!E37,'BASE_FUNCOES (hide)'!$A:$V,12,0),IF(AND('General Information'!$D$16=4,VLOOKUP(B37,Modules!$B$5:$E$496,4,0)=1)=TRUE,VLOOKUP('Hours Detail'!E37,'BASE_FUNCOES (hide)'!$A:$V,13,0),IF(AND('General Information'!$D$16=5,VLOOKUP(B37,Modules!$B$5:$E$496,4,0)=1)=TRUE,VLOOKUP('Hours Detail'!E37,'BASE_FUNCOES (hide)'!$A:$V,14,0),  IF(AND('General Information'!$D$16=6,VLOOKUP(B37,Modules!$B$5:$E$496,4,0)=1)=TRUE,VLOOKUP('Hours Detail'!E37,'BASE_FUNCOES (hide)'!$A:$V,15,0),"No"))))))</f>
        <v>No</v>
      </c>
      <c r="H37" s="22" t="str">
        <f t="shared" si="2"/>
        <v>No</v>
      </c>
      <c r="I37" s="75">
        <f>IF('General Information'!$C$4="Mexico",(ROUNDUP(VLOOKUP(E37,'BASE_FUNCOES (hide)'!A:X,21,0),0)),(ROUNDUP(VLOOKUP(E37,'BASE_FUNCOES (hide)'!A:L,9,0),0)))</f>
        <v>40</v>
      </c>
      <c r="J37" s="75">
        <f>ROUNDUP(SUMIF(Questions!$E$5:$E$558,'Hours Detail'!E37,Questions!$F$5:$F$558),0)</f>
        <v>0</v>
      </c>
      <c r="K37" s="76">
        <f>IF(H37="Yes",ROUNDUP(IF(VLOOKUP(E37,'BASE_FUNCOES (hide)'!A:T,16,FALSE)&lt;&gt;"No",IF('General Information'!$C$19="HTML5",(I37+J37)*'BASE_FUNCOES (hide)'!$T$2,I37+J37),I37+J37),I37+J37),I37+J37)</f>
        <v>40</v>
      </c>
      <c r="L37" s="265" t="str">
        <f>IF(OR(E37=121,E37=88,E37=2682,E37=2703,E37=2687,E37=2689,E37=2681,E37=2685)=FALSE,"",IF('General Information'!$C$19="HTML5","FUNÇÃO DISPONÍVEL APENAS PARA BRASIL",IF(J38&lt;&gt;0,VLOOKUP(E38,Questions!$E$5:$L$568,5,0),"")))</f>
        <v/>
      </c>
      <c r="M37" s="164" t="s">
        <v>2396</v>
      </c>
      <c r="N37" s="369" t="s">
        <v>2377</v>
      </c>
    </row>
    <row r="38" spans="1:14" ht="14.5" customHeight="1" outlineLevel="1">
      <c r="A38" s="59"/>
      <c r="B38" s="72">
        <f>VLOOKUP('Hours Detail'!E38,'BASE_FUNCOES (hide)'!A:W,5,FALSE)</f>
        <v>36</v>
      </c>
      <c r="C38" s="72" t="s">
        <v>5929</v>
      </c>
      <c r="D38" s="73" t="str">
        <f>IF('General Information'!$C$6="Português",VLOOKUP(B38,'ESTRUTURA_MODULO(hide)'!A:D,2,0),IF('General Information'!$C$6="English",VLOOKUP(B38,'ESTRUTURA_MODULO(hide)'!A:D,3,0),IF('General Information'!$C$6="Español",VLOOKUP(B38,'ESTRUTURA_MODULO(hide)'!A:D,4,0))))</f>
        <v>Gerenciador do Sistema</v>
      </c>
      <c r="E38" s="254">
        <v>3291</v>
      </c>
      <c r="F38" s="73" t="str">
        <f>IF('General Information'!$C$6="Português",VLOOKUP(E38,'BASE_FUNCOES (hide)'!A:H,2,0),IF('General Information'!$C$6="English",VLOOKUP(E38,'BASE_FUNCOES (hide)'!A:H,3,0),IF('General Information'!$C$6="Español",VLOOKUP(E38,'BASE_FUNCOES (hide)'!A:H,4,0))))</f>
        <v>Data Privacy</v>
      </c>
      <c r="G38" s="73" t="str">
        <f>IF(AND('General Information'!$D$16=1,VLOOKUP(B38,Modules!$B$5:$E$496,4,0)=1)=TRUE,VLOOKUP('Hours Detail'!E38,'BASE_FUNCOES (hide)'!$A:$V,10,0),IF(AND('General Information'!$D$16=2,VLOOKUP(B38,Modules!$B$5:$E$496,4,0)=1)=TRUE,VLOOKUP('Hours Detail'!E38,'BASE_FUNCOES (hide)'!$A:$V,11,0),IF(AND('General Information'!$D$16=3,VLOOKUP(B38,Modules!$B$5:$E$496,4,0)=1)=TRUE,VLOOKUP('Hours Detail'!E38,'BASE_FUNCOES (hide)'!$A:$V,12,0),IF(AND('General Information'!$D$16=4,VLOOKUP(B38,Modules!$B$5:$E$496,4,0)=1)=TRUE,VLOOKUP('Hours Detail'!E38,'BASE_FUNCOES (hide)'!$A:$V,13,0),IF(AND('General Information'!$D$16=5,VLOOKUP(B38,Modules!$B$5:$E$496,4,0)=1)=TRUE,VLOOKUP('Hours Detail'!E38,'BASE_FUNCOES (hide)'!$A:$V,14,0),  IF(AND('General Information'!$D$16=6,VLOOKUP(B38,Modules!$B$5:$E$496,4,0)=1)=TRUE,VLOOKUP('Hours Detail'!E38,'BASE_FUNCOES (hide)'!$A:$V,15,0),"No"))))))</f>
        <v>No</v>
      </c>
      <c r="H38" s="22" t="str">
        <f t="shared" si="2"/>
        <v>No</v>
      </c>
      <c r="I38" s="75">
        <f>IF('General Information'!$C$4="Mexico",(ROUNDUP(VLOOKUP(E38,'BASE_FUNCOES (hide)'!A:X,21,0),0)),(ROUNDUP(VLOOKUP(E38,'BASE_FUNCOES (hide)'!A:L,9,0),0)))</f>
        <v>40</v>
      </c>
      <c r="J38" s="75">
        <f>ROUNDUP(SUMIF(Questions!$E$5:$E$558,'Hours Detail'!E38,Questions!$F$5:$F$558),0)</f>
        <v>0</v>
      </c>
      <c r="K38" s="76">
        <f>IF(H38="Yes",ROUNDUP(IF(VLOOKUP(E38,'BASE_FUNCOES (hide)'!A:T,16,FALSE)&lt;&gt;"No",IF('General Information'!$C$19="HTML5",(I38+J38)*'BASE_FUNCOES (hide)'!$T$2,I38+J38),I38+J38),I38+J38),I38+J38)</f>
        <v>40</v>
      </c>
      <c r="L38" s="265" t="str">
        <f>IF(OR(E38=121,E38=88,E38=2682,E38=2703,E38=2687,E38=2689,E38=2681,E38=2685)=FALSE,"",IF('General Information'!$C$19="HTML5","FUNÇÃO DISPONÍVEL APENAS PARA BRASIL",IF(J39&lt;&gt;0,VLOOKUP(E39,Questions!$E$5:$L$568,5,0),"")))</f>
        <v/>
      </c>
      <c r="M38" s="164" t="s">
        <v>2396</v>
      </c>
      <c r="N38" s="369" t="s">
        <v>2377</v>
      </c>
    </row>
    <row r="39" spans="1:14" ht="14.5" customHeight="1" outlineLevel="1">
      <c r="A39" s="59"/>
      <c r="B39" s="72">
        <f>VLOOKUP('Hours Detail'!E39,'BASE_FUNCOES (hide)'!A:W,5,FALSE)</f>
        <v>36</v>
      </c>
      <c r="C39" s="72" t="s">
        <v>5929</v>
      </c>
      <c r="D39" s="73" t="str">
        <f>IF('General Information'!$C$6="Português",VLOOKUP(B39,'ESTRUTURA_MODULO(hide)'!A:D,2,0),IF('General Information'!$C$6="English",VLOOKUP(B39,'ESTRUTURA_MODULO(hide)'!A:D,3,0),IF('General Information'!$C$6="Español",VLOOKUP(B39,'ESTRUTURA_MODULO(hide)'!A:D,4,0))))</f>
        <v>Gerenciador do Sistema</v>
      </c>
      <c r="E39" s="254">
        <v>240</v>
      </c>
      <c r="F39" s="73" t="str">
        <f>IF('General Information'!$C$6="Português",VLOOKUP(E39,'BASE_FUNCOES (hide)'!A:H,2,0),IF('General Information'!$C$6="English",VLOOKUP(E39,'BASE_FUNCOES (hide)'!A:H,3,0),IF('General Information'!$C$6="Español",VLOOKUP(E39,'BASE_FUNCOES (hide)'!A:H,4,0))))</f>
        <v>Dashboard 4Test</v>
      </c>
      <c r="G39" s="73" t="str">
        <f>IF(AND('General Information'!$D$16=1,VLOOKUP(B39,Modules!$B$5:$E$496,4,0)=1)=TRUE,VLOOKUP('Hours Detail'!E39,'BASE_FUNCOES (hide)'!$A:$V,10,0),IF(AND('General Information'!$D$16=2,VLOOKUP(B39,Modules!$B$5:$E$496,4,0)=1)=TRUE,VLOOKUP('Hours Detail'!E39,'BASE_FUNCOES (hide)'!$A:$V,11,0),IF(AND('General Information'!$D$16=3,VLOOKUP(B39,Modules!$B$5:$E$496,4,0)=1)=TRUE,VLOOKUP('Hours Detail'!E39,'BASE_FUNCOES (hide)'!$A:$V,12,0),IF(AND('General Information'!$D$16=4,VLOOKUP(B39,Modules!$B$5:$E$496,4,0)=1)=TRUE,VLOOKUP('Hours Detail'!E39,'BASE_FUNCOES (hide)'!$A:$V,13,0),IF(AND('General Information'!$D$16=5,VLOOKUP(B39,Modules!$B$5:$E$496,4,0)=1)=TRUE,VLOOKUP('Hours Detail'!E39,'BASE_FUNCOES (hide)'!$A:$V,14,0),  IF(AND('General Information'!$D$16=6,VLOOKUP(B39,Modules!$B$5:$E$496,4,0)=1)=TRUE,VLOOKUP('Hours Detail'!E39,'BASE_FUNCOES (hide)'!$A:$V,15,0),"No"))))))</f>
        <v>No</v>
      </c>
      <c r="H39" s="22" t="str">
        <f t="shared" si="2"/>
        <v>No</v>
      </c>
      <c r="I39" s="75">
        <f>IF('General Information'!$C$4="Mexico",(ROUNDUP(VLOOKUP(E39,'BASE_FUNCOES (hide)'!A:X,21,0),0)),(ROUNDUP(VLOOKUP(E39,'BASE_FUNCOES (hide)'!A:L,9,0),0)))</f>
        <v>4</v>
      </c>
      <c r="J39" s="75">
        <f>ROUNDUP(SUMIF(Questions!$E$5:$E$558,'Hours Detail'!E39,Questions!$F$5:$F$558),0)</f>
        <v>0</v>
      </c>
      <c r="K39" s="76">
        <f>IF(H39="Yes",ROUNDUP(IF(VLOOKUP(E39,'BASE_FUNCOES (hide)'!A:T,16,FALSE)&lt;&gt;"No",IF('General Information'!$C$19="HTML5",(I39+J39)*'BASE_FUNCOES (hide)'!$T$2,I39+J39),I39+J39),I39+J39),I39+J39)</f>
        <v>4</v>
      </c>
      <c r="L39" s="265" t="str">
        <f>IF(OR(E39=121,E39=88,E39=2682,E39=2703,E39=2687,E39=2689,E39=2681,E39=2685)=FALSE,"",IF('General Information'!$C$19="HTML5","FUNÇÃO DISPONÍVEL APENAS PARA BRASIL",IF(J40&lt;&gt;0,VLOOKUP(E40,Questions!$E$5:$L$568,5,0),"")))</f>
        <v/>
      </c>
      <c r="M39" s="164" t="s">
        <v>2396</v>
      </c>
      <c r="N39" s="369" t="s">
        <v>2377</v>
      </c>
    </row>
    <row r="40" spans="1:14" ht="14.5" customHeight="1" outlineLevel="1">
      <c r="A40" s="59"/>
      <c r="B40" s="72">
        <f>VLOOKUP('Hours Detail'!E40,'BASE_FUNCOES (hide)'!A:W,5,FALSE)</f>
        <v>36</v>
      </c>
      <c r="C40" s="72" t="s">
        <v>5929</v>
      </c>
      <c r="D40" s="73" t="str">
        <f>IF('General Information'!$C$6="Português",VLOOKUP(B40,'ESTRUTURA_MODULO(hide)'!A:D,2,0),IF('General Information'!$C$6="English",VLOOKUP(B40,'ESTRUTURA_MODULO(hide)'!A:D,3,0),IF('General Information'!$C$6="Español",VLOOKUP(B40,'ESTRUTURA_MODULO(hide)'!A:D,4,0))))</f>
        <v>Gerenciador do Sistema</v>
      </c>
      <c r="E40" s="254">
        <v>99030</v>
      </c>
      <c r="F40" s="73" t="str">
        <f>IF('General Information'!$C$6="Português",VLOOKUP(E40,'BASE_FUNCOES (hide)'!A:H,2,0),IF('General Information'!$C$6="English",VLOOKUP(E40,'BASE_FUNCOES (hide)'!A:H,3,0),IF('General Information'!$C$6="Español",VLOOKUP(E40,'BASE_FUNCOES (hide)'!A:H,4,0))))</f>
        <v>Schematic4Test</v>
      </c>
      <c r="G40" s="73" t="str">
        <f>IF(AND('General Information'!$D$16=1,VLOOKUP(B40,Modules!$B$5:$E$496,4,0)=1)=TRUE,VLOOKUP('Hours Detail'!E40,'BASE_FUNCOES (hide)'!$A:$V,10,0),IF(AND('General Information'!$D$16=2,VLOOKUP(B40,Modules!$B$5:$E$496,4,0)=1)=TRUE,VLOOKUP('Hours Detail'!E40,'BASE_FUNCOES (hide)'!$A:$V,11,0),IF(AND('General Information'!$D$16=3,VLOOKUP(B40,Modules!$B$5:$E$496,4,0)=1)=TRUE,VLOOKUP('Hours Detail'!E40,'BASE_FUNCOES (hide)'!$A:$V,12,0),IF(AND('General Information'!$D$16=4,VLOOKUP(B40,Modules!$B$5:$E$496,4,0)=1)=TRUE,VLOOKUP('Hours Detail'!E40,'BASE_FUNCOES (hide)'!$A:$V,13,0),IF(AND('General Information'!$D$16=5,VLOOKUP(B40,Modules!$B$5:$E$496,4,0)=1)=TRUE,VLOOKUP('Hours Detail'!E40,'BASE_FUNCOES (hide)'!$A:$V,14,0),  IF(AND('General Information'!$D$16=6,VLOOKUP(B40,Modules!$B$5:$E$496,4,0)=1)=TRUE,VLOOKUP('Hours Detail'!E40,'BASE_FUNCOES (hide)'!$A:$V,15,0),"No"))))))</f>
        <v>No</v>
      </c>
      <c r="H40" s="22" t="str">
        <f t="shared" si="2"/>
        <v>No</v>
      </c>
      <c r="I40" s="75">
        <f>IF('General Information'!$C$4="Mexico",(ROUNDUP(VLOOKUP(E40,'BASE_FUNCOES (hide)'!A:X,21,0),0)),(ROUNDUP(VLOOKUP(E40,'BASE_FUNCOES (hide)'!A:L,9,0),0)))</f>
        <v>40</v>
      </c>
      <c r="J40" s="75">
        <f>ROUNDUP(SUMIF(Questions!$E$5:$E$558,'Hours Detail'!E40,Questions!$F$5:$F$558),0)</f>
        <v>0</v>
      </c>
      <c r="K40" s="76">
        <f>IF(H40="Yes",ROUNDUP(IF(VLOOKUP(E40,'BASE_FUNCOES (hide)'!A:T,16,FALSE)&lt;&gt;"No",IF('General Information'!$C$19="HTML5",(I40+J40)*'BASE_FUNCOES (hide)'!$T$2,I40+J40),I40+J40),I40+J40),I40+J40)</f>
        <v>40</v>
      </c>
      <c r="L40" s="265" t="str">
        <f>IF(OR(E40=121,E40=88,E40=2682,E40=2703,E40=2687,E40=2689,E40=2681,E40=2685)=FALSE,"",IF('General Information'!$C$19="HTML5","FUNÇÃO DISPONÍVEL APENAS PARA BRASIL",IF(J41&lt;&gt;0,VLOOKUP(E41,Questions!$E$5:$L$568,5,0),"")))</f>
        <v/>
      </c>
      <c r="M40" s="164" t="s">
        <v>2396</v>
      </c>
      <c r="N40" s="369" t="s">
        <v>2377</v>
      </c>
    </row>
    <row r="41" spans="1:14" ht="14.5" customHeight="1" outlineLevel="1">
      <c r="A41" s="59"/>
      <c r="B41" s="72">
        <f>VLOOKUP('Hours Detail'!E41,'BASE_FUNCOES (hide)'!A:W,5,FALSE)</f>
        <v>36</v>
      </c>
      <c r="C41" s="72" t="s">
        <v>5929</v>
      </c>
      <c r="D41" s="73" t="str">
        <f>IF('General Information'!$C$6="Português",VLOOKUP(B41,'ESTRUTURA_MODULO(hide)'!A:D,2,0),IF('General Information'!$C$6="English",VLOOKUP(B41,'ESTRUTURA_MODULO(hide)'!A:D,3,0),IF('General Information'!$C$6="Español",VLOOKUP(B41,'ESTRUTURA_MODULO(hide)'!A:D,4,0))))</f>
        <v>Gerenciador do Sistema</v>
      </c>
      <c r="E41" s="254">
        <v>284</v>
      </c>
      <c r="F41" s="73" t="str">
        <f>IF('General Information'!$C$6="Português",VLOOKUP(E41,'BASE_FUNCOES (hide)'!A:H,2,0),IF('General Information'!$C$6="English",VLOOKUP(E41,'BASE_FUNCOES (hide)'!A:H,3,0),IF('General Information'!$C$6="Español",VLOOKUP(E41,'BASE_FUNCOES (hide)'!A:H,4,0))))</f>
        <v>Administração de Logs</v>
      </c>
      <c r="G41" s="73" t="str">
        <f>IF(AND('General Information'!$D$16=1,VLOOKUP(B41,Modules!$B$5:$E$496,4,0)=1)=TRUE,VLOOKUP('Hours Detail'!E41,'BASE_FUNCOES (hide)'!$A:$V,10,0),IF(AND('General Information'!$D$16=2,VLOOKUP(B41,Modules!$B$5:$E$496,4,0)=1)=TRUE,VLOOKUP('Hours Detail'!E41,'BASE_FUNCOES (hide)'!$A:$V,11,0),IF(AND('General Information'!$D$16=3,VLOOKUP(B41,Modules!$B$5:$E$496,4,0)=1)=TRUE,VLOOKUP('Hours Detail'!E41,'BASE_FUNCOES (hide)'!$A:$V,12,0),IF(AND('General Information'!$D$16=4,VLOOKUP(B41,Modules!$B$5:$E$496,4,0)=1)=TRUE,VLOOKUP('Hours Detail'!E41,'BASE_FUNCOES (hide)'!$A:$V,13,0),IF(AND('General Information'!$D$16=5,VLOOKUP(B41,Modules!$B$5:$E$496,4,0)=1)=TRUE,VLOOKUP('Hours Detail'!E41,'BASE_FUNCOES (hide)'!$A:$V,14,0),  IF(AND('General Information'!$D$16=6,VLOOKUP(B41,Modules!$B$5:$E$496,4,0)=1)=TRUE,VLOOKUP('Hours Detail'!E41,'BASE_FUNCOES (hide)'!$A:$V,15,0),"No"))))))</f>
        <v>No</v>
      </c>
      <c r="H41" s="22" t="str">
        <f t="shared" si="2"/>
        <v>No</v>
      </c>
      <c r="I41" s="75">
        <f>IF('General Information'!$C$4="Mexico",(ROUNDUP(VLOOKUP(E41,'BASE_FUNCOES (hide)'!A:X,21,0),0)),(ROUNDUP(VLOOKUP(E41,'BASE_FUNCOES (hide)'!A:L,9,0),0)))</f>
        <v>8</v>
      </c>
      <c r="J41" s="75">
        <f>ROUNDUP(SUMIF(Questions!$E$5:$E$558,'Hours Detail'!E41,Questions!$F$5:$F$558),0)</f>
        <v>0</v>
      </c>
      <c r="K41" s="76">
        <f>IF(H41="Yes",ROUNDUP(IF(VLOOKUP(E41,'BASE_FUNCOES (hide)'!A:T,16,FALSE)&lt;&gt;"No",IF('General Information'!$C$19="HTML5",(I41+J41)*'BASE_FUNCOES (hide)'!$T$2,I41+J41),I41+J41),I41+J41),I41+J41)</f>
        <v>8</v>
      </c>
      <c r="L41" s="265" t="str">
        <f>IF(OR(E41=121,E41=88,E41=2682,E41=2703,E41=2687,E41=2689,E41=2681,E41=2685)=FALSE,"",IF('General Information'!$C$19="HTML5","FUNÇÃO DISPONÍVEL APENAS PARA BRASIL",IF(J42&lt;&gt;0,VLOOKUP(E42,Questions!$E$5:$L$568,5,0),"")))</f>
        <v/>
      </c>
      <c r="M41" s="164" t="s">
        <v>2396</v>
      </c>
      <c r="N41" s="369" t="s">
        <v>2377</v>
      </c>
    </row>
    <row r="42" spans="1:14" ht="14.5" customHeight="1" outlineLevel="1">
      <c r="A42" s="59"/>
      <c r="B42" s="72">
        <f>VLOOKUP('Hours Detail'!E42,'BASE_FUNCOES (hide)'!A:W,5,FALSE)</f>
        <v>36</v>
      </c>
      <c r="C42" s="72" t="s">
        <v>5929</v>
      </c>
      <c r="D42" s="73" t="str">
        <f>IF('General Information'!$C$6="Português",VLOOKUP(B42,'ESTRUTURA_MODULO(hide)'!A:D,2,0),IF('General Information'!$C$6="English",VLOOKUP(B42,'ESTRUTURA_MODULO(hide)'!A:D,3,0),IF('General Information'!$C$6="Español",VLOOKUP(B42,'ESTRUTURA_MODULO(hide)'!A:D,4,0))))</f>
        <v>Gerenciador do Sistema</v>
      </c>
      <c r="E42" s="254">
        <v>329</v>
      </c>
      <c r="F42" s="73" t="str">
        <f>IF('General Information'!$C$6="Português",VLOOKUP(E42,'BASE_FUNCOES (hide)'!A:H,2,0),IF('General Information'!$C$6="English",VLOOKUP(E42,'BASE_FUNCOES (hide)'!A:H,3,0),IF('General Information'!$C$6="Español",VLOOKUP(E42,'BASE_FUNCOES (hide)'!A:H,4,0))))</f>
        <v>Controle de Acesso</v>
      </c>
      <c r="G42" s="73" t="str">
        <f>IF(AND('General Information'!$D$16=1,VLOOKUP(B42,Modules!$B$5:$E$496,4,0)=1)=TRUE,VLOOKUP('Hours Detail'!E42,'BASE_FUNCOES (hide)'!$A:$V,10,0),IF(AND('General Information'!$D$16=2,VLOOKUP(B42,Modules!$B$5:$E$496,4,0)=1)=TRUE,VLOOKUP('Hours Detail'!E42,'BASE_FUNCOES (hide)'!$A:$V,11,0),IF(AND('General Information'!$D$16=3,VLOOKUP(B42,Modules!$B$5:$E$496,4,0)=1)=TRUE,VLOOKUP('Hours Detail'!E42,'BASE_FUNCOES (hide)'!$A:$V,12,0),IF(AND('General Information'!$D$16=4,VLOOKUP(B42,Modules!$B$5:$E$496,4,0)=1)=TRUE,VLOOKUP('Hours Detail'!E42,'BASE_FUNCOES (hide)'!$A:$V,13,0),IF(AND('General Information'!$D$16=5,VLOOKUP(B42,Modules!$B$5:$E$496,4,0)=1)=TRUE,VLOOKUP('Hours Detail'!E42,'BASE_FUNCOES (hide)'!$A:$V,14,0),  IF(AND('General Information'!$D$16=6,VLOOKUP(B42,Modules!$B$5:$E$496,4,0)=1)=TRUE,VLOOKUP('Hours Detail'!E42,'BASE_FUNCOES (hide)'!$A:$V,15,0),"No"))))))</f>
        <v>No</v>
      </c>
      <c r="H42" s="22" t="str">
        <f t="shared" si="2"/>
        <v>No</v>
      </c>
      <c r="I42" s="75">
        <f>IF('General Information'!$C$4="Mexico",(ROUNDUP(VLOOKUP(E42,'BASE_FUNCOES (hide)'!A:X,21,0),0)),(ROUNDUP(VLOOKUP(E42,'BASE_FUNCOES (hide)'!A:L,9,0),0)))</f>
        <v>8</v>
      </c>
      <c r="J42" s="75">
        <f>ROUNDUP(SUMIF(Questions!$E$5:$E$558,'Hours Detail'!E42,Questions!$F$5:$F$558),0)</f>
        <v>0</v>
      </c>
      <c r="K42" s="76">
        <f>IF(H42="Yes",ROUNDUP(IF(VLOOKUP(E42,'BASE_FUNCOES (hide)'!A:T,16,FALSE)&lt;&gt;"No",IF('General Information'!$C$19="HTML5",(I42+J42)*'BASE_FUNCOES (hide)'!$T$2,I42+J42),I42+J42),I42+J42),I42+J42)</f>
        <v>8</v>
      </c>
      <c r="L42" s="265" t="str">
        <f>IF(OR(E42=121,E42=88,E42=2682,E42=2703,E42=2687,E42=2689,E42=2681,E42=2685)=FALSE,"",IF('General Information'!$C$19="HTML5","FUNÇÃO DISPONÍVEL APENAS PARA BRASIL",IF(J43&lt;&gt;0,VLOOKUP(E43,Questions!$E$5:$L$568,5,0),"")))</f>
        <v/>
      </c>
      <c r="M42" s="164" t="s">
        <v>2396</v>
      </c>
      <c r="N42" s="369" t="s">
        <v>2377</v>
      </c>
    </row>
    <row r="43" spans="1:14" ht="14.5" customHeight="1" outlineLevel="1">
      <c r="A43" s="59"/>
      <c r="B43" s="72">
        <f>VLOOKUP('Hours Detail'!E43,'BASE_FUNCOES (hide)'!A:W,5,FALSE)</f>
        <v>631</v>
      </c>
      <c r="C43" s="72" t="s">
        <v>5929</v>
      </c>
      <c r="D43" s="73" t="str">
        <f>IF('General Information'!$C$6="Português",VLOOKUP(B43,'ESTRUTURA_MODULO(hide)'!A:D,2,0),IF('General Information'!$C$6="English",VLOOKUP(B43,'ESTRUTURA_MODULO(hide)'!A:D,3,0),IF('General Information'!$C$6="Español",VLOOKUP(B43,'ESTRUTURA_MODULO(hide)'!A:D,4,0))))</f>
        <v>Relatórios</v>
      </c>
      <c r="E43" s="253">
        <v>260</v>
      </c>
      <c r="F43" s="73" t="str">
        <f>IF('General Information'!$C$6="Português",VLOOKUP(E43,'BASE_FUNCOES (hide)'!A:H,2,0),IF('General Information'!$C$6="English",VLOOKUP(E43,'BASE_FUNCOES (hide)'!A:H,3,0),IF('General Information'!$C$6="Español",VLOOKUP(E43,'BASE_FUNCOES (hide)'!A:H,4,0))))</f>
        <v>Gerenciador de Relatórios</v>
      </c>
      <c r="G43" s="73" t="str">
        <f>IF(AND('General Information'!$D$16=1,VLOOKUP(B43,Modules!$B$5:$E$496,4,0)=1)=TRUE,VLOOKUP('Hours Detail'!E43,'BASE_FUNCOES (hide)'!$A:$V,10,0),IF(AND('General Information'!$D$16=2,VLOOKUP(B43,Modules!$B$5:$E$496,4,0)=1)=TRUE,VLOOKUP('Hours Detail'!E43,'BASE_FUNCOES (hide)'!$A:$V,11,0),IF(AND('General Information'!$D$16=3,VLOOKUP(B43,Modules!$B$5:$E$496,4,0)=1)=TRUE,VLOOKUP('Hours Detail'!E43,'BASE_FUNCOES (hide)'!$A:$V,12,0),IF(AND('General Information'!$D$16=4,VLOOKUP(B43,Modules!$B$5:$E$496,4,0)=1)=TRUE,VLOOKUP('Hours Detail'!E43,'BASE_FUNCOES (hide)'!$A:$V,13,0),IF(AND('General Information'!$D$16=5,VLOOKUP(B43,Modules!$B$5:$E$496,4,0)=1)=TRUE,VLOOKUP('Hours Detail'!E43,'BASE_FUNCOES (hide)'!$A:$V,14,0),  IF(AND('General Information'!$D$16=6,VLOOKUP(B43,Modules!$B$5:$E$496,4,0)=1)=TRUE,VLOOKUP('Hours Detail'!E43,'BASE_FUNCOES (hide)'!$A:$V,15,0),"No"))))))</f>
        <v>No</v>
      </c>
      <c r="H43" s="166" t="str">
        <f t="shared" si="2"/>
        <v>No</v>
      </c>
      <c r="I43" s="75">
        <f>IF('General Information'!$C$4="Mexico",(ROUNDUP(VLOOKUP(E43,'BASE_FUNCOES (hide)'!A:X,21,0),0)),(ROUNDUP(VLOOKUP(E43,'BASE_FUNCOES (hide)'!A:L,9,0),0)))</f>
        <v>32</v>
      </c>
      <c r="J43" s="75">
        <f>ROUNDUP(SUMIF(Questions!$E$5:$E$558,'Hours Detail'!E43,Questions!$F$5:$F$558),0)</f>
        <v>0</v>
      </c>
      <c r="K43" s="76">
        <f>IF(H43="Yes",ROUNDUP(IF(VLOOKUP(E43,'BASE_FUNCOES (hide)'!A:T,16,FALSE)&lt;&gt;"No",IF('General Information'!$C$19="HTML5",(I43+J43)*'BASE_FUNCOES (hide)'!$T$2,I43+J43),I43+J43),I43+J43),I43+J43)</f>
        <v>32</v>
      </c>
      <c r="L43" s="265" t="str">
        <f>IF(OR(E43=121,E43=88,E43=2682,E43=2703,E43=2687,E43=2689,E43=2681,E43=2685)=FALSE,"",IF('General Information'!$C$19="HTML5","FUNÇÃO DISPONÍVEL APENAS PARA BRASIL",IF(J44&lt;&gt;0,VLOOKUP(E44,Questions!$E$5:$L$568,5,0),"")))</f>
        <v/>
      </c>
      <c r="M43" s="164" t="s">
        <v>2396</v>
      </c>
      <c r="N43" s="369" t="s">
        <v>2377</v>
      </c>
    </row>
    <row r="44" spans="1:14" ht="14.5" customHeight="1" outlineLevel="1">
      <c r="A44" s="59"/>
      <c r="B44" s="72">
        <f>VLOOKUP('Hours Detail'!E44,'BASE_FUNCOES (hide)'!A:W,5,FALSE)</f>
        <v>5</v>
      </c>
      <c r="C44" s="72" t="s">
        <v>5929</v>
      </c>
      <c r="D44" s="73" t="str">
        <f>IF('General Information'!$C$6="Português",VLOOKUP(B44,'ESTRUTURA_MODULO(hide)'!A:D,2,0),IF('General Information'!$C$6="English",VLOOKUP(B44,'ESTRUTURA_MODULO(hide)'!A:D,3,0),IF('General Information'!$C$6="Español",VLOOKUP(B44,'ESTRUTURA_MODULO(hide)'!A:D,4,0))))</f>
        <v>Recepção e Internação</v>
      </c>
      <c r="E44" s="253">
        <v>5</v>
      </c>
      <c r="F44" s="73" t="str">
        <f>IF('General Information'!$C$6="Português",VLOOKUP(E44,'BASE_FUNCOES (hide)'!A:H,2,0),IF('General Information'!$C$6="English",VLOOKUP(E44,'BASE_FUNCOES (hide)'!A:H,3,0),IF('General Information'!$C$6="Español",VLOOKUP(E44,'BASE_FUNCOES (hide)'!A:H,4,0))))</f>
        <v>Cadastro Completo de Pessoas</v>
      </c>
      <c r="G44" s="73" t="str">
        <f>IF(AND('General Information'!$D$16=1,VLOOKUP(B44,Modules!$B$5:$E$496,4,0)=1)=TRUE,VLOOKUP('Hours Detail'!E44,'BASE_FUNCOES (hide)'!$A:$V,10,0),IF(AND('General Information'!$D$16=2,VLOOKUP(B44,Modules!$B$5:$E$496,4,0)=1)=TRUE,VLOOKUP('Hours Detail'!E44,'BASE_FUNCOES (hide)'!$A:$V,11,0),IF(AND('General Information'!$D$16=3,VLOOKUP(B44,Modules!$B$5:$E$496,4,0)=1)=TRUE,VLOOKUP('Hours Detail'!E44,'BASE_FUNCOES (hide)'!$A:$V,12,0),IF(AND('General Information'!$D$16=4,VLOOKUP(B44,Modules!$B$5:$E$496,4,0)=1)=TRUE,VLOOKUP('Hours Detail'!E44,'BASE_FUNCOES (hide)'!$A:$V,13,0),IF(AND('General Information'!$D$16=5,VLOOKUP(B44,Modules!$B$5:$E$496,4,0)=1)=TRUE,VLOOKUP('Hours Detail'!E44,'BASE_FUNCOES (hide)'!$A:$V,14,0),  IF(AND('General Information'!$D$16=6,VLOOKUP(B44,Modules!$B$5:$E$496,4,0)=1)=TRUE,VLOOKUP('Hours Detail'!E44,'BASE_FUNCOES (hide)'!$A:$V,15,0),"No"))))))</f>
        <v>No</v>
      </c>
      <c r="H44" s="166" t="str">
        <f t="shared" si="2"/>
        <v>No</v>
      </c>
      <c r="I44" s="75">
        <f>IF('General Information'!$C$4="Mexico",(ROUNDUP(VLOOKUP(E44,'BASE_FUNCOES (hide)'!A:X,21,0),0)),(ROUNDUP(VLOOKUP(E44,'BASE_FUNCOES (hide)'!A:L,9,0),0)))</f>
        <v>4</v>
      </c>
      <c r="J44" s="75">
        <f>ROUNDUP(SUMIF(Questions!$E$5:$E$558,'Hours Detail'!E44,Questions!$F$5:$F$558),0)</f>
        <v>0</v>
      </c>
      <c r="K44" s="76">
        <f>IF(H44="Yes",ROUNDUP(IF(VLOOKUP(E44,'BASE_FUNCOES (hide)'!A:T,16,FALSE)&lt;&gt;"No",IF('General Information'!$C$19="HTML5",(I44+J44)*'BASE_FUNCOES (hide)'!$T$2,I44+J44),I44+J44),I44+J44),I44+J44)</f>
        <v>4</v>
      </c>
      <c r="L44" s="265" t="str">
        <f>IF(OR(E44=121,E44=88,E44=2682,E44=2703,E44=2687,E44=2689,E44=2681,E44=2685)=FALSE,"",IF('General Information'!$C$19="HTML5","FUNÇÃO DISPONÍVEL APENAS PARA BRASIL",IF(J45&lt;&gt;0,VLOOKUP(E45,Questions!$E$5:$L$568,5,0),"")))</f>
        <v/>
      </c>
      <c r="M44" s="164" t="s">
        <v>2396</v>
      </c>
      <c r="N44" s="369" t="s">
        <v>2377</v>
      </c>
    </row>
    <row r="45" spans="1:14" ht="14.5" customHeight="1" outlineLevel="1">
      <c r="A45" s="59"/>
      <c r="B45" s="72">
        <f>VLOOKUP('Hours Detail'!E45,'BASE_FUNCOES (hide)'!A:W,5,FALSE)</f>
        <v>5</v>
      </c>
      <c r="C45" s="72" t="s">
        <v>5929</v>
      </c>
      <c r="D45" s="73" t="str">
        <f>IF('General Information'!$C$6="Português",VLOOKUP(B45,'ESTRUTURA_MODULO(hide)'!A:D,2,0),IF('General Information'!$C$6="English",VLOOKUP(B45,'ESTRUTURA_MODULO(hide)'!A:D,3,0),IF('General Information'!$C$6="Español",VLOOKUP(B45,'ESTRUTURA_MODULO(hide)'!A:D,4,0))))</f>
        <v>Recepção e Internação</v>
      </c>
      <c r="E45" s="253">
        <v>916</v>
      </c>
      <c r="F45" s="73" t="str">
        <f>IF('General Information'!$C$6="Português",VLOOKUP(E45,'BASE_FUNCOES (hide)'!A:H,2,0),IF('General Information'!$C$6="English",VLOOKUP(E45,'BASE_FUNCOES (hide)'!A:H,3,0),IF('General Information'!$C$6="Español",VLOOKUP(E45,'BASE_FUNCOES (hide)'!A:H,4,0))))</f>
        <v>Entrada Única de Pacientes</v>
      </c>
      <c r="G45" s="73" t="str">
        <f>IF(AND('General Information'!$D$16=1,VLOOKUP(B45,Modules!$B$5:$E$496,4,0)=1)=TRUE,VLOOKUP('Hours Detail'!E45,'BASE_FUNCOES (hide)'!$A:$V,10,0),IF(AND('General Information'!$D$16=2,VLOOKUP(B45,Modules!$B$5:$E$496,4,0)=1)=TRUE,VLOOKUP('Hours Detail'!E45,'BASE_FUNCOES (hide)'!$A:$V,11,0),IF(AND('General Information'!$D$16=3,VLOOKUP(B45,Modules!$B$5:$E$496,4,0)=1)=TRUE,VLOOKUP('Hours Detail'!E45,'BASE_FUNCOES (hide)'!$A:$V,12,0),IF(AND('General Information'!$D$16=4,VLOOKUP(B45,Modules!$B$5:$E$496,4,0)=1)=TRUE,VLOOKUP('Hours Detail'!E45,'BASE_FUNCOES (hide)'!$A:$V,13,0),IF(AND('General Information'!$D$16=5,VLOOKUP(B45,Modules!$B$5:$E$496,4,0)=1)=TRUE,VLOOKUP('Hours Detail'!E45,'BASE_FUNCOES (hide)'!$A:$V,14,0),  IF(AND('General Information'!$D$16=6,VLOOKUP(B45,Modules!$B$5:$E$496,4,0)=1)=TRUE,VLOOKUP('Hours Detail'!E45,'BASE_FUNCOES (hide)'!$A:$V,15,0),"No"))))))</f>
        <v>No</v>
      </c>
      <c r="H45" s="166" t="str">
        <f t="shared" si="2"/>
        <v>No</v>
      </c>
      <c r="I45" s="75">
        <f>IF('General Information'!$C$4="Mexico",(ROUNDUP(VLOOKUP(E45,'BASE_FUNCOES (hide)'!A:X,21,0),0)),(ROUNDUP(VLOOKUP(E45,'BASE_FUNCOES (hide)'!A:L,9,0),0)))</f>
        <v>24</v>
      </c>
      <c r="J45" s="75">
        <f>ROUNDUP(SUMIF(Questions!$E$5:$E$558,'Hours Detail'!E45,Questions!$F$5:$F$558),0)</f>
        <v>0</v>
      </c>
      <c r="K45" s="76">
        <f>IF(H45="Yes",ROUNDUP(IF(VLOOKUP(E45,'BASE_FUNCOES (hide)'!A:T,16,FALSE)&lt;&gt;"No",IF('General Information'!$C$19="HTML5",(I45+J45)*'BASE_FUNCOES (hide)'!$T$2,I45+J45),I45+J45),I45+J45),I45+J45)</f>
        <v>24</v>
      </c>
      <c r="L45" s="265" t="str">
        <f>IF(OR(E45=121,E45=88,E45=2682,E45=2703,E45=2687,E45=2689,E45=2681,E45=2685)=FALSE,"",IF('General Information'!$C$19="HTML5","FUNÇÃO DISPONÍVEL APENAS PARA BRASIL",IF(J46&lt;&gt;0,VLOOKUP(E46,Questions!$E$5:$L$568,5,0),"")))</f>
        <v/>
      </c>
      <c r="M45" s="164" t="s">
        <v>2396</v>
      </c>
      <c r="N45" s="369" t="s">
        <v>2377</v>
      </c>
    </row>
    <row r="46" spans="1:14" ht="14.5" customHeight="1" outlineLevel="1">
      <c r="A46" s="59"/>
      <c r="B46" s="72">
        <f>VLOOKUP('Hours Detail'!E46,'BASE_FUNCOES (hide)'!A:W,5,FALSE)</f>
        <v>5</v>
      </c>
      <c r="C46" s="72" t="s">
        <v>5929</v>
      </c>
      <c r="D46" s="73" t="str">
        <f>IF('General Information'!$C$6="Português",VLOOKUP(B46,'ESTRUTURA_MODULO(hide)'!A:D,2,0),IF('General Information'!$C$6="English",VLOOKUP(B46,'ESTRUTURA_MODULO(hide)'!A:D,3,0),IF('General Information'!$C$6="Español",VLOOKUP(B46,'ESTRUTURA_MODULO(hide)'!A:D,4,0))))</f>
        <v>Recepção e Internação</v>
      </c>
      <c r="E46" s="253">
        <v>10020</v>
      </c>
      <c r="F46" s="73" t="str">
        <f>IF('General Information'!$C$6="Português",VLOOKUP(E46,'BASE_FUNCOES (hide)'!A:H,2,0),IF('General Information'!$C$6="English",VLOOKUP(E46,'BASE_FUNCOES (hide)'!A:H,3,0),IF('General Information'!$C$6="Español",VLOOKUP(E46,'BASE_FUNCOES (hide)'!A:H,4,0))))</f>
        <v>Controle de Achados e Perdidos</v>
      </c>
      <c r="G46" s="73" t="str">
        <f>IF(AND('General Information'!$D$16=1,VLOOKUP(B46,Modules!$B$5:$E$496,4,0)=1)=TRUE,VLOOKUP('Hours Detail'!E46,'BASE_FUNCOES (hide)'!$A:$V,10,0),IF(AND('General Information'!$D$16=2,VLOOKUP(B46,Modules!$B$5:$E$496,4,0)=1)=TRUE,VLOOKUP('Hours Detail'!E46,'BASE_FUNCOES (hide)'!$A:$V,11,0),IF(AND('General Information'!$D$16=3,VLOOKUP(B46,Modules!$B$5:$E$496,4,0)=1)=TRUE,VLOOKUP('Hours Detail'!E46,'BASE_FUNCOES (hide)'!$A:$V,12,0),IF(AND('General Information'!$D$16=4,VLOOKUP(B46,Modules!$B$5:$E$496,4,0)=1)=TRUE,VLOOKUP('Hours Detail'!E46,'BASE_FUNCOES (hide)'!$A:$V,13,0),IF(AND('General Information'!$D$16=5,VLOOKUP(B46,Modules!$B$5:$E$496,4,0)=1)=TRUE,VLOOKUP('Hours Detail'!E46,'BASE_FUNCOES (hide)'!$A:$V,14,0),  IF(AND('General Information'!$D$16=6,VLOOKUP(B46,Modules!$B$5:$E$496,4,0)=1)=TRUE,VLOOKUP('Hours Detail'!E46,'BASE_FUNCOES (hide)'!$A:$V,15,0),"No"))))))</f>
        <v>No</v>
      </c>
      <c r="H46" s="22" t="str">
        <f t="shared" si="2"/>
        <v>No</v>
      </c>
      <c r="I46" s="75">
        <f>IF('General Information'!$C$4="Mexico",(ROUNDUP(VLOOKUP(E46,'BASE_FUNCOES (hide)'!A:X,21,0),0)),(ROUNDUP(VLOOKUP(E46,'BASE_FUNCOES (hide)'!A:L,9,0),0)))</f>
        <v>2</v>
      </c>
      <c r="J46" s="75">
        <f>ROUNDUP(SUMIF(Questions!$E$5:$E$558,'Hours Detail'!E46,Questions!$F$5:$F$558),0)</f>
        <v>0</v>
      </c>
      <c r="K46" s="76">
        <f>IF(H46="Yes",ROUNDUP(IF(VLOOKUP(E46,'BASE_FUNCOES (hide)'!A:T,16,FALSE)&lt;&gt;"No",IF('General Information'!$C$19="HTML5",(I46+J46)*'BASE_FUNCOES (hide)'!$T$2,I46+J46),I46+J46),I46+J46),I46+J46)</f>
        <v>2</v>
      </c>
      <c r="L46" s="265" t="str">
        <f>IF(OR(E46=121,E46=88,E46=2682,E46=2703,E46=2687,E46=2689,E46=2681,E46=2685)=FALSE,"",IF('General Information'!$C$19="HTML5","FUNÇÃO DISPONÍVEL APENAS PARA BRASIL",IF(J47&lt;&gt;0,VLOOKUP(E47,Questions!$E$5:$L$568,5,0),"")))</f>
        <v/>
      </c>
      <c r="M46" s="164" t="s">
        <v>2396</v>
      </c>
      <c r="N46" s="369" t="s">
        <v>2377</v>
      </c>
    </row>
    <row r="47" spans="1:14" ht="14.5" customHeight="1" outlineLevel="1">
      <c r="A47" s="59"/>
      <c r="B47" s="72">
        <f>VLOOKUP('Hours Detail'!E47,'BASE_FUNCOES (hide)'!A:W,5,FALSE)</f>
        <v>5</v>
      </c>
      <c r="C47" s="72" t="s">
        <v>5929</v>
      </c>
      <c r="D47" s="73" t="str">
        <f>IF('General Information'!$C$6="Português",VLOOKUP(B47,'ESTRUTURA_MODULO(hide)'!A:D,2,0),IF('General Information'!$C$6="English",VLOOKUP(B47,'ESTRUTURA_MODULO(hide)'!A:D,3,0),IF('General Information'!$C$6="Español",VLOOKUP(B47,'ESTRUTURA_MODULO(hide)'!A:D,4,0))))</f>
        <v>Recepção e Internação</v>
      </c>
      <c r="E47" s="254">
        <v>32</v>
      </c>
      <c r="F47" s="73" t="str">
        <f>IF('General Information'!$C$6="Português",VLOOKUP(E47,'BASE_FUNCOES (hide)'!A:H,2,0),IF('General Information'!$C$6="English",VLOOKUP(E47,'BASE_FUNCOES (hide)'!A:H,3,0),IF('General Information'!$C$6="Español",VLOOKUP(E47,'BASE_FUNCOES (hide)'!A:H,4,0))))</f>
        <v>Cadastro simplificado de Pessoas</v>
      </c>
      <c r="G47" s="73" t="str">
        <f>IF(AND('General Information'!$D$16=1,VLOOKUP(B47,Modules!$B$5:$E$496,4,0)=1)=TRUE,VLOOKUP('Hours Detail'!E47,'BASE_FUNCOES (hide)'!$A:$V,10,0),IF(AND('General Information'!$D$16=2,VLOOKUP(B47,Modules!$B$5:$E$496,4,0)=1)=TRUE,VLOOKUP('Hours Detail'!E47,'BASE_FUNCOES (hide)'!$A:$V,11,0),IF(AND('General Information'!$D$16=3,VLOOKUP(B47,Modules!$B$5:$E$496,4,0)=1)=TRUE,VLOOKUP('Hours Detail'!E47,'BASE_FUNCOES (hide)'!$A:$V,12,0),IF(AND('General Information'!$D$16=4,VLOOKUP(B47,Modules!$B$5:$E$496,4,0)=1)=TRUE,VLOOKUP('Hours Detail'!E47,'BASE_FUNCOES (hide)'!$A:$V,13,0),IF(AND('General Information'!$D$16=5,VLOOKUP(B47,Modules!$B$5:$E$496,4,0)=1)=TRUE,VLOOKUP('Hours Detail'!E47,'BASE_FUNCOES (hide)'!$A:$V,14,0),  IF(AND('General Information'!$D$16=6,VLOOKUP(B47,Modules!$B$5:$E$496,4,0)=1)=TRUE,VLOOKUP('Hours Detail'!E47,'BASE_FUNCOES (hide)'!$A:$V,15,0),"No"))))))</f>
        <v>No</v>
      </c>
      <c r="H47" s="166" t="str">
        <f t="shared" si="2"/>
        <v>No</v>
      </c>
      <c r="I47" s="75">
        <f>IF('General Information'!$C$4="Mexico",(ROUNDUP(VLOOKUP(E47,'BASE_FUNCOES (hide)'!A:X,21,0),0)),(ROUNDUP(VLOOKUP(E47,'BASE_FUNCOES (hide)'!A:L,9,0),0)))</f>
        <v>2</v>
      </c>
      <c r="J47" s="75">
        <f>ROUNDUP(SUMIF(Questions!$E$5:$E$558,'Hours Detail'!E47,Questions!$F$5:$F$558),0)</f>
        <v>0</v>
      </c>
      <c r="K47" s="76">
        <f>IF(H47="Yes",ROUNDUP(IF(VLOOKUP(E47,'BASE_FUNCOES (hide)'!A:T,16,FALSE)&lt;&gt;"No",IF('General Information'!$C$19="HTML5",(I47+J47)*'BASE_FUNCOES (hide)'!$T$2,I47+J47),I47+J47),I47+J47),I47+J47)</f>
        <v>2</v>
      </c>
      <c r="L47" s="265" t="str">
        <f>IF(OR(E47=121,E47=88,E47=2682,E47=2703,E47=2687,E47=2689,E47=2681,E47=2685)=FALSE,"",IF('General Information'!$C$19="HTML5","FUNÇÃO DISPONÍVEL APENAS PARA BRASIL",IF(J48&lt;&gt;0,VLOOKUP(E48,Questions!$E$5:$L$568,5,0),"")))</f>
        <v/>
      </c>
      <c r="M47" s="164" t="s">
        <v>2396</v>
      </c>
      <c r="N47" s="369" t="s">
        <v>2377</v>
      </c>
    </row>
    <row r="48" spans="1:14" ht="14.5" customHeight="1" outlineLevel="1">
      <c r="A48" s="59"/>
      <c r="B48" s="72">
        <f>VLOOKUP('Hours Detail'!E48,'BASE_FUNCOES (hide)'!A:W,5,FALSE)</f>
        <v>5</v>
      </c>
      <c r="C48" s="72" t="s">
        <v>5929</v>
      </c>
      <c r="D48" s="73" t="str">
        <f>IF('General Information'!$C$6="Português",VLOOKUP(B48,'ESTRUTURA_MODULO(hide)'!A:D,2,0),IF('General Information'!$C$6="English",VLOOKUP(B48,'ESTRUTURA_MODULO(hide)'!A:D,3,0),IF('General Information'!$C$6="Español",VLOOKUP(B48,'ESTRUTURA_MODULO(hide)'!A:D,4,0))))</f>
        <v>Recepção e Internação</v>
      </c>
      <c r="E48" s="254">
        <v>3009</v>
      </c>
      <c r="F48" s="73" t="str">
        <f>IF('General Information'!$C$6="Português",VLOOKUP(E48,'BASE_FUNCOES (hide)'!A:H,2,0),IF('General Information'!$C$6="English",VLOOKUP(E48,'BASE_FUNCOES (hide)'!A:H,3,0),IF('General Information'!$C$6="Español",VLOOKUP(E48,'BASE_FUNCOES (hide)'!A:H,4,0))))</f>
        <v>Escala de Plantões e Sobreavisos</v>
      </c>
      <c r="G48" s="73" t="str">
        <f>IF(AND('General Information'!$D$16=1,VLOOKUP(B48,Modules!$B$5:$E$496,4,0)=1)=TRUE,VLOOKUP('Hours Detail'!E48,'BASE_FUNCOES (hide)'!$A:$V,10,0),IF(AND('General Information'!$D$16=2,VLOOKUP(B48,Modules!$B$5:$E$496,4,0)=1)=TRUE,VLOOKUP('Hours Detail'!E48,'BASE_FUNCOES (hide)'!$A:$V,11,0),IF(AND('General Information'!$D$16=3,VLOOKUP(B48,Modules!$B$5:$E$496,4,0)=1)=TRUE,VLOOKUP('Hours Detail'!E48,'BASE_FUNCOES (hide)'!$A:$V,12,0),IF(AND('General Information'!$D$16=4,VLOOKUP(B48,Modules!$B$5:$E$496,4,0)=1)=TRUE,VLOOKUP('Hours Detail'!E48,'BASE_FUNCOES (hide)'!$A:$V,13,0),IF(AND('General Information'!$D$16=5,VLOOKUP(B48,Modules!$B$5:$E$496,4,0)=1)=TRUE,VLOOKUP('Hours Detail'!E48,'BASE_FUNCOES (hide)'!$A:$V,14,0),  IF(AND('General Information'!$D$16=6,VLOOKUP(B48,Modules!$B$5:$E$496,4,0)=1)=TRUE,VLOOKUP('Hours Detail'!E48,'BASE_FUNCOES (hide)'!$A:$V,15,0),"No"))))))</f>
        <v>No</v>
      </c>
      <c r="H48" s="22" t="str">
        <f t="shared" si="2"/>
        <v>No</v>
      </c>
      <c r="I48" s="75">
        <f>IF('General Information'!$C$4="Mexico",(ROUNDUP(VLOOKUP(E48,'BASE_FUNCOES (hide)'!A:X,21,0),0)),(ROUNDUP(VLOOKUP(E48,'BASE_FUNCOES (hide)'!A:L,9,0),0)))</f>
        <v>8</v>
      </c>
      <c r="J48" s="75">
        <f>ROUNDUP(SUMIF(Questions!$E$5:$E$558,'Hours Detail'!E48,Questions!$F$5:$F$558),0)</f>
        <v>0</v>
      </c>
      <c r="K48" s="76">
        <f>IF(H48="Yes",ROUNDUP(IF(VLOOKUP(E48,'BASE_FUNCOES (hide)'!A:T,16,FALSE)&lt;&gt;"No",IF('General Information'!$C$19="HTML5",(I48+J48)*'BASE_FUNCOES (hide)'!$T$2,I48+J48),I48+J48),I48+J48),I48+J48)</f>
        <v>8</v>
      </c>
      <c r="L48" s="265" t="str">
        <f>IF(OR(E48=121,E48=88,E48=2682,E48=2703,E48=2687,E48=2689,E48=2681,E48=2685)=FALSE,"",IF('General Information'!$C$19="HTML5","FUNÇÃO DISPONÍVEL APENAS PARA BRASIL",IF(J49&lt;&gt;0,VLOOKUP(E49,Questions!$E$5:$L$568,5,0),"")))</f>
        <v/>
      </c>
      <c r="M48" s="164" t="s">
        <v>2396</v>
      </c>
      <c r="N48" s="369" t="s">
        <v>2377</v>
      </c>
    </row>
    <row r="49" spans="1:14" ht="14.5" customHeight="1" outlineLevel="1">
      <c r="A49" s="59"/>
      <c r="B49" s="72">
        <f>VLOOKUP('Hours Detail'!E49,'BASE_FUNCOES (hide)'!A:W,5,FALSE)</f>
        <v>5</v>
      </c>
      <c r="C49" s="72" t="s">
        <v>5929</v>
      </c>
      <c r="D49" s="73" t="str">
        <f>IF('General Information'!$C$6="Português",VLOOKUP(B49,'ESTRUTURA_MODULO(hide)'!A:D,2,0),IF('General Information'!$C$6="English",VLOOKUP(B49,'ESTRUTURA_MODULO(hide)'!A:D,3,0),IF('General Information'!$C$6="Español",VLOOKUP(B49,'ESTRUTURA_MODULO(hide)'!A:D,4,0))))</f>
        <v>Recepção e Internação</v>
      </c>
      <c r="E49" s="254">
        <v>8009</v>
      </c>
      <c r="F49" s="73" t="str">
        <f>IF('General Information'!$C$6="Português",VLOOKUP(E49,'BASE_FUNCOES (hide)'!A:H,2,0),IF('General Information'!$C$6="English",VLOOKUP(E49,'BASE_FUNCOES (hide)'!A:H,3,0),IF('General Information'!$C$6="Español",VLOOKUP(E49,'BASE_FUNCOES (hide)'!A:H,4,0))))</f>
        <v>CIHA - Controle de Informação Hospitalar e Ambulatorial</v>
      </c>
      <c r="G49" s="73" t="str">
        <f>IF(AND('General Information'!$D$16=1,VLOOKUP(B49,Modules!$B$5:$E$496,4,0)=1)=TRUE,VLOOKUP('Hours Detail'!E49,'BASE_FUNCOES (hide)'!$A:$V,10,0),IF(AND('General Information'!$D$16=2,VLOOKUP(B49,Modules!$B$5:$E$496,4,0)=1)=TRUE,VLOOKUP('Hours Detail'!E49,'BASE_FUNCOES (hide)'!$A:$V,11,0),IF(AND('General Information'!$D$16=3,VLOOKUP(B49,Modules!$B$5:$E$496,4,0)=1)=TRUE,VLOOKUP('Hours Detail'!E49,'BASE_FUNCOES (hide)'!$A:$V,12,0),IF(AND('General Information'!$D$16=4,VLOOKUP(B49,Modules!$B$5:$E$496,4,0)=1)=TRUE,VLOOKUP('Hours Detail'!E49,'BASE_FUNCOES (hide)'!$A:$V,13,0),IF(AND('General Information'!$D$16=5,VLOOKUP(B49,Modules!$B$5:$E$496,4,0)=1)=TRUE,VLOOKUP('Hours Detail'!E49,'BASE_FUNCOES (hide)'!$A:$V,14,0),  IF(AND('General Information'!$D$16=6,VLOOKUP(B49,Modules!$B$5:$E$496,4,0)=1)=TRUE,VLOOKUP('Hours Detail'!E49,'BASE_FUNCOES (hide)'!$A:$V,15,0),"No"))))))</f>
        <v>No</v>
      </c>
      <c r="H49" s="22" t="str">
        <f t="shared" si="2"/>
        <v>No</v>
      </c>
      <c r="I49" s="75">
        <f>IF('General Information'!$C$4="Mexico",(ROUNDUP(VLOOKUP(E49,'BASE_FUNCOES (hide)'!A:X,21,0),0)),(ROUNDUP(VLOOKUP(E49,'BASE_FUNCOES (hide)'!A:L,9,0),0)))</f>
        <v>8</v>
      </c>
      <c r="J49" s="75">
        <f>ROUNDUP(SUMIF(Questions!$E$5:$E$558,'Hours Detail'!E49,Questions!$F$5:$F$558),0)</f>
        <v>0</v>
      </c>
      <c r="K49" s="76">
        <f>IF(H49="Yes",ROUNDUP(IF(VLOOKUP(E49,'BASE_FUNCOES (hide)'!A:T,16,FALSE)&lt;&gt;"No",IF('General Information'!$C$19="HTML5",(I49+J49)*'BASE_FUNCOES (hide)'!$T$2,I49+J49),I49+J49),I49+J49),I49+J49)</f>
        <v>8</v>
      </c>
      <c r="L49" s="265" t="str">
        <f>IF(OR(E49=121,E49=88,E49=2682,E49=2703,E49=2687,E49=2689,E49=2681,E49=2685)=FALSE,"",IF('General Information'!$C$19="HTML5","FUNÇÃO DISPONÍVEL APENAS PARA BRASIL",IF(J50&lt;&gt;0,VLOOKUP(E50,Questions!$E$5:$L$568,5,0),"")))</f>
        <v/>
      </c>
      <c r="M49" s="164" t="s">
        <v>2396</v>
      </c>
      <c r="N49" s="369" t="s">
        <v>2377</v>
      </c>
    </row>
    <row r="50" spans="1:14" ht="14.5" customHeight="1" outlineLevel="1">
      <c r="A50" s="59"/>
      <c r="B50" s="72">
        <f>VLOOKUP('Hours Detail'!E50,'BASE_FUNCOES (hide)'!A:W,5,FALSE)</f>
        <v>5</v>
      </c>
      <c r="C50" s="72" t="s">
        <v>5929</v>
      </c>
      <c r="D50" s="73" t="str">
        <f>IF('General Information'!$C$6="Português",VLOOKUP(B50,'ESTRUTURA_MODULO(hide)'!A:D,2,0),IF('General Information'!$C$6="English",VLOOKUP(B50,'ESTRUTURA_MODULO(hide)'!A:D,3,0),IF('General Information'!$C$6="Español",VLOOKUP(B50,'ESTRUTURA_MODULO(hide)'!A:D,4,0))))</f>
        <v>Recepção e Internação</v>
      </c>
      <c r="E50" s="254">
        <v>10021</v>
      </c>
      <c r="F50" s="73" t="str">
        <f>IF('General Information'!$C$6="Português",VLOOKUP(E50,'BASE_FUNCOES (hide)'!A:H,2,0),IF('General Information'!$C$6="English",VLOOKUP(E50,'BASE_FUNCOES (hide)'!A:H,3,0),IF('General Information'!$C$6="Español",VLOOKUP(E50,'BASE_FUNCOES (hide)'!A:H,4,0))))</f>
        <v>Gerenciamento de Senhas</v>
      </c>
      <c r="G50" s="73" t="str">
        <f>IF(AND('General Information'!$D$16=1,VLOOKUP(B50,Modules!$B$5:$E$496,4,0)=1)=TRUE,VLOOKUP('Hours Detail'!E50,'BASE_FUNCOES (hide)'!$A:$V,10,0),IF(AND('General Information'!$D$16=2,VLOOKUP(B50,Modules!$B$5:$E$496,4,0)=1)=TRUE,VLOOKUP('Hours Detail'!E50,'BASE_FUNCOES (hide)'!$A:$V,11,0),IF(AND('General Information'!$D$16=3,VLOOKUP(B50,Modules!$B$5:$E$496,4,0)=1)=TRUE,VLOOKUP('Hours Detail'!E50,'BASE_FUNCOES (hide)'!$A:$V,12,0),IF(AND('General Information'!$D$16=4,VLOOKUP(B50,Modules!$B$5:$E$496,4,0)=1)=TRUE,VLOOKUP('Hours Detail'!E50,'BASE_FUNCOES (hide)'!$A:$V,13,0),IF(AND('General Information'!$D$16=5,VLOOKUP(B50,Modules!$B$5:$E$496,4,0)=1)=TRUE,VLOOKUP('Hours Detail'!E50,'BASE_FUNCOES (hide)'!$A:$V,14,0),  IF(AND('General Information'!$D$16=6,VLOOKUP(B50,Modules!$B$5:$E$496,4,0)=1)=TRUE,VLOOKUP('Hours Detail'!E50,'BASE_FUNCOES (hide)'!$A:$V,15,0),"No"))))))</f>
        <v>No</v>
      </c>
      <c r="H50" s="22" t="str">
        <f t="shared" si="2"/>
        <v>No</v>
      </c>
      <c r="I50" s="75">
        <f>IF('General Information'!$C$4="Mexico",(ROUNDUP(VLOOKUP(E50,'BASE_FUNCOES (hide)'!A:X,21,0),0)),(ROUNDUP(VLOOKUP(E50,'BASE_FUNCOES (hide)'!A:L,9,0),0)))</f>
        <v>16</v>
      </c>
      <c r="J50" s="75">
        <f>ROUNDUP(SUMIF(Questions!$E$5:$E$558,'Hours Detail'!E50,Questions!$F$5:$F$558),0)</f>
        <v>0</v>
      </c>
      <c r="K50" s="76">
        <f>IF(H50="Yes",ROUNDUP(IF(VLOOKUP(E50,'BASE_FUNCOES (hide)'!A:T,16,FALSE)&lt;&gt;"No",IF('General Information'!$C$19="HTML5",(I50+J50)*'BASE_FUNCOES (hide)'!$T$2,I50+J50),I50+J50),I50+J50),I50+J50)</f>
        <v>16</v>
      </c>
      <c r="L50" s="265" t="str">
        <f>IF(OR(E50=121,E50=88,E50=2682,E50=2703,E50=2687,E50=2689,E50=2681,E50=2685)=FALSE,"",IF('General Information'!$C$19="HTML5","FUNÇÃO DISPONÍVEL APENAS PARA BRASIL",IF(J51&lt;&gt;0,VLOOKUP(E51,Questions!$E$5:$L$568,5,0),"")))</f>
        <v/>
      </c>
      <c r="M50" s="164" t="s">
        <v>2396</v>
      </c>
      <c r="N50" s="369" t="s">
        <v>2377</v>
      </c>
    </row>
    <row r="51" spans="1:14" ht="14.5" customHeight="1" outlineLevel="1">
      <c r="A51" s="59"/>
      <c r="B51" s="72">
        <f>VLOOKUP('Hours Detail'!E51,'BASE_FUNCOES (hide)'!A:W,5,FALSE)</f>
        <v>5</v>
      </c>
      <c r="C51" s="72" t="s">
        <v>5929</v>
      </c>
      <c r="D51" s="73" t="str">
        <f>IF('General Information'!$C$6="Português",VLOOKUP(B51,'ESTRUTURA_MODULO(hide)'!A:D,2,0),IF('General Information'!$C$6="English",VLOOKUP(B51,'ESTRUTURA_MODULO(hide)'!A:D,3,0),IF('General Information'!$C$6="Español",VLOOKUP(B51,'ESTRUTURA_MODULO(hide)'!A:D,4,0))))</f>
        <v>Recepção e Internação</v>
      </c>
      <c r="E51" s="254">
        <v>9042</v>
      </c>
      <c r="F51" s="73" t="str">
        <f>IF('General Information'!$C$6="Português",VLOOKUP(E51,'BASE_FUNCOES (hide)'!A:H,2,0),IF('General Information'!$C$6="English",VLOOKUP(E51,'BASE_FUNCOES (hide)'!A:H,3,0),IF('General Information'!$C$6="Español",VLOOKUP(E51,'BASE_FUNCOES (hide)'!A:H,4,0))))</f>
        <v>Mapa dos Setores</v>
      </c>
      <c r="G51" s="73" t="str">
        <f>IF(AND('General Information'!$D$16=1,VLOOKUP(B51,Modules!$B$5:$E$496,4,0)=1)=TRUE,VLOOKUP('Hours Detail'!E51,'BASE_FUNCOES (hide)'!$A:$V,10,0),IF(AND('General Information'!$D$16=2,VLOOKUP(B51,Modules!$B$5:$E$496,4,0)=1)=TRUE,VLOOKUP('Hours Detail'!E51,'BASE_FUNCOES (hide)'!$A:$V,11,0),IF(AND('General Information'!$D$16=3,VLOOKUP(B51,Modules!$B$5:$E$496,4,0)=1)=TRUE,VLOOKUP('Hours Detail'!E51,'BASE_FUNCOES (hide)'!$A:$V,12,0),IF(AND('General Information'!$D$16=4,VLOOKUP(B51,Modules!$B$5:$E$496,4,0)=1)=TRUE,VLOOKUP('Hours Detail'!E51,'BASE_FUNCOES (hide)'!$A:$V,13,0),IF(AND('General Information'!$D$16=5,VLOOKUP(B51,Modules!$B$5:$E$496,4,0)=1)=TRUE,VLOOKUP('Hours Detail'!E51,'BASE_FUNCOES (hide)'!$A:$V,14,0),  IF(AND('General Information'!$D$16=6,VLOOKUP(B51,Modules!$B$5:$E$496,4,0)=1)=TRUE,VLOOKUP('Hours Detail'!E51,'BASE_FUNCOES (hide)'!$A:$V,15,0),"No"))))))</f>
        <v>No</v>
      </c>
      <c r="H51" s="22" t="str">
        <f t="shared" si="2"/>
        <v>No</v>
      </c>
      <c r="I51" s="75">
        <f>IF('General Information'!$C$4="Mexico",(ROUNDUP(VLOOKUP(E51,'BASE_FUNCOES (hide)'!A:X,21,0),0)),(ROUNDUP(VLOOKUP(E51,'BASE_FUNCOES (hide)'!A:L,9,0),0)))</f>
        <v>4</v>
      </c>
      <c r="J51" s="75">
        <f>ROUNDUP(SUMIF(Questions!$E$5:$E$558,'Hours Detail'!E51,Questions!$F$5:$F$558),0)</f>
        <v>0</v>
      </c>
      <c r="K51" s="76">
        <f>IF(H51="Yes",ROUNDUP(IF(VLOOKUP(E51,'BASE_FUNCOES (hide)'!A:T,16,FALSE)&lt;&gt;"No",IF('General Information'!$C$19="HTML5",(I51+J51)*'BASE_FUNCOES (hide)'!$T$2,I51+J51),I51+J51),I51+J51),I51+J51)</f>
        <v>4</v>
      </c>
      <c r="L51" s="265" t="str">
        <f>IF(OR(E51=121,E51=88,E51=2682,E51=2703,E51=2687,E51=2689,E51=2681,E51=2685)=FALSE,"",IF('General Information'!$C$19="HTML5","FUNÇÃO DISPONÍVEL APENAS PARA BRASIL",IF(J52&lt;&gt;0,VLOOKUP(E52,Questions!$E$5:$L$568,5,0),"")))</f>
        <v/>
      </c>
      <c r="M51" s="164" t="s">
        <v>2396</v>
      </c>
      <c r="N51" s="369" t="s">
        <v>2377</v>
      </c>
    </row>
    <row r="52" spans="1:14" ht="14.5" customHeight="1" outlineLevel="1">
      <c r="A52" s="59"/>
      <c r="B52" s="72">
        <f>VLOOKUP('Hours Detail'!E52,'BASE_FUNCOES (hide)'!A:W,5,FALSE)</f>
        <v>5</v>
      </c>
      <c r="C52" s="72" t="s">
        <v>5929</v>
      </c>
      <c r="D52" s="73" t="str">
        <f>IF('General Information'!$C$6="Português",VLOOKUP(B52,'ESTRUTURA_MODULO(hide)'!A:D,2,0),IF('General Information'!$C$6="English",VLOOKUP(B52,'ESTRUTURA_MODULO(hide)'!A:D,3,0),IF('General Information'!$C$6="Español",VLOOKUP(B52,'ESTRUTURA_MODULO(hide)'!A:D,4,0))))</f>
        <v>Recepção e Internação</v>
      </c>
      <c r="E52" s="254">
        <v>1002</v>
      </c>
      <c r="F52" s="73" t="str">
        <f>IF('General Information'!$C$6="Português",VLOOKUP(E52,'BASE_FUNCOES (hide)'!A:H,2,0),IF('General Information'!$C$6="English",VLOOKUP(E52,'BASE_FUNCOES (hide)'!A:H,3,0),IF('General Information'!$C$6="Español",VLOOKUP(E52,'BASE_FUNCOES (hide)'!A:H,4,0))))</f>
        <v>Gestão de Vagas</v>
      </c>
      <c r="G52" s="73" t="str">
        <f>IF(AND('General Information'!$D$16=1,VLOOKUP(B52,Modules!$B$5:$E$496,4,0)=1)=TRUE,VLOOKUP('Hours Detail'!E52,'BASE_FUNCOES (hide)'!$A:$V,10,0),IF(AND('General Information'!$D$16=2,VLOOKUP(B52,Modules!$B$5:$E$496,4,0)=1)=TRUE,VLOOKUP('Hours Detail'!E52,'BASE_FUNCOES (hide)'!$A:$V,11,0),IF(AND('General Information'!$D$16=3,VLOOKUP(B52,Modules!$B$5:$E$496,4,0)=1)=TRUE,VLOOKUP('Hours Detail'!E52,'BASE_FUNCOES (hide)'!$A:$V,12,0),IF(AND('General Information'!$D$16=4,VLOOKUP(B52,Modules!$B$5:$E$496,4,0)=1)=TRUE,VLOOKUP('Hours Detail'!E52,'BASE_FUNCOES (hide)'!$A:$V,13,0),IF(AND('General Information'!$D$16=5,VLOOKUP(B52,Modules!$B$5:$E$496,4,0)=1)=TRUE,VLOOKUP('Hours Detail'!E52,'BASE_FUNCOES (hide)'!$A:$V,14,0),  IF(AND('General Information'!$D$16=6,VLOOKUP(B52,Modules!$B$5:$E$496,4,0)=1)=TRUE,VLOOKUP('Hours Detail'!E52,'BASE_FUNCOES (hide)'!$A:$V,15,0),"No"))))))</f>
        <v>No</v>
      </c>
      <c r="H52" s="22" t="str">
        <f t="shared" si="2"/>
        <v>No</v>
      </c>
      <c r="I52" s="75">
        <f>IF('General Information'!$C$4="Mexico",(ROUNDUP(VLOOKUP(E52,'BASE_FUNCOES (hide)'!A:X,21,0),0)),(ROUNDUP(VLOOKUP(E52,'BASE_FUNCOES (hide)'!A:L,9,0),0)))</f>
        <v>8</v>
      </c>
      <c r="J52" s="75">
        <f>ROUNDUP(SUMIF(Questions!$E$5:$E$558,'Hours Detail'!E52,Questions!$F$5:$F$558),0)</f>
        <v>0</v>
      </c>
      <c r="K52" s="76">
        <f>IF(H52="Yes",ROUNDUP(IF(VLOOKUP(E52,'BASE_FUNCOES (hide)'!A:T,16,FALSE)&lt;&gt;"No",IF('General Information'!$C$19="HTML5",(I52+J52)*'BASE_FUNCOES (hide)'!$T$2,I52+J52),I52+J52),I52+J52),I52+J52)</f>
        <v>8</v>
      </c>
      <c r="L52" s="265" t="str">
        <f>IF(OR(E52=121,E52=88,E52=2682,E52=2703,E52=2687,E52=2689,E52=2681,E52=2685)=FALSE,"",IF('General Information'!$C$19="HTML5","FUNÇÃO DISPONÍVEL APENAS PARA BRASIL",IF(J53&lt;&gt;0,VLOOKUP(E53,Questions!$E$5:$L$568,5,0),"")))</f>
        <v/>
      </c>
      <c r="M52" s="164" t="s">
        <v>2396</v>
      </c>
      <c r="N52" s="369" t="s">
        <v>2377</v>
      </c>
    </row>
    <row r="53" spans="1:14" ht="14.5" customHeight="1" outlineLevel="1">
      <c r="A53" s="59"/>
      <c r="B53" s="72">
        <f>VLOOKUP('Hours Detail'!E53,'BASE_FUNCOES (hide)'!A:W,5,FALSE)</f>
        <v>5</v>
      </c>
      <c r="C53" s="72" t="s">
        <v>5929</v>
      </c>
      <c r="D53" s="73" t="str">
        <f>IF('General Information'!$C$6="Português",VLOOKUP(B53,'ESTRUTURA_MODULO(hide)'!A:D,2,0),IF('General Information'!$C$6="English",VLOOKUP(B53,'ESTRUTURA_MODULO(hide)'!A:D,3,0),IF('General Information'!$C$6="Español",VLOOKUP(B53,'ESTRUTURA_MODULO(hide)'!A:D,4,0))))</f>
        <v>Recepção e Internação</v>
      </c>
      <c r="E53" s="74">
        <v>3111</v>
      </c>
      <c r="F53" s="73" t="str">
        <f>IF('General Information'!$C$6="Português",VLOOKUP(E53,'BASE_FUNCOES (hide)'!A:H,2,0),IF('General Information'!$C$6="English",VLOOKUP(E53,'BASE_FUNCOES (hide)'!A:H,3,0),IF('General Information'!$C$6="Español",VLOOKUP(E53,'BASE_FUNCOES (hide)'!A:H,4,0))))</f>
        <v>Movimentação de Pacientes</v>
      </c>
      <c r="G53" s="73" t="str">
        <f>IF(AND('General Information'!$D$16=1,VLOOKUP(B53,Modules!$B$5:$E$496,4,0)=1)=TRUE,VLOOKUP('Hours Detail'!E53,'BASE_FUNCOES (hide)'!$A:$V,10,0),IF(AND('General Information'!$D$16=2,VLOOKUP(B53,Modules!$B$5:$E$496,4,0)=1)=TRUE,VLOOKUP('Hours Detail'!E53,'BASE_FUNCOES (hide)'!$A:$V,11,0),IF(AND('General Information'!$D$16=3,VLOOKUP(B53,Modules!$B$5:$E$496,4,0)=1)=TRUE,VLOOKUP('Hours Detail'!E53,'BASE_FUNCOES (hide)'!$A:$V,12,0),IF(AND('General Information'!$D$16=4,VLOOKUP(B53,Modules!$B$5:$E$496,4,0)=1)=TRUE,VLOOKUP('Hours Detail'!E53,'BASE_FUNCOES (hide)'!$A:$V,13,0),IF(AND('General Information'!$D$16=5,VLOOKUP(B53,Modules!$B$5:$E$496,4,0)=1)=TRUE,VLOOKUP('Hours Detail'!E53,'BASE_FUNCOES (hide)'!$A:$V,14,0),  IF(AND('General Information'!$D$16=6,VLOOKUP(B53,Modules!$B$5:$E$496,4,0)=1)=TRUE,VLOOKUP('Hours Detail'!E53,'BASE_FUNCOES (hide)'!$A:$V,15,0),"No"))))))</f>
        <v>No</v>
      </c>
      <c r="H53" s="166" t="str">
        <f t="shared" si="2"/>
        <v>No</v>
      </c>
      <c r="I53" s="75">
        <f>IF('General Information'!$C$4="Mexico",(ROUNDUP(VLOOKUP(E53,'BASE_FUNCOES (hide)'!A:X,21,0),0)),(ROUNDUP(VLOOKUP(E53,'BASE_FUNCOES (hide)'!A:L,9,0),0)))</f>
        <v>8</v>
      </c>
      <c r="J53" s="75">
        <f>ROUNDUP(SUMIF(Questions!$E$5:$E$558,'Hours Detail'!E53,Questions!$F$5:$F$558),0)</f>
        <v>0</v>
      </c>
      <c r="K53" s="76">
        <f>IF(H53="Yes",ROUNDUP(IF(VLOOKUP(E53,'BASE_FUNCOES (hide)'!A:T,16,FALSE)&lt;&gt;"No",IF('General Information'!$C$19="HTML5",(I53+J53)*'BASE_FUNCOES (hide)'!$T$2,I53+J53),I53+J53),I53+J53),I53+J53)</f>
        <v>8</v>
      </c>
      <c r="L53" s="265" t="str">
        <f>IF(OR(E53=121,E53=88,E53=2682,E53=2703,E53=2687,E53=2689,E53=2681,E53=2685)=FALSE,"",IF('General Information'!$C$19="HTML5","FUNÇÃO DISPONÍVEL APENAS PARA BRASIL",IF(J54&lt;&gt;0,VLOOKUP(E54,Questions!$E$5:$L$568,5,0),"")))</f>
        <v/>
      </c>
      <c r="M53" s="164" t="s">
        <v>2396</v>
      </c>
      <c r="N53" s="370" t="s">
        <v>2377</v>
      </c>
    </row>
    <row r="54" spans="1:14" ht="14.5" customHeight="1" outlineLevel="1">
      <c r="A54" s="59"/>
      <c r="B54" s="72">
        <f>VLOOKUP('Hours Detail'!E54,'BASE_FUNCOES (hide)'!A:W,5,FALSE)</f>
        <v>5</v>
      </c>
      <c r="C54" s="72" t="s">
        <v>5929</v>
      </c>
      <c r="D54" s="73" t="str">
        <f>IF('General Information'!$C$6="Português",VLOOKUP(B54,'ESTRUTURA_MODULO(hide)'!A:D,2,0),IF('General Information'!$C$6="English",VLOOKUP(B54,'ESTRUTURA_MODULO(hide)'!A:D,3,0),IF('General Information'!$C$6="Español",VLOOKUP(B54,'ESTRUTURA_MODULO(hide)'!A:D,4,0))))</f>
        <v>Recepção e Internação</v>
      </c>
      <c r="E54" s="255">
        <v>44</v>
      </c>
      <c r="F54" s="73" t="str">
        <f>IF('General Information'!$C$6="Português",VLOOKUP(E54,'BASE_FUNCOES (hide)'!A:H,2,0),IF('General Information'!$C$6="English",VLOOKUP(E54,'BASE_FUNCOES (hide)'!A:H,3,0),IF('General Information'!$C$6="Español",VLOOKUP(E54,'BASE_FUNCOES (hide)'!A:H,4,0))))</f>
        <v>Ocupação Hospitalar</v>
      </c>
      <c r="G54" s="73" t="str">
        <f>IF(AND('General Information'!$D$16=1,VLOOKUP(B54,Modules!$B$5:$E$496,4,0)=1)=TRUE,VLOOKUP('Hours Detail'!E54,'BASE_FUNCOES (hide)'!$A:$V,10,0),IF(AND('General Information'!$D$16=2,VLOOKUP(B54,Modules!$B$5:$E$496,4,0)=1)=TRUE,VLOOKUP('Hours Detail'!E54,'BASE_FUNCOES (hide)'!$A:$V,11,0),IF(AND('General Information'!$D$16=3,VLOOKUP(B54,Modules!$B$5:$E$496,4,0)=1)=TRUE,VLOOKUP('Hours Detail'!E54,'BASE_FUNCOES (hide)'!$A:$V,12,0),IF(AND('General Information'!$D$16=4,VLOOKUP(B54,Modules!$B$5:$E$496,4,0)=1)=TRUE,VLOOKUP('Hours Detail'!E54,'BASE_FUNCOES (hide)'!$A:$V,13,0),IF(AND('General Information'!$D$16=5,VLOOKUP(B54,Modules!$B$5:$E$496,4,0)=1)=TRUE,VLOOKUP('Hours Detail'!E54,'BASE_FUNCOES (hide)'!$A:$V,14,0),  IF(AND('General Information'!$D$16=6,VLOOKUP(B54,Modules!$B$5:$E$496,4,0)=1)=TRUE,VLOOKUP('Hours Detail'!E54,'BASE_FUNCOES (hide)'!$A:$V,15,0),"No"))))))</f>
        <v>No</v>
      </c>
      <c r="H54" s="22" t="str">
        <f t="shared" si="2"/>
        <v>No</v>
      </c>
      <c r="I54" s="75">
        <f>IF('General Information'!$C$4="Mexico",(ROUNDUP(VLOOKUP(E54,'BASE_FUNCOES (hide)'!A:X,21,0),0)),(ROUNDUP(VLOOKUP(E54,'BASE_FUNCOES (hide)'!A:L,9,0),0)))</f>
        <v>4</v>
      </c>
      <c r="J54" s="75">
        <f>ROUNDUP(SUMIF(Questions!$E$5:$E$558,'Hours Detail'!E54,Questions!$F$5:$F$558),0)</f>
        <v>0</v>
      </c>
      <c r="K54" s="76">
        <f>IF(H54="Yes",ROUNDUP(IF(VLOOKUP(E54,'BASE_FUNCOES (hide)'!A:T,16,FALSE)&lt;&gt;"No",IF('General Information'!$C$19="HTML5",(I54+J54)*'BASE_FUNCOES (hide)'!$T$2,I54+J54),I54+J54),I54+J54),I54+J54)</f>
        <v>4</v>
      </c>
      <c r="L54" s="265" t="str">
        <f>IF(OR(E54=121,E54=88,E54=2682,E54=2703,E54=2687,E54=2689,E54=2681,E54=2685)=FALSE,"",IF('General Information'!$C$19="HTML5","FUNÇÃO DISPONÍVEL APENAS PARA BRASIL",IF(J55&lt;&gt;0,VLOOKUP(E55,Questions!$E$5:$L$568,5,0),"")))</f>
        <v/>
      </c>
      <c r="M54" s="164" t="s">
        <v>2396</v>
      </c>
      <c r="N54" s="370" t="s">
        <v>2377</v>
      </c>
    </row>
    <row r="55" spans="1:14" ht="14.5" customHeight="1" outlineLevel="1">
      <c r="A55" s="59"/>
      <c r="B55" s="72">
        <f>VLOOKUP('Hours Detail'!E55,'BASE_FUNCOES (hide)'!A:W,5,FALSE)</f>
        <v>5</v>
      </c>
      <c r="C55" s="72" t="s">
        <v>5929</v>
      </c>
      <c r="D55" s="73" t="str">
        <f>IF('General Information'!$C$6="Português",VLOOKUP(B55,'ESTRUTURA_MODULO(hide)'!A:D,2,0),IF('General Information'!$C$6="English",VLOOKUP(B55,'ESTRUTURA_MODULO(hide)'!A:D,3,0),IF('General Information'!$C$6="Español",VLOOKUP(B55,'ESTRUTURA_MODULO(hide)'!A:D,4,0))))</f>
        <v>Recepção e Internação</v>
      </c>
      <c r="E55" s="255">
        <v>914</v>
      </c>
      <c r="F55" s="73" t="str">
        <f>IF('General Information'!$C$6="Português",VLOOKUP(E55,'BASE_FUNCOES (hide)'!A:H,2,0),IF('General Information'!$C$6="English",VLOOKUP(E55,'BASE_FUNCOES (hide)'!A:H,3,0),IF('General Information'!$C$6="Español",VLOOKUP(E55,'BASE_FUNCOES (hide)'!A:H,4,0))))</f>
        <v>Recepção</v>
      </c>
      <c r="G55" s="73" t="str">
        <f>IF(AND('General Information'!$D$16=1,VLOOKUP(B55,Modules!$B$5:$E$496,4,0)=1)=TRUE,VLOOKUP('Hours Detail'!E55,'BASE_FUNCOES (hide)'!$A:$V,10,0),IF(AND('General Information'!$D$16=2,VLOOKUP(B55,Modules!$B$5:$E$496,4,0)=1)=TRUE,VLOOKUP('Hours Detail'!E55,'BASE_FUNCOES (hide)'!$A:$V,11,0),IF(AND('General Information'!$D$16=3,VLOOKUP(B55,Modules!$B$5:$E$496,4,0)=1)=TRUE,VLOOKUP('Hours Detail'!E55,'BASE_FUNCOES (hide)'!$A:$V,12,0),IF(AND('General Information'!$D$16=4,VLOOKUP(B55,Modules!$B$5:$E$496,4,0)=1)=TRUE,VLOOKUP('Hours Detail'!E55,'BASE_FUNCOES (hide)'!$A:$V,13,0),IF(AND('General Information'!$D$16=5,VLOOKUP(B55,Modules!$B$5:$E$496,4,0)=1)=TRUE,VLOOKUP('Hours Detail'!E55,'BASE_FUNCOES (hide)'!$A:$V,14,0),  IF(AND('General Information'!$D$16=6,VLOOKUP(B55,Modules!$B$5:$E$496,4,0)=1)=TRUE,VLOOKUP('Hours Detail'!E55,'BASE_FUNCOES (hide)'!$A:$V,15,0),"No"))))))</f>
        <v>No</v>
      </c>
      <c r="H55" s="22" t="str">
        <f t="shared" si="2"/>
        <v>No</v>
      </c>
      <c r="I55" s="75">
        <f>IF('General Information'!$C$4="Mexico",(ROUNDUP(VLOOKUP(E55,'BASE_FUNCOES (hide)'!A:X,21,0),0)),(ROUNDUP(VLOOKUP(E55,'BASE_FUNCOES (hide)'!A:L,9,0),0)))</f>
        <v>16</v>
      </c>
      <c r="J55" s="75">
        <f>ROUNDUP(SUMIF(Questions!$E$5:$E$558,'Hours Detail'!E55,Questions!$F$5:$F$558),0)</f>
        <v>0</v>
      </c>
      <c r="K55" s="76">
        <f>IF(H55="Yes",ROUNDUP(IF(VLOOKUP(E55,'BASE_FUNCOES (hide)'!A:T,16,FALSE)&lt;&gt;"No",IF('General Information'!$C$19="HTML5",(I55+J55)*'BASE_FUNCOES (hide)'!$T$2,I55+J55),I55+J55),I55+J55),I55+J55)</f>
        <v>16</v>
      </c>
      <c r="L55" s="265" t="str">
        <f>IF(OR(E55=121,E55=88,E55=2682,E55=2703,E55=2687,E55=2689,E55=2681,E55=2685)=FALSE,"",IF('General Information'!$C$19="HTML5","FUNÇÃO DISPONÍVEL APENAS PARA BRASIL",IF(J56&lt;&gt;0,VLOOKUP(E56,Questions!$E$5:$L$568,5,0),"")))</f>
        <v/>
      </c>
      <c r="M55" s="164" t="s">
        <v>2396</v>
      </c>
      <c r="N55" s="370" t="s">
        <v>2377</v>
      </c>
    </row>
    <row r="56" spans="1:14" ht="14.5" customHeight="1" outlineLevel="1">
      <c r="A56" s="59"/>
      <c r="B56" s="72">
        <f>VLOOKUP('Hours Detail'!E56,'BASE_FUNCOES (hide)'!A:W,5,FALSE)</f>
        <v>5</v>
      </c>
      <c r="C56" s="72" t="s">
        <v>5929</v>
      </c>
      <c r="D56" s="73" t="str">
        <f>IF('General Information'!$C$6="Português",VLOOKUP(B56,'ESTRUTURA_MODULO(hide)'!A:D,2,0),IF('General Information'!$C$6="English",VLOOKUP(B56,'ESTRUTURA_MODULO(hide)'!A:D,3,0),IF('General Information'!$C$6="Español",VLOOKUP(B56,'ESTRUTURA_MODULO(hide)'!A:D,4,0))))</f>
        <v>Recepção e Internação</v>
      </c>
      <c r="E56" s="255">
        <v>106</v>
      </c>
      <c r="F56" s="73" t="str">
        <f>IF('General Information'!$C$6="Português",VLOOKUP(E56,'BASE_FUNCOES (hide)'!A:H,2,0),IF('General Information'!$C$6="English",VLOOKUP(E56,'BASE_FUNCOES (hide)'!A:H,3,0),IF('General Information'!$C$6="Español",VLOOKUP(E56,'BASE_FUNCOES (hide)'!A:H,4,0))))</f>
        <v>Orçamento de Pacientes</v>
      </c>
      <c r="G56" s="73" t="str">
        <f>IF(AND('General Information'!$D$16=1,VLOOKUP(B56,Modules!$B$5:$E$496,4,0)=1)=TRUE,VLOOKUP('Hours Detail'!E56,'BASE_FUNCOES (hide)'!$A:$V,10,0),IF(AND('General Information'!$D$16=2,VLOOKUP(B56,Modules!$B$5:$E$496,4,0)=1)=TRUE,VLOOKUP('Hours Detail'!E56,'BASE_FUNCOES (hide)'!$A:$V,11,0),IF(AND('General Information'!$D$16=3,VLOOKUP(B56,Modules!$B$5:$E$496,4,0)=1)=TRUE,VLOOKUP('Hours Detail'!E56,'BASE_FUNCOES (hide)'!$A:$V,12,0),IF(AND('General Information'!$D$16=4,VLOOKUP(B56,Modules!$B$5:$E$496,4,0)=1)=TRUE,VLOOKUP('Hours Detail'!E56,'BASE_FUNCOES (hide)'!$A:$V,13,0),IF(AND('General Information'!$D$16=5,VLOOKUP(B56,Modules!$B$5:$E$496,4,0)=1)=TRUE,VLOOKUP('Hours Detail'!E56,'BASE_FUNCOES (hide)'!$A:$V,14,0),  IF(AND('General Information'!$D$16=6,VLOOKUP(B56,Modules!$B$5:$E$496,4,0)=1)=TRUE,VLOOKUP('Hours Detail'!E56,'BASE_FUNCOES (hide)'!$A:$V,15,0),"No"))))))</f>
        <v>No</v>
      </c>
      <c r="H56" s="22" t="str">
        <f t="shared" si="2"/>
        <v>No</v>
      </c>
      <c r="I56" s="75">
        <f>IF('General Information'!$C$4="Mexico",(ROUNDUP(VLOOKUP(E56,'BASE_FUNCOES (hide)'!A:X,21,0),0)),(ROUNDUP(VLOOKUP(E56,'BASE_FUNCOES (hide)'!A:L,9,0),0)))</f>
        <v>8</v>
      </c>
      <c r="J56" s="75">
        <f>ROUNDUP(SUMIF(Questions!$E$5:$E$558,'Hours Detail'!E56,Questions!$F$5:$F$558),0)</f>
        <v>0</v>
      </c>
      <c r="K56" s="76">
        <f>IF(H56="Yes",ROUNDUP(IF(VLOOKUP(E56,'BASE_FUNCOES (hide)'!A:T,16,FALSE)&lt;&gt;"No",IF('General Information'!$C$19="HTML5",(I56+J56)*'BASE_FUNCOES (hide)'!$T$2,I56+J56),I56+J56),I56+J56),I56+J56)</f>
        <v>8</v>
      </c>
      <c r="L56" s="265" t="str">
        <f>IF(OR(E56=121,E56=88,E56=2682,E56=2703,E56=2687,E56=2689,E56=2681,E56=2685)=FALSE,"",IF('General Information'!$C$19="HTML5","FUNÇÃO DISPONÍVEL APENAS PARA BRASIL",IF(J57&lt;&gt;0,VLOOKUP(E57,Questions!$E$5:$L$568,5,0),"")))</f>
        <v/>
      </c>
      <c r="M56" s="164" t="s">
        <v>2396</v>
      </c>
      <c r="N56" s="370" t="s">
        <v>2377</v>
      </c>
    </row>
    <row r="57" spans="1:14" ht="14.5" customHeight="1" outlineLevel="1">
      <c r="A57" s="59"/>
      <c r="B57" s="72">
        <f>VLOOKUP('Hours Detail'!E57,'BASE_FUNCOES (hide)'!A:W,5,FALSE)</f>
        <v>16</v>
      </c>
      <c r="C57" s="72" t="s">
        <v>5929</v>
      </c>
      <c r="D57" s="73" t="str">
        <f>IF('General Information'!$C$6="Português",VLOOKUP(B57,'ESTRUTURA_MODULO(hide)'!A:D,2,0),IF('General Information'!$C$6="English",VLOOKUP(B57,'ESTRUTURA_MODULO(hide)'!A:D,3,0),IF('General Information'!$C$6="Español",VLOOKUP(B57,'ESTRUTURA_MODULO(hide)'!A:D,4,0))))</f>
        <v>Administração de Contratos (Preços)</v>
      </c>
      <c r="E57" s="253">
        <v>921</v>
      </c>
      <c r="F57" s="73" t="str">
        <f>IF('General Information'!$C$6="Português",VLOOKUP(E57,'BASE_FUNCOES (hide)'!A:H,2,0),IF('General Information'!$C$6="English",VLOOKUP(E57,'BASE_FUNCOES (hide)'!A:H,3,0),IF('General Information'!$C$6="Español",VLOOKUP(E57,'BASE_FUNCOES (hide)'!A:H,4,0))))</f>
        <v>Cadastro de Convênios, Preços e Regras</v>
      </c>
      <c r="G57" s="73" t="str">
        <f>IF(AND('General Information'!$D$16=1,VLOOKUP(B57,Modules!$B$5:$E$496,4,0)=1)=TRUE,VLOOKUP('Hours Detail'!E57,'BASE_FUNCOES (hide)'!$A:$V,10,0),IF(AND('General Information'!$D$16=2,VLOOKUP(B57,Modules!$B$5:$E$496,4,0)=1)=TRUE,VLOOKUP('Hours Detail'!E57,'BASE_FUNCOES (hide)'!$A:$V,11,0),IF(AND('General Information'!$D$16=3,VLOOKUP(B57,Modules!$B$5:$E$496,4,0)=1)=TRUE,VLOOKUP('Hours Detail'!E57,'BASE_FUNCOES (hide)'!$A:$V,12,0),IF(AND('General Information'!$D$16=4,VLOOKUP(B57,Modules!$B$5:$E$496,4,0)=1)=TRUE,VLOOKUP('Hours Detail'!E57,'BASE_FUNCOES (hide)'!$A:$V,13,0),IF(AND('General Information'!$D$16=5,VLOOKUP(B57,Modules!$B$5:$E$496,4,0)=1)=TRUE,VLOOKUP('Hours Detail'!E57,'BASE_FUNCOES (hide)'!$A:$V,14,0),  IF(AND('General Information'!$D$16=6,VLOOKUP(B57,Modules!$B$5:$E$496,4,0)=1)=TRUE,VLOOKUP('Hours Detail'!E57,'BASE_FUNCOES (hide)'!$A:$V,15,0),"No"))))))</f>
        <v>No</v>
      </c>
      <c r="H57" s="166" t="str">
        <f t="shared" si="2"/>
        <v>No</v>
      </c>
      <c r="I57" s="75">
        <f>IF('General Information'!$C$4="Mexico",(ROUNDUP(VLOOKUP(E57,'BASE_FUNCOES (hide)'!A:X,21,0),0)),(ROUNDUP(VLOOKUP(E57,'BASE_FUNCOES (hide)'!A:L,9,0),0)))</f>
        <v>40</v>
      </c>
      <c r="J57" s="75">
        <f>ROUNDUP(SUMIF(Questions!$E$5:$E$558,'Hours Detail'!E57,Questions!$F$5:$F$558),0)</f>
        <v>0</v>
      </c>
      <c r="K57" s="76">
        <f>IF(H57="Yes",ROUNDUP(IF(VLOOKUP(E57,'BASE_FUNCOES (hide)'!A:T,16,FALSE)&lt;&gt;"No",IF('General Information'!$C$19="HTML5",(I57+J57)*'BASE_FUNCOES (hide)'!$T$2,I57+J57),I57+J57),I57+J57),I57+J57)</f>
        <v>40</v>
      </c>
      <c r="L57" s="265" t="str">
        <f>IF(OR(E57=121,E57=88,E57=2682,E57=2703,E57=2687,E57=2689,E57=2681,E57=2685)=FALSE,"",IF('General Information'!$C$19="HTML5","FUNÇÃO DISPONÍVEL APENAS PARA BRASIL",IF(J58&lt;&gt;0,VLOOKUP(E58,Questions!$E$5:$L$568,5,0),"")))</f>
        <v/>
      </c>
      <c r="M57" s="164" t="s">
        <v>2396</v>
      </c>
      <c r="N57" s="369" t="s">
        <v>2377</v>
      </c>
    </row>
    <row r="58" spans="1:14" ht="14.5" customHeight="1" outlineLevel="1">
      <c r="A58" s="59"/>
      <c r="B58" s="72">
        <f>VLOOKUP('Hours Detail'!E58,'BASE_FUNCOES (hide)'!A:W,5,FALSE)</f>
        <v>16</v>
      </c>
      <c r="C58" s="72" t="s">
        <v>5929</v>
      </c>
      <c r="D58" s="73" t="str">
        <f>IF('General Information'!$C$6="Português",VLOOKUP(B58,'ESTRUTURA_MODULO(hide)'!A:D,2,0),IF('General Information'!$C$6="English",VLOOKUP(B58,'ESTRUTURA_MODULO(hide)'!A:D,3,0),IF('General Information'!$C$6="Español",VLOOKUP(B58,'ESTRUTURA_MODULO(hide)'!A:D,4,0))))</f>
        <v>Administração de Contratos (Preços)</v>
      </c>
      <c r="E58" s="253">
        <v>7028</v>
      </c>
      <c r="F58" s="73" t="str">
        <f>IF('General Information'!$C$6="Português",VLOOKUP(E58,'BASE_FUNCOES (hide)'!A:H,2,0),IF('General Information'!$C$6="English",VLOOKUP(E58,'BASE_FUNCOES (hide)'!A:H,3,0),IF('General Information'!$C$6="Español",VLOOKUP(E58,'BASE_FUNCOES (hide)'!A:H,4,0))))</f>
        <v>Parâmetros Faturamento</v>
      </c>
      <c r="G58" s="73" t="str">
        <f>IF(AND('General Information'!$D$16=1,VLOOKUP(B58,Modules!$B$5:$E$496,4,0)=1)=TRUE,VLOOKUP('Hours Detail'!E58,'BASE_FUNCOES (hide)'!$A:$V,10,0),IF(AND('General Information'!$D$16=2,VLOOKUP(B58,Modules!$B$5:$E$496,4,0)=1)=TRUE,VLOOKUP('Hours Detail'!E58,'BASE_FUNCOES (hide)'!$A:$V,11,0),IF(AND('General Information'!$D$16=3,VLOOKUP(B58,Modules!$B$5:$E$496,4,0)=1)=TRUE,VLOOKUP('Hours Detail'!E58,'BASE_FUNCOES (hide)'!$A:$V,12,0),IF(AND('General Information'!$D$16=4,VLOOKUP(B58,Modules!$B$5:$E$496,4,0)=1)=TRUE,VLOOKUP('Hours Detail'!E58,'BASE_FUNCOES (hide)'!$A:$V,13,0),IF(AND('General Information'!$D$16=5,VLOOKUP(B58,Modules!$B$5:$E$496,4,0)=1)=TRUE,VLOOKUP('Hours Detail'!E58,'BASE_FUNCOES (hide)'!$A:$V,14,0),  IF(AND('General Information'!$D$16=6,VLOOKUP(B58,Modules!$B$5:$E$496,4,0)=1)=TRUE,VLOOKUP('Hours Detail'!E58,'BASE_FUNCOES (hide)'!$A:$V,15,0),"No"))))))</f>
        <v>No</v>
      </c>
      <c r="H58" s="166" t="str">
        <f t="shared" si="2"/>
        <v>No</v>
      </c>
      <c r="I58" s="75">
        <f>IF('General Information'!$C$4="Mexico",(ROUNDUP(VLOOKUP(E58,'BASE_FUNCOES (hide)'!A:X,21,0),0)),(ROUNDUP(VLOOKUP(E58,'BASE_FUNCOES (hide)'!A:L,9,0),0)))</f>
        <v>4</v>
      </c>
      <c r="J58" s="75">
        <f>ROUNDUP(SUMIF(Questions!$E$5:$E$558,'Hours Detail'!E58,Questions!$F$5:$F$558),0)</f>
        <v>0</v>
      </c>
      <c r="K58" s="76">
        <f>IF(H58="Yes",ROUNDUP(IF(VLOOKUP(E58,'BASE_FUNCOES (hide)'!A:T,16,FALSE)&lt;&gt;"No",IF('General Information'!$C$19="HTML5",(I58+J58)*'BASE_FUNCOES (hide)'!$T$2,I58+J58),I58+J58),I58+J58),I58+J58)</f>
        <v>4</v>
      </c>
      <c r="L58" s="265" t="str">
        <f>IF(OR(E58=121,E58=88,E58=2682,E58=2703,E58=2687,E58=2689,E58=2681,E58=2685)=FALSE,"",IF('General Information'!$C$19="HTML5","FUNÇÃO DISPONÍVEL APENAS PARA BRASIL",IF(J59&lt;&gt;0,VLOOKUP(E59,Questions!$E$5:$L$568,5,0),"")))</f>
        <v/>
      </c>
      <c r="M58" s="164" t="s">
        <v>2396</v>
      </c>
      <c r="N58" s="369" t="s">
        <v>2377</v>
      </c>
    </row>
    <row r="59" spans="1:14" ht="14.5" customHeight="1" outlineLevel="1">
      <c r="A59" s="59"/>
      <c r="B59" s="72">
        <f>VLOOKUP('Hours Detail'!E59,'BASE_FUNCOES (hide)'!A:W,5,FALSE)</f>
        <v>16</v>
      </c>
      <c r="C59" s="72" t="s">
        <v>5929</v>
      </c>
      <c r="D59" s="73" t="str">
        <f>IF('General Information'!$C$6="Português",VLOOKUP(B59,'ESTRUTURA_MODULO(hide)'!A:D,2,0),IF('General Information'!$C$6="English",VLOOKUP(B59,'ESTRUTURA_MODULO(hide)'!A:D,3,0),IF('General Information'!$C$6="Español",VLOOKUP(B59,'ESTRUTURA_MODULO(hide)'!A:D,4,0))))</f>
        <v>Administração de Contratos (Preços)</v>
      </c>
      <c r="E59" s="254">
        <v>1800</v>
      </c>
      <c r="F59" s="73" t="str">
        <f>IF('General Information'!$C$6="Português",VLOOKUP(E59,'BASE_FUNCOES (hide)'!A:H,2,0),IF('General Information'!$C$6="English",VLOOKUP(E59,'BASE_FUNCOES (hide)'!A:H,3,0),IF('General Information'!$C$6="Español",VLOOKUP(E59,'BASE_FUNCOES (hide)'!A:H,4,0))))</f>
        <v>Simulador de Contas de Convênio</v>
      </c>
      <c r="G59" s="73" t="str">
        <f>IF(AND('General Information'!$D$16=1,VLOOKUP(B59,Modules!$B$5:$E$496,4,0)=1)=TRUE,VLOOKUP('Hours Detail'!E59,'BASE_FUNCOES (hide)'!$A:$V,10,0),IF(AND('General Information'!$D$16=2,VLOOKUP(B59,Modules!$B$5:$E$496,4,0)=1)=TRUE,VLOOKUP('Hours Detail'!E59,'BASE_FUNCOES (hide)'!$A:$V,11,0),IF(AND('General Information'!$D$16=3,VLOOKUP(B59,Modules!$B$5:$E$496,4,0)=1)=TRUE,VLOOKUP('Hours Detail'!E59,'BASE_FUNCOES (hide)'!$A:$V,12,0),IF(AND('General Information'!$D$16=4,VLOOKUP(B59,Modules!$B$5:$E$496,4,0)=1)=TRUE,VLOOKUP('Hours Detail'!E59,'BASE_FUNCOES (hide)'!$A:$V,13,0),IF(AND('General Information'!$D$16=5,VLOOKUP(B59,Modules!$B$5:$E$496,4,0)=1)=TRUE,VLOOKUP('Hours Detail'!E59,'BASE_FUNCOES (hide)'!$A:$V,14,0),  IF(AND('General Information'!$D$16=6,VLOOKUP(B59,Modules!$B$5:$E$496,4,0)=1)=TRUE,VLOOKUP('Hours Detail'!E59,'BASE_FUNCOES (hide)'!$A:$V,15,0),"No"))))))</f>
        <v>No</v>
      </c>
      <c r="H59" s="22" t="str">
        <f t="shared" si="2"/>
        <v>No</v>
      </c>
      <c r="I59" s="75">
        <f>IF('General Information'!$C$4="Mexico",(ROUNDUP(VLOOKUP(E59,'BASE_FUNCOES (hide)'!A:X,21,0),0)),(ROUNDUP(VLOOKUP(E59,'BASE_FUNCOES (hide)'!A:L,9,0),0)))</f>
        <v>6</v>
      </c>
      <c r="J59" s="75">
        <f>ROUNDUP(SUMIF(Questions!$E$5:$E$558,'Hours Detail'!E59,Questions!$F$5:$F$558),0)</f>
        <v>0</v>
      </c>
      <c r="K59" s="76">
        <f>IF(H59="Yes",ROUNDUP(IF(VLOOKUP(E59,'BASE_FUNCOES (hide)'!A:T,16,FALSE)&lt;&gt;"No",IF('General Information'!$C$19="HTML5",(I59+J59)*'BASE_FUNCOES (hide)'!$T$2,I59+J59),I59+J59),I59+J59),I59+J59)</f>
        <v>6</v>
      </c>
      <c r="L59" s="265" t="str">
        <f>IF(OR(E59=121,E59=88,E59=2682,E59=2703,E59=2687,E59=2689,E59=2681,E59=2685)=FALSE,"",IF('General Information'!$C$19="HTML5","FUNÇÃO DISPONÍVEL APENAS PARA BRASIL",IF(J60&lt;&gt;0,VLOOKUP(E60,Questions!$E$5:$L$568,5,0),"")))</f>
        <v/>
      </c>
      <c r="M59" s="164" t="s">
        <v>2396</v>
      </c>
      <c r="N59" s="369" t="s">
        <v>2377</v>
      </c>
    </row>
    <row r="60" spans="1:14" ht="14.5" customHeight="1" outlineLevel="1">
      <c r="A60" s="59"/>
      <c r="B60" s="72">
        <f>VLOOKUP('Hours Detail'!E60,'BASE_FUNCOES (hide)'!A:W,5,FALSE)</f>
        <v>16</v>
      </c>
      <c r="C60" s="72" t="s">
        <v>5929</v>
      </c>
      <c r="D60" s="73" t="str">
        <f>IF('General Information'!$C$6="Português",VLOOKUP(B60,'ESTRUTURA_MODULO(hide)'!A:D,2,0),IF('General Information'!$C$6="English",VLOOKUP(B60,'ESTRUTURA_MODULO(hide)'!A:D,3,0),IF('General Information'!$C$6="Español",VLOOKUP(B60,'ESTRUTURA_MODULO(hide)'!A:D,4,0))))</f>
        <v>Administração de Contratos (Preços)</v>
      </c>
      <c r="E60" s="254">
        <v>905</v>
      </c>
      <c r="F60" s="73" t="str">
        <f>IF('General Information'!$C$6="Português",VLOOKUP(E60,'BASE_FUNCOES (hide)'!A:H,2,0),IF('General Information'!$C$6="English",VLOOKUP(E60,'BASE_FUNCOES (hide)'!A:H,3,0),IF('General Information'!$C$6="Español",VLOOKUP(E60,'BASE_FUNCOES (hide)'!A:H,4,0))))</f>
        <v>Regras de Lançamento Automático</v>
      </c>
      <c r="G60" s="73" t="str">
        <f>IF(AND('General Information'!$D$16=1,VLOOKUP(B60,Modules!$B$5:$E$496,4,0)=1)=TRUE,VLOOKUP('Hours Detail'!E60,'BASE_FUNCOES (hide)'!$A:$V,10,0),IF(AND('General Information'!$D$16=2,VLOOKUP(B60,Modules!$B$5:$E$496,4,0)=1)=TRUE,VLOOKUP('Hours Detail'!E60,'BASE_FUNCOES (hide)'!$A:$V,11,0),IF(AND('General Information'!$D$16=3,VLOOKUP(B60,Modules!$B$5:$E$496,4,0)=1)=TRUE,VLOOKUP('Hours Detail'!E60,'BASE_FUNCOES (hide)'!$A:$V,12,0),IF(AND('General Information'!$D$16=4,VLOOKUP(B60,Modules!$B$5:$E$496,4,0)=1)=TRUE,VLOOKUP('Hours Detail'!E60,'BASE_FUNCOES (hide)'!$A:$V,13,0),IF(AND('General Information'!$D$16=5,VLOOKUP(B60,Modules!$B$5:$E$496,4,0)=1)=TRUE,VLOOKUP('Hours Detail'!E60,'BASE_FUNCOES (hide)'!$A:$V,14,0),  IF(AND('General Information'!$D$16=6,VLOOKUP(B60,Modules!$B$5:$E$496,4,0)=1)=TRUE,VLOOKUP('Hours Detail'!E60,'BASE_FUNCOES (hide)'!$A:$V,15,0),"No"))))))</f>
        <v>No</v>
      </c>
      <c r="H60" s="22" t="str">
        <f t="shared" si="2"/>
        <v>No</v>
      </c>
      <c r="I60" s="75">
        <f>IF('General Information'!$C$4="Mexico",(ROUNDUP(VLOOKUP(E60,'BASE_FUNCOES (hide)'!A:X,21,0),0)),(ROUNDUP(VLOOKUP(E60,'BASE_FUNCOES (hide)'!A:L,9,0),0)))</f>
        <v>8</v>
      </c>
      <c r="J60" s="75">
        <f>ROUNDUP(SUMIF(Questions!$E$5:$E$558,'Hours Detail'!E60,Questions!$F$5:$F$558),0)</f>
        <v>0</v>
      </c>
      <c r="K60" s="76">
        <f>IF(H60="Yes",ROUNDUP(IF(VLOOKUP(E60,'BASE_FUNCOES (hide)'!A:T,16,FALSE)&lt;&gt;"No",IF('General Information'!$C$19="HTML5",(I60+J60)*'BASE_FUNCOES (hide)'!$T$2,I60+J60),I60+J60),I60+J60),I60+J60)</f>
        <v>8</v>
      </c>
      <c r="L60" s="265" t="str">
        <f>IF(OR(E60=121,E60=88,E60=2682,E60=2703,E60=2687,E60=2689,E60=2681,E60=2685)=FALSE,"",IF('General Information'!$C$19="HTML5","FUNÇÃO DISPONÍVEL APENAS PARA BRASIL",IF(J61&lt;&gt;0,VLOOKUP(E61,Questions!$E$5:$L$568,5,0),"")))</f>
        <v/>
      </c>
      <c r="M60" s="164" t="s">
        <v>2396</v>
      </c>
      <c r="N60" s="369" t="s">
        <v>2377</v>
      </c>
    </row>
    <row r="61" spans="1:14" ht="14.5" customHeight="1" outlineLevel="1">
      <c r="A61" s="59"/>
      <c r="B61" s="72">
        <f>VLOOKUP('Hours Detail'!E61,'BASE_FUNCOES (hide)'!A:W,5,FALSE)</f>
        <v>16</v>
      </c>
      <c r="C61" s="72" t="s">
        <v>5929</v>
      </c>
      <c r="D61" s="73" t="str">
        <f>IF('General Information'!$C$6="Português",VLOOKUP(B61,'ESTRUTURA_MODULO(hide)'!A:D,2,0),IF('General Information'!$C$6="English",VLOOKUP(B61,'ESTRUTURA_MODULO(hide)'!A:D,3,0),IF('General Information'!$C$6="Español",VLOOKUP(B61,'ESTRUTURA_MODULO(hide)'!A:D,4,0))))</f>
        <v>Administração de Contratos (Preços)</v>
      </c>
      <c r="E61" s="253">
        <v>3110</v>
      </c>
      <c r="F61" s="73" t="str">
        <f>IF('General Information'!$C$6="Português",VLOOKUP(E61,'BASE_FUNCOES (hide)'!A:H,2,0),IF('General Information'!$C$6="English",VLOOKUP(E61,'BASE_FUNCOES (hide)'!A:H,3,0),IF('General Information'!$C$6="Español",VLOOKUP(E61,'BASE_FUNCOES (hide)'!A:H,4,0))))</f>
        <v>Tabelas de Preços</v>
      </c>
      <c r="G61" s="73" t="str">
        <f>IF(AND('General Information'!$D$16=1,VLOOKUP(B61,Modules!$B$5:$E$496,4,0)=1)=TRUE,VLOOKUP('Hours Detail'!E61,'BASE_FUNCOES (hide)'!$A:$V,10,0),IF(AND('General Information'!$D$16=2,VLOOKUP(B61,Modules!$B$5:$E$496,4,0)=1)=TRUE,VLOOKUP('Hours Detail'!E61,'BASE_FUNCOES (hide)'!$A:$V,11,0),IF(AND('General Information'!$D$16=3,VLOOKUP(B61,Modules!$B$5:$E$496,4,0)=1)=TRUE,VLOOKUP('Hours Detail'!E61,'BASE_FUNCOES (hide)'!$A:$V,12,0),IF(AND('General Information'!$D$16=4,VLOOKUP(B61,Modules!$B$5:$E$496,4,0)=1)=TRUE,VLOOKUP('Hours Detail'!E61,'BASE_FUNCOES (hide)'!$A:$V,13,0),IF(AND('General Information'!$D$16=5,VLOOKUP(B61,Modules!$B$5:$E$496,4,0)=1)=TRUE,VLOOKUP('Hours Detail'!E61,'BASE_FUNCOES (hide)'!$A:$V,14,0),  IF(AND('General Information'!$D$16=6,VLOOKUP(B61,Modules!$B$5:$E$496,4,0)=1)=TRUE,VLOOKUP('Hours Detail'!E61,'BASE_FUNCOES (hide)'!$A:$V,15,0),"No"))))))</f>
        <v>No</v>
      </c>
      <c r="H61" s="166" t="str">
        <f t="shared" si="2"/>
        <v>No</v>
      </c>
      <c r="I61" s="75">
        <f>IF('General Information'!$C$4="Mexico",(ROUNDUP(VLOOKUP(E61,'BASE_FUNCOES (hide)'!A:X,21,0),0)),(ROUNDUP(VLOOKUP(E61,'BASE_FUNCOES (hide)'!A:L,9,0),0)))</f>
        <v>8</v>
      </c>
      <c r="J61" s="75">
        <f>ROUNDUP(SUMIF(Questions!$E$5:$E$558,'Hours Detail'!E61,Questions!$F$5:$F$558),0)</f>
        <v>0</v>
      </c>
      <c r="K61" s="76">
        <f>IF(H61="Yes",ROUNDUP(IF(VLOOKUP(E61,'BASE_FUNCOES (hide)'!A:T,16,FALSE)&lt;&gt;"No",IF('General Information'!$C$19="HTML5",(I61+J61)*'BASE_FUNCOES (hide)'!$T$2,I61+J61),I61+J61),I61+J61),I61+J61)</f>
        <v>8</v>
      </c>
      <c r="L61" s="265" t="str">
        <f>IF(OR(E61=121,E61=88,E61=2682,E61=2703,E61=2687,E61=2689,E61=2681,E61=2685)=FALSE,"",IF('General Information'!$C$19="HTML5","FUNÇÃO DISPONÍVEL APENAS PARA BRASIL",IF(J62&lt;&gt;0,VLOOKUP(E62,Questions!$E$5:$L$568,5,0),"")))</f>
        <v/>
      </c>
      <c r="M61" s="164" t="s">
        <v>2396</v>
      </c>
      <c r="N61" s="369" t="s">
        <v>2377</v>
      </c>
    </row>
    <row r="62" spans="1:14" ht="14.5" customHeight="1" outlineLevel="1">
      <c r="A62" s="59"/>
      <c r="B62" s="72">
        <f>VLOOKUP('Hours Detail'!E62,'BASE_FUNCOES (hide)'!A:W,5,FALSE)</f>
        <v>6</v>
      </c>
      <c r="C62" s="72" t="s">
        <v>5929</v>
      </c>
      <c r="D62" s="73" t="str">
        <f>IF('General Information'!$C$6="Português",VLOOKUP(B62,'ESTRUTURA_MODULO(hide)'!A:D,2,0),IF('General Information'!$C$6="English",VLOOKUP(B62,'ESTRUTURA_MODULO(hide)'!A:D,3,0),IF('General Information'!$C$6="Español",VLOOKUP(B62,'ESTRUTURA_MODULO(hide)'!A:D,4,0))))</f>
        <v>Faturamento (Convênios e Particular)</v>
      </c>
      <c r="E62" s="253">
        <v>67</v>
      </c>
      <c r="F62" s="73" t="str">
        <f>IF('General Information'!$C$6="Português",VLOOKUP(E62,'BASE_FUNCOES (hide)'!A:H,2,0),IF('General Information'!$C$6="English",VLOOKUP(E62,'BASE_FUNCOES (hide)'!A:H,3,0),IF('General Information'!$C$6="Español",VLOOKUP(E62,'BASE_FUNCOES (hide)'!A:H,4,0))))</f>
        <v>Conta Paciente</v>
      </c>
      <c r="G62" s="73" t="str">
        <f>IF(AND('General Information'!$D$16=1,VLOOKUP(B62,Modules!$B$5:$E$496,4,0)=1)=TRUE,VLOOKUP('Hours Detail'!E62,'BASE_FUNCOES (hide)'!$A:$V,10,0),IF(AND('General Information'!$D$16=2,VLOOKUP(B62,Modules!$B$5:$E$496,4,0)=1)=TRUE,VLOOKUP('Hours Detail'!E62,'BASE_FUNCOES (hide)'!$A:$V,11,0),IF(AND('General Information'!$D$16=3,VLOOKUP(B62,Modules!$B$5:$E$496,4,0)=1)=TRUE,VLOOKUP('Hours Detail'!E62,'BASE_FUNCOES (hide)'!$A:$V,12,0),IF(AND('General Information'!$D$16=4,VLOOKUP(B62,Modules!$B$5:$E$496,4,0)=1)=TRUE,VLOOKUP('Hours Detail'!E62,'BASE_FUNCOES (hide)'!$A:$V,13,0),IF(AND('General Information'!$D$16=5,VLOOKUP(B62,Modules!$B$5:$E$496,4,0)=1)=TRUE,VLOOKUP('Hours Detail'!E62,'BASE_FUNCOES (hide)'!$A:$V,14,0),  IF(AND('General Information'!$D$16=6,VLOOKUP(B62,Modules!$B$5:$E$496,4,0)=1)=TRUE,VLOOKUP('Hours Detail'!E62,'BASE_FUNCOES (hide)'!$A:$V,15,0),"No"))))))</f>
        <v>No</v>
      </c>
      <c r="H62" s="166" t="str">
        <f t="shared" si="2"/>
        <v>No</v>
      </c>
      <c r="I62" s="75">
        <f>IF('General Information'!$C$4="Mexico",(ROUNDUP(VLOOKUP(E62,'BASE_FUNCOES (hide)'!A:X,21,0),0)),(ROUNDUP(VLOOKUP(E62,'BASE_FUNCOES (hide)'!A:L,9,0),0)))</f>
        <v>24</v>
      </c>
      <c r="J62" s="75">
        <f>ROUNDUP(SUMIF(Questions!$E$5:$E$558,'Hours Detail'!E62,Questions!$F$5:$F$558),0)</f>
        <v>0</v>
      </c>
      <c r="K62" s="76">
        <f>IF(H62="Yes",ROUNDUP(IF(VLOOKUP(E62,'BASE_FUNCOES (hide)'!A:T,16,FALSE)&lt;&gt;"No",IF('General Information'!$C$19="HTML5",(I62+J62)*'BASE_FUNCOES (hide)'!$T$2,I62+J62),I62+J62),I62+J62),I62+J62)</f>
        <v>24</v>
      </c>
      <c r="L62" s="265" t="str">
        <f>IF(OR(E62=121,E62=88,E62=2682,E62=2703,E62=2687,E62=2689,E62=2681,E62=2685)=FALSE,"",IF('General Information'!$C$19="HTML5","FUNÇÃO DISPONÍVEL APENAS PARA BRASIL",IF(J63&lt;&gt;0,VLOOKUP(E63,Questions!$E$5:$L$568,5,0),"")))</f>
        <v/>
      </c>
      <c r="M62" s="164" t="s">
        <v>2396</v>
      </c>
      <c r="N62" s="369" t="s">
        <v>2377</v>
      </c>
    </row>
    <row r="63" spans="1:14" ht="14.5" customHeight="1" outlineLevel="1">
      <c r="A63" s="59"/>
      <c r="B63" s="72">
        <f>VLOOKUP('Hours Detail'!E63,'BASE_FUNCOES (hide)'!A:W,5,FALSE)</f>
        <v>6</v>
      </c>
      <c r="C63" s="72" t="s">
        <v>5929</v>
      </c>
      <c r="D63" s="73" t="str">
        <f>IF('General Information'!$C$6="Português",VLOOKUP(B63,'ESTRUTURA_MODULO(hide)'!A:D,2,0),IF('General Information'!$C$6="English",VLOOKUP(B63,'ESTRUTURA_MODULO(hide)'!A:D,3,0),IF('General Information'!$C$6="Español",VLOOKUP(B63,'ESTRUTURA_MODULO(hide)'!A:D,4,0))))</f>
        <v>Faturamento (Convênios e Particular)</v>
      </c>
      <c r="E63" s="254">
        <v>232</v>
      </c>
      <c r="F63" s="73" t="str">
        <f>IF('General Information'!$C$6="Português",VLOOKUP(E63,'BASE_FUNCOES (hide)'!A:H,2,0),IF('General Information'!$C$6="English",VLOOKUP(E63,'BASE_FUNCOES (hide)'!A:H,3,0),IF('General Information'!$C$6="Español",VLOOKUP(E63,'BASE_FUNCOES (hide)'!A:H,4,0))))</f>
        <v>Análise de Contas</v>
      </c>
      <c r="G63" s="73" t="str">
        <f>IF(AND('General Information'!$D$16=1,VLOOKUP(B63,Modules!$B$5:$E$496,4,0)=1)=TRUE,VLOOKUP('Hours Detail'!E63,'BASE_FUNCOES (hide)'!$A:$V,10,0),IF(AND('General Information'!$D$16=2,VLOOKUP(B63,Modules!$B$5:$E$496,4,0)=1)=TRUE,VLOOKUP('Hours Detail'!E63,'BASE_FUNCOES (hide)'!$A:$V,11,0),IF(AND('General Information'!$D$16=3,VLOOKUP(B63,Modules!$B$5:$E$496,4,0)=1)=TRUE,VLOOKUP('Hours Detail'!E63,'BASE_FUNCOES (hide)'!$A:$V,12,0),IF(AND('General Information'!$D$16=4,VLOOKUP(B63,Modules!$B$5:$E$496,4,0)=1)=TRUE,VLOOKUP('Hours Detail'!E63,'BASE_FUNCOES (hide)'!$A:$V,13,0),IF(AND('General Information'!$D$16=5,VLOOKUP(B63,Modules!$B$5:$E$496,4,0)=1)=TRUE,VLOOKUP('Hours Detail'!E63,'BASE_FUNCOES (hide)'!$A:$V,14,0),  IF(AND('General Information'!$D$16=6,VLOOKUP(B63,Modules!$B$5:$E$496,4,0)=1)=TRUE,VLOOKUP('Hours Detail'!E63,'BASE_FUNCOES (hide)'!$A:$V,15,0),"No"))))))</f>
        <v>No</v>
      </c>
      <c r="H63" s="22" t="str">
        <f t="shared" si="2"/>
        <v>No</v>
      </c>
      <c r="I63" s="75">
        <f>IF('General Information'!$C$4="Mexico",(ROUNDUP(VLOOKUP(E63,'BASE_FUNCOES (hide)'!A:X,21,0),0)),(ROUNDUP(VLOOKUP(E63,'BASE_FUNCOES (hide)'!A:L,9,0),0)))</f>
        <v>4</v>
      </c>
      <c r="J63" s="75">
        <f>ROUNDUP(SUMIF(Questions!$E$5:$E$558,'Hours Detail'!E63,Questions!$F$5:$F$558),0)</f>
        <v>0</v>
      </c>
      <c r="K63" s="76">
        <f>IF(H63="Yes",ROUNDUP(IF(VLOOKUP(E63,'BASE_FUNCOES (hide)'!A:T,16,FALSE)&lt;&gt;"No",IF('General Information'!$C$19="HTML5",(I63+J63)*'BASE_FUNCOES (hide)'!$T$2,I63+J63),I63+J63),I63+J63),I63+J63)</f>
        <v>4</v>
      </c>
      <c r="L63" s="265" t="str">
        <f>IF(OR(E63=121,E63=88,E63=2682,E63=2703,E63=2687,E63=2689,E63=2681,E63=2685)=FALSE,"",IF('General Information'!$C$19="HTML5","FUNÇÃO DISPONÍVEL APENAS PARA BRASIL",IF(J64&lt;&gt;0,VLOOKUP(E64,Questions!$E$5:$L$568,5,0),"")))</f>
        <v/>
      </c>
      <c r="M63" s="164" t="s">
        <v>2396</v>
      </c>
      <c r="N63" s="369" t="s">
        <v>2377</v>
      </c>
    </row>
    <row r="64" spans="1:14" ht="14.5" customHeight="1" outlineLevel="1">
      <c r="A64" s="59"/>
      <c r="B64" s="72">
        <f>VLOOKUP('Hours Detail'!E64,'BASE_FUNCOES (hide)'!A:W,5,FALSE)</f>
        <v>6</v>
      </c>
      <c r="C64" s="72" t="s">
        <v>5929</v>
      </c>
      <c r="D64" s="73" t="str">
        <f>IF('General Information'!$C$6="Português",VLOOKUP(B64,'ESTRUTURA_MODULO(hide)'!A:D,2,0),IF('General Information'!$C$6="English",VLOOKUP(B64,'ESTRUTURA_MODULO(hide)'!A:D,3,0),IF('General Information'!$C$6="Español",VLOOKUP(B64,'ESTRUTURA_MODULO(hide)'!A:D,4,0))))</f>
        <v>Faturamento (Convênios e Particular)</v>
      </c>
      <c r="E64" s="254">
        <v>3013</v>
      </c>
      <c r="F64" s="73" t="str">
        <f>IF('General Information'!$C$6="Português",VLOOKUP(E64,'BASE_FUNCOES (hide)'!A:H,2,0),IF('General Information'!$C$6="English",VLOOKUP(E64,'BASE_FUNCOES (hide)'!A:H,3,0),IF('General Information'!$C$6="Español",VLOOKUP(E64,'BASE_FUNCOES (hide)'!A:H,4,0))))</f>
        <v>Central de Faturamento</v>
      </c>
      <c r="G64" s="73" t="str">
        <f>IF(AND('General Information'!$D$16=1,VLOOKUP(B64,Modules!$B$5:$E$496,4,0)=1)=TRUE,VLOOKUP('Hours Detail'!E64,'BASE_FUNCOES (hide)'!$A:$V,10,0),IF(AND('General Information'!$D$16=2,VLOOKUP(B64,Modules!$B$5:$E$496,4,0)=1)=TRUE,VLOOKUP('Hours Detail'!E64,'BASE_FUNCOES (hide)'!$A:$V,11,0),IF(AND('General Information'!$D$16=3,VLOOKUP(B64,Modules!$B$5:$E$496,4,0)=1)=TRUE,VLOOKUP('Hours Detail'!E64,'BASE_FUNCOES (hide)'!$A:$V,12,0),IF(AND('General Information'!$D$16=4,VLOOKUP(B64,Modules!$B$5:$E$496,4,0)=1)=TRUE,VLOOKUP('Hours Detail'!E64,'BASE_FUNCOES (hide)'!$A:$V,13,0),IF(AND('General Information'!$D$16=5,VLOOKUP(B64,Modules!$B$5:$E$496,4,0)=1)=TRUE,VLOOKUP('Hours Detail'!E64,'BASE_FUNCOES (hide)'!$A:$V,14,0),  IF(AND('General Information'!$D$16=6,VLOOKUP(B64,Modules!$B$5:$E$496,4,0)=1)=TRUE,VLOOKUP('Hours Detail'!E64,'BASE_FUNCOES (hide)'!$A:$V,15,0),"No"))))))</f>
        <v>No</v>
      </c>
      <c r="H64" s="22" t="str">
        <f t="shared" si="2"/>
        <v>No</v>
      </c>
      <c r="I64" s="75">
        <f>IF('General Information'!$C$4="Mexico",(ROUNDUP(VLOOKUP(E64,'BASE_FUNCOES (hide)'!A:X,21,0),0)),(ROUNDUP(VLOOKUP(E64,'BASE_FUNCOES (hide)'!A:L,9,0),0)))</f>
        <v>18</v>
      </c>
      <c r="J64" s="75">
        <f>ROUNDUP(SUMIF(Questions!$E$5:$E$558,'Hours Detail'!E64,Questions!$F$5:$F$558),0)</f>
        <v>0</v>
      </c>
      <c r="K64" s="76">
        <f>IF(H64="Yes",ROUNDUP(IF(VLOOKUP(E64,'BASE_FUNCOES (hide)'!A:T,16,FALSE)&lt;&gt;"No",IF('General Information'!$C$19="HTML5",(I64+J64)*'BASE_FUNCOES (hide)'!$T$2,I64+J64),I64+J64),I64+J64),I64+J64)</f>
        <v>18</v>
      </c>
      <c r="L64" s="265" t="str">
        <f>IF(OR(E64=121,E64=88,E64=2682,E64=2703,E64=2687,E64=2689,E64=2681,E64=2685)=FALSE,"",IF('General Information'!$C$19="HTML5","FUNÇÃO DISPONÍVEL APENAS PARA BRASIL",IF(J65&lt;&gt;0,VLOOKUP(E65,Questions!$E$5:$L$568,5,0),"")))</f>
        <v/>
      </c>
      <c r="M64" s="164" t="s">
        <v>2396</v>
      </c>
      <c r="N64" s="369" t="s">
        <v>2377</v>
      </c>
    </row>
    <row r="65" spans="1:14" ht="14.5" customHeight="1" outlineLevel="1">
      <c r="A65" s="59"/>
      <c r="B65" s="72">
        <f>VLOOKUP('Hours Detail'!E65,'BASE_FUNCOES (hide)'!A:W,5,FALSE)</f>
        <v>6</v>
      </c>
      <c r="C65" s="72" t="s">
        <v>5929</v>
      </c>
      <c r="D65" s="73" t="str">
        <f>IF('General Information'!$C$6="Português",VLOOKUP(B65,'ESTRUTURA_MODULO(hide)'!A:D,2,0),IF('General Information'!$C$6="English",VLOOKUP(B65,'ESTRUTURA_MODULO(hide)'!A:D,3,0),IF('General Information'!$C$6="Español",VLOOKUP(B65,'ESTRUTURA_MODULO(hide)'!A:D,4,0))))</f>
        <v>Faturamento (Convênios e Particular)</v>
      </c>
      <c r="E65" s="254">
        <v>7042</v>
      </c>
      <c r="F65" s="73" t="str">
        <f>IF('General Information'!$C$6="Português",VLOOKUP(E65,'BASE_FUNCOES (hide)'!A:H,2,0),IF('General Information'!$C$6="English",VLOOKUP(E65,'BASE_FUNCOES (hide)'!A:H,3,0),IF('General Information'!$C$6="Español",VLOOKUP(E65,'BASE_FUNCOES (hide)'!A:H,4,0))))</f>
        <v>Gestão de Pendências da Conta do Paciente</v>
      </c>
      <c r="G65" s="73" t="str">
        <f>IF(AND('General Information'!$D$16=1,VLOOKUP(B65,Modules!$B$5:$E$496,4,0)=1)=TRUE,VLOOKUP('Hours Detail'!E65,'BASE_FUNCOES (hide)'!$A:$V,10,0),IF(AND('General Information'!$D$16=2,VLOOKUP(B65,Modules!$B$5:$E$496,4,0)=1)=TRUE,VLOOKUP('Hours Detail'!E65,'BASE_FUNCOES (hide)'!$A:$V,11,0),IF(AND('General Information'!$D$16=3,VLOOKUP(B65,Modules!$B$5:$E$496,4,0)=1)=TRUE,VLOOKUP('Hours Detail'!E65,'BASE_FUNCOES (hide)'!$A:$V,12,0),IF(AND('General Information'!$D$16=4,VLOOKUP(B65,Modules!$B$5:$E$496,4,0)=1)=TRUE,VLOOKUP('Hours Detail'!E65,'BASE_FUNCOES (hide)'!$A:$V,13,0),IF(AND('General Information'!$D$16=5,VLOOKUP(B65,Modules!$B$5:$E$496,4,0)=1)=TRUE,VLOOKUP('Hours Detail'!E65,'BASE_FUNCOES (hide)'!$A:$V,14,0),  IF(AND('General Information'!$D$16=6,VLOOKUP(B65,Modules!$B$5:$E$496,4,0)=1)=TRUE,VLOOKUP('Hours Detail'!E65,'BASE_FUNCOES (hide)'!$A:$V,15,0),"No"))))))</f>
        <v>No</v>
      </c>
      <c r="H65" s="22" t="str">
        <f t="shared" si="2"/>
        <v>No</v>
      </c>
      <c r="I65" s="75">
        <f>IF('General Information'!$C$4="Mexico",(ROUNDUP(VLOOKUP(E65,'BASE_FUNCOES (hide)'!A:X,21,0),0)),(ROUNDUP(VLOOKUP(E65,'BASE_FUNCOES (hide)'!A:L,9,0),0)))</f>
        <v>8</v>
      </c>
      <c r="J65" s="75">
        <f>ROUNDUP(SUMIF(Questions!$E$5:$E$558,'Hours Detail'!E65,Questions!$F$5:$F$558),0)</f>
        <v>0</v>
      </c>
      <c r="K65" s="76">
        <f>IF(H65="Yes",ROUNDUP(IF(VLOOKUP(E65,'BASE_FUNCOES (hide)'!A:T,16,FALSE)&lt;&gt;"No",IF('General Information'!$C$19="HTML5",(I65+J65)*'BASE_FUNCOES (hide)'!$T$2,I65+J65),I65+J65),I65+J65),I65+J65)</f>
        <v>8</v>
      </c>
      <c r="L65" s="265" t="str">
        <f>IF(OR(E65=121,E65=88,E65=2682,E65=2703,E65=2687,E65=2689,E65=2681,E65=2685)=FALSE,"",IF('General Information'!$C$19="HTML5","FUNÇÃO DISPONÍVEL APENAS PARA BRASIL",IF(J66&lt;&gt;0,VLOOKUP(E66,Questions!$E$5:$L$568,5,0),"")))</f>
        <v/>
      </c>
      <c r="M65" s="164" t="s">
        <v>2396</v>
      </c>
      <c r="N65" s="369" t="s">
        <v>2377</v>
      </c>
    </row>
    <row r="66" spans="1:14" ht="14.5" customHeight="1" outlineLevel="1">
      <c r="A66" s="59"/>
      <c r="B66" s="72">
        <f>VLOOKUP('Hours Detail'!E66,'BASE_FUNCOES (hide)'!A:W,5,FALSE)</f>
        <v>6</v>
      </c>
      <c r="C66" s="72" t="s">
        <v>5929</v>
      </c>
      <c r="D66" s="73" t="str">
        <f>IF('General Information'!$C$6="Português",VLOOKUP(B66,'ESTRUTURA_MODULO(hide)'!A:D,2,0),IF('General Information'!$C$6="English",VLOOKUP(B66,'ESTRUTURA_MODULO(hide)'!A:D,3,0),IF('General Information'!$C$6="Español",VLOOKUP(B66,'ESTRUTURA_MODULO(hide)'!A:D,4,0))))</f>
        <v>Faturamento (Convênios e Particular)</v>
      </c>
      <c r="E66" s="254">
        <v>1112</v>
      </c>
      <c r="F66" s="73" t="str">
        <f>IF('General Information'!$C$6="Português",VLOOKUP(E66,'BASE_FUNCOES (hide)'!A:H,2,0),IF('General Information'!$C$6="English",VLOOKUP(E66,'BASE_FUNCOES (hide)'!A:H,3,0),IF('General Information'!$C$6="Español",VLOOKUP(E66,'BASE_FUNCOES (hide)'!A:H,4,0))))</f>
        <v>Protocolo de pesquisa</v>
      </c>
      <c r="G66" s="73" t="str">
        <f>IF(AND('General Information'!$D$16=1,VLOOKUP(B66,Modules!$B$5:$E$496,4,0)=1)=TRUE,VLOOKUP('Hours Detail'!E66,'BASE_FUNCOES (hide)'!$A:$V,10,0),IF(AND('General Information'!$D$16=2,VLOOKUP(B66,Modules!$B$5:$E$496,4,0)=1)=TRUE,VLOOKUP('Hours Detail'!E66,'BASE_FUNCOES (hide)'!$A:$V,11,0),IF(AND('General Information'!$D$16=3,VLOOKUP(B66,Modules!$B$5:$E$496,4,0)=1)=TRUE,VLOOKUP('Hours Detail'!E66,'BASE_FUNCOES (hide)'!$A:$V,12,0),IF(AND('General Information'!$D$16=4,VLOOKUP(B66,Modules!$B$5:$E$496,4,0)=1)=TRUE,VLOOKUP('Hours Detail'!E66,'BASE_FUNCOES (hide)'!$A:$V,13,0),IF(AND('General Information'!$D$16=5,VLOOKUP(B66,Modules!$B$5:$E$496,4,0)=1)=TRUE,VLOOKUP('Hours Detail'!E66,'BASE_FUNCOES (hide)'!$A:$V,14,0),  IF(AND('General Information'!$D$16=6,VLOOKUP(B66,Modules!$B$5:$E$496,4,0)=1)=TRUE,VLOOKUP('Hours Detail'!E66,'BASE_FUNCOES (hide)'!$A:$V,15,0),"No"))))))</f>
        <v>No</v>
      </c>
      <c r="H66" s="22" t="str">
        <f t="shared" si="2"/>
        <v>No</v>
      </c>
      <c r="I66" s="75">
        <f>IF('General Information'!$C$4="Mexico",(ROUNDUP(VLOOKUP(E66,'BASE_FUNCOES (hide)'!A:X,21,0),0)),(ROUNDUP(VLOOKUP(E66,'BASE_FUNCOES (hide)'!A:L,9,0),0)))</f>
        <v>2</v>
      </c>
      <c r="J66" s="75">
        <f>ROUNDUP(SUMIF(Questions!$E$5:$E$558,'Hours Detail'!E66,Questions!$F$5:$F$558),0)</f>
        <v>0</v>
      </c>
      <c r="K66" s="76">
        <f>IF(H66="Yes",ROUNDUP(IF(VLOOKUP(E66,'BASE_FUNCOES (hide)'!A:T,16,FALSE)&lt;&gt;"No",IF('General Information'!$C$19="HTML5",(I66+J66)*'BASE_FUNCOES (hide)'!$T$2,I66+J66),I66+J66),I66+J66),I66+J66)</f>
        <v>2</v>
      </c>
      <c r="L66" s="265" t="str">
        <f>IF(OR(E66=121,E66=88,E66=2682,E66=2703,E66=2687,E66=2689,E66=2681,E66=2685)=FALSE,"",IF('General Information'!$C$19="HTML5","FUNÇÃO DISPONÍVEL APENAS PARA BRASIL",IF(J67&lt;&gt;0,VLOOKUP(E67,Questions!$E$5:$L$568,5,0),"")))</f>
        <v/>
      </c>
      <c r="M66" s="164" t="s">
        <v>2396</v>
      </c>
      <c r="N66" s="369" t="s">
        <v>2377</v>
      </c>
    </row>
    <row r="67" spans="1:14" ht="14.5" customHeight="1" outlineLevel="1">
      <c r="A67" s="59"/>
      <c r="B67" s="72">
        <f>VLOOKUP('Hours Detail'!E67,'BASE_FUNCOES (hide)'!A:W,5,FALSE)</f>
        <v>6</v>
      </c>
      <c r="C67" s="72" t="s">
        <v>5929</v>
      </c>
      <c r="D67" s="73" t="str">
        <f>IF('General Information'!$C$6="Português",VLOOKUP(B67,'ESTRUTURA_MODULO(hide)'!A:D,2,0),IF('General Information'!$C$6="English",VLOOKUP(B67,'ESTRUTURA_MODULO(hide)'!A:D,3,0),IF('General Information'!$C$6="Español",VLOOKUP(B67,'ESTRUTURA_MODULO(hide)'!A:D,4,0))))</f>
        <v>Faturamento (Convênios e Particular)</v>
      </c>
      <c r="E67" s="254">
        <v>7021</v>
      </c>
      <c r="F67" s="73" t="str">
        <f>IF('General Information'!$C$6="Português",VLOOKUP(E67,'BASE_FUNCOES (hide)'!A:H,2,0),IF('General Information'!$C$6="English",VLOOKUP(E67,'BASE_FUNCOES (hide)'!A:H,3,0),IF('General Information'!$C$6="Español",VLOOKUP(E67,'BASE_FUNCOES (hide)'!A:H,4,0))))</f>
        <v>Gestão de Pacotes</v>
      </c>
      <c r="G67" s="73" t="str">
        <f>IF(AND('General Information'!$D$16=1,VLOOKUP(B67,Modules!$B$5:$E$496,4,0)=1)=TRUE,VLOOKUP('Hours Detail'!E67,'BASE_FUNCOES (hide)'!$A:$V,10,0),IF(AND('General Information'!$D$16=2,VLOOKUP(B67,Modules!$B$5:$E$496,4,0)=1)=TRUE,VLOOKUP('Hours Detail'!E67,'BASE_FUNCOES (hide)'!$A:$V,11,0),IF(AND('General Information'!$D$16=3,VLOOKUP(B67,Modules!$B$5:$E$496,4,0)=1)=TRUE,VLOOKUP('Hours Detail'!E67,'BASE_FUNCOES (hide)'!$A:$V,12,0),IF(AND('General Information'!$D$16=4,VLOOKUP(B67,Modules!$B$5:$E$496,4,0)=1)=TRUE,VLOOKUP('Hours Detail'!E67,'BASE_FUNCOES (hide)'!$A:$V,13,0),IF(AND('General Information'!$D$16=5,VLOOKUP(B67,Modules!$B$5:$E$496,4,0)=1)=TRUE,VLOOKUP('Hours Detail'!E67,'BASE_FUNCOES (hide)'!$A:$V,14,0),  IF(AND('General Information'!$D$16=6,VLOOKUP(B67,Modules!$B$5:$E$496,4,0)=1)=TRUE,VLOOKUP('Hours Detail'!E67,'BASE_FUNCOES (hide)'!$A:$V,15,0),"No"))))))</f>
        <v>No</v>
      </c>
      <c r="H67" s="22" t="str">
        <f t="shared" si="2"/>
        <v>No</v>
      </c>
      <c r="I67" s="75">
        <f>IF('General Information'!$C$4="Mexico",(ROUNDUP(VLOOKUP(E67,'BASE_FUNCOES (hide)'!A:X,21,0),0)),(ROUNDUP(VLOOKUP(E67,'BASE_FUNCOES (hide)'!A:L,9,0),0)))</f>
        <v>8</v>
      </c>
      <c r="J67" s="75">
        <f>ROUNDUP(SUMIF(Questions!$E$5:$E$558,'Hours Detail'!E67,Questions!$F$5:$F$558),0)</f>
        <v>0</v>
      </c>
      <c r="K67" s="76">
        <f>IF(H67="Yes",ROUNDUP(IF(VLOOKUP(E67,'BASE_FUNCOES (hide)'!A:T,16,FALSE)&lt;&gt;"No",IF('General Information'!$C$19="HTML5",(I67+J67)*'BASE_FUNCOES (hide)'!$T$2,I67+J67),I67+J67),I67+J67),I67+J67)</f>
        <v>8</v>
      </c>
      <c r="L67" s="265" t="str">
        <f>IF(OR(E67=121,E67=88,E67=2682,E67=2703,E67=2687,E67=2689,E67=2681,E67=2685)=FALSE,"",IF('General Information'!$C$19="HTML5","FUNÇÃO DISPONÍVEL APENAS PARA BRASIL",IF(J68&lt;&gt;0,VLOOKUP(E68,Questions!$E$5:$L$568,5,0),"")))</f>
        <v/>
      </c>
      <c r="M67" s="164" t="s">
        <v>2396</v>
      </c>
      <c r="N67" s="369" t="s">
        <v>2377</v>
      </c>
    </row>
    <row r="68" spans="1:14" ht="14.5" customHeight="1" outlineLevel="1">
      <c r="A68" s="59"/>
      <c r="B68" s="72">
        <f>VLOOKUP('Hours Detail'!E68,'BASE_FUNCOES (hide)'!A:W,5,FALSE)</f>
        <v>6</v>
      </c>
      <c r="C68" s="72" t="s">
        <v>5929</v>
      </c>
      <c r="D68" s="73" t="str">
        <f>IF('General Information'!$C$6="Português",VLOOKUP(B68,'ESTRUTURA_MODULO(hide)'!A:D,2,0),IF('General Information'!$C$6="English",VLOOKUP(B68,'ESTRUTURA_MODULO(hide)'!A:D,3,0),IF('General Information'!$C$6="Español",VLOOKUP(B68,'ESTRUTURA_MODULO(hide)'!A:D,4,0))))</f>
        <v>Faturamento (Convênios e Particular)</v>
      </c>
      <c r="E68" s="254">
        <v>85</v>
      </c>
      <c r="F68" s="73" t="str">
        <f>IF('General Information'!$C$6="Português",VLOOKUP(E68,'BASE_FUNCOES (hide)'!A:H,2,0),IF('General Information'!$C$6="English",VLOOKUP(E68,'BASE_FUNCOES (hide)'!A:H,3,0),IF('General Information'!$C$6="Español",VLOOKUP(E68,'BASE_FUNCOES (hide)'!A:H,4,0))))</f>
        <v>Protocolo Convênio</v>
      </c>
      <c r="G68" s="73" t="str">
        <f>IF(AND('General Information'!$D$16=1,VLOOKUP(B68,Modules!$B$5:$E$496,4,0)=1)=TRUE,VLOOKUP('Hours Detail'!E68,'BASE_FUNCOES (hide)'!$A:$V,10,0),IF(AND('General Information'!$D$16=2,VLOOKUP(B68,Modules!$B$5:$E$496,4,0)=1)=TRUE,VLOOKUP('Hours Detail'!E68,'BASE_FUNCOES (hide)'!$A:$V,11,0),IF(AND('General Information'!$D$16=3,VLOOKUP(B68,Modules!$B$5:$E$496,4,0)=1)=TRUE,VLOOKUP('Hours Detail'!E68,'BASE_FUNCOES (hide)'!$A:$V,12,0),IF(AND('General Information'!$D$16=4,VLOOKUP(B68,Modules!$B$5:$E$496,4,0)=1)=TRUE,VLOOKUP('Hours Detail'!E68,'BASE_FUNCOES (hide)'!$A:$V,13,0),IF(AND('General Information'!$D$16=5,VLOOKUP(B68,Modules!$B$5:$E$496,4,0)=1)=TRUE,VLOOKUP('Hours Detail'!E68,'BASE_FUNCOES (hide)'!$A:$V,14,0),  IF(AND('General Information'!$D$16=6,VLOOKUP(B68,Modules!$B$5:$E$496,4,0)=1)=TRUE,VLOOKUP('Hours Detail'!E68,'BASE_FUNCOES (hide)'!$A:$V,15,0),"No"))))))</f>
        <v>No</v>
      </c>
      <c r="H68" s="22" t="str">
        <f t="shared" si="2"/>
        <v>No</v>
      </c>
      <c r="I68" s="75">
        <f>IF('General Information'!$C$4="Mexico",(ROUNDUP(VLOOKUP(E68,'BASE_FUNCOES (hide)'!A:X,21,0),0)),(ROUNDUP(VLOOKUP(E68,'BASE_FUNCOES (hide)'!A:L,9,0),0)))</f>
        <v>8</v>
      </c>
      <c r="J68" s="75">
        <f>ROUNDUP(SUMIF(Questions!$E$5:$E$558,'Hours Detail'!E68,Questions!$F$5:$F$558),0)</f>
        <v>0</v>
      </c>
      <c r="K68" s="76">
        <f>IF(H68="Yes",ROUNDUP(IF(VLOOKUP(E68,'BASE_FUNCOES (hide)'!A:T,16,FALSE)&lt;&gt;"No",IF('General Information'!$C$19="HTML5",(I68+J68)*'BASE_FUNCOES (hide)'!$T$2,I68+J68),I68+J68),I68+J68),I68+J68)</f>
        <v>8</v>
      </c>
      <c r="L68" s="265" t="str">
        <f>IF(OR(E68=121,E68=88,E68=2682,E68=2703,E68=2687,E68=2689,E68=2681,E68=2685)=FALSE,"",IF('General Information'!$C$19="HTML5","FUNÇÃO DISPONÍVEL APENAS PARA BRASIL",IF(J69&lt;&gt;0,VLOOKUP(E69,Questions!$E$5:$L$568,5,0),"")))</f>
        <v/>
      </c>
      <c r="M68" s="164" t="s">
        <v>2396</v>
      </c>
      <c r="N68" s="369" t="s">
        <v>2377</v>
      </c>
    </row>
    <row r="69" spans="1:14" ht="14.5" customHeight="1" outlineLevel="1">
      <c r="A69" s="59"/>
      <c r="B69" s="72">
        <f>VLOOKUP('Hours Detail'!E69,'BASE_FUNCOES (hide)'!A:W,5,FALSE)</f>
        <v>6</v>
      </c>
      <c r="C69" s="72" t="s">
        <v>5929</v>
      </c>
      <c r="D69" s="73" t="str">
        <f>IF('General Information'!$C$6="Português",VLOOKUP(B69,'ESTRUTURA_MODULO(hide)'!A:D,2,0),IF('General Information'!$C$6="English",VLOOKUP(B69,'ESTRUTURA_MODULO(hide)'!A:D,3,0),IF('General Information'!$C$6="Español",VLOOKUP(B69,'ESTRUTURA_MODULO(hide)'!A:D,4,0))))</f>
        <v>Faturamento (Convênios e Particular)</v>
      </c>
      <c r="E69" s="254">
        <v>3400</v>
      </c>
      <c r="F69" s="73" t="str">
        <f>IF('General Information'!$C$6="Português",VLOOKUP(E69,'BASE_FUNCOES (hide)'!A:H,2,0),IF('General Information'!$C$6="English",VLOOKUP(E69,'BASE_FUNCOES (hide)'!A:H,3,0),IF('General Information'!$C$6="Español",VLOOKUP(E69,'BASE_FUNCOES (hide)'!A:H,4,0))))</f>
        <v>TISS - Reapresentação de Contas</v>
      </c>
      <c r="G69" s="73" t="str">
        <f>IF(AND('General Information'!$D$16=1,VLOOKUP(B69,Modules!$B$5:$E$496,4,0)=1)=TRUE,VLOOKUP('Hours Detail'!E69,'BASE_FUNCOES (hide)'!$A:$V,10,0),IF(AND('General Information'!$D$16=2,VLOOKUP(B69,Modules!$B$5:$E$496,4,0)=1)=TRUE,VLOOKUP('Hours Detail'!E69,'BASE_FUNCOES (hide)'!$A:$V,11,0),IF(AND('General Information'!$D$16=3,VLOOKUP(B69,Modules!$B$5:$E$496,4,0)=1)=TRUE,VLOOKUP('Hours Detail'!E69,'BASE_FUNCOES (hide)'!$A:$V,12,0),IF(AND('General Information'!$D$16=4,VLOOKUP(B69,Modules!$B$5:$E$496,4,0)=1)=TRUE,VLOOKUP('Hours Detail'!E69,'BASE_FUNCOES (hide)'!$A:$V,13,0),IF(AND('General Information'!$D$16=5,VLOOKUP(B69,Modules!$B$5:$E$496,4,0)=1)=TRUE,VLOOKUP('Hours Detail'!E69,'BASE_FUNCOES (hide)'!$A:$V,14,0),  IF(AND('General Information'!$D$16=6,VLOOKUP(B69,Modules!$B$5:$E$496,4,0)=1)=TRUE,VLOOKUP('Hours Detail'!E69,'BASE_FUNCOES (hide)'!$A:$V,15,0),"No"))))))</f>
        <v>No</v>
      </c>
      <c r="H69" s="22" t="str">
        <f t="shared" si="2"/>
        <v>No</v>
      </c>
      <c r="I69" s="75">
        <f>IF('General Information'!$C$4="Mexico",(ROUNDUP(VLOOKUP(E69,'BASE_FUNCOES (hide)'!A:X,21,0),0)),(ROUNDUP(VLOOKUP(E69,'BASE_FUNCOES (hide)'!A:L,9,0),0)))</f>
        <v>6</v>
      </c>
      <c r="J69" s="75">
        <f>ROUNDUP(SUMIF(Questions!$E$5:$E$558,'Hours Detail'!E69,Questions!$F$5:$F$558),0)</f>
        <v>0</v>
      </c>
      <c r="K69" s="76">
        <f>IF(H69="Yes",ROUNDUP(IF(VLOOKUP(E69,'BASE_FUNCOES (hide)'!A:T,16,FALSE)&lt;&gt;"No",IF('General Information'!$C$19="HTML5",(I69+J69)*'BASE_FUNCOES (hide)'!$T$2,I69+J69),I69+J69),I69+J69),I69+J69)</f>
        <v>6</v>
      </c>
      <c r="L69" s="265" t="str">
        <f>IF(OR(E69=121,E69=88,E69=2682,E69=2703,E69=2687,E69=2689,E69=2681,E69=2685)=FALSE,"",IF('General Information'!$C$19="HTML5","FUNÇÃO DISPONÍVEL APENAS PARA BRASIL",IF(J70&lt;&gt;0,VLOOKUP(E70,Questions!$E$5:$L$568,5,0),"")))</f>
        <v/>
      </c>
      <c r="M69" s="164" t="s">
        <v>2396</v>
      </c>
      <c r="N69" s="369" t="s">
        <v>2377</v>
      </c>
    </row>
    <row r="70" spans="1:14" ht="14.5" customHeight="1" outlineLevel="1">
      <c r="A70" s="59"/>
      <c r="B70" s="72">
        <f>VLOOKUP('Hours Detail'!E70,'BASE_FUNCOES (hide)'!A:W,5,FALSE)</f>
        <v>6</v>
      </c>
      <c r="C70" s="72" t="s">
        <v>5929</v>
      </c>
      <c r="D70" s="73" t="str">
        <f>IF('General Information'!$C$6="Português",VLOOKUP(B70,'ESTRUTURA_MODULO(hide)'!A:D,2,0),IF('General Information'!$C$6="English",VLOOKUP(B70,'ESTRUTURA_MODULO(hide)'!A:D,3,0),IF('General Information'!$C$6="Español",VLOOKUP(B70,'ESTRUTURA_MODULO(hide)'!A:D,4,0))))</f>
        <v>Faturamento (Convênios e Particular)</v>
      </c>
      <c r="E70" s="254">
        <v>48</v>
      </c>
      <c r="F70" s="73" t="str">
        <f>IF('General Information'!$C$6="Português",VLOOKUP(E70,'BASE_FUNCOES (hide)'!A:H,2,0),IF('General Information'!$C$6="English",VLOOKUP(E70,'BASE_FUNCOES (hide)'!A:H,3,0),IF('General Information'!$C$6="Español",VLOOKUP(E70,'BASE_FUNCOES (hide)'!A:H,4,0))))</f>
        <v>Transferência entre Atendimentos</v>
      </c>
      <c r="G70" s="73" t="str">
        <f>IF(AND('General Information'!$D$16=1,VLOOKUP(B70,Modules!$B$5:$E$496,4,0)=1)=TRUE,VLOOKUP('Hours Detail'!E70,'BASE_FUNCOES (hide)'!$A:$V,10,0),IF(AND('General Information'!$D$16=2,VLOOKUP(B70,Modules!$B$5:$E$496,4,0)=1)=TRUE,VLOOKUP('Hours Detail'!E70,'BASE_FUNCOES (hide)'!$A:$V,11,0),IF(AND('General Information'!$D$16=3,VLOOKUP(B70,Modules!$B$5:$E$496,4,0)=1)=TRUE,VLOOKUP('Hours Detail'!E70,'BASE_FUNCOES (hide)'!$A:$V,12,0),IF(AND('General Information'!$D$16=4,VLOOKUP(B70,Modules!$B$5:$E$496,4,0)=1)=TRUE,VLOOKUP('Hours Detail'!E70,'BASE_FUNCOES (hide)'!$A:$V,13,0),IF(AND('General Information'!$D$16=5,VLOOKUP(B70,Modules!$B$5:$E$496,4,0)=1)=TRUE,VLOOKUP('Hours Detail'!E70,'BASE_FUNCOES (hide)'!$A:$V,14,0),  IF(AND('General Information'!$D$16=6,VLOOKUP(B70,Modules!$B$5:$E$496,4,0)=1)=TRUE,VLOOKUP('Hours Detail'!E70,'BASE_FUNCOES (hide)'!$A:$V,15,0),"No"))))))</f>
        <v>No</v>
      </c>
      <c r="H70" s="22" t="str">
        <f t="shared" si="2"/>
        <v>No</v>
      </c>
      <c r="I70" s="75">
        <f>IF('General Information'!$C$4="Mexico",(ROUNDUP(VLOOKUP(E70,'BASE_FUNCOES (hide)'!A:X,21,0),0)),(ROUNDUP(VLOOKUP(E70,'BASE_FUNCOES (hide)'!A:L,9,0),0)))</f>
        <v>2</v>
      </c>
      <c r="J70" s="75">
        <f>ROUNDUP(SUMIF(Questions!$E$5:$E$558,'Hours Detail'!E70,Questions!$F$5:$F$558),0)</f>
        <v>0</v>
      </c>
      <c r="K70" s="76">
        <f>IF(H70="Yes",ROUNDUP(IF(VLOOKUP(E70,'BASE_FUNCOES (hide)'!A:T,16,FALSE)&lt;&gt;"No",IF('General Information'!$C$19="HTML5",(I70+J70)*'BASE_FUNCOES (hide)'!$T$2,I70+J70),I70+J70),I70+J70),I70+J70)</f>
        <v>2</v>
      </c>
      <c r="L70" s="265" t="str">
        <f>IF(OR(E70=121,E70=88,E70=2682,E70=2703,E70=2687,E70=2689,E70=2681,E70=2685)=FALSE,"",IF('General Information'!$C$19="HTML5","FUNÇÃO DISPONÍVEL APENAS PARA BRASIL",IF(J71&lt;&gt;0,VLOOKUP(E71,Questions!$E$5:$L$568,5,0),"")))</f>
        <v/>
      </c>
      <c r="M70" s="164" t="s">
        <v>2396</v>
      </c>
      <c r="N70" s="369" t="s">
        <v>2377</v>
      </c>
    </row>
    <row r="71" spans="1:14" ht="14.5" customHeight="1" outlineLevel="1">
      <c r="A71" s="59"/>
      <c r="B71" s="72">
        <f>VLOOKUP('Hours Detail'!E71,'BASE_FUNCOES (hide)'!A:W,5,FALSE)</f>
        <v>99</v>
      </c>
      <c r="C71" s="72" t="s">
        <v>5929</v>
      </c>
      <c r="D71" s="73" t="str">
        <f>IF('General Information'!$C$6="Português",VLOOKUP(B71,'ESTRUTURA_MODULO(hide)'!A:D,2,0),IF('General Information'!$C$6="English",VLOOKUP(B71,'ESTRUTURA_MODULO(hide)'!A:D,3,0),IF('General Information'!$C$6="Español",VLOOKUP(B71,'ESTRUTURA_MODULO(hide)'!A:D,4,0))))</f>
        <v>Almoxarifado</v>
      </c>
      <c r="E71" s="254">
        <v>109</v>
      </c>
      <c r="F71" s="73" t="str">
        <f>IF('General Information'!$C$6="Português",VLOOKUP(E71,'BASE_FUNCOES (hide)'!A:H,2,0),IF('General Information'!$C$6="English",VLOOKUP(E71,'BASE_FUNCOES (hide)'!A:H,3,0),IF('General Information'!$C$6="Español",VLOOKUP(E71,'BASE_FUNCOES (hide)'!A:H,4,0))))</f>
        <v>Atendimento da Requisição</v>
      </c>
      <c r="G71" s="73" t="str">
        <f>IF(AND('General Information'!$D$16=1,VLOOKUP(B71,Modules!$B$5:$E$496,4,0)=1)=TRUE,VLOOKUP('Hours Detail'!E71,'BASE_FUNCOES (hide)'!$A:$V,10,0),IF(AND('General Information'!$D$16=2,VLOOKUP(B71,Modules!$B$5:$E$496,4,0)=1)=TRUE,VLOOKUP('Hours Detail'!E71,'BASE_FUNCOES (hide)'!$A:$V,11,0),IF(AND('General Information'!$D$16=3,VLOOKUP(B71,Modules!$B$5:$E$496,4,0)=1)=TRUE,VLOOKUP('Hours Detail'!E71,'BASE_FUNCOES (hide)'!$A:$V,12,0),IF(AND('General Information'!$D$16=4,VLOOKUP(B71,Modules!$B$5:$E$496,4,0)=1)=TRUE,VLOOKUP('Hours Detail'!E71,'BASE_FUNCOES (hide)'!$A:$V,13,0),IF(AND('General Information'!$D$16=5,VLOOKUP(B71,Modules!$B$5:$E$496,4,0)=1)=TRUE,VLOOKUP('Hours Detail'!E71,'BASE_FUNCOES (hide)'!$A:$V,14,0),  IF(AND('General Information'!$D$16=6,VLOOKUP(B71,Modules!$B$5:$E$496,4,0)=1)=TRUE,VLOOKUP('Hours Detail'!E71,'BASE_FUNCOES (hide)'!$A:$V,15,0),"No"))))))</f>
        <v>No</v>
      </c>
      <c r="H71" s="22" t="str">
        <f t="shared" si="2"/>
        <v>No</v>
      </c>
      <c r="I71" s="75">
        <f>IF('General Information'!$C$4="Mexico",(ROUNDUP(VLOOKUP(E71,'BASE_FUNCOES (hide)'!A:X,21,0),0)),(ROUNDUP(VLOOKUP(E71,'BASE_FUNCOES (hide)'!A:L,9,0),0)))</f>
        <v>8</v>
      </c>
      <c r="J71" s="75">
        <f>ROUNDUP(SUMIF(Questions!$E$5:$E$558,'Hours Detail'!E71,Questions!$F$5:$F$558),0)</f>
        <v>0</v>
      </c>
      <c r="K71" s="76">
        <f>IF(H71="Yes",ROUNDUP(IF(VLOOKUP(E71,'BASE_FUNCOES (hide)'!A:T,16,FALSE)&lt;&gt;"No",IF('General Information'!$C$19="HTML5",(I71+J71)*'BASE_FUNCOES (hide)'!$T$2,I71+J71),I71+J71),I71+J71),I71+J71)</f>
        <v>8</v>
      </c>
      <c r="L71" s="265" t="str">
        <f>IF(OR(E71=121,E71=88,E71=2682,E71=2703,E71=2687,E71=2689,E71=2681,E71=2685)=FALSE,"",IF('General Information'!$C$19="HTML5","FUNÇÃO DISPONÍVEL APENAS PARA BRASIL",IF(J72&lt;&gt;0,VLOOKUP(E72,Questions!$E$5:$L$568,5,0),"")))</f>
        <v/>
      </c>
      <c r="M71" s="164" t="s">
        <v>2396</v>
      </c>
      <c r="N71" s="369" t="s">
        <v>2377</v>
      </c>
    </row>
    <row r="72" spans="1:14" ht="14.5" customHeight="1" outlineLevel="1">
      <c r="A72" s="59"/>
      <c r="B72" s="72">
        <f>VLOOKUP('Hours Detail'!E72,'BASE_FUNCOES (hide)'!A:W,5,FALSE)</f>
        <v>99</v>
      </c>
      <c r="C72" s="72" t="s">
        <v>5929</v>
      </c>
      <c r="D72" s="73" t="str">
        <f>IF('General Information'!$C$6="Português",VLOOKUP(B72,'ESTRUTURA_MODULO(hide)'!A:D,2,0),IF('General Information'!$C$6="English",VLOOKUP(B72,'ESTRUTURA_MODULO(hide)'!A:D,3,0),IF('General Information'!$C$6="Español",VLOOKUP(B72,'ESTRUTURA_MODULO(hide)'!A:D,4,0))))</f>
        <v>Almoxarifado</v>
      </c>
      <c r="E72" s="254">
        <v>270</v>
      </c>
      <c r="F72" s="73" t="str">
        <f>IF('General Information'!$C$6="Português",VLOOKUP(E72,'BASE_FUNCOES (hide)'!A:H,2,0),IF('General Information'!$C$6="English",VLOOKUP(E72,'BASE_FUNCOES (hide)'!A:H,3,0),IF('General Information'!$C$6="Español",VLOOKUP(E72,'BASE_FUNCOES (hide)'!A:H,4,0))))</f>
        <v>Inspeção Recebimento</v>
      </c>
      <c r="G72" s="73" t="str">
        <f>IF(AND('General Information'!$D$16=1,VLOOKUP(B72,Modules!$B$5:$E$496,4,0)=1)=TRUE,VLOOKUP('Hours Detail'!E72,'BASE_FUNCOES (hide)'!$A:$V,10,0),IF(AND('General Information'!$D$16=2,VLOOKUP(B72,Modules!$B$5:$E$496,4,0)=1)=TRUE,VLOOKUP('Hours Detail'!E72,'BASE_FUNCOES (hide)'!$A:$V,11,0),IF(AND('General Information'!$D$16=3,VLOOKUP(B72,Modules!$B$5:$E$496,4,0)=1)=TRUE,VLOOKUP('Hours Detail'!E72,'BASE_FUNCOES (hide)'!$A:$V,12,0),IF(AND('General Information'!$D$16=4,VLOOKUP(B72,Modules!$B$5:$E$496,4,0)=1)=TRUE,VLOOKUP('Hours Detail'!E72,'BASE_FUNCOES (hide)'!$A:$V,13,0),IF(AND('General Information'!$D$16=5,VLOOKUP(B72,Modules!$B$5:$E$496,4,0)=1)=TRUE,VLOOKUP('Hours Detail'!E72,'BASE_FUNCOES (hide)'!$A:$V,14,0),  IF(AND('General Information'!$D$16=6,VLOOKUP(B72,Modules!$B$5:$E$496,4,0)=1)=TRUE,VLOOKUP('Hours Detail'!E72,'BASE_FUNCOES (hide)'!$A:$V,15,0),"No"))))))</f>
        <v>No</v>
      </c>
      <c r="H72" s="22" t="str">
        <f t="shared" si="2"/>
        <v>No</v>
      </c>
      <c r="I72" s="75">
        <f>IF('General Information'!$C$4="Mexico",(ROUNDUP(VLOOKUP(E72,'BASE_FUNCOES (hide)'!A:X,21,0),0)),(ROUNDUP(VLOOKUP(E72,'BASE_FUNCOES (hide)'!A:L,9,0),0)))</f>
        <v>8</v>
      </c>
      <c r="J72" s="75">
        <f>ROUNDUP(SUMIF(Questions!$E$5:$E$558,'Hours Detail'!E72,Questions!$F$5:$F$558),0)</f>
        <v>0</v>
      </c>
      <c r="K72" s="76">
        <f>IF(H72="Yes",ROUNDUP(IF(VLOOKUP(E72,'BASE_FUNCOES (hide)'!A:T,16,FALSE)&lt;&gt;"No",IF('General Information'!$C$19="HTML5",(I72+J72)*'BASE_FUNCOES (hide)'!$T$2,I72+J72),I72+J72),I72+J72),I72+J72)</f>
        <v>8</v>
      </c>
      <c r="L72" s="265" t="str">
        <f>IF(OR(E72=121,E72=88,E72=2682,E72=2703,E72=2687,E72=2689,E72=2681,E72=2685)=FALSE,"",IF('General Information'!$C$19="HTML5","FUNÇÃO DISPONÍVEL APENAS PARA BRASIL",IF(J73&lt;&gt;0,VLOOKUP(E73,Questions!$E$5:$L$568,5,0),"")))</f>
        <v/>
      </c>
      <c r="M72" s="164" t="s">
        <v>2396</v>
      </c>
      <c r="N72" s="369" t="s">
        <v>2377</v>
      </c>
    </row>
    <row r="73" spans="1:14" ht="14.5" customHeight="1" outlineLevel="1">
      <c r="A73" s="59"/>
      <c r="B73" s="72">
        <f>VLOOKUP('Hours Detail'!E73,'BASE_FUNCOES (hide)'!A:W,5,FALSE)</f>
        <v>99</v>
      </c>
      <c r="C73" s="72" t="s">
        <v>5929</v>
      </c>
      <c r="D73" s="73" t="str">
        <f>IF('General Information'!$C$6="Português",VLOOKUP(B73,'ESTRUTURA_MODULO(hide)'!A:D,2,0),IF('General Information'!$C$6="English",VLOOKUP(B73,'ESTRUTURA_MODULO(hide)'!A:D,3,0),IF('General Information'!$C$6="Español",VLOOKUP(B73,'ESTRUTURA_MODULO(hide)'!A:D,4,0))))</f>
        <v>Almoxarifado</v>
      </c>
      <c r="E73" s="342">
        <v>40</v>
      </c>
      <c r="F73" s="73" t="str">
        <f>IF('General Information'!$C$6="Português",VLOOKUP(E73,'BASE_FUNCOES (hide)'!A:H,2,0),IF('General Information'!$C$6="English",VLOOKUP(E73,'BASE_FUNCOES (hide)'!A:H,3,0),IF('General Information'!$C$6="Español",VLOOKUP(E73,'BASE_FUNCOES (hide)'!A:H,4,0))))</f>
        <v>Nota fiscal</v>
      </c>
      <c r="G73" s="73" t="str">
        <f>IF(AND('General Information'!$D$16=1,VLOOKUP(B73,Modules!$B$5:$E$496,4,0)=1)=TRUE,VLOOKUP('Hours Detail'!E73,'BASE_FUNCOES (hide)'!$A:$V,10,0),IF(AND('General Information'!$D$16=2,VLOOKUP(B73,Modules!$B$5:$E$496,4,0)=1)=TRUE,VLOOKUP('Hours Detail'!E73,'BASE_FUNCOES (hide)'!$A:$V,11,0),IF(AND('General Information'!$D$16=3,VLOOKUP(B73,Modules!$B$5:$E$496,4,0)=1)=TRUE,VLOOKUP('Hours Detail'!E73,'BASE_FUNCOES (hide)'!$A:$V,12,0),IF(AND('General Information'!$D$16=4,VLOOKUP(B73,Modules!$B$5:$E$496,4,0)=1)=TRUE,VLOOKUP('Hours Detail'!E73,'BASE_FUNCOES (hide)'!$A:$V,13,0),IF(AND('General Information'!$D$16=5,VLOOKUP(B73,Modules!$B$5:$E$496,4,0)=1)=TRUE,VLOOKUP('Hours Detail'!E73,'BASE_FUNCOES (hide)'!$A:$V,14,0),  IF(AND('General Information'!$D$16=6,VLOOKUP(B73,Modules!$B$5:$E$496,4,0)=1)=TRUE,VLOOKUP('Hours Detail'!E73,'BASE_FUNCOES (hide)'!$A:$V,15,0),"No"))))))</f>
        <v>No</v>
      </c>
      <c r="H73" s="166" t="str">
        <f t="shared" si="2"/>
        <v>No</v>
      </c>
      <c r="I73" s="75">
        <f>IF('General Information'!$C$4="Mexico",(ROUNDUP(VLOOKUP(E73,'BASE_FUNCOES (hide)'!A:X,21,0),0)),(ROUNDUP(VLOOKUP(E73,'BASE_FUNCOES (hide)'!A:L,9,0),0)))</f>
        <v>24</v>
      </c>
      <c r="J73" s="75">
        <f>ROUNDUP(SUMIF(Questions!$E$5:$E$558,'Hours Detail'!E73,Questions!$F$5:$F$558),0)</f>
        <v>0</v>
      </c>
      <c r="K73" s="76">
        <f>IF(H73="Yes",ROUNDUP(IF(VLOOKUP(E73,'BASE_FUNCOES (hide)'!A:T,16,FALSE)&lt;&gt;"No",IF('General Information'!$C$19="HTML5",(I73+J73)*'BASE_FUNCOES (hide)'!$T$2,I73+J73),I73+J73),I73+J73),I73+J73)</f>
        <v>24</v>
      </c>
      <c r="L73" s="265" t="str">
        <f>IF(OR(E73=121,E73=88,E73=2682,E73=2703,E73=2687,E73=2689,E73=2681,E73=2685)=FALSE,"",IF('General Information'!$C$19="HTML5","FUNÇÃO DISPONÍVEL APENAS PARA BRASIL",IF(J74&lt;&gt;0,VLOOKUP(E74,Questions!$E$5:$L$568,5,0),"")))</f>
        <v/>
      </c>
      <c r="M73" s="164" t="s">
        <v>2396</v>
      </c>
      <c r="N73" s="369" t="s">
        <v>2377</v>
      </c>
    </row>
    <row r="74" spans="1:14" ht="14.5" customHeight="1" outlineLevel="1">
      <c r="A74" s="59"/>
      <c r="B74" s="72">
        <f>VLOOKUP('Hours Detail'!E74,'BASE_FUNCOES (hide)'!A:W,5,FALSE)</f>
        <v>99</v>
      </c>
      <c r="C74" s="72" t="s">
        <v>5929</v>
      </c>
      <c r="D74" s="73" t="str">
        <f>IF('General Information'!$C$6="Português",VLOOKUP(B74,'ESTRUTURA_MODULO(hide)'!A:D,2,0),IF('General Information'!$C$6="English",VLOOKUP(B74,'ESTRUTURA_MODULO(hide)'!A:D,3,0),IF('General Information'!$C$6="Español",VLOOKUP(B74,'ESTRUTURA_MODULO(hide)'!A:D,4,0))))</f>
        <v>Almoxarifado</v>
      </c>
      <c r="E74" s="254">
        <v>919</v>
      </c>
      <c r="F74" s="73" t="str">
        <f>IF('General Information'!$C$6="Português",VLOOKUP(E74,'BASE_FUNCOES (hide)'!A:H,2,0),IF('General Information'!$C$6="English",VLOOKUP(E74,'BASE_FUNCOES (hide)'!A:H,3,0),IF('General Information'!$C$6="Español",VLOOKUP(E74,'BASE_FUNCOES (hide)'!A:H,4,0))))</f>
        <v>Requisição de Materiais e Medicamentos</v>
      </c>
      <c r="G74" s="73" t="str">
        <f>IF(AND('General Information'!$D$16=1,VLOOKUP(B74,Modules!$B$5:$E$496,4,0)=1)=TRUE,VLOOKUP('Hours Detail'!E74,'BASE_FUNCOES (hide)'!$A:$V,10,0),IF(AND('General Information'!$D$16=2,VLOOKUP(B74,Modules!$B$5:$E$496,4,0)=1)=TRUE,VLOOKUP('Hours Detail'!E74,'BASE_FUNCOES (hide)'!$A:$V,11,0),IF(AND('General Information'!$D$16=3,VLOOKUP(B74,Modules!$B$5:$E$496,4,0)=1)=TRUE,VLOOKUP('Hours Detail'!E74,'BASE_FUNCOES (hide)'!$A:$V,12,0),IF(AND('General Information'!$D$16=4,VLOOKUP(B74,Modules!$B$5:$E$496,4,0)=1)=TRUE,VLOOKUP('Hours Detail'!E74,'BASE_FUNCOES (hide)'!$A:$V,13,0),IF(AND('General Information'!$D$16=5,VLOOKUP(B74,Modules!$B$5:$E$496,4,0)=1)=TRUE,VLOOKUP('Hours Detail'!E74,'BASE_FUNCOES (hide)'!$A:$V,14,0),  IF(AND('General Information'!$D$16=6,VLOOKUP(B74,Modules!$B$5:$E$496,4,0)=1)=TRUE,VLOOKUP('Hours Detail'!E74,'BASE_FUNCOES (hide)'!$A:$V,15,0),"No"))))))</f>
        <v>No</v>
      </c>
      <c r="H74" s="22" t="str">
        <f t="shared" si="2"/>
        <v>No</v>
      </c>
      <c r="I74" s="75">
        <f>IF('General Information'!$C$4="Mexico",(ROUNDUP(VLOOKUP(E74,'BASE_FUNCOES (hide)'!A:X,21,0),0)),(ROUNDUP(VLOOKUP(E74,'BASE_FUNCOES (hide)'!A:L,9,0),0)))</f>
        <v>8</v>
      </c>
      <c r="J74" s="75">
        <f>ROUNDUP(SUMIF(Questions!$E$5:$E$558,'Hours Detail'!E74,Questions!$F$5:$F$558),0)</f>
        <v>0</v>
      </c>
      <c r="K74" s="76">
        <f>IF(H74="Yes",ROUNDUP(IF(VLOOKUP(E74,'BASE_FUNCOES (hide)'!A:T,16,FALSE)&lt;&gt;"No",IF('General Information'!$C$19="HTML5",(I74+J74)*'BASE_FUNCOES (hide)'!$T$2,I74+J74),I74+J74),I74+J74),I74+J74)</f>
        <v>8</v>
      </c>
      <c r="L74" s="265" t="str">
        <f>IF(OR(E74=121,E74=88,E74=2682,E74=2703,E74=2687,E74=2689,E74=2681,E74=2685)=FALSE,"",IF('General Information'!$C$19="HTML5","FUNÇÃO DISPONÍVEL APENAS PARA BRASIL",IF(J75&lt;&gt;0,VLOOKUP(E75,Questions!$E$5:$L$568,5,0),"")))</f>
        <v/>
      </c>
      <c r="M74" s="164" t="s">
        <v>2396</v>
      </c>
      <c r="N74" s="369" t="s">
        <v>2377</v>
      </c>
    </row>
    <row r="75" spans="1:14" outlineLevel="1">
      <c r="A75" s="59"/>
      <c r="B75" s="72">
        <f>VLOOKUP('Hours Detail'!E75,'BASE_FUNCOES (hide)'!A:W,5,FALSE)</f>
        <v>4</v>
      </c>
      <c r="C75" s="72" t="s">
        <v>5929</v>
      </c>
      <c r="D75" s="73" t="str">
        <f>IF('General Information'!$C$6="Português",VLOOKUP(B75,'ESTRUTURA_MODULO(hide)'!A:D,2,0),IF('General Information'!$C$6="English",VLOOKUP(B75,'ESTRUTURA_MODULO(hide)'!A:D,3,0),IF('General Information'!$C$6="Español",VLOOKUP(B75,'ESTRUTURA_MODULO(hide)'!A:D,4,0))))</f>
        <v>Estoque</v>
      </c>
      <c r="E75" s="253">
        <v>143</v>
      </c>
      <c r="F75" s="73" t="str">
        <f>IF('General Information'!$C$6="Português",VLOOKUP(E75,'BASE_FUNCOES (hide)'!A:H,2,0),IF('General Information'!$C$6="English",VLOOKUP(E75,'BASE_FUNCOES (hide)'!A:H,3,0),IF('General Information'!$C$6="Español",VLOOKUP(E75,'BASE_FUNCOES (hide)'!A:H,4,0))))</f>
        <v>Administração de Estoques</v>
      </c>
      <c r="G75" s="73" t="str">
        <f>IF(AND('General Information'!$D$16=1,VLOOKUP(B75,Modules!$B$5:$E$496,4,0)=1)=TRUE,VLOOKUP('Hours Detail'!E75,'BASE_FUNCOES (hide)'!$A:$V,10,0),IF(AND('General Information'!$D$16=2,VLOOKUP(B75,Modules!$B$5:$E$496,4,0)=1)=TRUE,VLOOKUP('Hours Detail'!E75,'BASE_FUNCOES (hide)'!$A:$V,11,0),IF(AND('General Information'!$D$16=3,VLOOKUP(B75,Modules!$B$5:$E$496,4,0)=1)=TRUE,VLOOKUP('Hours Detail'!E75,'BASE_FUNCOES (hide)'!$A:$V,12,0),IF(AND('General Information'!$D$16=4,VLOOKUP(B75,Modules!$B$5:$E$496,4,0)=1)=TRUE,VLOOKUP('Hours Detail'!E75,'BASE_FUNCOES (hide)'!$A:$V,13,0),IF(AND('General Information'!$D$16=5,VLOOKUP(B75,Modules!$B$5:$E$496,4,0)=1)=TRUE,VLOOKUP('Hours Detail'!E75,'BASE_FUNCOES (hide)'!$A:$V,14,0),  IF(AND('General Information'!$D$16=6,VLOOKUP(B75,Modules!$B$5:$E$496,4,0)=1)=TRUE,VLOOKUP('Hours Detail'!E75,'BASE_FUNCOES (hide)'!$A:$V,15,0),"No"))))))</f>
        <v>No</v>
      </c>
      <c r="H75" s="22" t="str">
        <f t="shared" si="2"/>
        <v>No</v>
      </c>
      <c r="I75" s="75">
        <f>IF('General Information'!$C$4="Mexico",(ROUNDUP(VLOOKUP(E75,'BASE_FUNCOES (hide)'!A:X,21,0),0)),(ROUNDUP(VLOOKUP(E75,'BASE_FUNCOES (hide)'!A:L,9,0),0)))</f>
        <v>24</v>
      </c>
      <c r="J75" s="75">
        <f>ROUNDUP(SUMIF(Questions!$E$5:$E$558,'Hours Detail'!E75,Questions!$F$5:$F$558),0)</f>
        <v>0</v>
      </c>
      <c r="K75" s="76">
        <f>IF(H75="Yes",ROUNDUP(IF(VLOOKUP(E75,'BASE_FUNCOES (hide)'!A:T,16,FALSE)&lt;&gt;"No",IF('General Information'!$C$19="HTML5",(I75+J75)*'BASE_FUNCOES (hide)'!$T$2,I75+J75),I75+J75),I75+J75),I75+J75)</f>
        <v>24</v>
      </c>
      <c r="L75" s="265" t="str">
        <f>IF(OR(E75=121,E75=88,E75=2682,E75=2703,E75=2687,E75=2689,E75=2681,E75=2685)=FALSE,"",IF('General Information'!$C$19="HTML5","FUNÇÃO DISPONÍVEL APENAS PARA BRASIL",IF(J76&lt;&gt;0,VLOOKUP(E76,Questions!$E$5:$L$568,5,0),"")))</f>
        <v/>
      </c>
      <c r="M75" s="164" t="s">
        <v>2396</v>
      </c>
      <c r="N75" s="369" t="s">
        <v>2377</v>
      </c>
    </row>
    <row r="76" spans="1:14" outlineLevel="1">
      <c r="A76" s="59"/>
      <c r="B76" s="72">
        <f>VLOOKUP('Hours Detail'!E76,'BASE_FUNCOES (hide)'!A:W,5,FALSE)</f>
        <v>4</v>
      </c>
      <c r="C76" s="72" t="s">
        <v>5929</v>
      </c>
      <c r="D76" s="73" t="str">
        <f>IF('General Information'!$C$6="Português",VLOOKUP(B76,'ESTRUTURA_MODULO(hide)'!A:D,2,0),IF('General Information'!$C$6="English",VLOOKUP(B76,'ESTRUTURA_MODULO(hide)'!A:D,3,0),IF('General Information'!$C$6="Español",VLOOKUP(B76,'ESTRUTURA_MODULO(hide)'!A:D,4,0))))</f>
        <v>Estoque</v>
      </c>
      <c r="E76" s="254">
        <v>146</v>
      </c>
      <c r="F76" s="73" t="str">
        <f>IF('General Information'!$C$6="Português",VLOOKUP(E76,'BASE_FUNCOES (hide)'!A:H,2,0),IF('General Information'!$C$6="English",VLOOKUP(E76,'BASE_FUNCOES (hide)'!A:H,3,0),IF('General Information'!$C$6="Español",VLOOKUP(E76,'BASE_FUNCOES (hide)'!A:H,4,0))))</f>
        <v>Controle Transferências de Estoque</v>
      </c>
      <c r="G76" s="73" t="str">
        <f>IF(AND('General Information'!$D$16=1,VLOOKUP(B76,Modules!$B$5:$E$496,4,0)=1)=TRUE,VLOOKUP('Hours Detail'!E76,'BASE_FUNCOES (hide)'!$A:$V,10,0),IF(AND('General Information'!$D$16=2,VLOOKUP(B76,Modules!$B$5:$E$496,4,0)=1)=TRUE,VLOOKUP('Hours Detail'!E76,'BASE_FUNCOES (hide)'!$A:$V,11,0),IF(AND('General Information'!$D$16=3,VLOOKUP(B76,Modules!$B$5:$E$496,4,0)=1)=TRUE,VLOOKUP('Hours Detail'!E76,'BASE_FUNCOES (hide)'!$A:$V,12,0),IF(AND('General Information'!$D$16=4,VLOOKUP(B76,Modules!$B$5:$E$496,4,0)=1)=TRUE,VLOOKUP('Hours Detail'!E76,'BASE_FUNCOES (hide)'!$A:$V,13,0),IF(AND('General Information'!$D$16=5,VLOOKUP(B76,Modules!$B$5:$E$496,4,0)=1)=TRUE,VLOOKUP('Hours Detail'!E76,'BASE_FUNCOES (hide)'!$A:$V,14,0),  IF(AND('General Information'!$D$16=6,VLOOKUP(B76,Modules!$B$5:$E$496,4,0)=1)=TRUE,VLOOKUP('Hours Detail'!E76,'BASE_FUNCOES (hide)'!$A:$V,15,0),"No"))))))</f>
        <v>No</v>
      </c>
      <c r="H76" s="22" t="str">
        <f t="shared" si="2"/>
        <v>No</v>
      </c>
      <c r="I76" s="75">
        <f>IF('General Information'!$C$4="Mexico",(ROUNDUP(VLOOKUP(E76,'BASE_FUNCOES (hide)'!A:X,21,0),0)),(ROUNDUP(VLOOKUP(E76,'BASE_FUNCOES (hide)'!A:L,9,0),0)))</f>
        <v>12</v>
      </c>
      <c r="J76" s="75">
        <f>ROUNDUP(SUMIF(Questions!$E$5:$E$558,'Hours Detail'!E76,Questions!$F$5:$F$558),0)</f>
        <v>0</v>
      </c>
      <c r="K76" s="76">
        <f>IF(H76="Yes",ROUNDUP(IF(VLOOKUP(E76,'BASE_FUNCOES (hide)'!A:T,16,FALSE)&lt;&gt;"No",IF('General Information'!$C$19="HTML5",(I76+J76)*'BASE_FUNCOES (hide)'!$T$2,I76+J76),I76+J76),I76+J76),I76+J76)</f>
        <v>12</v>
      </c>
      <c r="L76" s="265" t="str">
        <f>IF(OR(E76=121,E76=88,E76=2682,E76=2703,E76=2687,E76=2689,E76=2681,E76=2685)=FALSE,"",IF('General Information'!$C$19="HTML5","FUNÇÃO DISPONÍVEL APENAS PARA BRASIL",IF(J77&lt;&gt;0,VLOOKUP(E77,Questions!$E$5:$L$568,5,0),"")))</f>
        <v/>
      </c>
      <c r="M76" s="164" t="s">
        <v>2396</v>
      </c>
      <c r="N76" s="369" t="s">
        <v>2377</v>
      </c>
    </row>
    <row r="77" spans="1:14" outlineLevel="1">
      <c r="A77" s="59"/>
      <c r="B77" s="72">
        <f>VLOOKUP('Hours Detail'!E77,'BASE_FUNCOES (hide)'!A:W,5,FALSE)</f>
        <v>4</v>
      </c>
      <c r="C77" s="72" t="s">
        <v>5929</v>
      </c>
      <c r="D77" s="73" t="str">
        <f>IF('General Information'!$C$6="Português",VLOOKUP(B77,'ESTRUTURA_MODULO(hide)'!A:D,2,0),IF('General Information'!$C$6="English",VLOOKUP(B77,'ESTRUTURA_MODULO(hide)'!A:D,3,0),IF('General Information'!$C$6="Español",VLOOKUP(B77,'ESTRUTURA_MODULO(hide)'!A:D,4,0))))</f>
        <v>Estoque</v>
      </c>
      <c r="E77" s="254">
        <v>147</v>
      </c>
      <c r="F77" s="73" t="str">
        <f>IF('General Information'!$C$6="Português",VLOOKUP(E77,'BASE_FUNCOES (hide)'!A:H,2,0),IF('General Information'!$C$6="English",VLOOKUP(E77,'BASE_FUNCOES (hide)'!A:H,3,0),IF('General Information'!$C$6="Español",VLOOKUP(E77,'BASE_FUNCOES (hide)'!A:H,4,0))))</f>
        <v>Dispensário Eletrônico</v>
      </c>
      <c r="G77" s="73" t="str">
        <f>IF(AND('General Information'!$D$16=1,VLOOKUP(B77,Modules!$B$5:$E$496,4,0)=1)=TRUE,VLOOKUP('Hours Detail'!E77,'BASE_FUNCOES (hide)'!$A:$V,10,0),IF(AND('General Information'!$D$16=2,VLOOKUP(B77,Modules!$B$5:$E$496,4,0)=1)=TRUE,VLOOKUP('Hours Detail'!E77,'BASE_FUNCOES (hide)'!$A:$V,11,0),IF(AND('General Information'!$D$16=3,VLOOKUP(B77,Modules!$B$5:$E$496,4,0)=1)=TRUE,VLOOKUP('Hours Detail'!E77,'BASE_FUNCOES (hide)'!$A:$V,12,0),IF(AND('General Information'!$D$16=4,VLOOKUP(B77,Modules!$B$5:$E$496,4,0)=1)=TRUE,VLOOKUP('Hours Detail'!E77,'BASE_FUNCOES (hide)'!$A:$V,13,0),IF(AND('General Information'!$D$16=5,VLOOKUP(B77,Modules!$B$5:$E$496,4,0)=1)=TRUE,VLOOKUP('Hours Detail'!E77,'BASE_FUNCOES (hide)'!$A:$V,14,0),  IF(AND('General Information'!$D$16=6,VLOOKUP(B77,Modules!$B$5:$E$496,4,0)=1)=TRUE,VLOOKUP('Hours Detail'!E77,'BASE_FUNCOES (hide)'!$A:$V,15,0),"No"))))))</f>
        <v>No</v>
      </c>
      <c r="H77" s="22" t="str">
        <f t="shared" si="2"/>
        <v>No</v>
      </c>
      <c r="I77" s="75">
        <f>IF('General Information'!$C$4="Mexico",(ROUNDUP(VLOOKUP(E77,'BASE_FUNCOES (hide)'!A:X,21,0),0)),(ROUNDUP(VLOOKUP(E77,'BASE_FUNCOES (hide)'!A:L,9,0),0)))</f>
        <v>16</v>
      </c>
      <c r="J77" s="75">
        <f>ROUNDUP(SUMIF(Questions!$E$5:$E$558,'Hours Detail'!E77,Questions!$F$5:$F$558),0)</f>
        <v>0</v>
      </c>
      <c r="K77" s="76">
        <f>IF(H77="Yes",ROUNDUP(IF(VLOOKUP(E77,'BASE_FUNCOES (hide)'!A:T,16,FALSE)&lt;&gt;"No",IF('General Information'!$C$19="HTML5",(I77+J77)*'BASE_FUNCOES (hide)'!$T$2,I77+J77),I77+J77),I77+J77),I77+J77)</f>
        <v>16</v>
      </c>
      <c r="L77" s="265" t="str">
        <f>IF(OR(E77=121,E77=88,E77=2682,E77=2703,E77=2687,E77=2689,E77=2681,E77=2685)=FALSE,"",IF('General Information'!$C$19="HTML5","FUNÇÃO DISPONÍVEL APENAS PARA BRASIL",IF(J78&lt;&gt;0,VLOOKUP(E78,Questions!$E$5:$L$568,5,0),"")))</f>
        <v/>
      </c>
      <c r="M77" s="164" t="s">
        <v>2396</v>
      </c>
      <c r="N77" s="369" t="s">
        <v>2377</v>
      </c>
    </row>
    <row r="78" spans="1:14" outlineLevel="1">
      <c r="A78" s="59"/>
      <c r="B78" s="72">
        <f>VLOOKUP('Hours Detail'!E78,'BASE_FUNCOES (hide)'!A:W,5,FALSE)</f>
        <v>4</v>
      </c>
      <c r="C78" s="72" t="s">
        <v>5929</v>
      </c>
      <c r="D78" s="73" t="str">
        <f>IF('General Information'!$C$6="Português",VLOOKUP(B78,'ESTRUTURA_MODULO(hide)'!A:D,2,0),IF('General Information'!$C$6="English",VLOOKUP(B78,'ESTRUTURA_MODULO(hide)'!A:D,3,0),IF('General Information'!$C$6="Español",VLOOKUP(B78,'ESTRUTURA_MODULO(hide)'!A:D,4,0))))</f>
        <v>Estoque</v>
      </c>
      <c r="E78" s="254">
        <v>7005</v>
      </c>
      <c r="F78" s="73" t="str">
        <f>IF('General Information'!$C$6="Português",VLOOKUP(E78,'BASE_FUNCOES (hide)'!A:H,2,0),IF('General Information'!$C$6="English",VLOOKUP(E78,'BASE_FUNCOES (hide)'!A:H,3,0),IF('General Information'!$C$6="Español",VLOOKUP(E78,'BASE_FUNCOES (hide)'!A:H,4,0))))</f>
        <v>Gestão das Caixas de OPME</v>
      </c>
      <c r="G78" s="73" t="str">
        <f>IF(AND('General Information'!$D$16=1,VLOOKUP(B78,Modules!$B$5:$E$496,4,0)=1)=TRUE,VLOOKUP('Hours Detail'!E78,'BASE_FUNCOES (hide)'!$A:$V,10,0),IF(AND('General Information'!$D$16=2,VLOOKUP(B78,Modules!$B$5:$E$496,4,0)=1)=TRUE,VLOOKUP('Hours Detail'!E78,'BASE_FUNCOES (hide)'!$A:$V,11,0),IF(AND('General Information'!$D$16=3,VLOOKUP(B78,Modules!$B$5:$E$496,4,0)=1)=TRUE,VLOOKUP('Hours Detail'!E78,'BASE_FUNCOES (hide)'!$A:$V,12,0),IF(AND('General Information'!$D$16=4,VLOOKUP(B78,Modules!$B$5:$E$496,4,0)=1)=TRUE,VLOOKUP('Hours Detail'!E78,'BASE_FUNCOES (hide)'!$A:$V,13,0),IF(AND('General Information'!$D$16=5,VLOOKUP(B78,Modules!$B$5:$E$496,4,0)=1)=TRUE,VLOOKUP('Hours Detail'!E78,'BASE_FUNCOES (hide)'!$A:$V,14,0),  IF(AND('General Information'!$D$16=6,VLOOKUP(B78,Modules!$B$5:$E$496,4,0)=1)=TRUE,VLOOKUP('Hours Detail'!E78,'BASE_FUNCOES (hide)'!$A:$V,15,0),"No"))))))</f>
        <v>No</v>
      </c>
      <c r="H78" s="22" t="str">
        <f t="shared" si="2"/>
        <v>No</v>
      </c>
      <c r="I78" s="75">
        <f>IF('General Information'!$C$4="Mexico",(ROUNDUP(VLOOKUP(E78,'BASE_FUNCOES (hide)'!A:X,21,0),0)),(ROUNDUP(VLOOKUP(E78,'BASE_FUNCOES (hide)'!A:L,9,0),0)))</f>
        <v>4</v>
      </c>
      <c r="J78" s="75">
        <f>ROUNDUP(SUMIF(Questions!$E$5:$E$558,'Hours Detail'!E78,Questions!$F$5:$F$558),0)</f>
        <v>0</v>
      </c>
      <c r="K78" s="76">
        <f>IF(H78="Yes",ROUNDUP(IF(VLOOKUP(E78,'BASE_FUNCOES (hide)'!A:T,16,FALSE)&lt;&gt;"No",IF('General Information'!$C$19="HTML5",(I78+J78)*'BASE_FUNCOES (hide)'!$T$2,I78+J78),I78+J78),I78+J78),I78+J78)</f>
        <v>4</v>
      </c>
      <c r="L78" s="265" t="str">
        <f>IF(OR(E78=121,E78=88,E78=2682,E78=2703,E78=2687,E78=2689,E78=2681,E78=2685)=FALSE,"",IF('General Information'!$C$19="HTML5","FUNÇÃO DISPONÍVEL APENAS PARA BRASIL",IF(J79&lt;&gt;0,VLOOKUP(E79,Questions!$E$5:$L$568,5,0),"")))</f>
        <v/>
      </c>
      <c r="M78" s="164" t="s">
        <v>2396</v>
      </c>
      <c r="N78" s="369" t="s">
        <v>2377</v>
      </c>
    </row>
    <row r="79" spans="1:14" outlineLevel="1">
      <c r="A79" s="59"/>
      <c r="B79" s="72">
        <f>VLOOKUP('Hours Detail'!E79,'BASE_FUNCOES (hide)'!A:W,5,FALSE)</f>
        <v>4</v>
      </c>
      <c r="C79" s="72" t="s">
        <v>5929</v>
      </c>
      <c r="D79" s="73" t="str">
        <f>IF('General Information'!$C$6="Português",VLOOKUP(B79,'ESTRUTURA_MODULO(hide)'!A:D,2,0),IF('General Information'!$C$6="English",VLOOKUP(B79,'ESTRUTURA_MODULO(hide)'!A:D,3,0),IF('General Information'!$C$6="Español",VLOOKUP(B79,'ESTRUTURA_MODULO(hide)'!A:D,4,0))))</f>
        <v>Estoque</v>
      </c>
      <c r="E79" s="254">
        <v>10025</v>
      </c>
      <c r="F79" s="73" t="str">
        <f>IF('General Information'!$C$6="Português",VLOOKUP(E79,'BASE_FUNCOES (hide)'!A:H,2,0),IF('General Information'!$C$6="English",VLOOKUP(E79,'BASE_FUNCOES (hide)'!A:H,3,0),IF('General Information'!$C$6="Español",VLOOKUP(E79,'BASE_FUNCOES (hide)'!A:H,4,0))))</f>
        <v>Gestão de Produção de OPM</v>
      </c>
      <c r="G79" s="73" t="str">
        <f>IF(AND('General Information'!$D$16=1,VLOOKUP(B79,Modules!$B$5:$E$496,4,0)=1)=TRUE,VLOOKUP('Hours Detail'!E79,'BASE_FUNCOES (hide)'!$A:$V,10,0),IF(AND('General Information'!$D$16=2,VLOOKUP(B79,Modules!$B$5:$E$496,4,0)=1)=TRUE,VLOOKUP('Hours Detail'!E79,'BASE_FUNCOES (hide)'!$A:$V,11,0),IF(AND('General Information'!$D$16=3,VLOOKUP(B79,Modules!$B$5:$E$496,4,0)=1)=TRUE,VLOOKUP('Hours Detail'!E79,'BASE_FUNCOES (hide)'!$A:$V,12,0),IF(AND('General Information'!$D$16=4,VLOOKUP(B79,Modules!$B$5:$E$496,4,0)=1)=TRUE,VLOOKUP('Hours Detail'!E79,'BASE_FUNCOES (hide)'!$A:$V,13,0),IF(AND('General Information'!$D$16=5,VLOOKUP(B79,Modules!$B$5:$E$496,4,0)=1)=TRUE,VLOOKUP('Hours Detail'!E79,'BASE_FUNCOES (hide)'!$A:$V,14,0),  IF(AND('General Information'!$D$16=6,VLOOKUP(B79,Modules!$B$5:$E$496,4,0)=1)=TRUE,VLOOKUP('Hours Detail'!E79,'BASE_FUNCOES (hide)'!$A:$V,15,0),"No"))))))</f>
        <v>No</v>
      </c>
      <c r="H79" s="22" t="str">
        <f t="shared" si="2"/>
        <v>No</v>
      </c>
      <c r="I79" s="75">
        <f>IF('General Information'!$C$4="Mexico",(ROUNDUP(VLOOKUP(E79,'BASE_FUNCOES (hide)'!A:X,21,0),0)),(ROUNDUP(VLOOKUP(E79,'BASE_FUNCOES (hide)'!A:L,9,0),0)))</f>
        <v>40</v>
      </c>
      <c r="J79" s="75">
        <f>ROUNDUP(SUMIF(Questions!$E$5:$E$558,'Hours Detail'!E79,Questions!$F$5:$F$558),0)</f>
        <v>0</v>
      </c>
      <c r="K79" s="76">
        <f>IF(H79="Yes",ROUNDUP(IF(VLOOKUP(E79,'BASE_FUNCOES (hide)'!A:T,16,FALSE)&lt;&gt;"No",IF('General Information'!$C$19="HTML5",(I79+J79)*'BASE_FUNCOES (hide)'!$T$2,I79+J79),I79+J79),I79+J79),I79+J79)</f>
        <v>40</v>
      </c>
      <c r="L79" s="265" t="str">
        <f>IF(OR(E79=121,E79=88,E79=2682,E79=2703,E79=2687,E79=2689,E79=2681,E79=2685)=FALSE,"",IF('General Information'!$C$19="HTML5","FUNÇÃO DISPONÍVEL APENAS PARA BRASIL",IF(J80&lt;&gt;0,VLOOKUP(E80,Questions!$E$5:$L$568,5,0),"")))</f>
        <v/>
      </c>
      <c r="M79" s="164" t="s">
        <v>2396</v>
      </c>
      <c r="N79" s="369" t="s">
        <v>2377</v>
      </c>
    </row>
    <row r="80" spans="1:14" ht="14.5" customHeight="1" outlineLevel="1">
      <c r="A80" s="59"/>
      <c r="B80" s="72">
        <f>VLOOKUP('Hours Detail'!E80,'BASE_FUNCOES (hide)'!A:W,5,FALSE)</f>
        <v>87</v>
      </c>
      <c r="C80" s="72" t="s">
        <v>5929</v>
      </c>
      <c r="D80" s="73" t="str">
        <f>IF('General Information'!$C$6="Português",VLOOKUP(B80,'ESTRUTURA_MODULO(hide)'!A:D,2,0),IF('General Information'!$C$6="English",VLOOKUP(B80,'ESTRUTURA_MODULO(hide)'!A:D,3,0),IF('General Information'!$C$6="Español",VLOOKUP(B80,'ESTRUTURA_MODULO(hide)'!A:D,4,0))))</f>
        <v>Agenda</v>
      </c>
      <c r="E80" s="254">
        <v>821</v>
      </c>
      <c r="F80" s="73" t="str">
        <f>IF('General Information'!$C$6="Português",VLOOKUP(E80,'BASE_FUNCOES (hide)'!A:H,2,0),IF('General Information'!$C$6="English",VLOOKUP(E80,'BASE_FUNCOES (hide)'!A:H,3,0),IF('General Information'!$C$6="Español",VLOOKUP(E80,'BASE_FUNCOES (hide)'!A:H,4,0))))</f>
        <v>Agenda de Consultas</v>
      </c>
      <c r="G80" s="73" t="str">
        <f>IF(AND('General Information'!$D$16=1,VLOOKUP(B80,Modules!$B$5:$E$496,4,0)=1)=TRUE,VLOOKUP('Hours Detail'!E80,'BASE_FUNCOES (hide)'!$A:$V,10,0),IF(AND('General Information'!$D$16=2,VLOOKUP(B80,Modules!$B$5:$E$496,4,0)=1)=TRUE,VLOOKUP('Hours Detail'!E80,'BASE_FUNCOES (hide)'!$A:$V,11,0),IF(AND('General Information'!$D$16=3,VLOOKUP(B80,Modules!$B$5:$E$496,4,0)=1)=TRUE,VLOOKUP('Hours Detail'!E80,'BASE_FUNCOES (hide)'!$A:$V,12,0),IF(AND('General Information'!$D$16=4,VLOOKUP(B80,Modules!$B$5:$E$496,4,0)=1)=TRUE,VLOOKUP('Hours Detail'!E80,'BASE_FUNCOES (hide)'!$A:$V,13,0),IF(AND('General Information'!$D$16=5,VLOOKUP(B80,Modules!$B$5:$E$496,4,0)=1)=TRUE,VLOOKUP('Hours Detail'!E80,'BASE_FUNCOES (hide)'!$A:$V,14,0),  IF(AND('General Information'!$D$16=6,VLOOKUP(B80,Modules!$B$5:$E$496,4,0)=1)=TRUE,VLOOKUP('Hours Detail'!E80,'BASE_FUNCOES (hide)'!$A:$V,15,0),"No"))))))</f>
        <v>No</v>
      </c>
      <c r="H80" s="22" t="str">
        <f t="shared" si="2"/>
        <v>No</v>
      </c>
      <c r="I80" s="75">
        <f>IF('General Information'!$C$4="Mexico",(ROUNDUP(VLOOKUP(E80,'BASE_FUNCOES (hide)'!A:X,21,0),0)),(ROUNDUP(VLOOKUP(E80,'BASE_FUNCOES (hide)'!A:L,9,0),0)))</f>
        <v>16</v>
      </c>
      <c r="J80" s="75">
        <f>ROUNDUP(SUMIF(Questions!$E$5:$E$558,'Hours Detail'!E80,Questions!$F$5:$F$558),0)</f>
        <v>0</v>
      </c>
      <c r="K80" s="76">
        <f>IF(H80="Yes",ROUNDUP(IF(VLOOKUP(E80,'BASE_FUNCOES (hide)'!A:T,16,FALSE)&lt;&gt;"No",IF('General Information'!$C$19="HTML5",(I80+J80)*'BASE_FUNCOES (hide)'!$T$2,I80+J80),I80+J80),I80+J80),I80+J80)</f>
        <v>16</v>
      </c>
      <c r="L80" s="265" t="str">
        <f>IF(OR(E80=121,E80=88,E80=2682,E80=2703,E80=2687,E80=2689,E80=2681,E80=2685)=FALSE,"",IF('General Information'!$C$19="HTML5","FUNÇÃO DISPONÍVEL APENAS PARA BRASIL",IF(J81&lt;&gt;0,VLOOKUP(E81,Questions!$E$5:$L$568,5,0),"")))</f>
        <v/>
      </c>
      <c r="M80" s="164" t="s">
        <v>2396</v>
      </c>
      <c r="N80" s="369" t="s">
        <v>2377</v>
      </c>
    </row>
    <row r="81" spans="1:14" ht="14.5" customHeight="1" outlineLevel="1">
      <c r="A81" s="59"/>
      <c r="B81" s="72">
        <f>VLOOKUP('Hours Detail'!E81,'BASE_FUNCOES (hide)'!A:W,5,FALSE)</f>
        <v>87</v>
      </c>
      <c r="C81" s="72" t="s">
        <v>5929</v>
      </c>
      <c r="D81" s="73" t="str">
        <f>IF('General Information'!$C$6="Português",VLOOKUP(B81,'ESTRUTURA_MODULO(hide)'!A:D,2,0),IF('General Information'!$C$6="English",VLOOKUP(B81,'ESTRUTURA_MODULO(hide)'!A:D,3,0),IF('General Information'!$C$6="Español",VLOOKUP(B81,'ESTRUTURA_MODULO(hide)'!A:D,4,0))))</f>
        <v>Agenda</v>
      </c>
      <c r="E81" s="254">
        <v>820</v>
      </c>
      <c r="F81" s="73" t="str">
        <f>IF('General Information'!$C$6="Português",VLOOKUP(E81,'BASE_FUNCOES (hide)'!A:H,2,0),IF('General Information'!$C$6="English",VLOOKUP(E81,'BASE_FUNCOES (hide)'!A:H,3,0),IF('General Information'!$C$6="Español",VLOOKUP(E81,'BASE_FUNCOES (hide)'!A:H,4,0))))</f>
        <v>Agenda de Exames</v>
      </c>
      <c r="G81" s="73" t="str">
        <f>IF(AND('General Information'!$D$16=1,VLOOKUP(B81,Modules!$B$5:$E$496,4,0)=1)=TRUE,VLOOKUP('Hours Detail'!E81,'BASE_FUNCOES (hide)'!$A:$V,10,0),IF(AND('General Information'!$D$16=2,VLOOKUP(B81,Modules!$B$5:$E$496,4,0)=1)=TRUE,VLOOKUP('Hours Detail'!E81,'BASE_FUNCOES (hide)'!$A:$V,11,0),IF(AND('General Information'!$D$16=3,VLOOKUP(B81,Modules!$B$5:$E$496,4,0)=1)=TRUE,VLOOKUP('Hours Detail'!E81,'BASE_FUNCOES (hide)'!$A:$V,12,0),IF(AND('General Information'!$D$16=4,VLOOKUP(B81,Modules!$B$5:$E$496,4,0)=1)=TRUE,VLOOKUP('Hours Detail'!E81,'BASE_FUNCOES (hide)'!$A:$V,13,0),IF(AND('General Information'!$D$16=5,VLOOKUP(B81,Modules!$B$5:$E$496,4,0)=1)=TRUE,VLOOKUP('Hours Detail'!E81,'BASE_FUNCOES (hide)'!$A:$V,14,0),  IF(AND('General Information'!$D$16=6,VLOOKUP(B81,Modules!$B$5:$E$496,4,0)=1)=TRUE,VLOOKUP('Hours Detail'!E81,'BASE_FUNCOES (hide)'!$A:$V,15,0),"No"))))))</f>
        <v>No</v>
      </c>
      <c r="H81" s="22" t="str">
        <f t="shared" si="2"/>
        <v>No</v>
      </c>
      <c r="I81" s="75">
        <f>IF('General Information'!$C$4="Mexico",(ROUNDUP(VLOOKUP(E81,'BASE_FUNCOES (hide)'!A:X,21,0),0)),(ROUNDUP(VLOOKUP(E81,'BASE_FUNCOES (hide)'!A:L,9,0),0)))</f>
        <v>16</v>
      </c>
      <c r="J81" s="75">
        <f>ROUNDUP(SUMIF(Questions!$E$5:$E$558,'Hours Detail'!E81,Questions!$F$5:$F$558),0)</f>
        <v>0</v>
      </c>
      <c r="K81" s="76">
        <f>IF(H81="Yes",ROUNDUP(IF(VLOOKUP(E81,'BASE_FUNCOES (hide)'!A:T,16,FALSE)&lt;&gt;"No",IF('General Information'!$C$19="HTML5",(I81+J81)*'BASE_FUNCOES (hide)'!$T$2,I81+J81),I81+J81),I81+J81),I81+J81)</f>
        <v>16</v>
      </c>
      <c r="L81" s="265" t="str">
        <f>IF(OR(E81=121,E81=88,E81=2682,E81=2703,E81=2687,E81=2689,E81=2681,E81=2685)=FALSE,"",IF('General Information'!$C$19="HTML5","FUNÇÃO DISPONÍVEL APENAS PARA BRASIL",IF(J82&lt;&gt;0,VLOOKUP(E82,Questions!$E$5:$L$568,5,0),"")))</f>
        <v/>
      </c>
      <c r="M81" s="164" t="s">
        <v>2396</v>
      </c>
      <c r="N81" s="369" t="s">
        <v>2377</v>
      </c>
    </row>
    <row r="82" spans="1:14" ht="14.5" customHeight="1" outlineLevel="1">
      <c r="A82" s="59"/>
      <c r="B82" s="72">
        <f>VLOOKUP('Hours Detail'!E82,'BASE_FUNCOES (hide)'!A:W,5,FALSE)</f>
        <v>87</v>
      </c>
      <c r="C82" s="72" t="s">
        <v>5929</v>
      </c>
      <c r="D82" s="73" t="str">
        <f>IF('General Information'!$C$6="Português",VLOOKUP(B82,'ESTRUTURA_MODULO(hide)'!A:D,2,0),IF('General Information'!$C$6="English",VLOOKUP(B82,'ESTRUTURA_MODULO(hide)'!A:D,3,0),IF('General Information'!$C$6="Español",VLOOKUP(B82,'ESTRUTURA_MODULO(hide)'!A:D,4,0))))</f>
        <v>Agenda</v>
      </c>
      <c r="E82" s="254">
        <v>866</v>
      </c>
      <c r="F82" s="73" t="str">
        <f>IF('General Information'!$C$6="Português",VLOOKUP(E82,'BASE_FUNCOES (hide)'!A:H,2,0),IF('General Information'!$C$6="English",VLOOKUP(E82,'BASE_FUNCOES (hide)'!A:H,3,0),IF('General Information'!$C$6="Español",VLOOKUP(E82,'BASE_FUNCOES (hide)'!A:H,4,0))))</f>
        <v>Agenda de Serviços</v>
      </c>
      <c r="G82" s="73" t="str">
        <f>IF(AND('General Information'!$D$16=1,VLOOKUP(B82,Modules!$B$5:$E$496,4,0)=1)=TRUE,VLOOKUP('Hours Detail'!E82,'BASE_FUNCOES (hide)'!$A:$V,10,0),IF(AND('General Information'!$D$16=2,VLOOKUP(B82,Modules!$B$5:$E$496,4,0)=1)=TRUE,VLOOKUP('Hours Detail'!E82,'BASE_FUNCOES (hide)'!$A:$V,11,0),IF(AND('General Information'!$D$16=3,VLOOKUP(B82,Modules!$B$5:$E$496,4,0)=1)=TRUE,VLOOKUP('Hours Detail'!E82,'BASE_FUNCOES (hide)'!$A:$V,12,0),IF(AND('General Information'!$D$16=4,VLOOKUP(B82,Modules!$B$5:$E$496,4,0)=1)=TRUE,VLOOKUP('Hours Detail'!E82,'BASE_FUNCOES (hide)'!$A:$V,13,0),IF(AND('General Information'!$D$16=5,VLOOKUP(B82,Modules!$B$5:$E$496,4,0)=1)=TRUE,VLOOKUP('Hours Detail'!E82,'BASE_FUNCOES (hide)'!$A:$V,14,0),  IF(AND('General Information'!$D$16=6,VLOOKUP(B82,Modules!$B$5:$E$496,4,0)=1)=TRUE,VLOOKUP('Hours Detail'!E82,'BASE_FUNCOES (hide)'!$A:$V,15,0),"No"))))))</f>
        <v>No</v>
      </c>
      <c r="H82" s="22" t="str">
        <f t="shared" ref="H82:H145" si="3">G82</f>
        <v>No</v>
      </c>
      <c r="I82" s="75">
        <f>IF('General Information'!$C$4="Mexico",(ROUNDUP(VLOOKUP(E82,'BASE_FUNCOES (hide)'!A:X,21,0),0)),(ROUNDUP(VLOOKUP(E82,'BASE_FUNCOES (hide)'!A:L,9,0),0)))</f>
        <v>16</v>
      </c>
      <c r="J82" s="75">
        <f>ROUNDUP(SUMIF(Questions!$E$5:$E$558,'Hours Detail'!E82,Questions!$F$5:$F$558),0)</f>
        <v>0</v>
      </c>
      <c r="K82" s="76">
        <f>IF(H82="Yes",ROUNDUP(IF(VLOOKUP(E82,'BASE_FUNCOES (hide)'!A:T,16,FALSE)&lt;&gt;"No",IF('General Information'!$C$19="HTML5",(I82+J82)*'BASE_FUNCOES (hide)'!$T$2,I82+J82),I82+J82),I82+J82),I82+J82)</f>
        <v>16</v>
      </c>
      <c r="L82" s="265" t="str">
        <f>IF(OR(E82=121,E82=88,E82=2682,E82=2703,E82=2687,E82=2689,E82=2681,E82=2685)=FALSE,"",IF('General Information'!$C$19="HTML5","FUNÇÃO DISPONÍVEL APENAS PARA BRASIL",IF(J83&lt;&gt;0,VLOOKUP(E83,Questions!$E$5:$L$568,5,0),"")))</f>
        <v/>
      </c>
      <c r="M82" s="164" t="s">
        <v>2396</v>
      </c>
      <c r="N82" s="369" t="s">
        <v>2377</v>
      </c>
    </row>
    <row r="83" spans="1:14" ht="14.5" customHeight="1" outlineLevel="1">
      <c r="A83" s="59"/>
      <c r="B83" s="72">
        <f>VLOOKUP('Hours Detail'!E83,'BASE_FUNCOES (hide)'!A:W,5,FALSE)</f>
        <v>87</v>
      </c>
      <c r="C83" s="72" t="s">
        <v>5929</v>
      </c>
      <c r="D83" s="73" t="str">
        <f>IF('General Information'!$C$6="Português",VLOOKUP(B83,'ESTRUTURA_MODULO(hide)'!A:D,2,0),IF('General Information'!$C$6="English",VLOOKUP(B83,'ESTRUTURA_MODULO(hide)'!A:D,3,0),IF('General Information'!$C$6="Español",VLOOKUP(B83,'ESTRUTURA_MODULO(hide)'!A:D,4,0))))</f>
        <v>Agenda</v>
      </c>
      <c r="E83" s="254">
        <v>869</v>
      </c>
      <c r="F83" s="73" t="str">
        <f>IF('General Information'!$C$6="Português",VLOOKUP(E83,'BASE_FUNCOES (hide)'!A:H,2,0),IF('General Information'!$C$6="English",VLOOKUP(E83,'BASE_FUNCOES (hide)'!A:H,3,0),IF('General Information'!$C$6="Español",VLOOKUP(E83,'BASE_FUNCOES (hide)'!A:H,4,0))))</f>
        <v>Agenda Integrada</v>
      </c>
      <c r="G83" s="73" t="str">
        <f>IF(AND('General Information'!$D$16=1,VLOOKUP(B83,Modules!$B$5:$E$496,4,0)=1)=TRUE,VLOOKUP('Hours Detail'!E83,'BASE_FUNCOES (hide)'!$A:$V,10,0),IF(AND('General Information'!$D$16=2,VLOOKUP(B83,Modules!$B$5:$E$496,4,0)=1)=TRUE,VLOOKUP('Hours Detail'!E83,'BASE_FUNCOES (hide)'!$A:$V,11,0),IF(AND('General Information'!$D$16=3,VLOOKUP(B83,Modules!$B$5:$E$496,4,0)=1)=TRUE,VLOOKUP('Hours Detail'!E83,'BASE_FUNCOES (hide)'!$A:$V,12,0),IF(AND('General Information'!$D$16=4,VLOOKUP(B83,Modules!$B$5:$E$496,4,0)=1)=TRUE,VLOOKUP('Hours Detail'!E83,'BASE_FUNCOES (hide)'!$A:$V,13,0),IF(AND('General Information'!$D$16=5,VLOOKUP(B83,Modules!$B$5:$E$496,4,0)=1)=TRUE,VLOOKUP('Hours Detail'!E83,'BASE_FUNCOES (hide)'!$A:$V,14,0),  IF(AND('General Information'!$D$16=6,VLOOKUP(B83,Modules!$B$5:$E$496,4,0)=1)=TRUE,VLOOKUP('Hours Detail'!E83,'BASE_FUNCOES (hide)'!$A:$V,15,0),"No"))))))</f>
        <v>No</v>
      </c>
      <c r="H83" s="22" t="str">
        <f t="shared" si="3"/>
        <v>No</v>
      </c>
      <c r="I83" s="75">
        <f>IF('General Information'!$C$4="Mexico",(ROUNDUP(VLOOKUP(E83,'BASE_FUNCOES (hide)'!A:X,21,0),0)),(ROUNDUP(VLOOKUP(E83,'BASE_FUNCOES (hide)'!A:L,9,0),0)))</f>
        <v>24</v>
      </c>
      <c r="J83" s="75">
        <f>ROUNDUP(SUMIF(Questions!$E$5:$E$558,'Hours Detail'!E83,Questions!$F$5:$F$558),0)</f>
        <v>0</v>
      </c>
      <c r="K83" s="76">
        <f>IF(H83="Yes",ROUNDUP(IF(VLOOKUP(E83,'BASE_FUNCOES (hide)'!A:T,16,FALSE)&lt;&gt;"No",IF('General Information'!$C$19="HTML5",(I83+J83)*'BASE_FUNCOES (hide)'!$T$2,I83+J83),I83+J83),I83+J83),I83+J83)</f>
        <v>24</v>
      </c>
      <c r="L83" s="265" t="str">
        <f>IF(OR(E83=121,E83=88,E83=2682,E83=2703,E83=2687,E83=2689,E83=2681,E83=2685)=FALSE,"",IF('General Information'!$C$19="HTML5","FUNÇÃO DISPONÍVEL APENAS PARA BRASIL",IF(J84&lt;&gt;0,VLOOKUP(E84,Questions!$E$5:$L$568,5,0),"")))</f>
        <v/>
      </c>
      <c r="M83" s="164" t="s">
        <v>2396</v>
      </c>
      <c r="N83" s="369" t="s">
        <v>2377</v>
      </c>
    </row>
    <row r="84" spans="1:14" ht="14.5" customHeight="1" outlineLevel="1">
      <c r="A84" s="59"/>
      <c r="B84" s="72">
        <f>VLOOKUP('Hours Detail'!E84,'BASE_FUNCOES (hide)'!A:W,5,FALSE)</f>
        <v>87</v>
      </c>
      <c r="C84" s="72" t="s">
        <v>5929</v>
      </c>
      <c r="D84" s="73" t="str">
        <f>IF('General Information'!$C$6="Português",VLOOKUP(B84,'ESTRUTURA_MODULO(hide)'!A:D,2,0),IF('General Information'!$C$6="English",VLOOKUP(B84,'ESTRUTURA_MODULO(hide)'!A:D,3,0),IF('General Information'!$C$6="Español",VLOOKUP(B84,'ESTRUTURA_MODULO(hide)'!A:D,4,0))))</f>
        <v>Agenda</v>
      </c>
      <c r="E84" s="254">
        <v>871</v>
      </c>
      <c r="F84" s="73" t="str">
        <f>IF('General Information'!$C$6="Português",VLOOKUP(E84,'BASE_FUNCOES (hide)'!A:H,2,0),IF('General Information'!$C$6="English",VLOOKUP(E84,'BASE_FUNCOES (hide)'!A:H,3,0),IF('General Information'!$C$6="Español",VLOOKUP(E84,'BASE_FUNCOES (hide)'!A:H,4,0))))</f>
        <v>Gestão da Agenda Cirúrgica</v>
      </c>
      <c r="G84" s="73" t="str">
        <f>IF(AND('General Information'!$D$16=1,VLOOKUP(B84,Modules!$B$5:$E$496,4,0)=1)=TRUE,VLOOKUP('Hours Detail'!E84,'BASE_FUNCOES (hide)'!$A:$V,10,0),IF(AND('General Information'!$D$16=2,VLOOKUP(B84,Modules!$B$5:$E$496,4,0)=1)=TRUE,VLOOKUP('Hours Detail'!E84,'BASE_FUNCOES (hide)'!$A:$V,11,0),IF(AND('General Information'!$D$16=3,VLOOKUP(B84,Modules!$B$5:$E$496,4,0)=1)=TRUE,VLOOKUP('Hours Detail'!E84,'BASE_FUNCOES (hide)'!$A:$V,12,0),IF(AND('General Information'!$D$16=4,VLOOKUP(B84,Modules!$B$5:$E$496,4,0)=1)=TRUE,VLOOKUP('Hours Detail'!E84,'BASE_FUNCOES (hide)'!$A:$V,13,0),IF(AND('General Information'!$D$16=5,VLOOKUP(B84,Modules!$B$5:$E$496,4,0)=1)=TRUE,VLOOKUP('Hours Detail'!E84,'BASE_FUNCOES (hide)'!$A:$V,14,0),  IF(AND('General Information'!$D$16=6,VLOOKUP(B84,Modules!$B$5:$E$496,4,0)=1)=TRUE,VLOOKUP('Hours Detail'!E84,'BASE_FUNCOES (hide)'!$A:$V,15,0),"No"))))))</f>
        <v>No</v>
      </c>
      <c r="H84" s="22" t="str">
        <f t="shared" si="3"/>
        <v>No</v>
      </c>
      <c r="I84" s="75">
        <f>IF('General Information'!$C$4="Mexico",(ROUNDUP(VLOOKUP(E84,'BASE_FUNCOES (hide)'!A:X,21,0),0)),(ROUNDUP(VLOOKUP(E84,'BASE_FUNCOES (hide)'!A:L,9,0),0)))</f>
        <v>32</v>
      </c>
      <c r="J84" s="75">
        <f>ROUNDUP(SUMIF(Questions!$E$5:$E$558,'Hours Detail'!E84,Questions!$F$5:$F$558),0)</f>
        <v>0</v>
      </c>
      <c r="K84" s="76">
        <f>IF(H84="Yes",ROUNDUP(IF(VLOOKUP(E84,'BASE_FUNCOES (hide)'!A:T,16,FALSE)&lt;&gt;"No",IF('General Information'!$C$19="HTML5",(I84+J84)*'BASE_FUNCOES (hide)'!$T$2,I84+J84),I84+J84),I84+J84),I84+J84)</f>
        <v>32</v>
      </c>
      <c r="L84" s="265" t="str">
        <f>IF(OR(E84=121,E84=88,E84=2682,E84=2703,E84=2687,E84=2689,E84=2681,E84=2685)=FALSE,"",IF('General Information'!$C$19="HTML5","FUNÇÃO DISPONÍVEL APENAS PARA BRASIL",IF(J85&lt;&gt;0,VLOOKUP(E85,Questions!$E$5:$L$568,5,0),"")))</f>
        <v/>
      </c>
      <c r="M84" s="164" t="s">
        <v>2396</v>
      </c>
      <c r="N84" s="369" t="s">
        <v>2377</v>
      </c>
    </row>
    <row r="85" spans="1:14" ht="14.5" customHeight="1" outlineLevel="1">
      <c r="A85" s="59"/>
      <c r="B85" s="72">
        <f>VLOOKUP('Hours Detail'!E85,'BASE_FUNCOES (hide)'!A:W,5,FALSE)</f>
        <v>87</v>
      </c>
      <c r="C85" s="72" t="s">
        <v>5929</v>
      </c>
      <c r="D85" s="73" t="str">
        <f>IF('General Information'!$C$6="Português",VLOOKUP(B85,'ESTRUTURA_MODULO(hide)'!A:D,2,0),IF('General Information'!$C$6="English",VLOOKUP(B85,'ESTRUTURA_MODULO(hide)'!A:D,3,0),IF('General Information'!$C$6="Español",VLOOKUP(B85,'ESTRUTURA_MODULO(hide)'!A:D,4,0))))</f>
        <v>Agenda</v>
      </c>
      <c r="E85" s="254">
        <v>10000</v>
      </c>
      <c r="F85" s="73" t="str">
        <f>IF('General Information'!$C$6="Português",VLOOKUP(E85,'BASE_FUNCOES (hide)'!A:H,2,0),IF('General Information'!$C$6="English",VLOOKUP(E85,'BASE_FUNCOES (hide)'!A:H,3,0),IF('General Information'!$C$6="Español",VLOOKUP(E85,'BASE_FUNCOES (hide)'!A:H,4,0))))</f>
        <v>Gestão de Atendimento Futuro</v>
      </c>
      <c r="G85" s="73" t="str">
        <f>IF(AND('General Information'!$D$16=1,VLOOKUP(B85,Modules!$B$5:$E$496,4,0)=1)=TRUE,VLOOKUP('Hours Detail'!E85,'BASE_FUNCOES (hide)'!$A:$V,10,0),IF(AND('General Information'!$D$16=2,VLOOKUP(B85,Modules!$B$5:$E$496,4,0)=1)=TRUE,VLOOKUP('Hours Detail'!E85,'BASE_FUNCOES (hide)'!$A:$V,11,0),IF(AND('General Information'!$D$16=3,VLOOKUP(B85,Modules!$B$5:$E$496,4,0)=1)=TRUE,VLOOKUP('Hours Detail'!E85,'BASE_FUNCOES (hide)'!$A:$V,12,0),IF(AND('General Information'!$D$16=4,VLOOKUP(B85,Modules!$B$5:$E$496,4,0)=1)=TRUE,VLOOKUP('Hours Detail'!E85,'BASE_FUNCOES (hide)'!$A:$V,13,0),IF(AND('General Information'!$D$16=5,VLOOKUP(B85,Modules!$B$5:$E$496,4,0)=1)=TRUE,VLOOKUP('Hours Detail'!E85,'BASE_FUNCOES (hide)'!$A:$V,14,0),  IF(AND('General Information'!$D$16=6,VLOOKUP(B85,Modules!$B$5:$E$496,4,0)=1)=TRUE,VLOOKUP('Hours Detail'!E85,'BASE_FUNCOES (hide)'!$A:$V,15,0),"No"))))))</f>
        <v>No</v>
      </c>
      <c r="H85" s="22" t="str">
        <f t="shared" si="3"/>
        <v>No</v>
      </c>
      <c r="I85" s="75">
        <f>IF('General Information'!$C$4="Mexico",(ROUNDUP(VLOOKUP(E85,'BASE_FUNCOES (hide)'!A:X,21,0),0)),(ROUNDUP(VLOOKUP(E85,'BASE_FUNCOES (hide)'!A:L,9,0),0)))</f>
        <v>16</v>
      </c>
      <c r="J85" s="75">
        <f>ROUNDUP(SUMIF(Questions!$E$5:$E$558,'Hours Detail'!E85,Questions!$F$5:$F$558),0)</f>
        <v>0</v>
      </c>
      <c r="K85" s="76">
        <f>IF(H85="Yes",ROUNDUP(IF(VLOOKUP(E85,'BASE_FUNCOES (hide)'!A:T,16,FALSE)&lt;&gt;"No",IF('General Information'!$C$19="HTML5",(I85+J85)*'BASE_FUNCOES (hide)'!$T$2,I85+J85),I85+J85),I85+J85),I85+J85)</f>
        <v>16</v>
      </c>
      <c r="L85" s="265" t="str">
        <f>IF(OR(E85=121,E85=88,E85=2682,E85=2703,E85=2687,E85=2689,E85=2681,E85=2685)=FALSE,"",IF('General Information'!$C$19="HTML5","FUNÇÃO DISPONÍVEL APENAS PARA BRASIL",IF(J86&lt;&gt;0,VLOOKUP(E86,Questions!$E$5:$L$568,5,0),"")))</f>
        <v/>
      </c>
      <c r="M85" s="164" t="s">
        <v>2396</v>
      </c>
      <c r="N85" s="369" t="s">
        <v>2377</v>
      </c>
    </row>
    <row r="86" spans="1:14" ht="14.5" customHeight="1" outlineLevel="1">
      <c r="A86" s="59"/>
      <c r="B86" s="72">
        <f>VLOOKUP('Hours Detail'!E86,'BASE_FUNCOES (hide)'!A:W,5,FALSE)</f>
        <v>87</v>
      </c>
      <c r="C86" s="72" t="s">
        <v>5929</v>
      </c>
      <c r="D86" s="73" t="str">
        <f>IF('General Information'!$C$6="Português",VLOOKUP(B86,'ESTRUTURA_MODULO(hide)'!A:D,2,0),IF('General Information'!$C$6="English",VLOOKUP(B86,'ESTRUTURA_MODULO(hide)'!A:D,3,0),IF('General Information'!$C$6="Español",VLOOKUP(B86,'ESTRUTURA_MODULO(hide)'!A:D,4,0))))</f>
        <v>Agenda</v>
      </c>
      <c r="E86" s="254">
        <v>9021</v>
      </c>
      <c r="F86" s="73" t="str">
        <f>IF('General Information'!$C$6="Português",VLOOKUP(E86,'BASE_FUNCOES (hide)'!A:H,2,0),IF('General Information'!$C$6="English",VLOOKUP(E86,'BASE_FUNCOES (hide)'!A:H,3,0),IF('General Information'!$C$6="Español",VLOOKUP(E86,'BASE_FUNCOES (hide)'!A:H,4,0))))</f>
        <v>Painel de Chamadas do Agendamento</v>
      </c>
      <c r="G86" s="73" t="str">
        <f>IF(AND('General Information'!$D$16=1,VLOOKUP(B86,Modules!$B$5:$E$496,4,0)=1)=TRUE,VLOOKUP('Hours Detail'!E86,'BASE_FUNCOES (hide)'!$A:$V,10,0),IF(AND('General Information'!$D$16=2,VLOOKUP(B86,Modules!$B$5:$E$496,4,0)=1)=TRUE,VLOOKUP('Hours Detail'!E86,'BASE_FUNCOES (hide)'!$A:$V,11,0),IF(AND('General Information'!$D$16=3,VLOOKUP(B86,Modules!$B$5:$E$496,4,0)=1)=TRUE,VLOOKUP('Hours Detail'!E86,'BASE_FUNCOES (hide)'!$A:$V,12,0),IF(AND('General Information'!$D$16=4,VLOOKUP(B86,Modules!$B$5:$E$496,4,0)=1)=TRUE,VLOOKUP('Hours Detail'!E86,'BASE_FUNCOES (hide)'!$A:$V,13,0),IF(AND('General Information'!$D$16=5,VLOOKUP(B86,Modules!$B$5:$E$496,4,0)=1)=TRUE,VLOOKUP('Hours Detail'!E86,'BASE_FUNCOES (hide)'!$A:$V,14,0),  IF(AND('General Information'!$D$16=6,VLOOKUP(B86,Modules!$B$5:$E$496,4,0)=1)=TRUE,VLOOKUP('Hours Detail'!E86,'BASE_FUNCOES (hide)'!$A:$V,15,0),"No"))))))</f>
        <v>No</v>
      </c>
      <c r="H86" s="22" t="str">
        <f t="shared" si="3"/>
        <v>No</v>
      </c>
      <c r="I86" s="75">
        <f>IF('General Information'!$C$4="Mexico",(ROUNDUP(VLOOKUP(E86,'BASE_FUNCOES (hide)'!A:X,21,0),0)),(ROUNDUP(VLOOKUP(E86,'BASE_FUNCOES (hide)'!A:L,9,0),0)))</f>
        <v>4</v>
      </c>
      <c r="J86" s="75">
        <f>ROUNDUP(SUMIF(Questions!$E$5:$E$558,'Hours Detail'!E86,Questions!$F$5:$F$558),0)</f>
        <v>0</v>
      </c>
      <c r="K86" s="76">
        <f>IF(H86="Yes",ROUNDUP(IF(VLOOKUP(E86,'BASE_FUNCOES (hide)'!A:T,16,FALSE)&lt;&gt;"No",IF('General Information'!$C$19="HTML5",(I86+J86)*'BASE_FUNCOES (hide)'!$T$2,I86+J86),I86+J86),I86+J86),I86+J86)</f>
        <v>4</v>
      </c>
      <c r="L86" s="265" t="str">
        <f>IF(OR(E86=121,E86=88,E86=2682,E86=2703,E86=2687,E86=2689,E86=2681,E86=2685)=FALSE,"",IF('General Information'!$C$19="HTML5","FUNÇÃO DISPONÍVEL APENAS PARA BRASIL",IF(J87&lt;&gt;0,VLOOKUP(E87,Questions!$E$5:$L$568,5,0),"")))</f>
        <v/>
      </c>
      <c r="M86" s="164" t="s">
        <v>2396</v>
      </c>
      <c r="N86" s="369" t="s">
        <v>2377</v>
      </c>
    </row>
    <row r="87" spans="1:14" ht="14.5" customHeight="1" outlineLevel="1">
      <c r="A87" s="59"/>
      <c r="B87" s="72">
        <f>VLOOKUP('Hours Detail'!E87,'BASE_FUNCOES (hide)'!A:W,5,FALSE)</f>
        <v>20</v>
      </c>
      <c r="C87" s="72" t="s">
        <v>5929</v>
      </c>
      <c r="D87" s="73" t="str">
        <f>IF('General Information'!$C$6="Português",VLOOKUP(B87,'ESTRUTURA_MODULO(hide)'!A:D,2,0),IF('General Information'!$C$6="English",VLOOKUP(B87,'ESTRUTURA_MODULO(hide)'!A:D,3,0),IF('General Information'!$C$6="Español",VLOOKUP(B87,'ESTRUTURA_MODULO(hide)'!A:D,4,0))))</f>
        <v>SAC</v>
      </c>
      <c r="E87" s="254">
        <v>2000</v>
      </c>
      <c r="F87" s="73" t="str">
        <f>IF('General Information'!$C$6="Português",VLOOKUP(E87,'BASE_FUNCOES (hide)'!A:H,2,0),IF('General Information'!$C$6="English",VLOOKUP(E87,'BASE_FUNCOES (hide)'!A:H,3,0),IF('General Information'!$C$6="Español",VLOOKUP(E87,'BASE_FUNCOES (hide)'!A:H,4,0))))</f>
        <v>Boletim de Ocorrência</v>
      </c>
      <c r="G87" s="73" t="str">
        <f>IF(AND('General Information'!$D$16=1,VLOOKUP(B87,Modules!$B$5:$E$496,4,0)=1)=TRUE,VLOOKUP('Hours Detail'!E87,'BASE_FUNCOES (hide)'!$A:$V,10,0),IF(AND('General Information'!$D$16=2,VLOOKUP(B87,Modules!$B$5:$E$496,4,0)=1)=TRUE,VLOOKUP('Hours Detail'!E87,'BASE_FUNCOES (hide)'!$A:$V,11,0),IF(AND('General Information'!$D$16=3,VLOOKUP(B87,Modules!$B$5:$E$496,4,0)=1)=TRUE,VLOOKUP('Hours Detail'!E87,'BASE_FUNCOES (hide)'!$A:$V,12,0),IF(AND('General Information'!$D$16=4,VLOOKUP(B87,Modules!$B$5:$E$496,4,0)=1)=TRUE,VLOOKUP('Hours Detail'!E87,'BASE_FUNCOES (hide)'!$A:$V,13,0),IF(AND('General Information'!$D$16=5,VLOOKUP(B87,Modules!$B$5:$E$496,4,0)=1)=TRUE,VLOOKUP('Hours Detail'!E87,'BASE_FUNCOES (hide)'!$A:$V,14,0),  IF(AND('General Information'!$D$16=6,VLOOKUP(B87,Modules!$B$5:$E$496,4,0)=1)=TRUE,VLOOKUP('Hours Detail'!E87,'BASE_FUNCOES (hide)'!$A:$V,15,0),"No"))))))</f>
        <v>No</v>
      </c>
      <c r="H87" s="22" t="str">
        <f t="shared" si="3"/>
        <v>No</v>
      </c>
      <c r="I87" s="75">
        <f>IF('General Information'!$C$4="Mexico",(ROUNDUP(VLOOKUP(E87,'BASE_FUNCOES (hide)'!A:X,21,0),0)),(ROUNDUP(VLOOKUP(E87,'BASE_FUNCOES (hide)'!A:L,9,0),0)))</f>
        <v>16</v>
      </c>
      <c r="J87" s="75">
        <f>ROUNDUP(SUMIF(Questions!$E$5:$E$558,'Hours Detail'!E87,Questions!$F$5:$F$558),0)</f>
        <v>0</v>
      </c>
      <c r="K87" s="76">
        <f>IF(H87="Yes",ROUNDUP(IF(VLOOKUP(E87,'BASE_FUNCOES (hide)'!A:T,16,FALSE)&lt;&gt;"No",IF('General Information'!$C$19="HTML5",(I87+J87)*'BASE_FUNCOES (hide)'!$T$2,I87+J87),I87+J87),I87+J87),I87+J87)</f>
        <v>16</v>
      </c>
      <c r="L87" s="265" t="str">
        <f>IF(OR(E87=121,E87=88,E87=2682,E87=2703,E87=2687,E87=2689,E87=2681,E87=2685)=FALSE,"",IF('General Information'!$C$19="HTML5","FUNÇÃO DISPONÍVEL APENAS PARA BRASIL",IF(J88&lt;&gt;0,VLOOKUP(E88,Questions!$E$5:$L$568,5,0),"")))</f>
        <v/>
      </c>
      <c r="M87" s="164" t="s">
        <v>2396</v>
      </c>
      <c r="N87" s="369" t="s">
        <v>2377</v>
      </c>
    </row>
    <row r="88" spans="1:14" ht="14.5" customHeight="1" outlineLevel="1">
      <c r="A88" s="59"/>
      <c r="B88" s="72">
        <f>VLOOKUP('Hours Detail'!E88,'BASE_FUNCOES (hide)'!A:W,5,FALSE)</f>
        <v>20</v>
      </c>
      <c r="C88" s="72" t="s">
        <v>5929</v>
      </c>
      <c r="D88" s="73" t="str">
        <f>IF('General Information'!$C$6="Português",VLOOKUP(B88,'ESTRUTURA_MODULO(hide)'!A:D,2,0),IF('General Information'!$C$6="English",VLOOKUP(B88,'ESTRUTURA_MODULO(hide)'!A:D,3,0),IF('General Information'!$C$6="Español",VLOOKUP(B88,'ESTRUTURA_MODULO(hide)'!A:D,4,0))))</f>
        <v>SAC</v>
      </c>
      <c r="E88" s="254">
        <v>2500</v>
      </c>
      <c r="F88" s="73" t="str">
        <f>IF('General Information'!$C$6="Português",VLOOKUP(E88,'BASE_FUNCOES (hide)'!A:H,2,0),IF('General Information'!$C$6="English",VLOOKUP(E88,'BASE_FUNCOES (hide)'!A:H,3,0),IF('General Information'!$C$6="Español",VLOOKUP(E88,'BASE_FUNCOES (hide)'!A:H,4,0))))</f>
        <v>Controle de Sugestões</v>
      </c>
      <c r="G88" s="73" t="str">
        <f>IF(AND('General Information'!$D$16=1,VLOOKUP(B88,Modules!$B$5:$E$496,4,0)=1)=TRUE,VLOOKUP('Hours Detail'!E88,'BASE_FUNCOES (hide)'!$A:$V,10,0),IF(AND('General Information'!$D$16=2,VLOOKUP(B88,Modules!$B$5:$E$496,4,0)=1)=TRUE,VLOOKUP('Hours Detail'!E88,'BASE_FUNCOES (hide)'!$A:$V,11,0),IF(AND('General Information'!$D$16=3,VLOOKUP(B88,Modules!$B$5:$E$496,4,0)=1)=TRUE,VLOOKUP('Hours Detail'!E88,'BASE_FUNCOES (hide)'!$A:$V,12,0),IF(AND('General Information'!$D$16=4,VLOOKUP(B88,Modules!$B$5:$E$496,4,0)=1)=TRUE,VLOOKUP('Hours Detail'!E88,'BASE_FUNCOES (hide)'!$A:$V,13,0),IF(AND('General Information'!$D$16=5,VLOOKUP(B88,Modules!$B$5:$E$496,4,0)=1)=TRUE,VLOOKUP('Hours Detail'!E88,'BASE_FUNCOES (hide)'!$A:$V,14,0),  IF(AND('General Information'!$D$16=6,VLOOKUP(B88,Modules!$B$5:$E$496,4,0)=1)=TRUE,VLOOKUP('Hours Detail'!E88,'BASE_FUNCOES (hide)'!$A:$V,15,0),"No"))))))</f>
        <v>No</v>
      </c>
      <c r="H88" s="22" t="str">
        <f t="shared" si="3"/>
        <v>No</v>
      </c>
      <c r="I88" s="75">
        <f>IF('General Information'!$C$4="Mexico",(ROUNDUP(VLOOKUP(E88,'BASE_FUNCOES (hide)'!A:X,21,0),0)),(ROUNDUP(VLOOKUP(E88,'BASE_FUNCOES (hide)'!A:L,9,0),0)))</f>
        <v>8</v>
      </c>
      <c r="J88" s="75">
        <f>ROUNDUP(SUMIF(Questions!$E$5:$E$558,'Hours Detail'!E88,Questions!$F$5:$F$558),0)</f>
        <v>0</v>
      </c>
      <c r="K88" s="76">
        <f>IF(H88="Yes",ROUNDUP(IF(VLOOKUP(E88,'BASE_FUNCOES (hide)'!A:T,16,FALSE)&lt;&gt;"No",IF('General Information'!$C$19="HTML5",(I88+J88)*'BASE_FUNCOES (hide)'!$T$2,I88+J88),I88+J88),I88+J88),I88+J88)</f>
        <v>8</v>
      </c>
      <c r="L88" s="265" t="str">
        <f>IF(OR(E88=121,E88=88,E88=2682,E88=2703,E88=2687,E88=2689,E88=2681,E88=2685)=FALSE,"",IF('General Information'!$C$19="HTML5","FUNÇÃO DISPONÍVEL APENAS PARA BRASIL",IF(J89&lt;&gt;0,VLOOKUP(E89,Questions!$E$5:$L$568,5,0),"")))</f>
        <v/>
      </c>
      <c r="M88" s="164" t="s">
        <v>2396</v>
      </c>
      <c r="N88" s="369" t="s">
        <v>2377</v>
      </c>
    </row>
    <row r="89" spans="1:14" ht="14.5" customHeight="1" outlineLevel="1">
      <c r="A89" s="59"/>
      <c r="B89" s="72">
        <f>VLOOKUP('Hours Detail'!E89,'BASE_FUNCOES (hide)'!A:W,5,FALSE)</f>
        <v>455</v>
      </c>
      <c r="C89" s="72" t="s">
        <v>5929</v>
      </c>
      <c r="D89" s="73" t="str">
        <f>IF('General Information'!$C$6="Português",VLOOKUP(B89,'ESTRUTURA_MODULO(hide)'!A:D,2,0),IF('General Information'!$C$6="English",VLOOKUP(B89,'ESTRUTURA_MODULO(hide)'!A:D,3,0),IF('General Information'!$C$6="Español",VLOOKUP(B89,'ESTRUTURA_MODULO(hide)'!A:D,4,0))))</f>
        <v>Visitas</v>
      </c>
      <c r="E89" s="254">
        <v>8014</v>
      </c>
      <c r="F89" s="73" t="str">
        <f>IF('General Information'!$C$6="Português",VLOOKUP(E89,'BASE_FUNCOES (hide)'!A:H,2,0),IF('General Information'!$C$6="English",VLOOKUP(E89,'BASE_FUNCOES (hide)'!A:H,3,0),IF('General Information'!$C$6="Español",VLOOKUP(E89,'BASE_FUNCOES (hide)'!A:H,4,0))))</f>
        <v>Controle de Visitas</v>
      </c>
      <c r="G89" s="73" t="str">
        <f>IF(AND('General Information'!$D$16=1,VLOOKUP(B89,Modules!$B$5:$E$496,4,0)=1)=TRUE,VLOOKUP('Hours Detail'!E89,'BASE_FUNCOES (hide)'!$A:$V,10,0),IF(AND('General Information'!$D$16=2,VLOOKUP(B89,Modules!$B$5:$E$496,4,0)=1)=TRUE,VLOOKUP('Hours Detail'!E89,'BASE_FUNCOES (hide)'!$A:$V,11,0),IF(AND('General Information'!$D$16=3,VLOOKUP(B89,Modules!$B$5:$E$496,4,0)=1)=TRUE,VLOOKUP('Hours Detail'!E89,'BASE_FUNCOES (hide)'!$A:$V,12,0),IF(AND('General Information'!$D$16=4,VLOOKUP(B89,Modules!$B$5:$E$496,4,0)=1)=TRUE,VLOOKUP('Hours Detail'!E89,'BASE_FUNCOES (hide)'!$A:$V,13,0),IF(AND('General Information'!$D$16=5,VLOOKUP(B89,Modules!$B$5:$E$496,4,0)=1)=TRUE,VLOOKUP('Hours Detail'!E89,'BASE_FUNCOES (hide)'!$A:$V,14,0),  IF(AND('General Information'!$D$16=6,VLOOKUP(B89,Modules!$B$5:$E$496,4,0)=1)=TRUE,VLOOKUP('Hours Detail'!E89,'BASE_FUNCOES (hide)'!$A:$V,15,0),"No"))))))</f>
        <v>No</v>
      </c>
      <c r="H89" s="22" t="str">
        <f t="shared" si="3"/>
        <v>No</v>
      </c>
      <c r="I89" s="75">
        <f>IF('General Information'!$C$4="Mexico",(ROUNDUP(VLOOKUP(E89,'BASE_FUNCOES (hide)'!A:X,21,0),0)),(ROUNDUP(VLOOKUP(E89,'BASE_FUNCOES (hide)'!A:L,9,0),0)))</f>
        <v>24</v>
      </c>
      <c r="J89" s="75">
        <f>ROUNDUP(SUMIF(Questions!$E$5:$E$558,'Hours Detail'!E89,Questions!$F$5:$F$558),0)</f>
        <v>0</v>
      </c>
      <c r="K89" s="76">
        <f>IF(H89="Yes",ROUNDUP(IF(VLOOKUP(E89,'BASE_FUNCOES (hide)'!A:T,16,FALSE)&lt;&gt;"No",IF('General Information'!$C$19="HTML5",(I89+J89)*'BASE_FUNCOES (hide)'!$T$2,I89+J89),I89+J89),I89+J89),I89+J89)</f>
        <v>24</v>
      </c>
      <c r="L89" s="265" t="str">
        <f>IF(OR(E89=121,E89=88,E89=2682,E89=2703,E89=2687,E89=2689,E89=2681,E89=2685)=FALSE,"",IF('General Information'!$C$19="HTML5","FUNÇÃO DISPONÍVEL APENAS PARA BRASIL",IF(J90&lt;&gt;0,VLOOKUP(E90,Questions!$E$5:$L$568,5,0),"")))</f>
        <v/>
      </c>
      <c r="M89" s="164" t="s">
        <v>2396</v>
      </c>
      <c r="N89" s="369" t="s">
        <v>2377</v>
      </c>
    </row>
    <row r="90" spans="1:14" ht="14.5" customHeight="1" outlineLevel="1">
      <c r="A90" s="59"/>
      <c r="B90" s="72">
        <f>VLOOKUP('Hours Detail'!E90,'BASE_FUNCOES (hide)'!A:W,5,FALSE)</f>
        <v>88</v>
      </c>
      <c r="C90" s="72" t="s">
        <v>5929</v>
      </c>
      <c r="D90" s="73" t="str">
        <f>IF('General Information'!$C$6="Português",VLOOKUP(B90,'ESTRUTURA_MODULO(hide)'!A:D,2,0),IF('General Information'!$C$6="English",VLOOKUP(B90,'ESTRUTURA_MODULO(hide)'!A:D,3,0),IF('General Information'!$C$6="Español",VLOOKUP(B90,'ESTRUTURA_MODULO(hide)'!A:D,4,0))))</f>
        <v>Prontuário Eletrônico</v>
      </c>
      <c r="E90" s="254">
        <v>99023</v>
      </c>
      <c r="F90" s="73" t="str">
        <f>IF('General Information'!$C$6="Português",VLOOKUP(E90,'BASE_FUNCOES (hide)'!A:H,2,0),IF('General Information'!$C$6="English",VLOOKUP(E90,'BASE_FUNCOES (hide)'!A:H,3,0),IF('General Information'!$C$6="Español",VLOOKUP(E90,'BASE_FUNCOES (hide)'!A:H,4,0))))</f>
        <v>Cadastros PEP</v>
      </c>
      <c r="G90" s="73" t="str">
        <f>IF(AND('General Information'!$D$16=1,VLOOKUP(B90,Modules!$B$5:$E$496,4,0)=1)=TRUE,VLOOKUP('Hours Detail'!E90,'BASE_FUNCOES (hide)'!$A:$V,10,0),IF(AND('General Information'!$D$16=2,VLOOKUP(B90,Modules!$B$5:$E$496,4,0)=1)=TRUE,VLOOKUP('Hours Detail'!E90,'BASE_FUNCOES (hide)'!$A:$V,11,0),IF(AND('General Information'!$D$16=3,VLOOKUP(B90,Modules!$B$5:$E$496,4,0)=1)=TRUE,VLOOKUP('Hours Detail'!E90,'BASE_FUNCOES (hide)'!$A:$V,12,0),IF(AND('General Information'!$D$16=4,VLOOKUP(B90,Modules!$B$5:$E$496,4,0)=1)=TRUE,VLOOKUP('Hours Detail'!E90,'BASE_FUNCOES (hide)'!$A:$V,13,0),IF(AND('General Information'!$D$16=5,VLOOKUP(B90,Modules!$B$5:$E$496,4,0)=1)=TRUE,VLOOKUP('Hours Detail'!E90,'BASE_FUNCOES (hide)'!$A:$V,14,0),  IF(AND('General Information'!$D$16=6,VLOOKUP(B90,Modules!$B$5:$E$496,4,0)=1)=TRUE,VLOOKUP('Hours Detail'!E90,'BASE_FUNCOES (hide)'!$A:$V,15,0),"No"))))))</f>
        <v>No</v>
      </c>
      <c r="H90" s="22" t="str">
        <f t="shared" si="3"/>
        <v>No</v>
      </c>
      <c r="I90" s="75">
        <f>IF('General Information'!$C$4="Mexico",(ROUNDUP(VLOOKUP(E90,'BASE_FUNCOES (hide)'!A:X,21,0),0)),(ROUNDUP(VLOOKUP(E90,'BASE_FUNCOES (hide)'!A:L,9,0),0)))</f>
        <v>1</v>
      </c>
      <c r="J90" s="75">
        <f>ROUNDUP(SUMIF(Questions!$E$5:$E$558,'Hours Detail'!E90,Questions!$F$5:$F$558),0)</f>
        <v>0</v>
      </c>
      <c r="K90" s="76">
        <f>IF(H90="Yes",ROUNDUP(IF(VLOOKUP(E90,'BASE_FUNCOES (hide)'!A:T,16,FALSE)&lt;&gt;"No",IF('General Information'!$C$19="HTML5",(I90+J90)*'BASE_FUNCOES (hide)'!$T$2,I90+J90),I90+J90),I90+J90),I90+J90)</f>
        <v>1</v>
      </c>
      <c r="L90" s="265" t="str">
        <f>IF(OR(E90=121,E90=88,E90=2682,E90=2703,E90=2687,E90=2689,E90=2681,E90=2685)=FALSE,"",IF('General Information'!$C$19="HTML5","FUNÇÃO DISPONÍVEL APENAS PARA BRASIL",IF(J91&lt;&gt;0,VLOOKUP(E91,Questions!$E$5:$L$568,5,0),"")))</f>
        <v/>
      </c>
      <c r="M90" s="164" t="s">
        <v>2396</v>
      </c>
      <c r="N90" s="369" t="s">
        <v>2377</v>
      </c>
    </row>
    <row r="91" spans="1:14" ht="14.5" customHeight="1" outlineLevel="1">
      <c r="A91" s="59"/>
      <c r="B91" s="72">
        <f>VLOOKUP('Hours Detail'!E91,'BASE_FUNCOES (hide)'!A:W,5,FALSE)</f>
        <v>88</v>
      </c>
      <c r="C91" s="72" t="s">
        <v>5929</v>
      </c>
      <c r="D91" s="73" t="str">
        <f>IF('General Information'!$C$6="Português",VLOOKUP(B91,'ESTRUTURA_MODULO(hide)'!A:D,2,0),IF('General Information'!$C$6="English",VLOOKUP(B91,'ESTRUTURA_MODULO(hide)'!A:D,3,0),IF('General Information'!$C$6="Español",VLOOKUP(B91,'ESTRUTURA_MODULO(hide)'!A:D,4,0))))</f>
        <v>Prontuário Eletrônico</v>
      </c>
      <c r="E91" s="254">
        <v>281</v>
      </c>
      <c r="F91" s="73" t="str">
        <f>IF('General Information'!$C$6="Português",VLOOKUP(E91,'BASE_FUNCOES (hide)'!A:H,2,0),IF('General Information'!$C$6="English",VLOOKUP(E91,'BASE_FUNCOES (hide)'!A:H,3,0),IF('General Information'!$C$6="Español",VLOOKUP(E91,'BASE_FUNCOES (hide)'!A:H,4,0))))</f>
        <v>Prontuário Eletrônico Paciente - PEP</v>
      </c>
      <c r="G91" s="73" t="str">
        <f>IF(AND('General Information'!$D$16=1,VLOOKUP(B91,Modules!$B$5:$E$496,4,0)=1)=TRUE,VLOOKUP('Hours Detail'!E91,'BASE_FUNCOES (hide)'!$A:$V,10,0),IF(AND('General Information'!$D$16=2,VLOOKUP(B91,Modules!$B$5:$E$496,4,0)=1)=TRUE,VLOOKUP('Hours Detail'!E91,'BASE_FUNCOES (hide)'!$A:$V,11,0),IF(AND('General Information'!$D$16=3,VLOOKUP(B91,Modules!$B$5:$E$496,4,0)=1)=TRUE,VLOOKUP('Hours Detail'!E91,'BASE_FUNCOES (hide)'!$A:$V,12,0),IF(AND('General Information'!$D$16=4,VLOOKUP(B91,Modules!$B$5:$E$496,4,0)=1)=TRUE,VLOOKUP('Hours Detail'!E91,'BASE_FUNCOES (hide)'!$A:$V,13,0),IF(AND('General Information'!$D$16=5,VLOOKUP(B91,Modules!$B$5:$E$496,4,0)=1)=TRUE,VLOOKUP('Hours Detail'!E91,'BASE_FUNCOES (hide)'!$A:$V,14,0),  IF(AND('General Information'!$D$16=6,VLOOKUP(B91,Modules!$B$5:$E$496,4,0)=1)=TRUE,VLOOKUP('Hours Detail'!E91,'BASE_FUNCOES (hide)'!$A:$V,15,0),"No"))))))</f>
        <v>No</v>
      </c>
      <c r="H91" s="22" t="str">
        <f t="shared" si="3"/>
        <v>No</v>
      </c>
      <c r="I91" s="75">
        <f>IF('General Information'!$C$4="Mexico",(ROUNDUP(VLOOKUP(E91,'BASE_FUNCOES (hide)'!A:X,21,0),0)),(ROUNDUP(VLOOKUP(E91,'BASE_FUNCOES (hide)'!A:L,9,0),0)))</f>
        <v>120</v>
      </c>
      <c r="J91" s="75">
        <f>ROUNDUP(SUMIF(Questions!$E$5:$E$558,'Hours Detail'!E91,Questions!$F$5:$F$558),0)</f>
        <v>0</v>
      </c>
      <c r="K91" s="76">
        <f>IF(H91="Yes",ROUNDUP(IF(VLOOKUP(E91,'BASE_FUNCOES (hide)'!A:T,16,FALSE)&lt;&gt;"No",IF('General Information'!$C$19="HTML5",(I91+J91)*'BASE_FUNCOES (hide)'!$T$2,I91+J91),I91+J91),I91+J91),I91+J91)</f>
        <v>120</v>
      </c>
      <c r="L91" s="265" t="str">
        <f>IF(OR(E91=121,E91=88,E91=2682,E91=2703,E91=2687,E91=2689,E91=2681,E91=2685)=FALSE,"",IF('General Information'!$C$19="HTML5","FUNÇÃO DISPONÍVEL APENAS PARA BRASIL",IF(J92&lt;&gt;0,VLOOKUP(E92,Questions!$E$5:$L$568,5,0),"")))</f>
        <v/>
      </c>
      <c r="M91" s="164" t="s">
        <v>2396</v>
      </c>
      <c r="N91" s="369" t="s">
        <v>2377</v>
      </c>
    </row>
    <row r="92" spans="1:14" ht="14.5" customHeight="1" outlineLevel="1">
      <c r="A92" s="59"/>
      <c r="B92" s="72">
        <f>VLOOKUP('Hours Detail'!E92,'BASE_FUNCOES (hide)'!A:W,5,FALSE)</f>
        <v>88</v>
      </c>
      <c r="C92" s="72" t="s">
        <v>5929</v>
      </c>
      <c r="D92" s="73" t="str">
        <f>IF('General Information'!$C$6="Português",VLOOKUP(B92,'ESTRUTURA_MODULO(hide)'!A:D,2,0),IF('General Information'!$C$6="English",VLOOKUP(B92,'ESTRUTURA_MODULO(hide)'!A:D,3,0),IF('General Information'!$C$6="Español",VLOOKUP(B92,'ESTRUTURA_MODULO(hide)'!A:D,4,0))))</f>
        <v>Prontuário Eletrônico</v>
      </c>
      <c r="E92" s="254">
        <v>4200</v>
      </c>
      <c r="F92" s="73" t="str">
        <f>IF('General Information'!$C$6="Português",VLOOKUP(E92,'BASE_FUNCOES (hide)'!A:H,2,0),IF('General Information'!$C$6="English",VLOOKUP(E92,'BASE_FUNCOES (hide)'!A:H,3,0),IF('General Information'!$C$6="Español",VLOOKUP(E92,'BASE_FUNCOES (hide)'!A:H,4,0))))</f>
        <v>Emissão de Prontuários</v>
      </c>
      <c r="G92" s="73" t="str">
        <f>IF(AND('General Information'!$D$16=1,VLOOKUP(B92,Modules!$B$5:$E$496,4,0)=1)=TRUE,VLOOKUP('Hours Detail'!E92,'BASE_FUNCOES (hide)'!$A:$V,10,0),IF(AND('General Information'!$D$16=2,VLOOKUP(B92,Modules!$B$5:$E$496,4,0)=1)=TRUE,VLOOKUP('Hours Detail'!E92,'BASE_FUNCOES (hide)'!$A:$V,11,0),IF(AND('General Information'!$D$16=3,VLOOKUP(B92,Modules!$B$5:$E$496,4,0)=1)=TRUE,VLOOKUP('Hours Detail'!E92,'BASE_FUNCOES (hide)'!$A:$V,12,0),IF(AND('General Information'!$D$16=4,VLOOKUP(B92,Modules!$B$5:$E$496,4,0)=1)=TRUE,VLOOKUP('Hours Detail'!E92,'BASE_FUNCOES (hide)'!$A:$V,13,0),IF(AND('General Information'!$D$16=5,VLOOKUP(B92,Modules!$B$5:$E$496,4,0)=1)=TRUE,VLOOKUP('Hours Detail'!E92,'BASE_FUNCOES (hide)'!$A:$V,14,0),  IF(AND('General Information'!$D$16=6,VLOOKUP(B92,Modules!$B$5:$E$496,4,0)=1)=TRUE,VLOOKUP('Hours Detail'!E92,'BASE_FUNCOES (hide)'!$A:$V,15,0),"No"))))))</f>
        <v>No</v>
      </c>
      <c r="H92" s="22" t="str">
        <f t="shared" si="3"/>
        <v>No</v>
      </c>
      <c r="I92" s="75">
        <f>IF('General Information'!$C$4="Mexico",(ROUNDUP(VLOOKUP(E92,'BASE_FUNCOES (hide)'!A:X,21,0),0)),(ROUNDUP(VLOOKUP(E92,'BASE_FUNCOES (hide)'!A:L,9,0),0)))</f>
        <v>1</v>
      </c>
      <c r="J92" s="75">
        <f>ROUNDUP(SUMIF(Questions!$E$5:$E$558,'Hours Detail'!E92,Questions!$F$5:$F$558),0)</f>
        <v>0</v>
      </c>
      <c r="K92" s="76">
        <f>IF(H92="Yes",ROUNDUP(IF(VLOOKUP(E92,'BASE_FUNCOES (hide)'!A:T,16,FALSE)&lt;&gt;"No",IF('General Information'!$C$19="HTML5",(I92+J92)*'BASE_FUNCOES (hide)'!$T$2,I92+J92),I92+J92),I92+J92),I92+J92)</f>
        <v>1</v>
      </c>
      <c r="L92" s="265" t="str">
        <f>IF(OR(E92=121,E92=88,E92=2682,E92=2703,E92=2687,E92=2689,E92=2681,E92=2685)=FALSE,"",IF('General Information'!$C$19="HTML5","FUNÇÃO DISPONÍVEL APENAS PARA BRASIL",IF(J93&lt;&gt;0,VLOOKUP(E93,Questions!$E$5:$L$568,5,0),"")))</f>
        <v/>
      </c>
      <c r="M92" s="164" t="s">
        <v>2396</v>
      </c>
      <c r="N92" s="369" t="s">
        <v>2377</v>
      </c>
    </row>
    <row r="93" spans="1:14" ht="14.5" customHeight="1" outlineLevel="1">
      <c r="A93" s="59"/>
      <c r="B93" s="72">
        <f>VLOOKUP('Hours Detail'!E93,'BASE_FUNCOES (hide)'!A:W,5,FALSE)</f>
        <v>88</v>
      </c>
      <c r="C93" s="72" t="s">
        <v>5929</v>
      </c>
      <c r="D93" s="73" t="str">
        <f>IF('General Information'!$C$6="Português",VLOOKUP(B93,'ESTRUTURA_MODULO(hide)'!A:D,2,0),IF('General Information'!$C$6="English",VLOOKUP(B93,'ESTRUTURA_MODULO(hide)'!A:D,3,0),IF('General Information'!$C$6="Español",VLOOKUP(B93,'ESTRUTURA_MODULO(hide)'!A:D,4,0))))</f>
        <v>Prontuário Eletrônico</v>
      </c>
      <c r="E93" s="254">
        <v>1355</v>
      </c>
      <c r="F93" s="73" t="str">
        <f>IF('General Information'!$C$6="Português",VLOOKUP(E93,'BASE_FUNCOES (hide)'!A:H,2,0),IF('General Information'!$C$6="English",VLOOKUP(E93,'BASE_FUNCOES (hide)'!A:H,3,0),IF('General Information'!$C$6="Español",VLOOKUP(E93,'BASE_FUNCOES (hide)'!A:H,4,0))))</f>
        <v>Análise dos Parâmetros Assistenciais do Paciente - APAP</v>
      </c>
      <c r="G93" s="73" t="str">
        <f>IF(AND('General Information'!$D$16=1,VLOOKUP(B93,Modules!$B$5:$E$496,4,0)=1)=TRUE,VLOOKUP('Hours Detail'!E93,'BASE_FUNCOES (hide)'!$A:$V,10,0),IF(AND('General Information'!$D$16=2,VLOOKUP(B93,Modules!$B$5:$E$496,4,0)=1)=TRUE,VLOOKUP('Hours Detail'!E93,'BASE_FUNCOES (hide)'!$A:$V,11,0),IF(AND('General Information'!$D$16=3,VLOOKUP(B93,Modules!$B$5:$E$496,4,0)=1)=TRUE,VLOOKUP('Hours Detail'!E93,'BASE_FUNCOES (hide)'!$A:$V,12,0),IF(AND('General Information'!$D$16=4,VLOOKUP(B93,Modules!$B$5:$E$496,4,0)=1)=TRUE,VLOOKUP('Hours Detail'!E93,'BASE_FUNCOES (hide)'!$A:$V,13,0),IF(AND('General Information'!$D$16=5,VLOOKUP(B93,Modules!$B$5:$E$496,4,0)=1)=TRUE,VLOOKUP('Hours Detail'!E93,'BASE_FUNCOES (hide)'!$A:$V,14,0),  IF(AND('General Information'!$D$16=6,VLOOKUP(B93,Modules!$B$5:$E$496,4,0)=1)=TRUE,VLOOKUP('Hours Detail'!E93,'BASE_FUNCOES (hide)'!$A:$V,15,0),"No"))))))</f>
        <v>No</v>
      </c>
      <c r="H93" s="22" t="str">
        <f t="shared" si="3"/>
        <v>No</v>
      </c>
      <c r="I93" s="75">
        <f>IF('General Information'!$C$4="Mexico",(ROUNDUP(VLOOKUP(E93,'BASE_FUNCOES (hide)'!A:X,21,0),0)),(ROUNDUP(VLOOKUP(E93,'BASE_FUNCOES (hide)'!A:L,9,0),0)))</f>
        <v>8</v>
      </c>
      <c r="J93" s="75">
        <f>ROUNDUP(SUMIF(Questions!$E$5:$E$558,'Hours Detail'!E93,Questions!$F$5:$F$558),0)</f>
        <v>0</v>
      </c>
      <c r="K93" s="76">
        <f>IF(H93="Yes",ROUNDUP(IF(VLOOKUP(E93,'BASE_FUNCOES (hide)'!A:T,16,FALSE)&lt;&gt;"No",IF('General Information'!$C$19="HTML5",(I93+J93)*'BASE_FUNCOES (hide)'!$T$2,I93+J93),I93+J93),I93+J93),I93+J93)</f>
        <v>8</v>
      </c>
      <c r="L93" s="265" t="str">
        <f>IF(OR(E93=121,E93=88,E93=2682,E93=2703,E93=2687,E93=2689,E93=2681,E93=2685)=FALSE,"",IF('General Information'!$C$19="HTML5","FUNÇÃO DISPONÍVEL APENAS PARA BRASIL",IF(J94&lt;&gt;0,VLOOKUP(E94,Questions!$E$5:$L$568,5,0),"")))</f>
        <v/>
      </c>
      <c r="M93" s="164" t="s">
        <v>2396</v>
      </c>
      <c r="N93" s="369" t="s">
        <v>2377</v>
      </c>
    </row>
    <row r="94" spans="1:14" ht="14.5" customHeight="1" outlineLevel="1">
      <c r="A94" s="59"/>
      <c r="B94" s="72">
        <f>VLOOKUP('Hours Detail'!E94,'BASE_FUNCOES (hide)'!A:W,5,FALSE)</f>
        <v>88</v>
      </c>
      <c r="C94" s="72" t="s">
        <v>5929</v>
      </c>
      <c r="D94" s="73" t="str">
        <f>IF('General Information'!$C$6="Português",VLOOKUP(B94,'ESTRUTURA_MODULO(hide)'!A:D,2,0),IF('General Information'!$C$6="English",VLOOKUP(B94,'ESTRUTURA_MODULO(hide)'!A:D,3,0),IF('General Information'!$C$6="Español",VLOOKUP(B94,'ESTRUTURA_MODULO(hide)'!A:D,4,0))))</f>
        <v>Prontuário Eletrônico</v>
      </c>
      <c r="E94" s="254">
        <v>99024</v>
      </c>
      <c r="F94" s="73" t="str">
        <f>IF('General Information'!$C$6="Português",VLOOKUP(E94,'BASE_FUNCOES (hide)'!A:H,2,0),IF('General Information'!$C$6="English",VLOOKUP(E94,'BASE_FUNCOES (hide)'!A:H,3,0),IF('General Information'!$C$6="Español",VLOOKUP(E94,'BASE_FUNCOES (hide)'!A:H,4,0))))</f>
        <v>Cadastro de Protocolos</v>
      </c>
      <c r="G94" s="73" t="str">
        <f>IF(AND('General Information'!$D$16=1,VLOOKUP(B94,Modules!$B$5:$E$496,4,0)=1)=TRUE,VLOOKUP('Hours Detail'!E94,'BASE_FUNCOES (hide)'!$A:$V,10,0),IF(AND('General Information'!$D$16=2,VLOOKUP(B94,Modules!$B$5:$E$496,4,0)=1)=TRUE,VLOOKUP('Hours Detail'!E94,'BASE_FUNCOES (hide)'!$A:$V,11,0),IF(AND('General Information'!$D$16=3,VLOOKUP(B94,Modules!$B$5:$E$496,4,0)=1)=TRUE,VLOOKUP('Hours Detail'!E94,'BASE_FUNCOES (hide)'!$A:$V,12,0),IF(AND('General Information'!$D$16=4,VLOOKUP(B94,Modules!$B$5:$E$496,4,0)=1)=TRUE,VLOOKUP('Hours Detail'!E94,'BASE_FUNCOES (hide)'!$A:$V,13,0),IF(AND('General Information'!$D$16=5,VLOOKUP(B94,Modules!$B$5:$E$496,4,0)=1)=TRUE,VLOOKUP('Hours Detail'!E94,'BASE_FUNCOES (hide)'!$A:$V,14,0),  IF(AND('General Information'!$D$16=6,VLOOKUP(B94,Modules!$B$5:$E$496,4,0)=1)=TRUE,VLOOKUP('Hours Detail'!E94,'BASE_FUNCOES (hide)'!$A:$V,15,0),"No"))))))</f>
        <v>No</v>
      </c>
      <c r="H94" s="22" t="str">
        <f t="shared" si="3"/>
        <v>No</v>
      </c>
      <c r="I94" s="75">
        <f>IF('General Information'!$C$4="Mexico",(ROUNDUP(VLOOKUP(E94,'BASE_FUNCOES (hide)'!A:X,21,0),0)),(ROUNDUP(VLOOKUP(E94,'BASE_FUNCOES (hide)'!A:L,9,0),0)))</f>
        <v>1</v>
      </c>
      <c r="J94" s="75">
        <f>ROUNDUP(SUMIF(Questions!$E$5:$E$558,'Hours Detail'!E94,Questions!$F$5:$F$558),0)</f>
        <v>0</v>
      </c>
      <c r="K94" s="76">
        <f>IF(H94="Yes",ROUNDUP(IF(VLOOKUP(E94,'BASE_FUNCOES (hide)'!A:T,16,FALSE)&lt;&gt;"No",IF('General Information'!$C$19="HTML5",(I94+J94)*'BASE_FUNCOES (hide)'!$T$2,I94+J94),I94+J94),I94+J94),I94+J94)</f>
        <v>1</v>
      </c>
      <c r="L94" s="265" t="str">
        <f>IF(OR(E94=121,E94=88,E94=2682,E94=2703,E94=2687,E94=2689,E94=2681,E94=2685)=FALSE,"",IF('General Information'!$C$19="HTML5","FUNÇÃO DISPONÍVEL APENAS PARA BRASIL",IF(J95&lt;&gt;0,VLOOKUP(E95,Questions!$E$5:$L$568,5,0),"")))</f>
        <v/>
      </c>
      <c r="M94" s="164" t="s">
        <v>2396</v>
      </c>
      <c r="N94" s="369" t="s">
        <v>2377</v>
      </c>
    </row>
    <row r="95" spans="1:14" ht="14.5" customHeight="1" outlineLevel="1">
      <c r="A95" s="59"/>
      <c r="B95" s="72">
        <f>VLOOKUP('Hours Detail'!E95,'BASE_FUNCOES (hide)'!A:W,5,FALSE)</f>
        <v>88</v>
      </c>
      <c r="C95" s="72" t="s">
        <v>5929</v>
      </c>
      <c r="D95" s="73" t="str">
        <f>IF('General Information'!$C$6="Português",VLOOKUP(B95,'ESTRUTURA_MODULO(hide)'!A:D,2,0),IF('General Information'!$C$6="English",VLOOKUP(B95,'ESTRUTURA_MODULO(hide)'!A:D,3,0),IF('General Information'!$C$6="Español",VLOOKUP(B95,'ESTRUTURA_MODULO(hide)'!A:D,4,0))))</f>
        <v>Prontuário Eletrônico</v>
      </c>
      <c r="E95" s="254">
        <v>3010</v>
      </c>
      <c r="F95" s="73" t="str">
        <f>IF('General Information'!$C$6="Português",VLOOKUP(E95,'BASE_FUNCOES (hide)'!A:H,2,0),IF('General Information'!$C$6="English",VLOOKUP(E95,'BASE_FUNCOES (hide)'!A:H,3,0),IF('General Information'!$C$6="Español",VLOOKUP(E95,'BASE_FUNCOES (hide)'!A:H,4,0))))</f>
        <v>Oftalmologia</v>
      </c>
      <c r="G95" s="73" t="str">
        <f>IF(AND('General Information'!$D$16=1,VLOOKUP(B95,Modules!$B$5:$E$496,4,0)=1)=TRUE,VLOOKUP('Hours Detail'!E95,'BASE_FUNCOES (hide)'!$A:$V,10,0),IF(AND('General Information'!$D$16=2,VLOOKUP(B95,Modules!$B$5:$E$496,4,0)=1)=TRUE,VLOOKUP('Hours Detail'!E95,'BASE_FUNCOES (hide)'!$A:$V,11,0),IF(AND('General Information'!$D$16=3,VLOOKUP(B95,Modules!$B$5:$E$496,4,0)=1)=TRUE,VLOOKUP('Hours Detail'!E95,'BASE_FUNCOES (hide)'!$A:$V,12,0),IF(AND('General Information'!$D$16=4,VLOOKUP(B95,Modules!$B$5:$E$496,4,0)=1)=TRUE,VLOOKUP('Hours Detail'!E95,'BASE_FUNCOES (hide)'!$A:$V,13,0),IF(AND('General Information'!$D$16=5,VLOOKUP(B95,Modules!$B$5:$E$496,4,0)=1)=TRUE,VLOOKUP('Hours Detail'!E95,'BASE_FUNCOES (hide)'!$A:$V,14,0),  IF(AND('General Information'!$D$16=6,VLOOKUP(B95,Modules!$B$5:$E$496,4,0)=1)=TRUE,VLOOKUP('Hours Detail'!E95,'BASE_FUNCOES (hide)'!$A:$V,15,0),"No"))))))</f>
        <v>No</v>
      </c>
      <c r="H95" s="22" t="str">
        <f t="shared" si="3"/>
        <v>No</v>
      </c>
      <c r="I95" s="75">
        <f>IF('General Information'!$C$4="Mexico",(ROUNDUP(VLOOKUP(E95,'BASE_FUNCOES (hide)'!A:X,21,0),0)),(ROUNDUP(VLOOKUP(E95,'BASE_FUNCOES (hide)'!A:L,9,0),0)))</f>
        <v>40</v>
      </c>
      <c r="J95" s="75">
        <f>ROUNDUP(SUMIF(Questions!$E$5:$E$558,'Hours Detail'!E95,Questions!$F$5:$F$558),0)</f>
        <v>0</v>
      </c>
      <c r="K95" s="76">
        <f>IF(H95="Yes",ROUNDUP(IF(VLOOKUP(E95,'BASE_FUNCOES (hide)'!A:T,16,FALSE)&lt;&gt;"No",IF('General Information'!$C$19="HTML5",(I95+J95)*'BASE_FUNCOES (hide)'!$T$2,I95+J95),I95+J95),I95+J95),I95+J95)</f>
        <v>40</v>
      </c>
      <c r="L95" s="265" t="str">
        <f>IF(OR(E95=121,E95=88,E95=2682,E95=2703,E95=2687,E95=2689,E95=2681,E95=2685)=FALSE,"",IF('General Information'!$C$19="HTML5","FUNÇÃO DISPONÍVEL APENAS PARA BRASIL",IF(J96&lt;&gt;0,VLOOKUP(E96,Questions!$E$5:$L$568,5,0),"")))</f>
        <v/>
      </c>
      <c r="M95" s="164" t="s">
        <v>2396</v>
      </c>
      <c r="N95" s="369" t="s">
        <v>2377</v>
      </c>
    </row>
    <row r="96" spans="1:14" ht="14.5" customHeight="1" outlineLevel="1">
      <c r="A96" s="59"/>
      <c r="B96" s="72">
        <f>VLOOKUP('Hours Detail'!E96,'BASE_FUNCOES (hide)'!A:W,5,FALSE)</f>
        <v>88</v>
      </c>
      <c r="C96" s="72" t="s">
        <v>5929</v>
      </c>
      <c r="D96" s="73" t="str">
        <f>IF('General Information'!$C$6="Português",VLOOKUP(B96,'ESTRUTURA_MODULO(hide)'!A:D,2,0),IF('General Information'!$C$6="English",VLOOKUP(B96,'ESTRUTURA_MODULO(hide)'!A:D,3,0),IF('General Information'!$C$6="Español",VLOOKUP(B96,'ESTRUTURA_MODULO(hide)'!A:D,4,0))))</f>
        <v>Prontuário Eletrônico</v>
      </c>
      <c r="E96" s="254">
        <v>34</v>
      </c>
      <c r="F96" s="73" t="str">
        <f>IF('General Information'!$C$6="Português",VLOOKUP(E96,'BASE_FUNCOES (hide)'!A:H,2,0),IF('General Information'!$C$6="English",VLOOKUP(E96,'BASE_FUNCOES (hide)'!A:H,3,0),IF('General Information'!$C$6="Español",VLOOKUP(E96,'BASE_FUNCOES (hide)'!A:H,4,0))))</f>
        <v>Diagnóstico Médico</v>
      </c>
      <c r="G96" s="73" t="str">
        <f>IF(AND('General Information'!$D$16=1,VLOOKUP(B96,Modules!$B$5:$E$496,4,0)=1)=TRUE,VLOOKUP('Hours Detail'!E96,'BASE_FUNCOES (hide)'!$A:$V,10,0),IF(AND('General Information'!$D$16=2,VLOOKUP(B96,Modules!$B$5:$E$496,4,0)=1)=TRUE,VLOOKUP('Hours Detail'!E96,'BASE_FUNCOES (hide)'!$A:$V,11,0),IF(AND('General Information'!$D$16=3,VLOOKUP(B96,Modules!$B$5:$E$496,4,0)=1)=TRUE,VLOOKUP('Hours Detail'!E96,'BASE_FUNCOES (hide)'!$A:$V,12,0),IF(AND('General Information'!$D$16=4,VLOOKUP(B96,Modules!$B$5:$E$496,4,0)=1)=TRUE,VLOOKUP('Hours Detail'!E96,'BASE_FUNCOES (hide)'!$A:$V,13,0),IF(AND('General Information'!$D$16=5,VLOOKUP(B96,Modules!$B$5:$E$496,4,0)=1)=TRUE,VLOOKUP('Hours Detail'!E96,'BASE_FUNCOES (hide)'!$A:$V,14,0),  IF(AND('General Information'!$D$16=6,VLOOKUP(B96,Modules!$B$5:$E$496,4,0)=1)=TRUE,VLOOKUP('Hours Detail'!E96,'BASE_FUNCOES (hide)'!$A:$V,15,0),"No"))))))</f>
        <v>No</v>
      </c>
      <c r="H96" s="22" t="str">
        <f t="shared" si="3"/>
        <v>No</v>
      </c>
      <c r="I96" s="75">
        <f>IF('General Information'!$C$4="Mexico",(ROUNDUP(VLOOKUP(E96,'BASE_FUNCOES (hide)'!A:X,21,0),0)),(ROUNDUP(VLOOKUP(E96,'BASE_FUNCOES (hide)'!A:L,9,0),0)))</f>
        <v>1</v>
      </c>
      <c r="J96" s="75">
        <f>ROUNDUP(SUMIF(Questions!$E$5:$E$558,'Hours Detail'!E96,Questions!$F$5:$F$558),0)</f>
        <v>0</v>
      </c>
      <c r="K96" s="76">
        <f>IF(H96="Yes",ROUNDUP(IF(VLOOKUP(E96,'BASE_FUNCOES (hide)'!A:T,16,FALSE)&lt;&gt;"No",IF('General Information'!$C$19="HTML5",(I96+J96)*'BASE_FUNCOES (hide)'!$T$2,I96+J96),I96+J96),I96+J96),I96+J96)</f>
        <v>1</v>
      </c>
      <c r="L96" s="265" t="str">
        <f>IF(OR(E96=121,E96=88,E96=2682,E96=2703,E96=2687,E96=2689,E96=2681,E96=2685)=FALSE,"",IF('General Information'!$C$19="HTML5","FUNÇÃO DISPONÍVEL APENAS PARA BRASIL",IF(J97&lt;&gt;0,VLOOKUP(E97,Questions!$E$5:$L$568,5,0),"")))</f>
        <v/>
      </c>
      <c r="M96" s="164" t="s">
        <v>2396</v>
      </c>
      <c r="N96" s="369" t="s">
        <v>2377</v>
      </c>
    </row>
    <row r="97" spans="1:14" ht="14.5" customHeight="1" outlineLevel="1">
      <c r="A97" s="59"/>
      <c r="B97" s="72">
        <f>VLOOKUP('Hours Detail'!E97,'BASE_FUNCOES (hide)'!A:W,5,FALSE)</f>
        <v>88</v>
      </c>
      <c r="C97" s="72" t="s">
        <v>5929</v>
      </c>
      <c r="D97" s="73" t="str">
        <f>IF('General Information'!$C$6="Português",VLOOKUP(B97,'ESTRUTURA_MODULO(hide)'!A:D,2,0),IF('General Information'!$C$6="English",VLOOKUP(B97,'ESTRUTURA_MODULO(hide)'!A:D,3,0),IF('General Information'!$C$6="Español",VLOOKUP(B97,'ESTRUTURA_MODULO(hide)'!A:D,4,0))))</f>
        <v>Prontuário Eletrônico</v>
      </c>
      <c r="E97" s="254">
        <v>1011</v>
      </c>
      <c r="F97" s="73" t="str">
        <f>IF('General Information'!$C$6="Português",VLOOKUP(E97,'BASE_FUNCOES (hide)'!A:H,2,0),IF('General Information'!$C$6="English",VLOOKUP(E97,'BASE_FUNCOES (hide)'!A:H,3,0),IF('General Information'!$C$6="Español",VLOOKUP(E97,'BASE_FUNCOES (hide)'!A:H,4,0))))</f>
        <v>Gestão de Acessos PEP</v>
      </c>
      <c r="G97" s="73" t="str">
        <f>IF(AND('General Information'!$D$16=1,VLOOKUP(B97,Modules!$B$5:$E$496,4,0)=1)=TRUE,VLOOKUP('Hours Detail'!E97,'BASE_FUNCOES (hide)'!$A:$V,10,0),IF(AND('General Information'!$D$16=2,VLOOKUP(B97,Modules!$B$5:$E$496,4,0)=1)=TRUE,VLOOKUP('Hours Detail'!E97,'BASE_FUNCOES (hide)'!$A:$V,11,0),IF(AND('General Information'!$D$16=3,VLOOKUP(B97,Modules!$B$5:$E$496,4,0)=1)=TRUE,VLOOKUP('Hours Detail'!E97,'BASE_FUNCOES (hide)'!$A:$V,12,0),IF(AND('General Information'!$D$16=4,VLOOKUP(B97,Modules!$B$5:$E$496,4,0)=1)=TRUE,VLOOKUP('Hours Detail'!E97,'BASE_FUNCOES (hide)'!$A:$V,13,0),IF(AND('General Information'!$D$16=5,VLOOKUP(B97,Modules!$B$5:$E$496,4,0)=1)=TRUE,VLOOKUP('Hours Detail'!E97,'BASE_FUNCOES (hide)'!$A:$V,14,0),  IF(AND('General Information'!$D$16=6,VLOOKUP(B97,Modules!$B$5:$E$496,4,0)=1)=TRUE,VLOOKUP('Hours Detail'!E97,'BASE_FUNCOES (hide)'!$A:$V,15,0),"No"))))))</f>
        <v>No</v>
      </c>
      <c r="H97" s="22" t="str">
        <f t="shared" si="3"/>
        <v>No</v>
      </c>
      <c r="I97" s="75">
        <f>IF('General Information'!$C$4="Mexico",(ROUNDUP(VLOOKUP(E97,'BASE_FUNCOES (hide)'!A:X,21,0),0)),(ROUNDUP(VLOOKUP(E97,'BASE_FUNCOES (hide)'!A:L,9,0),0)))</f>
        <v>6</v>
      </c>
      <c r="J97" s="75">
        <f>ROUNDUP(SUMIF(Questions!$E$5:$E$558,'Hours Detail'!E97,Questions!$F$5:$F$558),0)</f>
        <v>0</v>
      </c>
      <c r="K97" s="76">
        <f>IF(H97="Yes",ROUNDUP(IF(VLOOKUP(E97,'BASE_FUNCOES (hide)'!A:T,16,FALSE)&lt;&gt;"No",IF('General Information'!$C$19="HTML5",(I97+J97)*'BASE_FUNCOES (hide)'!$T$2,I97+J97),I97+J97),I97+J97),I97+J97)</f>
        <v>6</v>
      </c>
      <c r="L97" s="265" t="str">
        <f>IF(OR(E97=121,E97=88,E97=2682,E97=2703,E97=2687,E97=2689,E97=2681,E97=2685)=FALSE,"",IF('General Information'!$C$19="HTML5","FUNÇÃO DISPONÍVEL APENAS PARA BRASIL",IF(J98&lt;&gt;0,VLOOKUP(E98,Questions!$E$5:$L$568,5,0),"")))</f>
        <v/>
      </c>
      <c r="M97" s="164" t="s">
        <v>2396</v>
      </c>
      <c r="N97" s="369" t="s">
        <v>2377</v>
      </c>
    </row>
    <row r="98" spans="1:14" ht="14.5" customHeight="1" outlineLevel="1">
      <c r="A98" s="59"/>
      <c r="B98" s="72">
        <f>VLOOKUP('Hours Detail'!E98,'BASE_FUNCOES (hide)'!A:W,5,FALSE)</f>
        <v>88</v>
      </c>
      <c r="C98" s="72" t="s">
        <v>5929</v>
      </c>
      <c r="D98" s="73" t="str">
        <f>IF('General Information'!$C$6="Português",VLOOKUP(B98,'ESTRUTURA_MODULO(hide)'!A:D,2,0),IF('General Information'!$C$6="English",VLOOKUP(B98,'ESTRUTURA_MODULO(hide)'!A:D,3,0),IF('General Information'!$C$6="Español",VLOOKUP(B98,'ESTRUTURA_MODULO(hide)'!A:D,4,0))))</f>
        <v>Prontuário Eletrônico</v>
      </c>
      <c r="E98" s="254">
        <v>28188</v>
      </c>
      <c r="F98" s="73" t="str">
        <f>IF('General Information'!$C$6="Português",VLOOKUP(E98,'BASE_FUNCOES (hide)'!A:H,2,0),IF('General Information'!$C$6="English",VLOOKUP(E98,'BASE_FUNCOES (hide)'!A:H,3,0),IF('General Information'!$C$6="Español",VLOOKUP(E98,'BASE_FUNCOES (hide)'!A:H,4,0))))</f>
        <v>Certificação Digital</v>
      </c>
      <c r="G98" s="73" t="str">
        <f>IF(AND('General Information'!$D$16=1,VLOOKUP(B98,Modules!$B$5:$E$496,4,0)=1)=TRUE,VLOOKUP('Hours Detail'!E98,'BASE_FUNCOES (hide)'!$A:$V,10,0),IF(AND('General Information'!$D$16=2,VLOOKUP(B98,Modules!$B$5:$E$496,4,0)=1)=TRUE,VLOOKUP('Hours Detail'!E98,'BASE_FUNCOES (hide)'!$A:$V,11,0),IF(AND('General Information'!$D$16=3,VLOOKUP(B98,Modules!$B$5:$E$496,4,0)=1)=TRUE,VLOOKUP('Hours Detail'!E98,'BASE_FUNCOES (hide)'!$A:$V,12,0),IF(AND('General Information'!$D$16=4,VLOOKUP(B98,Modules!$B$5:$E$496,4,0)=1)=TRUE,VLOOKUP('Hours Detail'!E98,'BASE_FUNCOES (hide)'!$A:$V,13,0),IF(AND('General Information'!$D$16=5,VLOOKUP(B98,Modules!$B$5:$E$496,4,0)=1)=TRUE,VLOOKUP('Hours Detail'!E98,'BASE_FUNCOES (hide)'!$A:$V,14,0),  IF(AND('General Information'!$D$16=6,VLOOKUP(B98,Modules!$B$5:$E$496,4,0)=1)=TRUE,VLOOKUP('Hours Detail'!E98,'BASE_FUNCOES (hide)'!$A:$V,15,0),"No"))))))</f>
        <v>No</v>
      </c>
      <c r="H98" s="22" t="str">
        <f t="shared" si="3"/>
        <v>No</v>
      </c>
      <c r="I98" s="75">
        <f>IF('General Information'!$C$4="Mexico",(ROUNDUP(VLOOKUP(E98,'BASE_FUNCOES (hide)'!A:X,21,0),0)),(ROUNDUP(VLOOKUP(E98,'BASE_FUNCOES (hide)'!A:L,9,0),0)))</f>
        <v>120</v>
      </c>
      <c r="J98" s="75">
        <f>ROUNDUP(SUMIF(Questions!$E$5:$E$558,'Hours Detail'!E98,Questions!$F$5:$F$558),0)</f>
        <v>0</v>
      </c>
      <c r="K98" s="76">
        <f>IF(H98="Yes",ROUNDUP(IF(VLOOKUP(E98,'BASE_FUNCOES (hide)'!A:T,16,FALSE)&lt;&gt;"No",IF('General Information'!$C$19="HTML5",(I98+J98)*'BASE_FUNCOES (hide)'!$T$2,I98+J98),I98+J98),I98+J98),I98+J98)</f>
        <v>120</v>
      </c>
      <c r="L98" s="265" t="str">
        <f>IF(OR(E98=121,E98=88,E98=2682,E98=2703,E98=2687,E98=2689,E98=2681,E98=2685)=FALSE,"",IF('General Information'!$C$19="HTML5","FUNÇÃO DISPONÍVEL APENAS PARA BRASIL",IF(J99&lt;&gt;0,VLOOKUP(E99,Questions!$E$5:$L$568,5,0),"")))</f>
        <v/>
      </c>
      <c r="M98" s="164" t="s">
        <v>2396</v>
      </c>
      <c r="N98" s="369" t="s">
        <v>2377</v>
      </c>
    </row>
    <row r="99" spans="1:14" ht="14.5" customHeight="1" outlineLevel="1">
      <c r="A99" s="59"/>
      <c r="B99" s="72">
        <f>VLOOKUP('Hours Detail'!E99,'BASE_FUNCOES (hide)'!A:W,5,FALSE)</f>
        <v>88</v>
      </c>
      <c r="C99" s="72" t="s">
        <v>5929</v>
      </c>
      <c r="D99" s="73" t="str">
        <f>IF('General Information'!$C$6="Português",VLOOKUP(B99,'ESTRUTURA_MODULO(hide)'!A:D,2,0),IF('General Information'!$C$6="English",VLOOKUP(B99,'ESTRUTURA_MODULO(hide)'!A:D,3,0),IF('General Information'!$C$6="Español",VLOOKUP(B99,'ESTRUTURA_MODULO(hide)'!A:D,4,0))))</f>
        <v>Prontuário Eletrônico</v>
      </c>
      <c r="E99" s="254">
        <v>275</v>
      </c>
      <c r="F99" s="73" t="str">
        <f>IF('General Information'!$C$6="Português",VLOOKUP(E99,'BASE_FUNCOES (hide)'!A:H,2,0),IF('General Information'!$C$6="English",VLOOKUP(E99,'BASE_FUNCOES (hide)'!A:H,3,0),IF('General Information'!$C$6="Español",VLOOKUP(E99,'BASE_FUNCOES (hide)'!A:H,4,0))))</f>
        <v>Gestão de Qualidade Assistencial  -  GQA</v>
      </c>
      <c r="G99" s="73" t="str">
        <f>IF(AND('General Information'!$D$16=1,VLOOKUP(B99,Modules!$B$5:$E$496,4,0)=1)=TRUE,VLOOKUP('Hours Detail'!E99,'BASE_FUNCOES (hide)'!$A:$V,10,0),IF(AND('General Information'!$D$16=2,VLOOKUP(B99,Modules!$B$5:$E$496,4,0)=1)=TRUE,VLOOKUP('Hours Detail'!E99,'BASE_FUNCOES (hide)'!$A:$V,11,0),IF(AND('General Information'!$D$16=3,VLOOKUP(B99,Modules!$B$5:$E$496,4,0)=1)=TRUE,VLOOKUP('Hours Detail'!E99,'BASE_FUNCOES (hide)'!$A:$V,12,0),IF(AND('General Information'!$D$16=4,VLOOKUP(B99,Modules!$B$5:$E$496,4,0)=1)=TRUE,VLOOKUP('Hours Detail'!E99,'BASE_FUNCOES (hide)'!$A:$V,13,0),IF(AND('General Information'!$D$16=5,VLOOKUP(B99,Modules!$B$5:$E$496,4,0)=1)=TRUE,VLOOKUP('Hours Detail'!E99,'BASE_FUNCOES (hide)'!$A:$V,14,0),  IF(AND('General Information'!$D$16=6,VLOOKUP(B99,Modules!$B$5:$E$496,4,0)=1)=TRUE,VLOOKUP('Hours Detail'!E99,'BASE_FUNCOES (hide)'!$A:$V,15,0),"No"))))))</f>
        <v>No</v>
      </c>
      <c r="H99" s="22" t="str">
        <f t="shared" si="3"/>
        <v>No</v>
      </c>
      <c r="I99" s="75">
        <f>IF('General Information'!$C$4="Mexico",(ROUNDUP(VLOOKUP(E99,'BASE_FUNCOES (hide)'!A:X,21,0),0)),(ROUNDUP(VLOOKUP(E99,'BASE_FUNCOES (hide)'!A:L,9,0),0)))</f>
        <v>24</v>
      </c>
      <c r="J99" s="75">
        <f>ROUNDUP(SUMIF(Questions!$E$5:$E$558,'Hours Detail'!E99,Questions!$F$5:$F$558),0)</f>
        <v>0</v>
      </c>
      <c r="K99" s="76">
        <f>IF(H99="Yes",ROUNDUP(IF(VLOOKUP(E99,'BASE_FUNCOES (hide)'!A:T,16,FALSE)&lt;&gt;"No",IF('General Information'!$C$19="HTML5",(I99+J99)*'BASE_FUNCOES (hide)'!$T$2,I99+J99),I99+J99),I99+J99),I99+J99)</f>
        <v>24</v>
      </c>
      <c r="L99" s="265" t="str">
        <f>IF(OR(E99=121,E99=88,E99=2682,E99=2703,E99=2687,E99=2689,E99=2681,E99=2685)=FALSE,"",IF('General Information'!$C$19="HTML5","FUNÇÃO DISPONÍVEL APENAS PARA BRASIL",IF(J100&lt;&gt;0,VLOOKUP(E100,Questions!$E$5:$L$568,5,0),"")))</f>
        <v/>
      </c>
      <c r="M99" s="164" t="s">
        <v>2396</v>
      </c>
      <c r="N99" s="369" t="s">
        <v>2377</v>
      </c>
    </row>
    <row r="100" spans="1:14" ht="14.5" customHeight="1" outlineLevel="1">
      <c r="A100" s="59"/>
      <c r="B100" s="72">
        <f>VLOOKUP('Hours Detail'!E100,'BASE_FUNCOES (hide)'!A:W,5,FALSE)</f>
        <v>88</v>
      </c>
      <c r="C100" s="72" t="s">
        <v>5929</v>
      </c>
      <c r="D100" s="73" t="str">
        <f>IF('General Information'!$C$6="Português",VLOOKUP(B100,'ESTRUTURA_MODULO(hide)'!A:D,2,0),IF('General Information'!$C$6="English",VLOOKUP(B100,'ESTRUTURA_MODULO(hide)'!A:D,3,0),IF('General Information'!$C$6="Español",VLOOKUP(B100,'ESTRUTURA_MODULO(hide)'!A:D,4,0))))</f>
        <v>Prontuário Eletrônico</v>
      </c>
      <c r="E100" s="254">
        <v>252</v>
      </c>
      <c r="F100" s="73" t="str">
        <f>IF('General Information'!$C$6="Português",VLOOKUP(E100,'BASE_FUNCOES (hide)'!A:H,2,0),IF('General Information'!$C$6="English",VLOOKUP(E100,'BASE_FUNCOES (hide)'!A:H,3,0),IF('General Information'!$C$6="Español",VLOOKUP(E100,'BASE_FUNCOES (hide)'!A:H,4,0))))</f>
        <v>Gestão dos Planos Terapêuticos</v>
      </c>
      <c r="G100" s="73" t="str">
        <f>IF(AND('General Information'!$D$16=1,VLOOKUP(B100,Modules!$B$5:$E$496,4,0)=1)=TRUE,VLOOKUP('Hours Detail'!E100,'BASE_FUNCOES (hide)'!$A:$V,10,0),IF(AND('General Information'!$D$16=2,VLOOKUP(B100,Modules!$B$5:$E$496,4,0)=1)=TRUE,VLOOKUP('Hours Detail'!E100,'BASE_FUNCOES (hide)'!$A:$V,11,0),IF(AND('General Information'!$D$16=3,VLOOKUP(B100,Modules!$B$5:$E$496,4,0)=1)=TRUE,VLOOKUP('Hours Detail'!E100,'BASE_FUNCOES (hide)'!$A:$V,12,0),IF(AND('General Information'!$D$16=4,VLOOKUP(B100,Modules!$B$5:$E$496,4,0)=1)=TRUE,VLOOKUP('Hours Detail'!E100,'BASE_FUNCOES (hide)'!$A:$V,13,0),IF(AND('General Information'!$D$16=5,VLOOKUP(B100,Modules!$B$5:$E$496,4,0)=1)=TRUE,VLOOKUP('Hours Detail'!E100,'BASE_FUNCOES (hide)'!$A:$V,14,0),  IF(AND('General Information'!$D$16=6,VLOOKUP(B100,Modules!$B$5:$E$496,4,0)=1)=TRUE,VLOOKUP('Hours Detail'!E100,'BASE_FUNCOES (hide)'!$A:$V,15,0),"No"))))))</f>
        <v>No</v>
      </c>
      <c r="H100" s="22" t="str">
        <f t="shared" si="3"/>
        <v>No</v>
      </c>
      <c r="I100" s="75">
        <f>IF('General Information'!$C$4="Mexico",(ROUNDUP(VLOOKUP(E100,'BASE_FUNCOES (hide)'!A:X,21,0),0)),(ROUNDUP(VLOOKUP(E100,'BASE_FUNCOES (hide)'!A:L,9,0),0)))</f>
        <v>32</v>
      </c>
      <c r="J100" s="75">
        <f>ROUNDUP(SUMIF(Questions!$E$5:$E$558,'Hours Detail'!E100,Questions!$F$5:$F$558),0)</f>
        <v>0</v>
      </c>
      <c r="K100" s="76">
        <f>IF(H100="Yes",ROUNDUP(IF(VLOOKUP(E100,'BASE_FUNCOES (hide)'!A:T,16,FALSE)&lt;&gt;"No",IF('General Information'!$C$19="HTML5",(I100+J100)*'BASE_FUNCOES (hide)'!$T$2,I100+J100),I100+J100),I100+J100),I100+J100)</f>
        <v>32</v>
      </c>
      <c r="L100" s="265" t="str">
        <f>IF(OR(E100=121,E100=88,E100=2682,E100=2703,E100=2687,E100=2689,E100=2681,E100=2685)=FALSE,"",IF('General Information'!$C$19="HTML5","FUNÇÃO DISPONÍVEL APENAS PARA BRASIL",IF(J101&lt;&gt;0,VLOOKUP(E101,Questions!$E$5:$L$568,5,0),"")))</f>
        <v/>
      </c>
      <c r="M100" s="164" t="s">
        <v>2396</v>
      </c>
      <c r="N100" s="369" t="s">
        <v>2377</v>
      </c>
    </row>
    <row r="101" spans="1:14" ht="14.5" customHeight="1" outlineLevel="1">
      <c r="A101" s="59"/>
      <c r="B101" s="72">
        <f>VLOOKUP('Hours Detail'!E101,'BASE_FUNCOES (hide)'!A:W,5,FALSE)</f>
        <v>88</v>
      </c>
      <c r="C101" s="72" t="s">
        <v>5929</v>
      </c>
      <c r="D101" s="73" t="str">
        <f>IF('General Information'!$C$6="Português",VLOOKUP(B101,'ESTRUTURA_MODULO(hide)'!A:D,2,0),IF('General Information'!$C$6="English",VLOOKUP(B101,'ESTRUTURA_MODULO(hide)'!A:D,3,0),IF('General Information'!$C$6="Español",VLOOKUP(B101,'ESTRUTURA_MODULO(hide)'!A:D,4,0))))</f>
        <v>Prontuário Eletrônico</v>
      </c>
      <c r="E101" s="254">
        <v>338</v>
      </c>
      <c r="F101" s="73" t="str">
        <f>IF('General Information'!$C$6="Português",VLOOKUP(E101,'BASE_FUNCOES (hide)'!A:H,2,0),IF('General Information'!$C$6="English",VLOOKUP(E101,'BASE_FUNCOES (hide)'!A:H,3,0),IF('General Information'!$C$6="Español",VLOOKUP(E101,'BASE_FUNCOES (hide)'!A:H,4,0))))</f>
        <v>Panorama Clínico</v>
      </c>
      <c r="G101" s="73" t="str">
        <f>IF(AND('General Information'!$D$16=1,VLOOKUP(B101,Modules!$B$5:$E$496,4,0)=1)=TRUE,VLOOKUP('Hours Detail'!E101,'BASE_FUNCOES (hide)'!$A:$V,10,0),IF(AND('General Information'!$D$16=2,VLOOKUP(B101,Modules!$B$5:$E$496,4,0)=1)=TRUE,VLOOKUP('Hours Detail'!E101,'BASE_FUNCOES (hide)'!$A:$V,11,0),IF(AND('General Information'!$D$16=3,VLOOKUP(B101,Modules!$B$5:$E$496,4,0)=1)=TRUE,VLOOKUP('Hours Detail'!E101,'BASE_FUNCOES (hide)'!$A:$V,12,0),IF(AND('General Information'!$D$16=4,VLOOKUP(B101,Modules!$B$5:$E$496,4,0)=1)=TRUE,VLOOKUP('Hours Detail'!E101,'BASE_FUNCOES (hide)'!$A:$V,13,0),IF(AND('General Information'!$D$16=5,VLOOKUP(B101,Modules!$B$5:$E$496,4,0)=1)=TRUE,VLOOKUP('Hours Detail'!E101,'BASE_FUNCOES (hide)'!$A:$V,14,0),  IF(AND('General Information'!$D$16=6,VLOOKUP(B101,Modules!$B$5:$E$496,4,0)=1)=TRUE,VLOOKUP('Hours Detail'!E101,'BASE_FUNCOES (hide)'!$A:$V,15,0),"No"))))))</f>
        <v>No</v>
      </c>
      <c r="H101" s="22" t="str">
        <f t="shared" si="3"/>
        <v>No</v>
      </c>
      <c r="I101" s="75">
        <f>IF('General Information'!$C$4="Mexico",(ROUNDUP(VLOOKUP(E101,'BASE_FUNCOES (hide)'!A:X,21,0),0)),(ROUNDUP(VLOOKUP(E101,'BASE_FUNCOES (hide)'!A:L,9,0),0)))</f>
        <v>80</v>
      </c>
      <c r="J101" s="75">
        <f>ROUNDUP(SUMIF(Questions!$E$5:$E$558,'Hours Detail'!E101,Questions!$F$5:$F$558),0)</f>
        <v>0</v>
      </c>
      <c r="K101" s="76">
        <f>IF(H101="Yes",ROUNDUP(IF(VLOOKUP(E101,'BASE_FUNCOES (hide)'!A:T,16,FALSE)&lt;&gt;"No",IF('General Information'!$C$19="HTML5",(I101+J101)*'BASE_FUNCOES (hide)'!$T$2,I101+J101),I101+J101),I101+J101),I101+J101)</f>
        <v>80</v>
      </c>
      <c r="L101" s="265" t="str">
        <f>IF(OR(E101=121,E101=88,E101=2682,E101=2703,E101=2687,E101=2689,E101=2681,E101=2685)=FALSE,"",IF('General Information'!$C$19="HTML5","FUNÇÃO DISPONÍVEL APENAS PARA BRASIL",IF(J102&lt;&gt;0,VLOOKUP(E102,Questions!$E$5:$L$568,5,0),"")))</f>
        <v/>
      </c>
      <c r="M101" s="164" t="s">
        <v>2396</v>
      </c>
      <c r="N101" s="369" t="s">
        <v>2377</v>
      </c>
    </row>
    <row r="102" spans="1:14" ht="14.5" customHeight="1" outlineLevel="1">
      <c r="A102" s="59"/>
      <c r="B102" s="72">
        <f>VLOOKUP('Hours Detail'!E102,'BASE_FUNCOES (hide)'!A:W,5,FALSE)</f>
        <v>10</v>
      </c>
      <c r="C102" s="72" t="s">
        <v>5929</v>
      </c>
      <c r="D102" s="73" t="str">
        <f>IF('General Information'!$C$6="Português",VLOOKUP(B102,'ESTRUTURA_MODULO(hide)'!A:D,2,0),IF('General Information'!$C$6="English",VLOOKUP(B102,'ESTRUTURA_MODULO(hide)'!A:D,3,0),IF('General Information'!$C$6="Español",VLOOKUP(B102,'ESTRUTURA_MODULO(hide)'!A:D,4,0))))</f>
        <v>Prescrição Eletrônica</v>
      </c>
      <c r="E102" s="254">
        <v>2314</v>
      </c>
      <c r="F102" s="73" t="str">
        <f>IF('General Information'!$C$6="Português",VLOOKUP(E102,'BASE_FUNCOES (hide)'!A:H,2,0),IF('General Information'!$C$6="English",VLOOKUP(E102,'BASE_FUNCOES (hide)'!A:H,3,0),IF('General Information'!$C$6="Español",VLOOKUP(E102,'BASE_FUNCOES (hide)'!A:H,4,0))))</f>
        <v>CPOE</v>
      </c>
      <c r="G102" s="73" t="str">
        <f>IF(AND('General Information'!$D$16=1,VLOOKUP(B102,Modules!$B$5:$E$496,4,0)=1)=TRUE,VLOOKUP('Hours Detail'!E102,'BASE_FUNCOES (hide)'!$A:$V,10,0),IF(AND('General Information'!$D$16=2,VLOOKUP(B102,Modules!$B$5:$E$496,4,0)=1)=TRUE,VLOOKUP('Hours Detail'!E102,'BASE_FUNCOES (hide)'!$A:$V,11,0),IF(AND('General Information'!$D$16=3,VLOOKUP(B102,Modules!$B$5:$E$496,4,0)=1)=TRUE,VLOOKUP('Hours Detail'!E102,'BASE_FUNCOES (hide)'!$A:$V,12,0),IF(AND('General Information'!$D$16=4,VLOOKUP(B102,Modules!$B$5:$E$496,4,0)=1)=TRUE,VLOOKUP('Hours Detail'!E102,'BASE_FUNCOES (hide)'!$A:$V,13,0),IF(AND('General Information'!$D$16=5,VLOOKUP(B102,Modules!$B$5:$E$496,4,0)=1)=TRUE,VLOOKUP('Hours Detail'!E102,'BASE_FUNCOES (hide)'!$A:$V,14,0),  IF(AND('General Information'!$D$16=6,VLOOKUP(B102,Modules!$B$5:$E$496,4,0)=1)=TRUE,VLOOKUP('Hours Detail'!E102,'BASE_FUNCOES (hide)'!$A:$V,15,0),"No"))))))</f>
        <v>No</v>
      </c>
      <c r="H102" s="22" t="str">
        <f t="shared" si="3"/>
        <v>No</v>
      </c>
      <c r="I102" s="75">
        <f>IF('General Information'!$C$4="Mexico",(ROUNDUP(VLOOKUP(E102,'BASE_FUNCOES (hide)'!A:X,21,0),0)),(ROUNDUP(VLOOKUP(E102,'BASE_FUNCOES (hide)'!A:L,9,0),0)))</f>
        <v>160</v>
      </c>
      <c r="J102" s="75">
        <f>ROUNDUP(SUMIF(Questions!$E$5:$E$558,'Hours Detail'!E102,Questions!$F$5:$F$558),0)</f>
        <v>0</v>
      </c>
      <c r="K102" s="76">
        <f>IF(H102="Yes",ROUNDUP(IF(VLOOKUP(E102,'BASE_FUNCOES (hide)'!A:T,16,FALSE)&lt;&gt;"No",IF('General Information'!$C$19="HTML5",(I102+J102)*'BASE_FUNCOES (hide)'!$T$2,I102+J102),I102+J102),I102+J102),I102+J102)</f>
        <v>160</v>
      </c>
      <c r="L102" s="265" t="str">
        <f>IF(OR(E102=121,E102=88,E102=2682,E102=2703,E102=2687,E102=2689,E102=2681,E102=2685)=FALSE,"",IF('General Information'!$C$19="HTML5","FUNÇÃO DISPONÍVEL APENAS PARA BRASIL",IF(J103&lt;&gt;0,VLOOKUP(E103,Questions!$E$5:$L$568,5,0),"")))</f>
        <v/>
      </c>
      <c r="M102" s="164" t="s">
        <v>2396</v>
      </c>
      <c r="N102" s="369" t="s">
        <v>2377</v>
      </c>
    </row>
    <row r="103" spans="1:14" ht="14.5" customHeight="1" outlineLevel="1">
      <c r="A103" s="59"/>
      <c r="B103" s="72">
        <f>VLOOKUP('Hours Detail'!E103,'BASE_FUNCOES (hide)'!A:W,5,FALSE)</f>
        <v>10</v>
      </c>
      <c r="C103" s="72" t="s">
        <v>5929</v>
      </c>
      <c r="D103" s="73" t="str">
        <f>IF('General Information'!$C$6="Português",VLOOKUP(B103,'ESTRUTURA_MODULO(hide)'!A:D,2,0),IF('General Information'!$C$6="English",VLOOKUP(B103,'ESTRUTURA_MODULO(hide)'!A:D,3,0),IF('General Information'!$C$6="Español",VLOOKUP(B103,'ESTRUTURA_MODULO(hide)'!A:D,4,0))))</f>
        <v>Prescrição Eletrônica</v>
      </c>
      <c r="E103" s="254">
        <v>950</v>
      </c>
      <c r="F103" s="73" t="str">
        <f>IF('General Information'!$C$6="Português",VLOOKUP(E103,'BASE_FUNCOES (hide)'!A:H,2,0),IF('General Information'!$C$6="English",VLOOKUP(E103,'BASE_FUNCOES (hide)'!A:H,3,0),IF('General Information'!$C$6="Español",VLOOKUP(E103,'BASE_FUNCOES (hide)'!A:H,4,0))))</f>
        <v>Prescrição Eletrônica Paciente - Plano Terapêutico (REP - PT)</v>
      </c>
      <c r="G103" s="73" t="str">
        <f>IF(AND('General Information'!$D$16=1,VLOOKUP(B103,Modules!$B$5:$E$496,4,0)=1)=TRUE,VLOOKUP('Hours Detail'!E103,'BASE_FUNCOES (hide)'!$A:$V,10,0),IF(AND('General Information'!$D$16=2,VLOOKUP(B103,Modules!$B$5:$E$496,4,0)=1)=TRUE,VLOOKUP('Hours Detail'!E103,'BASE_FUNCOES (hide)'!$A:$V,11,0),IF(AND('General Information'!$D$16=3,VLOOKUP(B103,Modules!$B$5:$E$496,4,0)=1)=TRUE,VLOOKUP('Hours Detail'!E103,'BASE_FUNCOES (hide)'!$A:$V,12,0),IF(AND('General Information'!$D$16=4,VLOOKUP(B103,Modules!$B$5:$E$496,4,0)=1)=TRUE,VLOOKUP('Hours Detail'!E103,'BASE_FUNCOES (hide)'!$A:$V,13,0),IF(AND('General Information'!$D$16=5,VLOOKUP(B103,Modules!$B$5:$E$496,4,0)=1)=TRUE,VLOOKUP('Hours Detail'!E103,'BASE_FUNCOES (hide)'!$A:$V,14,0),  IF(AND('General Information'!$D$16=6,VLOOKUP(B103,Modules!$B$5:$E$496,4,0)=1)=TRUE,VLOOKUP('Hours Detail'!E103,'BASE_FUNCOES (hide)'!$A:$V,15,0),"No"))))))</f>
        <v>No</v>
      </c>
      <c r="H103" s="22" t="str">
        <f t="shared" si="3"/>
        <v>No</v>
      </c>
      <c r="I103" s="75">
        <f>IF('General Information'!$C$4="Mexico",(ROUNDUP(VLOOKUP(E103,'BASE_FUNCOES (hide)'!A:X,21,0),0)),(ROUNDUP(VLOOKUP(E103,'BASE_FUNCOES (hide)'!A:L,9,0),0)))</f>
        <v>40</v>
      </c>
      <c r="J103" s="75">
        <f>ROUNDUP(SUMIF(Questions!$E$5:$E$558,'Hours Detail'!E103,Questions!$F$5:$F$558),0)</f>
        <v>0</v>
      </c>
      <c r="K103" s="76">
        <f>IF(H103="Yes",ROUNDUP(IF(VLOOKUP(E103,'BASE_FUNCOES (hide)'!A:T,16,FALSE)&lt;&gt;"No",IF('General Information'!$C$19="HTML5",(I103+J103)*'BASE_FUNCOES (hide)'!$T$2,I103+J103),I103+J103),I103+J103),I103+J103)</f>
        <v>40</v>
      </c>
      <c r="L103" s="265" t="str">
        <f>IF(OR(E103=121,E103=88,E103=2682,E103=2703,E103=2687,E103=2689,E103=2681,E103=2685)=FALSE,"",IF('General Information'!$C$19="HTML5","FUNÇÃO DISPONÍVEL APENAS PARA BRASIL",IF(J104&lt;&gt;0,VLOOKUP(E104,Questions!$E$5:$L$568,5,0),"")))</f>
        <v/>
      </c>
      <c r="M103" s="164" t="s">
        <v>2396</v>
      </c>
      <c r="N103" s="369" t="s">
        <v>2377</v>
      </c>
    </row>
    <row r="104" spans="1:14" ht="14.5" customHeight="1" outlineLevel="1">
      <c r="A104" s="59"/>
      <c r="B104" s="72">
        <f>VLOOKUP('Hours Detail'!E104,'BASE_FUNCOES (hide)'!A:W,5,FALSE)</f>
        <v>870</v>
      </c>
      <c r="C104" s="72" t="s">
        <v>5929</v>
      </c>
      <c r="D104" s="73" t="str">
        <f>IF('General Information'!$C$6="Português",VLOOKUP(B104,'ESTRUTURA_MODULO(hide)'!A:D,2,0),IF('General Information'!$C$6="English",VLOOKUP(B104,'ESTRUTURA_MODULO(hide)'!A:D,3,0),IF('General Information'!$C$6="Español",VLOOKUP(B104,'ESTRUTURA_MODULO(hide)'!A:D,4,0))))</f>
        <v>Suporte a Decisão Clínica</v>
      </c>
      <c r="E104" s="254">
        <v>355</v>
      </c>
      <c r="F104" s="73" t="str">
        <f>IF('General Information'!$C$6="Português",VLOOKUP(E104,'BASE_FUNCOES (hide)'!A:H,2,0),IF('General Information'!$C$6="English",VLOOKUP(E104,'BASE_FUNCOES (hide)'!A:H,3,0),IF('General Information'!$C$6="Español",VLOOKUP(E104,'BASE_FUNCOES (hide)'!A:H,4,0))))</f>
        <v>Mentor</v>
      </c>
      <c r="G104" s="73" t="str">
        <f>IF(AND('General Information'!$D$16=1,VLOOKUP(B104,Modules!$B$5:$E$496,4,0)=1)=TRUE,VLOOKUP('Hours Detail'!E104,'BASE_FUNCOES (hide)'!$A:$V,10,0),IF(AND('General Information'!$D$16=2,VLOOKUP(B104,Modules!$B$5:$E$496,4,0)=1)=TRUE,VLOOKUP('Hours Detail'!E104,'BASE_FUNCOES (hide)'!$A:$V,11,0),IF(AND('General Information'!$D$16=3,VLOOKUP(B104,Modules!$B$5:$E$496,4,0)=1)=TRUE,VLOOKUP('Hours Detail'!E104,'BASE_FUNCOES (hide)'!$A:$V,12,0),IF(AND('General Information'!$D$16=4,VLOOKUP(B104,Modules!$B$5:$E$496,4,0)=1)=TRUE,VLOOKUP('Hours Detail'!E104,'BASE_FUNCOES (hide)'!$A:$V,13,0),IF(AND('General Information'!$D$16=5,VLOOKUP(B104,Modules!$B$5:$E$496,4,0)=1)=TRUE,VLOOKUP('Hours Detail'!E104,'BASE_FUNCOES (hide)'!$A:$V,14,0),  IF(AND('General Information'!$D$16=6,VLOOKUP(B104,Modules!$B$5:$E$496,4,0)=1)=TRUE,VLOOKUP('Hours Detail'!E104,'BASE_FUNCOES (hide)'!$A:$V,15,0),"No"))))))</f>
        <v>No</v>
      </c>
      <c r="H104" s="22" t="str">
        <f t="shared" si="3"/>
        <v>No</v>
      </c>
      <c r="I104" s="75">
        <f>IF('General Information'!$C$4="Mexico",(ROUNDUP(VLOOKUP(E104,'BASE_FUNCOES (hide)'!A:X,21,0),0)),(ROUNDUP(VLOOKUP(E104,'BASE_FUNCOES (hide)'!A:L,9,0),0)))</f>
        <v>40</v>
      </c>
      <c r="J104" s="75">
        <f>ROUNDUP(SUMIF(Questions!$E$5:$E$558,'Hours Detail'!E104,Questions!$F$5:$F$558),0)</f>
        <v>0</v>
      </c>
      <c r="K104" s="76">
        <f>IF(H104="Yes",ROUNDUP(IF(VLOOKUP(E104,'BASE_FUNCOES (hide)'!A:T,16,FALSE)&lt;&gt;"No",IF('General Information'!$C$19="HTML5",(I104+J104)*'BASE_FUNCOES (hide)'!$T$2,I104+J104),I104+J104),I104+J104),I104+J104)</f>
        <v>40</v>
      </c>
      <c r="L104" s="265" t="str">
        <f>IF(OR(E104=121,E104=88,E104=2682,E104=2703,E104=2687,E104=2689,E104=2681,E104=2685)=FALSE,"",IF('General Information'!$C$19="HTML5","FUNÇÃO DISPONÍVEL APENAS PARA BRASIL",IF(J105&lt;&gt;0,VLOOKUP(E105,Questions!$E$5:$L$568,5,0),"")))</f>
        <v/>
      </c>
      <c r="M104" s="164" t="s">
        <v>2396</v>
      </c>
      <c r="N104" s="369" t="s">
        <v>2377</v>
      </c>
    </row>
    <row r="105" spans="1:14" ht="14.5" customHeight="1" outlineLevel="1">
      <c r="A105" s="59"/>
      <c r="B105" s="72">
        <f>VLOOKUP('Hours Detail'!E105,'BASE_FUNCOES (hide)'!A:W,5,FALSE)</f>
        <v>870</v>
      </c>
      <c r="C105" s="72" t="s">
        <v>5929</v>
      </c>
      <c r="D105" s="73" t="str">
        <f>IF('General Information'!$C$6="Português",VLOOKUP(B105,'ESTRUTURA_MODULO(hide)'!A:D,2,0),IF('General Information'!$C$6="English",VLOOKUP(B105,'ESTRUTURA_MODULO(hide)'!A:D,3,0),IF('General Information'!$C$6="Español",VLOOKUP(B105,'ESTRUTURA_MODULO(hide)'!A:D,4,0))))</f>
        <v>Suporte a Decisão Clínica</v>
      </c>
      <c r="E105" s="254">
        <v>354</v>
      </c>
      <c r="F105" s="73" t="str">
        <f>IF('General Information'!$C$6="Português",VLOOKUP(E105,'BASE_FUNCOES (hide)'!A:H,2,0),IF('General Information'!$C$6="English",VLOOKUP(E105,'BASE_FUNCOES (hide)'!A:H,3,0),IF('General Information'!$C$6="Español",VLOOKUP(E105,'BASE_FUNCOES (hide)'!A:H,4,0))))</f>
        <v>Suporte à Decisão Clínica (SDC) - Mentor</v>
      </c>
      <c r="G105" s="73" t="str">
        <f>IF(AND('General Information'!$D$16=1,VLOOKUP(B105,Modules!$B$5:$E$496,4,0)=1)=TRUE,VLOOKUP('Hours Detail'!E105,'BASE_FUNCOES (hide)'!$A:$V,10,0),IF(AND('General Information'!$D$16=2,VLOOKUP(B105,Modules!$B$5:$E$496,4,0)=1)=TRUE,VLOOKUP('Hours Detail'!E105,'BASE_FUNCOES (hide)'!$A:$V,11,0),IF(AND('General Information'!$D$16=3,VLOOKUP(B105,Modules!$B$5:$E$496,4,0)=1)=TRUE,VLOOKUP('Hours Detail'!E105,'BASE_FUNCOES (hide)'!$A:$V,12,0),IF(AND('General Information'!$D$16=4,VLOOKUP(B105,Modules!$B$5:$E$496,4,0)=1)=TRUE,VLOOKUP('Hours Detail'!E105,'BASE_FUNCOES (hide)'!$A:$V,13,0),IF(AND('General Information'!$D$16=5,VLOOKUP(B105,Modules!$B$5:$E$496,4,0)=1)=TRUE,VLOOKUP('Hours Detail'!E105,'BASE_FUNCOES (hide)'!$A:$V,14,0),  IF(AND('General Information'!$D$16=6,VLOOKUP(B105,Modules!$B$5:$E$496,4,0)=1)=TRUE,VLOOKUP('Hours Detail'!E105,'BASE_FUNCOES (hide)'!$A:$V,15,0),"No"))))))</f>
        <v>No</v>
      </c>
      <c r="H105" s="22" t="str">
        <f t="shared" si="3"/>
        <v>No</v>
      </c>
      <c r="I105" s="75">
        <f>IF('General Information'!$C$4="Mexico",(ROUNDUP(VLOOKUP(E105,'BASE_FUNCOES (hide)'!A:X,21,0),0)),(ROUNDUP(VLOOKUP(E105,'BASE_FUNCOES (hide)'!A:L,9,0),0)))</f>
        <v>40</v>
      </c>
      <c r="J105" s="75">
        <f>ROUNDUP(SUMIF(Questions!$E$5:$E$558,'Hours Detail'!E105,Questions!$F$5:$F$558),0)</f>
        <v>0</v>
      </c>
      <c r="K105" s="76">
        <f>IF(H105="Yes",ROUNDUP(IF(VLOOKUP(E105,'BASE_FUNCOES (hide)'!A:T,16,FALSE)&lt;&gt;"No",IF('General Information'!$C$19="HTML5",(I105+J105)*'BASE_FUNCOES (hide)'!$T$2,I105+J105),I105+J105),I105+J105),I105+J105)</f>
        <v>40</v>
      </c>
      <c r="L105" s="265" t="str">
        <f>IF(OR(E105=121,E105=88,E105=2682,E105=2703,E105=2687,E105=2689,E105=2681,E105=2685)=FALSE,"",IF('General Information'!$C$19="HTML5","FUNÇÃO DISPONÍVEL APENAS PARA BRASIL",IF(J106&lt;&gt;0,VLOOKUP(E106,Questions!$E$5:$L$568,5,0),"")))</f>
        <v/>
      </c>
      <c r="M105" s="164" t="s">
        <v>2396</v>
      </c>
      <c r="N105" s="369" t="s">
        <v>2377</v>
      </c>
    </row>
    <row r="106" spans="1:14" ht="14.5" customHeight="1" outlineLevel="1">
      <c r="A106" s="59"/>
      <c r="B106" s="72">
        <f>VLOOKUP('Hours Detail'!E106,'BASE_FUNCOES (hide)'!A:W,5,FALSE)</f>
        <v>38</v>
      </c>
      <c r="C106" s="72" t="s">
        <v>5929</v>
      </c>
      <c r="D106" s="73" t="str">
        <f>IF('General Information'!$C$6="Português",VLOOKUP(B106,'ESTRUTURA_MODULO(hide)'!A:D,2,0),IF('General Information'!$C$6="English",VLOOKUP(B106,'ESTRUTURA_MODULO(hide)'!A:D,3,0),IF('General Information'!$C$6="Español",VLOOKUP(B106,'ESTRUTURA_MODULO(hide)'!A:D,4,0))))</f>
        <v>Enfermagem</v>
      </c>
      <c r="E106" s="254">
        <v>1113</v>
      </c>
      <c r="F106" s="73" t="str">
        <f>IF('General Information'!$C$6="Português",VLOOKUP(E106,'BASE_FUNCOES (hide)'!A:H,2,0),IF('General Information'!$C$6="English",VLOOKUP(E106,'BASE_FUNCOES (hide)'!A:H,3,0),IF('General Information'!$C$6="Español",VLOOKUP(E106,'BASE_FUNCOES (hide)'!A:H,4,0))))</f>
        <v>Adm. Eletrônica da Prescrição - ADEP</v>
      </c>
      <c r="G106" s="73" t="str">
        <f>IF(AND('General Information'!$D$16=1,VLOOKUP(B106,Modules!$B$5:$E$496,4,0)=1)=TRUE,VLOOKUP('Hours Detail'!E106,'BASE_FUNCOES (hide)'!$A:$V,10,0),IF(AND('General Information'!$D$16=2,VLOOKUP(B106,Modules!$B$5:$E$496,4,0)=1)=TRUE,VLOOKUP('Hours Detail'!E106,'BASE_FUNCOES (hide)'!$A:$V,11,0),IF(AND('General Information'!$D$16=3,VLOOKUP(B106,Modules!$B$5:$E$496,4,0)=1)=TRUE,VLOOKUP('Hours Detail'!E106,'BASE_FUNCOES (hide)'!$A:$V,12,0),IF(AND('General Information'!$D$16=4,VLOOKUP(B106,Modules!$B$5:$E$496,4,0)=1)=TRUE,VLOOKUP('Hours Detail'!E106,'BASE_FUNCOES (hide)'!$A:$V,13,0),IF(AND('General Information'!$D$16=5,VLOOKUP(B106,Modules!$B$5:$E$496,4,0)=1)=TRUE,VLOOKUP('Hours Detail'!E106,'BASE_FUNCOES (hide)'!$A:$V,14,0),  IF(AND('General Information'!$D$16=6,VLOOKUP(B106,Modules!$B$5:$E$496,4,0)=1)=TRUE,VLOOKUP('Hours Detail'!E106,'BASE_FUNCOES (hide)'!$A:$V,15,0),"No"))))))</f>
        <v>No</v>
      </c>
      <c r="H106" s="22" t="str">
        <f t="shared" si="3"/>
        <v>No</v>
      </c>
      <c r="I106" s="75">
        <f>IF('General Information'!$C$4="Mexico",(ROUNDUP(VLOOKUP(E106,'BASE_FUNCOES (hide)'!A:X,21,0),0)),(ROUNDUP(VLOOKUP(E106,'BASE_FUNCOES (hide)'!A:L,9,0),0)))</f>
        <v>40</v>
      </c>
      <c r="J106" s="75">
        <f>ROUNDUP(SUMIF(Questions!$E$5:$E$558,'Hours Detail'!E106,Questions!$F$5:$F$558),0)</f>
        <v>0</v>
      </c>
      <c r="K106" s="76">
        <f>IF(H106="Yes",ROUNDUP(IF(VLOOKUP(E106,'BASE_FUNCOES (hide)'!A:T,16,FALSE)&lt;&gt;"No",IF('General Information'!$C$19="HTML5",(I106+J106)*'BASE_FUNCOES (hide)'!$T$2,I106+J106),I106+J106),I106+J106),I106+J106)</f>
        <v>40</v>
      </c>
      <c r="L106" s="265" t="str">
        <f>IF(OR(E106=121,E106=88,E106=2682,E106=2703,E106=2687,E106=2689,E106=2681,E106=2685)=FALSE,"",IF('General Information'!$C$19="HTML5","FUNÇÃO DISPONÍVEL APENAS PARA BRASIL",IF(J107&lt;&gt;0,VLOOKUP(E107,Questions!$E$5:$L$568,5,0),"")))</f>
        <v/>
      </c>
      <c r="M106" s="164" t="s">
        <v>2396</v>
      </c>
      <c r="N106" s="369" t="s">
        <v>2377</v>
      </c>
    </row>
    <row r="107" spans="1:14" ht="14.5" customHeight="1" outlineLevel="1">
      <c r="A107" s="59"/>
      <c r="B107" s="72">
        <f>VLOOKUP('Hours Detail'!E107,'BASE_FUNCOES (hide)'!A:W,5,FALSE)</f>
        <v>38</v>
      </c>
      <c r="C107" s="72" t="s">
        <v>5929</v>
      </c>
      <c r="D107" s="73" t="str">
        <f>IF('General Information'!$C$6="Português",VLOOKUP(B107,'ESTRUTURA_MODULO(hide)'!A:D,2,0),IF('General Information'!$C$6="English",VLOOKUP(B107,'ESTRUTURA_MODULO(hide)'!A:D,3,0),IF('General Information'!$C$6="Español",VLOOKUP(B107,'ESTRUTURA_MODULO(hide)'!A:D,4,0))))</f>
        <v>Enfermagem</v>
      </c>
      <c r="E107" s="254">
        <v>1290</v>
      </c>
      <c r="F107" s="73" t="str">
        <f>IF('General Information'!$C$6="Português",VLOOKUP(E107,'BASE_FUNCOES (hide)'!A:H,2,0),IF('General Information'!$C$6="English",VLOOKUP(E107,'BASE_FUNCOES (hide)'!A:H,3,0),IF('General Information'!$C$6="Español",VLOOKUP(E107,'BASE_FUNCOES (hide)'!A:H,4,0))))</f>
        <v>Gestão da Administração Eletrônica da Prescrição</v>
      </c>
      <c r="G107" s="73" t="str">
        <f>IF(AND('General Information'!$D$16=1,VLOOKUP(B107,Modules!$B$5:$E$496,4,0)=1)=TRUE,VLOOKUP('Hours Detail'!E107,'BASE_FUNCOES (hide)'!$A:$V,10,0),IF(AND('General Information'!$D$16=2,VLOOKUP(B107,Modules!$B$5:$E$496,4,0)=1)=TRUE,VLOOKUP('Hours Detail'!E107,'BASE_FUNCOES (hide)'!$A:$V,11,0),IF(AND('General Information'!$D$16=3,VLOOKUP(B107,Modules!$B$5:$E$496,4,0)=1)=TRUE,VLOOKUP('Hours Detail'!E107,'BASE_FUNCOES (hide)'!$A:$V,12,0),IF(AND('General Information'!$D$16=4,VLOOKUP(B107,Modules!$B$5:$E$496,4,0)=1)=TRUE,VLOOKUP('Hours Detail'!E107,'BASE_FUNCOES (hide)'!$A:$V,13,0),IF(AND('General Information'!$D$16=5,VLOOKUP(B107,Modules!$B$5:$E$496,4,0)=1)=TRUE,VLOOKUP('Hours Detail'!E107,'BASE_FUNCOES (hide)'!$A:$V,14,0),  IF(AND('General Information'!$D$16=6,VLOOKUP(B107,Modules!$B$5:$E$496,4,0)=1)=TRUE,VLOOKUP('Hours Detail'!E107,'BASE_FUNCOES (hide)'!$A:$V,15,0),"No"))))))</f>
        <v>No</v>
      </c>
      <c r="H107" s="22" t="str">
        <f t="shared" si="3"/>
        <v>No</v>
      </c>
      <c r="I107" s="75">
        <f>IF('General Information'!$C$4="Mexico",(ROUNDUP(VLOOKUP(E107,'BASE_FUNCOES (hide)'!A:X,21,0),0)),(ROUNDUP(VLOOKUP(E107,'BASE_FUNCOES (hide)'!A:L,9,0),0)))</f>
        <v>8</v>
      </c>
      <c r="J107" s="75">
        <f>ROUNDUP(SUMIF(Questions!$E$5:$E$558,'Hours Detail'!E107,Questions!$F$5:$F$558),0)</f>
        <v>0</v>
      </c>
      <c r="K107" s="76">
        <f>IF(H107="Yes",ROUNDUP(IF(VLOOKUP(E107,'BASE_FUNCOES (hide)'!A:T,16,FALSE)&lt;&gt;"No",IF('General Information'!$C$19="HTML5",(I107+J107)*'BASE_FUNCOES (hide)'!$T$2,I107+J107),I107+J107),I107+J107),I107+J107)</f>
        <v>8</v>
      </c>
      <c r="L107" s="265" t="str">
        <f>IF(OR(E107=121,E107=88,E107=2682,E107=2703,E107=2687,E107=2689,E107=2681,E107=2685)=FALSE,"",IF('General Information'!$C$19="HTML5","FUNÇÃO DISPONÍVEL APENAS PARA BRASIL",IF(J108&lt;&gt;0,VLOOKUP(E108,Questions!$E$5:$L$568,5,0),"")))</f>
        <v/>
      </c>
      <c r="M107" s="164" t="s">
        <v>2396</v>
      </c>
      <c r="N107" s="369" t="s">
        <v>2377</v>
      </c>
    </row>
    <row r="108" spans="1:14" ht="14.5" customHeight="1" outlineLevel="1">
      <c r="A108" s="59"/>
      <c r="B108" s="72">
        <f>VLOOKUP('Hours Detail'!E108,'BASE_FUNCOES (hide)'!A:W,5,FALSE)</f>
        <v>38</v>
      </c>
      <c r="C108" s="72" t="s">
        <v>5929</v>
      </c>
      <c r="D108" s="73" t="str">
        <f>IF('General Information'!$C$6="Português",VLOOKUP(B108,'ESTRUTURA_MODULO(hide)'!A:D,2,0),IF('General Information'!$C$6="English",VLOOKUP(B108,'ESTRUTURA_MODULO(hide)'!A:D,3,0),IF('General Information'!$C$6="Español",VLOOKUP(B108,'ESTRUTURA_MODULO(hide)'!A:D,4,0))))</f>
        <v>Enfermagem</v>
      </c>
      <c r="E108" s="254">
        <v>7015</v>
      </c>
      <c r="F108" s="73" t="str">
        <f>IF('General Information'!$C$6="Português",VLOOKUP(E108,'BASE_FUNCOES (hide)'!A:H,2,0),IF('General Information'!$C$6="English",VLOOKUP(E108,'BASE_FUNCOES (hide)'!A:H,3,0),IF('General Information'!$C$6="Español",VLOOKUP(E108,'BASE_FUNCOES (hide)'!A:H,4,0))))</f>
        <v>Gestão das Prescrições pela Enfermagem</v>
      </c>
      <c r="G108" s="73" t="str">
        <f>IF(AND('General Information'!$D$16=1,VLOOKUP(B108,Modules!$B$5:$E$496,4,0)=1)=TRUE,VLOOKUP('Hours Detail'!E108,'BASE_FUNCOES (hide)'!$A:$V,10,0),IF(AND('General Information'!$D$16=2,VLOOKUP(B108,Modules!$B$5:$E$496,4,0)=1)=TRUE,VLOOKUP('Hours Detail'!E108,'BASE_FUNCOES (hide)'!$A:$V,11,0),IF(AND('General Information'!$D$16=3,VLOOKUP(B108,Modules!$B$5:$E$496,4,0)=1)=TRUE,VLOOKUP('Hours Detail'!E108,'BASE_FUNCOES (hide)'!$A:$V,12,0),IF(AND('General Information'!$D$16=4,VLOOKUP(B108,Modules!$B$5:$E$496,4,0)=1)=TRUE,VLOOKUP('Hours Detail'!E108,'BASE_FUNCOES (hide)'!$A:$V,13,0),IF(AND('General Information'!$D$16=5,VLOOKUP(B108,Modules!$B$5:$E$496,4,0)=1)=TRUE,VLOOKUP('Hours Detail'!E108,'BASE_FUNCOES (hide)'!$A:$V,14,0),  IF(AND('General Information'!$D$16=6,VLOOKUP(B108,Modules!$B$5:$E$496,4,0)=1)=TRUE,VLOOKUP('Hours Detail'!E108,'BASE_FUNCOES (hide)'!$A:$V,15,0),"No"))))))</f>
        <v>No</v>
      </c>
      <c r="H108" s="22" t="str">
        <f t="shared" si="3"/>
        <v>No</v>
      </c>
      <c r="I108" s="75">
        <f>IF('General Information'!$C$4="Mexico",(ROUNDUP(VLOOKUP(E108,'BASE_FUNCOES (hide)'!A:X,21,0),0)),(ROUNDUP(VLOOKUP(E108,'BASE_FUNCOES (hide)'!A:L,9,0),0)))</f>
        <v>16</v>
      </c>
      <c r="J108" s="75">
        <f>ROUNDUP(SUMIF(Questions!$E$5:$E$558,'Hours Detail'!E108,Questions!$F$5:$F$558),0)</f>
        <v>0</v>
      </c>
      <c r="K108" s="76">
        <f>IF(H108="Yes",ROUNDUP(IF(VLOOKUP(E108,'BASE_FUNCOES (hide)'!A:T,16,FALSE)&lt;&gt;"No",IF('General Information'!$C$19="HTML5",(I108+J108)*'BASE_FUNCOES (hide)'!$T$2,I108+J108),I108+J108),I108+J108),I108+J108)</f>
        <v>16</v>
      </c>
      <c r="L108" s="265" t="str">
        <f>IF(OR(E108=121,E108=88,E108=2682,E108=2703,E108=2687,E108=2689,E108=2681,E108=2685)=FALSE,"",IF('General Information'!$C$19="HTML5","FUNÇÃO DISPONÍVEL APENAS PARA BRASIL",IF(J109&lt;&gt;0,VLOOKUP(E109,Questions!$E$5:$L$568,5,0),"")))</f>
        <v/>
      </c>
      <c r="M108" s="164" t="s">
        <v>2396</v>
      </c>
      <c r="N108" s="369" t="s">
        <v>2377</v>
      </c>
    </row>
    <row r="109" spans="1:14" ht="14.5" customHeight="1" outlineLevel="1">
      <c r="A109" s="59"/>
      <c r="B109" s="72">
        <f>VLOOKUP('Hours Detail'!E109,'BASE_FUNCOES (hide)'!A:W,5,FALSE)</f>
        <v>38</v>
      </c>
      <c r="C109" s="72" t="s">
        <v>5929</v>
      </c>
      <c r="D109" s="73" t="str">
        <f>IF('General Information'!$C$6="Português",VLOOKUP(B109,'ESTRUTURA_MODULO(hide)'!A:D,2,0),IF('General Information'!$C$6="English",VLOOKUP(B109,'ESTRUTURA_MODULO(hide)'!A:D,3,0),IF('General Information'!$C$6="Español",VLOOKUP(B109,'ESTRUTURA_MODULO(hide)'!A:D,4,0))))</f>
        <v>Enfermagem</v>
      </c>
      <c r="E109" s="254">
        <v>932</v>
      </c>
      <c r="F109" s="73" t="str">
        <f>IF('General Information'!$C$6="Português",VLOOKUP(E109,'BASE_FUNCOES (hide)'!A:H,2,0),IF('General Information'!$C$6="English",VLOOKUP(E109,'BASE_FUNCOES (hide)'!A:H,3,0),IF('General Information'!$C$6="Español",VLOOKUP(E109,'BASE_FUNCOES (hide)'!A:H,4,0))))</f>
        <v>Ocorrências no Turno de Trabalho</v>
      </c>
      <c r="G109" s="73" t="str">
        <f>IF(AND('General Information'!$D$16=1,VLOOKUP(B109,Modules!$B$5:$E$496,4,0)=1)=TRUE,VLOOKUP('Hours Detail'!E109,'BASE_FUNCOES (hide)'!$A:$V,10,0),IF(AND('General Information'!$D$16=2,VLOOKUP(B109,Modules!$B$5:$E$496,4,0)=1)=TRUE,VLOOKUP('Hours Detail'!E109,'BASE_FUNCOES (hide)'!$A:$V,11,0),IF(AND('General Information'!$D$16=3,VLOOKUP(B109,Modules!$B$5:$E$496,4,0)=1)=TRUE,VLOOKUP('Hours Detail'!E109,'BASE_FUNCOES (hide)'!$A:$V,12,0),IF(AND('General Information'!$D$16=4,VLOOKUP(B109,Modules!$B$5:$E$496,4,0)=1)=TRUE,VLOOKUP('Hours Detail'!E109,'BASE_FUNCOES (hide)'!$A:$V,13,0),IF(AND('General Information'!$D$16=5,VLOOKUP(B109,Modules!$B$5:$E$496,4,0)=1)=TRUE,VLOOKUP('Hours Detail'!E109,'BASE_FUNCOES (hide)'!$A:$V,14,0),  IF(AND('General Information'!$D$16=6,VLOOKUP(B109,Modules!$B$5:$E$496,4,0)=1)=TRUE,VLOOKUP('Hours Detail'!E109,'BASE_FUNCOES (hide)'!$A:$V,15,0),"No"))))))</f>
        <v>No</v>
      </c>
      <c r="H109" s="22" t="str">
        <f t="shared" si="3"/>
        <v>No</v>
      </c>
      <c r="I109" s="75">
        <f>IF('General Information'!$C$4="Mexico",(ROUNDUP(VLOOKUP(E109,'BASE_FUNCOES (hide)'!A:X,21,0),0)),(ROUNDUP(VLOOKUP(E109,'BASE_FUNCOES (hide)'!A:L,9,0),0)))</f>
        <v>4</v>
      </c>
      <c r="J109" s="75">
        <f>ROUNDUP(SUMIF(Questions!$E$5:$E$558,'Hours Detail'!E109,Questions!$F$5:$F$558),0)</f>
        <v>0</v>
      </c>
      <c r="K109" s="76">
        <f>IF(H109="Yes",ROUNDUP(IF(VLOOKUP(E109,'BASE_FUNCOES (hide)'!A:T,16,FALSE)&lt;&gt;"No",IF('General Information'!$C$19="HTML5",(I109+J109)*'BASE_FUNCOES (hide)'!$T$2,I109+J109),I109+J109),I109+J109),I109+J109)</f>
        <v>4</v>
      </c>
      <c r="L109" s="265" t="str">
        <f>IF(OR(E109=121,E109=88,E109=2682,E109=2703,E109=2687,E109=2689,E109=2681,E109=2685)=FALSE,"",IF('General Information'!$C$19="HTML5","FUNÇÃO DISPONÍVEL APENAS PARA BRASIL",IF(J110&lt;&gt;0,VLOOKUP(E110,Questions!$E$5:$L$568,5,0),"")))</f>
        <v/>
      </c>
      <c r="M109" s="164" t="s">
        <v>2396</v>
      </c>
      <c r="N109" s="369" t="s">
        <v>2377</v>
      </c>
    </row>
    <row r="110" spans="1:14" ht="14.5" customHeight="1" outlineLevel="1">
      <c r="A110" s="59"/>
      <c r="B110" s="72">
        <f>VLOOKUP('Hours Detail'!E110,'BASE_FUNCOES (hide)'!A:W,5,FALSE)</f>
        <v>38</v>
      </c>
      <c r="C110" s="72" t="s">
        <v>5929</v>
      </c>
      <c r="D110" s="73" t="str">
        <f>IF('General Information'!$C$6="Português",VLOOKUP(B110,'ESTRUTURA_MODULO(hide)'!A:D,2,0),IF('General Information'!$C$6="English",VLOOKUP(B110,'ESTRUTURA_MODULO(hide)'!A:D,3,0),IF('General Information'!$C$6="Español",VLOOKUP(B110,'ESTRUTURA_MODULO(hide)'!A:D,4,0))))</f>
        <v>Enfermagem</v>
      </c>
      <c r="E110" s="254">
        <v>-1004</v>
      </c>
      <c r="F110" s="73" t="str">
        <f>IF('General Information'!$C$6="Português",VLOOKUP(E110,'BASE_FUNCOES (hide)'!A:H,2,0),IF('General Information'!$C$6="English",VLOOKUP(E110,'BASE_FUNCOES (hide)'!A:H,3,0),IF('General Information'!$C$6="Español",VLOOKUP(E110,'BASE_FUNCOES (hide)'!A:H,4,0))))</f>
        <v>SAE - Sistematização da Assistência de Enfermagem</v>
      </c>
      <c r="G110" s="73" t="str">
        <f>IF(AND('General Information'!$D$16=1,VLOOKUP(B110,Modules!$B$5:$E$496,4,0)=1)=TRUE,VLOOKUP('Hours Detail'!E110,'BASE_FUNCOES (hide)'!$A:$V,10,0),IF(AND('General Information'!$D$16=2,VLOOKUP(B110,Modules!$B$5:$E$496,4,0)=1)=TRUE,VLOOKUP('Hours Detail'!E110,'BASE_FUNCOES (hide)'!$A:$V,11,0),IF(AND('General Information'!$D$16=3,VLOOKUP(B110,Modules!$B$5:$E$496,4,0)=1)=TRUE,VLOOKUP('Hours Detail'!E110,'BASE_FUNCOES (hide)'!$A:$V,12,0),IF(AND('General Information'!$D$16=4,VLOOKUP(B110,Modules!$B$5:$E$496,4,0)=1)=TRUE,VLOOKUP('Hours Detail'!E110,'BASE_FUNCOES (hide)'!$A:$V,13,0),IF(AND('General Information'!$D$16=5,VLOOKUP(B110,Modules!$B$5:$E$496,4,0)=1)=TRUE,VLOOKUP('Hours Detail'!E110,'BASE_FUNCOES (hide)'!$A:$V,14,0),  IF(AND('General Information'!$D$16=6,VLOOKUP(B110,Modules!$B$5:$E$496,4,0)=1)=TRUE,VLOOKUP('Hours Detail'!E110,'BASE_FUNCOES (hide)'!$A:$V,15,0),"No"))))))</f>
        <v>No</v>
      </c>
      <c r="H110" s="22" t="str">
        <f t="shared" si="3"/>
        <v>No</v>
      </c>
      <c r="I110" s="75">
        <f>IF('General Information'!$C$4="Mexico",(ROUNDUP(VLOOKUP(E110,'BASE_FUNCOES (hide)'!A:X,21,0),0)),(ROUNDUP(VLOOKUP(E110,'BASE_FUNCOES (hide)'!A:L,9,0),0)))</f>
        <v>24</v>
      </c>
      <c r="J110" s="75">
        <f>ROUNDUP(SUMIF(Questions!$E$5:$E$558,'Hours Detail'!E110,Questions!$F$5:$F$558),0)</f>
        <v>0</v>
      </c>
      <c r="K110" s="76">
        <f>IF(H110="Yes",ROUNDUP(IF(VLOOKUP(E110,'BASE_FUNCOES (hide)'!A:T,16,FALSE)&lt;&gt;"No",IF('General Information'!$C$19="HTML5",(I110+J110)*'BASE_FUNCOES (hide)'!$T$2,I110+J110),I110+J110),I110+J110),I110+J110)</f>
        <v>24</v>
      </c>
      <c r="L110" s="265" t="str">
        <f>IF(OR(E110=121,E110=88,E110=2682,E110=2703,E110=2687,E110=2689,E110=2681,E110=2685)=FALSE,"",IF('General Information'!$C$19="HTML5","FUNÇÃO DISPONÍVEL APENAS PARA BRASIL",IF(J111&lt;&gt;0,VLOOKUP(E111,Questions!$E$5:$L$568,5,0),"")))</f>
        <v/>
      </c>
      <c r="M110" s="164" t="s">
        <v>2396</v>
      </c>
      <c r="N110" s="369" t="s">
        <v>2377</v>
      </c>
    </row>
    <row r="111" spans="1:14" ht="14.5" customHeight="1" outlineLevel="1">
      <c r="A111" s="59"/>
      <c r="B111" s="72">
        <f>VLOOKUP('Hours Detail'!E111,'BASE_FUNCOES (hide)'!A:W,5,FALSE)</f>
        <v>89</v>
      </c>
      <c r="C111" s="72" t="s">
        <v>5929</v>
      </c>
      <c r="D111" s="73" t="str">
        <f>IF('General Information'!$C$6="Português",VLOOKUP(B111,'ESTRUTURA_MODULO(hide)'!A:D,2,0),IF('General Information'!$C$6="English",VLOOKUP(B111,'ESTRUTURA_MODULO(hide)'!A:D,3,0),IF('General Information'!$C$6="Español",VLOOKUP(B111,'ESTRUTURA_MODULO(hide)'!A:D,4,0))))</f>
        <v>Pronto Atendimento</v>
      </c>
      <c r="E111" s="254">
        <v>2815</v>
      </c>
      <c r="F111" s="73" t="str">
        <f>IF('General Information'!$C$6="Português",VLOOKUP(E111,'BASE_FUNCOES (hide)'!A:H,2,0),IF('General Information'!$C$6="English",VLOOKUP(E111,'BASE_FUNCOES (hide)'!A:H,3,0),IF('General Information'!$C$6="Español",VLOOKUP(E111,'BASE_FUNCOES (hide)'!A:H,4,0))))</f>
        <v>Classificação de Risco Manchester</v>
      </c>
      <c r="G111" s="73" t="str">
        <f>IF(AND('General Information'!$D$16=1,VLOOKUP(B111,Modules!$B$5:$E$496,4,0)=1)=TRUE,VLOOKUP('Hours Detail'!E111,'BASE_FUNCOES (hide)'!$A:$V,10,0),IF(AND('General Information'!$D$16=2,VLOOKUP(B111,Modules!$B$5:$E$496,4,0)=1)=TRUE,VLOOKUP('Hours Detail'!E111,'BASE_FUNCOES (hide)'!$A:$V,11,0),IF(AND('General Information'!$D$16=3,VLOOKUP(B111,Modules!$B$5:$E$496,4,0)=1)=TRUE,VLOOKUP('Hours Detail'!E111,'BASE_FUNCOES (hide)'!$A:$V,12,0),IF(AND('General Information'!$D$16=4,VLOOKUP(B111,Modules!$B$5:$E$496,4,0)=1)=TRUE,VLOOKUP('Hours Detail'!E111,'BASE_FUNCOES (hide)'!$A:$V,13,0),IF(AND('General Information'!$D$16=5,VLOOKUP(B111,Modules!$B$5:$E$496,4,0)=1)=TRUE,VLOOKUP('Hours Detail'!E111,'BASE_FUNCOES (hide)'!$A:$V,14,0),  IF(AND('General Information'!$D$16=6,VLOOKUP(B111,Modules!$B$5:$E$496,4,0)=1)=TRUE,VLOOKUP('Hours Detail'!E111,'BASE_FUNCOES (hide)'!$A:$V,15,0),"No"))))))</f>
        <v>No</v>
      </c>
      <c r="H111" s="22" t="str">
        <f t="shared" si="3"/>
        <v>No</v>
      </c>
      <c r="I111" s="75">
        <f>IF('General Information'!$C$4="Mexico",(ROUNDUP(VLOOKUP(E111,'BASE_FUNCOES (hide)'!A:X,21,0),0)),(ROUNDUP(VLOOKUP(E111,'BASE_FUNCOES (hide)'!A:L,9,0),0)))</f>
        <v>40</v>
      </c>
      <c r="J111" s="75">
        <f>ROUNDUP(SUMIF(Questions!$E$5:$E$558,'Hours Detail'!E111,Questions!$F$5:$F$558),0)</f>
        <v>0</v>
      </c>
      <c r="K111" s="76">
        <f>IF(H111="Yes",ROUNDUP(IF(VLOOKUP(E111,'BASE_FUNCOES (hide)'!A:T,16,FALSE)&lt;&gt;"No",IF('General Information'!$C$19="HTML5",(I111+J111)*'BASE_FUNCOES (hide)'!$T$2,I111+J111),I111+J111),I111+J111),I111+J111)</f>
        <v>40</v>
      </c>
      <c r="L111" s="265" t="str">
        <f>IF(OR(E111=121,E111=88,E111=2682,E111=2703,E111=2687,E111=2689,E111=2681,E111=2685)=FALSE,"",IF('General Information'!$C$19="HTML5","FUNÇÃO DISPONÍVEL APENAS PARA BRASIL",IF(J112&lt;&gt;0,VLOOKUP(E112,Questions!$E$5:$L$568,5,0),"")))</f>
        <v/>
      </c>
      <c r="M111" s="164" t="s">
        <v>2396</v>
      </c>
      <c r="N111" s="369" t="s">
        <v>2377</v>
      </c>
    </row>
    <row r="112" spans="1:14" ht="14.5" customHeight="1" outlineLevel="1">
      <c r="A112" s="59"/>
      <c r="B112" s="72">
        <f>VLOOKUP('Hours Detail'!E112,'BASE_FUNCOES (hide)'!A:W,5,FALSE)</f>
        <v>89</v>
      </c>
      <c r="C112" s="72" t="s">
        <v>5929</v>
      </c>
      <c r="D112" s="73" t="str">
        <f>IF('General Information'!$C$6="Português",VLOOKUP(B112,'ESTRUTURA_MODULO(hide)'!A:D,2,0),IF('General Information'!$C$6="English",VLOOKUP(B112,'ESTRUTURA_MODULO(hide)'!A:D,3,0),IF('General Information'!$C$6="Español",VLOOKUP(B112,'ESTRUTURA_MODULO(hide)'!A:D,4,0))))</f>
        <v>Pronto Atendimento</v>
      </c>
      <c r="E112" s="254">
        <v>440</v>
      </c>
      <c r="F112" s="73" t="str">
        <f>IF('General Information'!$C$6="Português",VLOOKUP(E112,'BASE_FUNCOES (hide)'!A:H,2,0),IF('General Information'!$C$6="English",VLOOKUP(E112,'BASE_FUNCOES (hide)'!A:H,3,0),IF('General Information'!$C$6="Español",VLOOKUP(E112,'BASE_FUNCOES (hide)'!A:H,4,0))))</f>
        <v>Execução do Cartão Emergencial</v>
      </c>
      <c r="G112" s="73" t="str">
        <f>IF(AND('General Information'!$D$16=1,VLOOKUP(B112,Modules!$B$5:$E$496,4,0)=1)=TRUE,VLOOKUP('Hours Detail'!E112,'BASE_FUNCOES (hide)'!$A:$V,10,0),IF(AND('General Information'!$D$16=2,VLOOKUP(B112,Modules!$B$5:$E$496,4,0)=1)=TRUE,VLOOKUP('Hours Detail'!E112,'BASE_FUNCOES (hide)'!$A:$V,11,0),IF(AND('General Information'!$D$16=3,VLOOKUP(B112,Modules!$B$5:$E$496,4,0)=1)=TRUE,VLOOKUP('Hours Detail'!E112,'BASE_FUNCOES (hide)'!$A:$V,12,0),IF(AND('General Information'!$D$16=4,VLOOKUP(B112,Modules!$B$5:$E$496,4,0)=1)=TRUE,VLOOKUP('Hours Detail'!E112,'BASE_FUNCOES (hide)'!$A:$V,13,0),IF(AND('General Information'!$D$16=5,VLOOKUP(B112,Modules!$B$5:$E$496,4,0)=1)=TRUE,VLOOKUP('Hours Detail'!E112,'BASE_FUNCOES (hide)'!$A:$V,14,0),  IF(AND('General Information'!$D$16=6,VLOOKUP(B112,Modules!$B$5:$E$496,4,0)=1)=TRUE,VLOOKUP('Hours Detail'!E112,'BASE_FUNCOES (hide)'!$A:$V,15,0),"No"))))))</f>
        <v>No</v>
      </c>
      <c r="H112" s="22" t="str">
        <f t="shared" si="3"/>
        <v>No</v>
      </c>
      <c r="I112" s="75">
        <f>IF('General Information'!$C$4="Mexico",(ROUNDUP(VLOOKUP(E112,'BASE_FUNCOES (hide)'!A:X,21,0),0)),(ROUNDUP(VLOOKUP(E112,'BASE_FUNCOES (hide)'!A:L,9,0),0)))</f>
        <v>6</v>
      </c>
      <c r="J112" s="75">
        <f>ROUNDUP(SUMIF(Questions!$E$5:$E$558,'Hours Detail'!E112,Questions!$F$5:$F$558),0)</f>
        <v>0</v>
      </c>
      <c r="K112" s="76">
        <f>IF(H112="Yes",ROUNDUP(IF(VLOOKUP(E112,'BASE_FUNCOES (hide)'!A:T,16,FALSE)&lt;&gt;"No",IF('General Information'!$C$19="HTML5",(I112+J112)*'BASE_FUNCOES (hide)'!$T$2,I112+J112),I112+J112),I112+J112),I112+J112)</f>
        <v>6</v>
      </c>
      <c r="L112" s="265" t="str">
        <f>IF(OR(E112=121,E112=88,E112=2682,E112=2703,E112=2687,E112=2689,E112=2681,E112=2685)=FALSE,"",IF('General Information'!$C$19="HTML5","FUNÇÃO DISPONÍVEL APENAS PARA BRASIL",IF(J113&lt;&gt;0,VLOOKUP(E113,Questions!$E$5:$L$568,5,0),"")))</f>
        <v/>
      </c>
      <c r="M112" s="164" t="s">
        <v>2396</v>
      </c>
      <c r="N112" s="369" t="s">
        <v>2377</v>
      </c>
    </row>
    <row r="113" spans="1:14" ht="14.5" customHeight="1" outlineLevel="1">
      <c r="A113" s="59"/>
      <c r="B113" s="72">
        <f>VLOOKUP('Hours Detail'!E113,'BASE_FUNCOES (hide)'!A:W,5,FALSE)</f>
        <v>89</v>
      </c>
      <c r="C113" s="72" t="s">
        <v>5929</v>
      </c>
      <c r="D113" s="73" t="str">
        <f>IF('General Information'!$C$6="Português",VLOOKUP(B113,'ESTRUTURA_MODULO(hide)'!A:D,2,0),IF('General Information'!$C$6="English",VLOOKUP(B113,'ESTRUTURA_MODULO(hide)'!A:D,3,0),IF('General Information'!$C$6="Español",VLOOKUP(B113,'ESTRUTURA_MODULO(hide)'!A:D,4,0))))</f>
        <v>Pronto Atendimento</v>
      </c>
      <c r="E113" s="254">
        <v>9030</v>
      </c>
      <c r="F113" s="73" t="str">
        <f>IF('General Information'!$C$6="Português",VLOOKUP(E113,'BASE_FUNCOES (hide)'!A:H,2,0),IF('General Information'!$C$6="English",VLOOKUP(E113,'BASE_FUNCOES (hide)'!A:H,3,0),IF('General Information'!$C$6="Español",VLOOKUP(E113,'BASE_FUNCOES (hide)'!A:H,4,0))))</f>
        <v>Painel do Pronto Atendimento</v>
      </c>
      <c r="G113" s="73" t="str">
        <f>IF(AND('General Information'!$D$16=1,VLOOKUP(B113,Modules!$B$5:$E$496,4,0)=1)=TRUE,VLOOKUP('Hours Detail'!E113,'BASE_FUNCOES (hide)'!$A:$V,10,0),IF(AND('General Information'!$D$16=2,VLOOKUP(B113,Modules!$B$5:$E$496,4,0)=1)=TRUE,VLOOKUP('Hours Detail'!E113,'BASE_FUNCOES (hide)'!$A:$V,11,0),IF(AND('General Information'!$D$16=3,VLOOKUP(B113,Modules!$B$5:$E$496,4,0)=1)=TRUE,VLOOKUP('Hours Detail'!E113,'BASE_FUNCOES (hide)'!$A:$V,12,0),IF(AND('General Information'!$D$16=4,VLOOKUP(B113,Modules!$B$5:$E$496,4,0)=1)=TRUE,VLOOKUP('Hours Detail'!E113,'BASE_FUNCOES (hide)'!$A:$V,13,0),IF(AND('General Information'!$D$16=5,VLOOKUP(B113,Modules!$B$5:$E$496,4,0)=1)=TRUE,VLOOKUP('Hours Detail'!E113,'BASE_FUNCOES (hide)'!$A:$V,14,0),  IF(AND('General Information'!$D$16=6,VLOOKUP(B113,Modules!$B$5:$E$496,4,0)=1)=TRUE,VLOOKUP('Hours Detail'!E113,'BASE_FUNCOES (hide)'!$A:$V,15,0),"No"))))))</f>
        <v>No</v>
      </c>
      <c r="H113" s="22" t="str">
        <f t="shared" si="3"/>
        <v>No</v>
      </c>
      <c r="I113" s="75">
        <f>IF('General Information'!$C$4="Mexico",(ROUNDUP(VLOOKUP(E113,'BASE_FUNCOES (hide)'!A:X,21,0),0)),(ROUNDUP(VLOOKUP(E113,'BASE_FUNCOES (hide)'!A:L,9,0),0)))</f>
        <v>4</v>
      </c>
      <c r="J113" s="75">
        <f>ROUNDUP(SUMIF(Questions!$E$5:$E$558,'Hours Detail'!E113,Questions!$F$5:$F$558),0)</f>
        <v>0</v>
      </c>
      <c r="K113" s="76">
        <f>IF(H113="Yes",ROUNDUP(IF(VLOOKUP(E113,'BASE_FUNCOES (hide)'!A:T,16,FALSE)&lt;&gt;"No",IF('General Information'!$C$19="HTML5",(I113+J113)*'BASE_FUNCOES (hide)'!$T$2,I113+J113),I113+J113),I113+J113),I113+J113)</f>
        <v>4</v>
      </c>
      <c r="L113" s="265" t="str">
        <f>IF(OR(E113=121,E113=88,E113=2682,E113=2703,E113=2687,E113=2689,E113=2681,E113=2685)=FALSE,"",IF('General Information'!$C$19="HTML5","FUNÇÃO DISPONÍVEL APENAS PARA BRASIL",IF(J114&lt;&gt;0,VLOOKUP(E114,Questions!$E$5:$L$568,5,0),"")))</f>
        <v/>
      </c>
      <c r="M113" s="164" t="s">
        <v>2396</v>
      </c>
      <c r="N113" s="369" t="s">
        <v>2377</v>
      </c>
    </row>
    <row r="114" spans="1:14" ht="14.5" customHeight="1" outlineLevel="1">
      <c r="A114" s="59"/>
      <c r="B114" s="72">
        <f>VLOOKUP('Hours Detail'!E114,'BASE_FUNCOES (hide)'!A:W,5,FALSE)</f>
        <v>89</v>
      </c>
      <c r="C114" s="72" t="s">
        <v>5929</v>
      </c>
      <c r="D114" s="73" t="str">
        <f>IF('General Information'!$C$6="Português",VLOOKUP(B114,'ESTRUTURA_MODULO(hide)'!A:D,2,0),IF('General Information'!$C$6="English",VLOOKUP(B114,'ESTRUTURA_MODULO(hide)'!A:D,3,0),IF('General Information'!$C$6="Español",VLOOKUP(B114,'ESTRUTURA_MODULO(hide)'!A:D,4,0))))</f>
        <v>Pronto Atendimento</v>
      </c>
      <c r="E114" s="254">
        <v>935</v>
      </c>
      <c r="F114" s="73" t="str">
        <f>IF('General Information'!$C$6="Português",VLOOKUP(E114,'BASE_FUNCOES (hide)'!A:H,2,0),IF('General Information'!$C$6="English",VLOOKUP(E114,'BASE_FUNCOES (hide)'!A:H,3,0),IF('General Information'!$C$6="Español",VLOOKUP(E114,'BASE_FUNCOES (hide)'!A:H,4,0))))</f>
        <v>Pronto atendimento</v>
      </c>
      <c r="G114" s="73" t="str">
        <f>IF(AND('General Information'!$D$16=1,VLOOKUP(B114,Modules!$B$5:$E$496,4,0)=1)=TRUE,VLOOKUP('Hours Detail'!E114,'BASE_FUNCOES (hide)'!$A:$V,10,0),IF(AND('General Information'!$D$16=2,VLOOKUP(B114,Modules!$B$5:$E$496,4,0)=1)=TRUE,VLOOKUP('Hours Detail'!E114,'BASE_FUNCOES (hide)'!$A:$V,11,0),IF(AND('General Information'!$D$16=3,VLOOKUP(B114,Modules!$B$5:$E$496,4,0)=1)=TRUE,VLOOKUP('Hours Detail'!E114,'BASE_FUNCOES (hide)'!$A:$V,12,0),IF(AND('General Information'!$D$16=4,VLOOKUP(B114,Modules!$B$5:$E$496,4,0)=1)=TRUE,VLOOKUP('Hours Detail'!E114,'BASE_FUNCOES (hide)'!$A:$V,13,0),IF(AND('General Information'!$D$16=5,VLOOKUP(B114,Modules!$B$5:$E$496,4,0)=1)=TRUE,VLOOKUP('Hours Detail'!E114,'BASE_FUNCOES (hide)'!$A:$V,14,0),  IF(AND('General Information'!$D$16=6,VLOOKUP(B114,Modules!$B$5:$E$496,4,0)=1)=TRUE,VLOOKUP('Hours Detail'!E114,'BASE_FUNCOES (hide)'!$A:$V,15,0),"No"))))))</f>
        <v>No</v>
      </c>
      <c r="H114" s="22" t="str">
        <f t="shared" si="3"/>
        <v>No</v>
      </c>
      <c r="I114" s="75">
        <f>IF('General Information'!$C$4="Mexico",(ROUNDUP(VLOOKUP(E114,'BASE_FUNCOES (hide)'!A:X,21,0),0)),(ROUNDUP(VLOOKUP(E114,'BASE_FUNCOES (hide)'!A:L,9,0),0)))</f>
        <v>40</v>
      </c>
      <c r="J114" s="75">
        <f>ROUNDUP(SUMIF(Questions!$E$5:$E$558,'Hours Detail'!E114,Questions!$F$5:$F$558),0)</f>
        <v>0</v>
      </c>
      <c r="K114" s="76">
        <f>IF(H114="Yes",ROUNDUP(IF(VLOOKUP(E114,'BASE_FUNCOES (hide)'!A:T,16,FALSE)&lt;&gt;"No",IF('General Information'!$C$19="HTML5",(I114+J114)*'BASE_FUNCOES (hide)'!$T$2,I114+J114),I114+J114),I114+J114),I114+J114)</f>
        <v>40</v>
      </c>
      <c r="L114" s="265" t="str">
        <f>IF(OR(E114=121,E114=88,E114=2682,E114=2703,E114=2687,E114=2689,E114=2681,E114=2685)=FALSE,"",IF('General Information'!$C$19="HTML5","FUNÇÃO DISPONÍVEL APENAS PARA BRASIL",IF(J115&lt;&gt;0,VLOOKUP(E115,Questions!$E$5:$L$568,5,0),"")))</f>
        <v/>
      </c>
      <c r="M114" s="164" t="s">
        <v>2396</v>
      </c>
      <c r="N114" s="369" t="s">
        <v>2377</v>
      </c>
    </row>
    <row r="115" spans="1:14" ht="14.5" customHeight="1" outlineLevel="1">
      <c r="A115" s="59"/>
      <c r="B115" s="72">
        <f>VLOOKUP('Hours Detail'!E115,'BASE_FUNCOES (hide)'!A:W,5,FALSE)</f>
        <v>22</v>
      </c>
      <c r="C115" s="72" t="s">
        <v>5929</v>
      </c>
      <c r="D115" s="73" t="str">
        <f>IF('General Information'!$C$6="Português",VLOOKUP(B115,'ESTRUTURA_MODULO(hide)'!A:D,2,0),IF('General Information'!$C$6="English",VLOOKUP(B115,'ESTRUTURA_MODULO(hide)'!A:D,3,0),IF('General Information'!$C$6="Español",VLOOKUP(B115,'ESTRUTURA_MODULO(hide)'!A:D,4,0))))</f>
        <v>Consultório Médico (Ambulatório)</v>
      </c>
      <c r="E115" s="254">
        <v>28122</v>
      </c>
      <c r="F115" s="73" t="str">
        <f>IF('General Information'!$C$6="Português",VLOOKUP(E115,'BASE_FUNCOES (hide)'!A:H,2,0),IF('General Information'!$C$6="English",VLOOKUP(E115,'BASE_FUNCOES (hide)'!A:H,3,0),IF('General Information'!$C$6="Español",VLOOKUP(E115,'BASE_FUNCOES (hide)'!A:H,4,0))))</f>
        <v xml:space="preserve">Prontuário Eletrônico Paciente (Ambulatório) </v>
      </c>
      <c r="G115" s="73" t="str">
        <f>IF(AND('General Information'!$D$16=1,VLOOKUP(B115,Modules!$B$5:$E$496,4,0)=1)=TRUE,VLOOKUP('Hours Detail'!E115,'BASE_FUNCOES (hide)'!$A:$V,10,0),IF(AND('General Information'!$D$16=2,VLOOKUP(B115,Modules!$B$5:$E$496,4,0)=1)=TRUE,VLOOKUP('Hours Detail'!E115,'BASE_FUNCOES (hide)'!$A:$V,11,0),IF(AND('General Information'!$D$16=3,VLOOKUP(B115,Modules!$B$5:$E$496,4,0)=1)=TRUE,VLOOKUP('Hours Detail'!E115,'BASE_FUNCOES (hide)'!$A:$V,12,0),IF(AND('General Information'!$D$16=4,VLOOKUP(B115,Modules!$B$5:$E$496,4,0)=1)=TRUE,VLOOKUP('Hours Detail'!E115,'BASE_FUNCOES (hide)'!$A:$V,13,0),IF(AND('General Information'!$D$16=5,VLOOKUP(B115,Modules!$B$5:$E$496,4,0)=1)=TRUE,VLOOKUP('Hours Detail'!E115,'BASE_FUNCOES (hide)'!$A:$V,14,0),  IF(AND('General Information'!$D$16=6,VLOOKUP(B115,Modules!$B$5:$E$496,4,0)=1)=TRUE,VLOOKUP('Hours Detail'!E115,'BASE_FUNCOES (hide)'!$A:$V,15,0),"No"))))))</f>
        <v>No</v>
      </c>
      <c r="H115" s="22" t="str">
        <f t="shared" si="3"/>
        <v>No</v>
      </c>
      <c r="I115" s="75">
        <f>IF('General Information'!$C$4="Mexico",(ROUNDUP(VLOOKUP(E115,'BASE_FUNCOES (hide)'!A:X,21,0),0)),(ROUNDUP(VLOOKUP(E115,'BASE_FUNCOES (hide)'!A:L,9,0),0)))</f>
        <v>80</v>
      </c>
      <c r="J115" s="75">
        <f>ROUNDUP(SUMIF(Questions!$E$5:$E$558,'Hours Detail'!E115,Questions!$F$5:$F$558),0)</f>
        <v>0</v>
      </c>
      <c r="K115" s="76">
        <f>IF(H115="Yes",ROUNDUP(IF(VLOOKUP(E115,'BASE_FUNCOES (hide)'!A:T,16,FALSE)&lt;&gt;"No",IF('General Information'!$C$19="HTML5",(I115+J115)*'BASE_FUNCOES (hide)'!$T$2,I115+J115),I115+J115),I115+J115),I115+J115)</f>
        <v>80</v>
      </c>
      <c r="L115" s="265" t="str">
        <f>IF(OR(E115=121,E115=88,E115=2682,E115=2703,E115=2687,E115=2689,E115=2681,E115=2685)=FALSE,"",IF('General Information'!$C$19="HTML5","FUNÇÃO DISPONÍVEL APENAS PARA BRASIL",IF(J116&lt;&gt;0,VLOOKUP(E116,Questions!$E$5:$L$568,5,0),"")))</f>
        <v/>
      </c>
      <c r="M115" s="164" t="s">
        <v>2396</v>
      </c>
      <c r="N115" s="369" t="s">
        <v>2377</v>
      </c>
    </row>
    <row r="116" spans="1:14" ht="14.5" customHeight="1" outlineLevel="1">
      <c r="A116" s="59"/>
      <c r="B116" s="72">
        <f>VLOOKUP('Hours Detail'!E116,'BASE_FUNCOES (hide)'!A:W,5,FALSE)</f>
        <v>26</v>
      </c>
      <c r="C116" s="72" t="s">
        <v>5929</v>
      </c>
      <c r="D116" s="73" t="str">
        <f>IF('General Information'!$C$6="Português",VLOOKUP(B116,'ESTRUTURA_MODULO(hide)'!A:D,2,0),IF('General Information'!$C$6="English",VLOOKUP(B116,'ESTRUTURA_MODULO(hide)'!A:D,3,0),IF('General Information'!$C$6="Español",VLOOKUP(B116,'ESTRUTURA_MODULO(hide)'!A:D,4,0))))</f>
        <v>Centro Cirúrgico</v>
      </c>
      <c r="E116" s="254">
        <v>874</v>
      </c>
      <c r="F116" s="73" t="str">
        <f>IF('General Information'!$C$6="Português",VLOOKUP(E116,'BASE_FUNCOES (hide)'!A:H,2,0),IF('General Information'!$C$6="English",VLOOKUP(E116,'BASE_FUNCOES (hide)'!A:H,3,0),IF('General Information'!$C$6="Español",VLOOKUP(E116,'BASE_FUNCOES (hide)'!A:H,4,0))))</f>
        <v>Avaliação pré-anestésica eletrônica - APAE</v>
      </c>
      <c r="G116" s="73" t="str">
        <f>IF(AND('General Information'!$D$16=1,VLOOKUP(B116,Modules!$B$5:$E$496,4,0)=1)=TRUE,VLOOKUP('Hours Detail'!E116,'BASE_FUNCOES (hide)'!$A:$V,10,0),IF(AND('General Information'!$D$16=2,VLOOKUP(B116,Modules!$B$5:$E$496,4,0)=1)=TRUE,VLOOKUP('Hours Detail'!E116,'BASE_FUNCOES (hide)'!$A:$V,11,0),IF(AND('General Information'!$D$16=3,VLOOKUP(B116,Modules!$B$5:$E$496,4,0)=1)=TRUE,VLOOKUP('Hours Detail'!E116,'BASE_FUNCOES (hide)'!$A:$V,12,0),IF(AND('General Information'!$D$16=4,VLOOKUP(B116,Modules!$B$5:$E$496,4,0)=1)=TRUE,VLOOKUP('Hours Detail'!E116,'BASE_FUNCOES (hide)'!$A:$V,13,0),IF(AND('General Information'!$D$16=5,VLOOKUP(B116,Modules!$B$5:$E$496,4,0)=1)=TRUE,VLOOKUP('Hours Detail'!E116,'BASE_FUNCOES (hide)'!$A:$V,14,0),  IF(AND('General Information'!$D$16=6,VLOOKUP(B116,Modules!$B$5:$E$496,4,0)=1)=TRUE,VLOOKUP('Hours Detail'!E116,'BASE_FUNCOES (hide)'!$A:$V,15,0),"No"))))))</f>
        <v>No</v>
      </c>
      <c r="H116" s="22" t="str">
        <f t="shared" si="3"/>
        <v>No</v>
      </c>
      <c r="I116" s="75">
        <f>IF('General Information'!$C$4="Mexico",(ROUNDUP(VLOOKUP(E116,'BASE_FUNCOES (hide)'!A:X,21,0),0)),(ROUNDUP(VLOOKUP(E116,'BASE_FUNCOES (hide)'!A:L,9,0),0)))</f>
        <v>12</v>
      </c>
      <c r="J116" s="75">
        <f>ROUNDUP(SUMIF(Questions!$E$5:$E$558,'Hours Detail'!E116,Questions!$F$5:$F$558),0)</f>
        <v>0</v>
      </c>
      <c r="K116" s="76">
        <f>IF(H116="Yes",ROUNDUP(IF(VLOOKUP(E116,'BASE_FUNCOES (hide)'!A:T,16,FALSE)&lt;&gt;"No",IF('General Information'!$C$19="HTML5",(I116+J116)*'BASE_FUNCOES (hide)'!$T$2,I116+J116),I116+J116),I116+J116),I116+J116)</f>
        <v>12</v>
      </c>
      <c r="L116" s="265" t="str">
        <f>IF(OR(E116=121,E116=88,E116=2682,E116=2703,E116=2687,E116=2689,E116=2681,E116=2685)=FALSE,"",IF('General Information'!$C$19="HTML5","FUNÇÃO DISPONÍVEL APENAS PARA BRASIL",IF(J117&lt;&gt;0,VLOOKUP(E117,Questions!$E$5:$L$568,5,0),"")))</f>
        <v/>
      </c>
      <c r="M116" s="164" t="s">
        <v>2396</v>
      </c>
      <c r="N116" s="369" t="s">
        <v>2377</v>
      </c>
    </row>
    <row r="117" spans="1:14" ht="14.5" customHeight="1" outlineLevel="1">
      <c r="A117" s="59"/>
      <c r="B117" s="72">
        <f>VLOOKUP('Hours Detail'!E117,'BASE_FUNCOES (hide)'!A:W,5,FALSE)</f>
        <v>26</v>
      </c>
      <c r="C117" s="72" t="s">
        <v>5929</v>
      </c>
      <c r="D117" s="73" t="str">
        <f>IF('General Information'!$C$6="Português",VLOOKUP(B117,'ESTRUTURA_MODULO(hide)'!A:D,2,0),IF('General Information'!$C$6="English",VLOOKUP(B117,'ESTRUTURA_MODULO(hide)'!A:D,3,0),IF('General Information'!$C$6="Español",VLOOKUP(B117,'ESTRUTURA_MODULO(hide)'!A:D,4,0))))</f>
        <v>Centro Cirúrgico</v>
      </c>
      <c r="E117" s="254">
        <v>873</v>
      </c>
      <c r="F117" s="73" t="str">
        <f>IF('General Information'!$C$6="Português",VLOOKUP(E117,'BASE_FUNCOES (hide)'!A:H,2,0),IF('General Information'!$C$6="English",VLOOKUP(E117,'BASE_FUNCOES (hide)'!A:H,3,0),IF('General Information'!$C$6="Español",VLOOKUP(E117,'BASE_FUNCOES (hide)'!A:H,4,0))))</f>
        <v>Cadastro dos Itens Peroperatórios</v>
      </c>
      <c r="G117" s="73" t="str">
        <f>IF(AND('General Information'!$D$16=1,VLOOKUP(B117,Modules!$B$5:$E$496,4,0)=1)=TRUE,VLOOKUP('Hours Detail'!E117,'BASE_FUNCOES (hide)'!$A:$V,10,0),IF(AND('General Information'!$D$16=2,VLOOKUP(B117,Modules!$B$5:$E$496,4,0)=1)=TRUE,VLOOKUP('Hours Detail'!E117,'BASE_FUNCOES (hide)'!$A:$V,11,0),IF(AND('General Information'!$D$16=3,VLOOKUP(B117,Modules!$B$5:$E$496,4,0)=1)=TRUE,VLOOKUP('Hours Detail'!E117,'BASE_FUNCOES (hide)'!$A:$V,12,0),IF(AND('General Information'!$D$16=4,VLOOKUP(B117,Modules!$B$5:$E$496,4,0)=1)=TRUE,VLOOKUP('Hours Detail'!E117,'BASE_FUNCOES (hide)'!$A:$V,13,0),IF(AND('General Information'!$D$16=5,VLOOKUP(B117,Modules!$B$5:$E$496,4,0)=1)=TRUE,VLOOKUP('Hours Detail'!E117,'BASE_FUNCOES (hide)'!$A:$V,14,0),  IF(AND('General Information'!$D$16=6,VLOOKUP(B117,Modules!$B$5:$E$496,4,0)=1)=TRUE,VLOOKUP('Hours Detail'!E117,'BASE_FUNCOES (hide)'!$A:$V,15,0),"No"))))))</f>
        <v>No</v>
      </c>
      <c r="H117" s="22" t="str">
        <f t="shared" si="3"/>
        <v>No</v>
      </c>
      <c r="I117" s="75">
        <f>IF('General Information'!$C$4="Mexico",(ROUNDUP(VLOOKUP(E117,'BASE_FUNCOES (hide)'!A:X,21,0),0)),(ROUNDUP(VLOOKUP(E117,'BASE_FUNCOES (hide)'!A:L,9,0),0)))</f>
        <v>12</v>
      </c>
      <c r="J117" s="75">
        <f>ROUNDUP(SUMIF(Questions!$E$5:$E$558,'Hours Detail'!E117,Questions!$F$5:$F$558),0)</f>
        <v>0</v>
      </c>
      <c r="K117" s="76">
        <f>IF(H117="Yes",ROUNDUP(IF(VLOOKUP(E117,'BASE_FUNCOES (hide)'!A:T,16,FALSE)&lt;&gt;"No",IF('General Information'!$C$19="HTML5",(I117+J117)*'BASE_FUNCOES (hide)'!$T$2,I117+J117),I117+J117),I117+J117),I117+J117)</f>
        <v>12</v>
      </c>
      <c r="L117" s="265" t="str">
        <f>IF(OR(E117=121,E117=88,E117=2682,E117=2703,E117=2687,E117=2689,E117=2681,E117=2685)=FALSE,"",IF('General Information'!$C$19="HTML5","FUNÇÃO DISPONÍVEL APENAS PARA BRASIL",IF(J118&lt;&gt;0,VLOOKUP(E118,Questions!$E$5:$L$568,5,0),"")))</f>
        <v/>
      </c>
      <c r="M117" s="164" t="s">
        <v>2396</v>
      </c>
      <c r="N117" s="369" t="s">
        <v>2377</v>
      </c>
    </row>
    <row r="118" spans="1:14" ht="14.5" customHeight="1" outlineLevel="1">
      <c r="A118" s="59"/>
      <c r="B118" s="72">
        <f>VLOOKUP('Hours Detail'!E118,'BASE_FUNCOES (hide)'!A:W,5,FALSE)</f>
        <v>26</v>
      </c>
      <c r="C118" s="72" t="s">
        <v>5929</v>
      </c>
      <c r="D118" s="73" t="str">
        <f>IF('General Information'!$C$6="Português",VLOOKUP(B118,'ESTRUTURA_MODULO(hide)'!A:D,2,0),IF('General Information'!$C$6="English",VLOOKUP(B118,'ESTRUTURA_MODULO(hide)'!A:D,3,0),IF('General Information'!$C$6="Español",VLOOKUP(B118,'ESTRUTURA_MODULO(hide)'!A:D,4,0))))</f>
        <v>Centro Cirúrgico</v>
      </c>
      <c r="E118" s="254">
        <v>10026</v>
      </c>
      <c r="F118" s="73" t="str">
        <f>IF('General Information'!$C$6="Português",VLOOKUP(E118,'BASE_FUNCOES (hide)'!A:H,2,0),IF('General Information'!$C$6="English",VLOOKUP(E118,'BASE_FUNCOES (hide)'!A:H,3,0),IF('General Information'!$C$6="Español",VLOOKUP(E118,'BASE_FUNCOES (hide)'!A:H,4,0))))</f>
        <v>Ficha Anestésica Eletrônica do Paciente - FANEP</v>
      </c>
      <c r="G118" s="73" t="str">
        <f>IF(AND('General Information'!$D$16=1,VLOOKUP(B118,Modules!$B$5:$E$496,4,0)=1)=TRUE,VLOOKUP('Hours Detail'!E118,'BASE_FUNCOES (hide)'!$A:$V,10,0),IF(AND('General Information'!$D$16=2,VLOOKUP(B118,Modules!$B$5:$E$496,4,0)=1)=TRUE,VLOOKUP('Hours Detail'!E118,'BASE_FUNCOES (hide)'!$A:$V,11,0),IF(AND('General Information'!$D$16=3,VLOOKUP(B118,Modules!$B$5:$E$496,4,0)=1)=TRUE,VLOOKUP('Hours Detail'!E118,'BASE_FUNCOES (hide)'!$A:$V,12,0),IF(AND('General Information'!$D$16=4,VLOOKUP(B118,Modules!$B$5:$E$496,4,0)=1)=TRUE,VLOOKUP('Hours Detail'!E118,'BASE_FUNCOES (hide)'!$A:$V,13,0),IF(AND('General Information'!$D$16=5,VLOOKUP(B118,Modules!$B$5:$E$496,4,0)=1)=TRUE,VLOOKUP('Hours Detail'!E118,'BASE_FUNCOES (hide)'!$A:$V,14,0),  IF(AND('General Information'!$D$16=6,VLOOKUP(B118,Modules!$B$5:$E$496,4,0)=1)=TRUE,VLOOKUP('Hours Detail'!E118,'BASE_FUNCOES (hide)'!$A:$V,15,0),"No"))))))</f>
        <v>No</v>
      </c>
      <c r="H118" s="22" t="str">
        <f t="shared" si="3"/>
        <v>No</v>
      </c>
      <c r="I118" s="75">
        <f>IF('General Information'!$C$4="Mexico",(ROUNDUP(VLOOKUP(E118,'BASE_FUNCOES (hide)'!A:X,21,0),0)),(ROUNDUP(VLOOKUP(E118,'BASE_FUNCOES (hide)'!A:L,9,0),0)))</f>
        <v>12</v>
      </c>
      <c r="J118" s="75">
        <f>ROUNDUP(SUMIF(Questions!$E$5:$E$558,'Hours Detail'!E118,Questions!$F$5:$F$558),0)</f>
        <v>0</v>
      </c>
      <c r="K118" s="76">
        <f>IF(H118="Yes",ROUNDUP(IF(VLOOKUP(E118,'BASE_FUNCOES (hide)'!A:T,16,FALSE)&lt;&gt;"No",IF('General Information'!$C$19="HTML5",(I118+J118)*'BASE_FUNCOES (hide)'!$T$2,I118+J118),I118+J118),I118+J118),I118+J118)</f>
        <v>12</v>
      </c>
      <c r="L118" s="265" t="str">
        <f>IF(OR(E118=121,E118=88,E118=2682,E118=2703,E118=2687,E118=2689,E118=2681,E118=2685)=FALSE,"",IF('General Information'!$C$19="HTML5","FUNÇÃO DISPONÍVEL APENAS PARA BRASIL",IF(J119&lt;&gt;0,VLOOKUP(E119,Questions!$E$5:$L$568,5,0),"")))</f>
        <v/>
      </c>
      <c r="M118" s="164" t="s">
        <v>2396</v>
      </c>
      <c r="N118" s="369" t="s">
        <v>2377</v>
      </c>
    </row>
    <row r="119" spans="1:14" ht="14.5" customHeight="1" outlineLevel="1">
      <c r="A119" s="59"/>
      <c r="B119" s="72">
        <f>VLOOKUP('Hours Detail'!E119,'BASE_FUNCOES (hide)'!A:W,5,FALSE)</f>
        <v>26</v>
      </c>
      <c r="C119" s="72" t="s">
        <v>5929</v>
      </c>
      <c r="D119" s="73" t="str">
        <f>IF('General Information'!$C$6="Português",VLOOKUP(B119,'ESTRUTURA_MODULO(hide)'!A:D,2,0),IF('General Information'!$C$6="English",VLOOKUP(B119,'ESTRUTURA_MODULO(hide)'!A:D,3,0),IF('General Information'!$C$6="Español",VLOOKUP(B119,'ESTRUTURA_MODULO(hide)'!A:D,4,0))))</f>
        <v>Centro Cirúrgico</v>
      </c>
      <c r="E119" s="254">
        <v>8010</v>
      </c>
      <c r="F119" s="73" t="str">
        <f>IF('General Information'!$C$6="Português",VLOOKUP(E119,'BASE_FUNCOES (hide)'!A:H,2,0),IF('General Information'!$C$6="English",VLOOKUP(E119,'BASE_FUNCOES (hide)'!A:H,3,0),IF('General Information'!$C$6="Español",VLOOKUP(E119,'BASE_FUNCOES (hide)'!A:H,4,0))))</f>
        <v>Gestão da Escala de Anestesistas</v>
      </c>
      <c r="G119" s="73" t="str">
        <f>IF(AND('General Information'!$D$16=1,VLOOKUP(B119,Modules!$B$5:$E$496,4,0)=1)=TRUE,VLOOKUP('Hours Detail'!E119,'BASE_FUNCOES (hide)'!$A:$V,10,0),IF(AND('General Information'!$D$16=2,VLOOKUP(B119,Modules!$B$5:$E$496,4,0)=1)=TRUE,VLOOKUP('Hours Detail'!E119,'BASE_FUNCOES (hide)'!$A:$V,11,0),IF(AND('General Information'!$D$16=3,VLOOKUP(B119,Modules!$B$5:$E$496,4,0)=1)=TRUE,VLOOKUP('Hours Detail'!E119,'BASE_FUNCOES (hide)'!$A:$V,12,0),IF(AND('General Information'!$D$16=4,VLOOKUP(B119,Modules!$B$5:$E$496,4,0)=1)=TRUE,VLOOKUP('Hours Detail'!E119,'BASE_FUNCOES (hide)'!$A:$V,13,0),IF(AND('General Information'!$D$16=5,VLOOKUP(B119,Modules!$B$5:$E$496,4,0)=1)=TRUE,VLOOKUP('Hours Detail'!E119,'BASE_FUNCOES (hide)'!$A:$V,14,0),  IF(AND('General Information'!$D$16=6,VLOOKUP(B119,Modules!$B$5:$E$496,4,0)=1)=TRUE,VLOOKUP('Hours Detail'!E119,'BASE_FUNCOES (hide)'!$A:$V,15,0),"No"))))))</f>
        <v>No</v>
      </c>
      <c r="H119" s="22" t="str">
        <f t="shared" si="3"/>
        <v>No</v>
      </c>
      <c r="I119" s="75">
        <f>IF('General Information'!$C$4="Mexico",(ROUNDUP(VLOOKUP(E119,'BASE_FUNCOES (hide)'!A:X,21,0),0)),(ROUNDUP(VLOOKUP(E119,'BASE_FUNCOES (hide)'!A:L,9,0),0)))</f>
        <v>8</v>
      </c>
      <c r="J119" s="75">
        <f>ROUNDUP(SUMIF(Questions!$E$5:$E$558,'Hours Detail'!E119,Questions!$F$5:$F$558),0)</f>
        <v>0</v>
      </c>
      <c r="K119" s="76">
        <f>IF(H119="Yes",ROUNDUP(IF(VLOOKUP(E119,'BASE_FUNCOES (hide)'!A:T,16,FALSE)&lt;&gt;"No",IF('General Information'!$C$19="HTML5",(I119+J119)*'BASE_FUNCOES (hide)'!$T$2,I119+J119),I119+J119),I119+J119),I119+J119)</f>
        <v>8</v>
      </c>
      <c r="L119" s="265" t="str">
        <f>IF(OR(E119=121,E119=88,E119=2682,E119=2703,E119=2687,E119=2689,E119=2681,E119=2685)=FALSE,"",IF('General Information'!$C$19="HTML5","FUNÇÃO DISPONÍVEL APENAS PARA BRASIL",IF(J120&lt;&gt;0,VLOOKUP(E120,Questions!$E$5:$L$568,5,0),"")))</f>
        <v/>
      </c>
      <c r="M119" s="164" t="s">
        <v>2396</v>
      </c>
      <c r="N119" s="369" t="s">
        <v>2377</v>
      </c>
    </row>
    <row r="120" spans="1:14" ht="14.5" customHeight="1" outlineLevel="1">
      <c r="A120" s="59"/>
      <c r="B120" s="72">
        <f>VLOOKUP('Hours Detail'!E120,'BASE_FUNCOES (hide)'!A:W,5,FALSE)</f>
        <v>26</v>
      </c>
      <c r="C120" s="72" t="s">
        <v>5929</v>
      </c>
      <c r="D120" s="73" t="str">
        <f>IF('General Information'!$C$6="Português",VLOOKUP(B120,'ESTRUTURA_MODULO(hide)'!A:D,2,0),IF('General Information'!$C$6="English",VLOOKUP(B120,'ESTRUTURA_MODULO(hide)'!A:D,3,0),IF('General Information'!$C$6="Español",VLOOKUP(B120,'ESTRUTURA_MODULO(hide)'!A:D,4,0))))</f>
        <v>Centro Cirúrgico</v>
      </c>
      <c r="E120" s="254">
        <v>900</v>
      </c>
      <c r="F120" s="73" t="str">
        <f>IF('General Information'!$C$6="Português",VLOOKUP(E120,'BASE_FUNCOES (hide)'!A:H,2,0),IF('General Information'!$C$6="English",VLOOKUP(E120,'BASE_FUNCOES (hide)'!A:H,3,0),IF('General Information'!$C$6="Español",VLOOKUP(E120,'BASE_FUNCOES (hide)'!A:H,4,0))))</f>
        <v>Gestão de Cirurgias</v>
      </c>
      <c r="G120" s="73" t="str">
        <f>IF(AND('General Information'!$D$16=1,VLOOKUP(B120,Modules!$B$5:$E$496,4,0)=1)=TRUE,VLOOKUP('Hours Detail'!E120,'BASE_FUNCOES (hide)'!$A:$V,10,0),IF(AND('General Information'!$D$16=2,VLOOKUP(B120,Modules!$B$5:$E$496,4,0)=1)=TRUE,VLOOKUP('Hours Detail'!E120,'BASE_FUNCOES (hide)'!$A:$V,11,0),IF(AND('General Information'!$D$16=3,VLOOKUP(B120,Modules!$B$5:$E$496,4,0)=1)=TRUE,VLOOKUP('Hours Detail'!E120,'BASE_FUNCOES (hide)'!$A:$V,12,0),IF(AND('General Information'!$D$16=4,VLOOKUP(B120,Modules!$B$5:$E$496,4,0)=1)=TRUE,VLOOKUP('Hours Detail'!E120,'BASE_FUNCOES (hide)'!$A:$V,13,0),IF(AND('General Information'!$D$16=5,VLOOKUP(B120,Modules!$B$5:$E$496,4,0)=1)=TRUE,VLOOKUP('Hours Detail'!E120,'BASE_FUNCOES (hide)'!$A:$V,14,0),  IF(AND('General Information'!$D$16=6,VLOOKUP(B120,Modules!$B$5:$E$496,4,0)=1)=TRUE,VLOOKUP('Hours Detail'!E120,'BASE_FUNCOES (hide)'!$A:$V,15,0),"No"))))))</f>
        <v>No</v>
      </c>
      <c r="H120" s="22" t="str">
        <f t="shared" si="3"/>
        <v>No</v>
      </c>
      <c r="I120" s="75">
        <f>IF('General Information'!$C$4="Mexico",(ROUNDUP(VLOOKUP(E120,'BASE_FUNCOES (hide)'!A:X,21,0),0)),(ROUNDUP(VLOOKUP(E120,'BASE_FUNCOES (hide)'!A:L,9,0),0)))</f>
        <v>24</v>
      </c>
      <c r="J120" s="75">
        <f>ROUNDUP(SUMIF(Questions!$E$5:$E$558,'Hours Detail'!E120,Questions!$F$5:$F$558),0)</f>
        <v>0</v>
      </c>
      <c r="K120" s="76">
        <f>IF(H120="Yes",ROUNDUP(IF(VLOOKUP(E120,'BASE_FUNCOES (hide)'!A:T,16,FALSE)&lt;&gt;"No",IF('General Information'!$C$19="HTML5",(I120+J120)*'BASE_FUNCOES (hide)'!$T$2,I120+J120),I120+J120),I120+J120),I120+J120)</f>
        <v>24</v>
      </c>
      <c r="L120" s="265" t="str">
        <f>IF(OR(E120=121,E120=88,E120=2682,E120=2703,E120=2687,E120=2689,E120=2681,E120=2685)=FALSE,"",IF('General Information'!$C$19="HTML5","FUNÇÃO DISPONÍVEL APENAS PARA BRASIL",IF(J121&lt;&gt;0,VLOOKUP(E121,Questions!$E$5:$L$568,5,0),"")))</f>
        <v/>
      </c>
      <c r="M120" s="164" t="s">
        <v>2396</v>
      </c>
      <c r="N120" s="369" t="s">
        <v>2377</v>
      </c>
    </row>
    <row r="121" spans="1:14" ht="14.5" customHeight="1" outlineLevel="1">
      <c r="A121" s="59"/>
      <c r="B121" s="72">
        <f>VLOOKUP('Hours Detail'!E121,'BASE_FUNCOES (hide)'!A:W,5,FALSE)</f>
        <v>26</v>
      </c>
      <c r="C121" s="72" t="s">
        <v>5929</v>
      </c>
      <c r="D121" s="73" t="str">
        <f>IF('General Information'!$C$6="Português",VLOOKUP(B121,'ESTRUTURA_MODULO(hide)'!A:D,2,0),IF('General Information'!$C$6="English",VLOOKUP(B121,'ESTRUTURA_MODULO(hide)'!A:D,3,0),IF('General Information'!$C$6="Español",VLOOKUP(B121,'ESTRUTURA_MODULO(hide)'!A:D,4,0))))</f>
        <v>Centro Cirúrgico</v>
      </c>
      <c r="E121" s="254">
        <v>872</v>
      </c>
      <c r="F121" s="73" t="str">
        <f>IF('General Information'!$C$6="Português",VLOOKUP(E121,'BASE_FUNCOES (hide)'!A:H,2,0),IF('General Information'!$C$6="English",VLOOKUP(E121,'BASE_FUNCOES (hide)'!A:H,3,0),IF('General Information'!$C$6="Español",VLOOKUP(E121,'BASE_FUNCOES (hide)'!A:H,4,0))))</f>
        <v>Prontuário Eletrônico Peroperatório - PEPO</v>
      </c>
      <c r="G121" s="73" t="str">
        <f>IF(AND('General Information'!$D$16=1,VLOOKUP(B121,Modules!$B$5:$E$496,4,0)=1)=TRUE,VLOOKUP('Hours Detail'!E121,'BASE_FUNCOES (hide)'!$A:$V,10,0),IF(AND('General Information'!$D$16=2,VLOOKUP(B121,Modules!$B$5:$E$496,4,0)=1)=TRUE,VLOOKUP('Hours Detail'!E121,'BASE_FUNCOES (hide)'!$A:$V,11,0),IF(AND('General Information'!$D$16=3,VLOOKUP(B121,Modules!$B$5:$E$496,4,0)=1)=TRUE,VLOOKUP('Hours Detail'!E121,'BASE_FUNCOES (hide)'!$A:$V,12,0),IF(AND('General Information'!$D$16=4,VLOOKUP(B121,Modules!$B$5:$E$496,4,0)=1)=TRUE,VLOOKUP('Hours Detail'!E121,'BASE_FUNCOES (hide)'!$A:$V,13,0),IF(AND('General Information'!$D$16=5,VLOOKUP(B121,Modules!$B$5:$E$496,4,0)=1)=TRUE,VLOOKUP('Hours Detail'!E121,'BASE_FUNCOES (hide)'!$A:$V,14,0),  IF(AND('General Information'!$D$16=6,VLOOKUP(B121,Modules!$B$5:$E$496,4,0)=1)=TRUE,VLOOKUP('Hours Detail'!E121,'BASE_FUNCOES (hide)'!$A:$V,15,0),"No"))))))</f>
        <v>No</v>
      </c>
      <c r="H121" s="22" t="str">
        <f t="shared" si="3"/>
        <v>No</v>
      </c>
      <c r="I121" s="75">
        <f>IF('General Information'!$C$4="Mexico",(ROUNDUP(VLOOKUP(E121,'BASE_FUNCOES (hide)'!A:X,21,0),0)),(ROUNDUP(VLOOKUP(E121,'BASE_FUNCOES (hide)'!A:L,9,0),0)))</f>
        <v>40</v>
      </c>
      <c r="J121" s="75">
        <f>ROUNDUP(SUMIF(Questions!$E$5:$E$558,'Hours Detail'!E121,Questions!$F$5:$F$558),0)</f>
        <v>0</v>
      </c>
      <c r="K121" s="76">
        <f>IF(H121="Yes",ROUNDUP(IF(VLOOKUP(E121,'BASE_FUNCOES (hide)'!A:T,16,FALSE)&lt;&gt;"No",IF('General Information'!$C$19="HTML5",(I121+J121)*'BASE_FUNCOES (hide)'!$T$2,I121+J121),I121+J121),I121+J121),I121+J121)</f>
        <v>40</v>
      </c>
      <c r="L121" s="265" t="str">
        <f>IF(OR(E121=121,E121=88,E121=2682,E121=2703,E121=2687,E121=2689,E121=2681,E121=2685)=FALSE,"",IF('General Information'!$C$19="HTML5","FUNÇÃO DISPONÍVEL APENAS PARA BRASIL",IF(J122&lt;&gt;0,VLOOKUP(E122,Questions!$E$5:$L$568,5,0),"")))</f>
        <v/>
      </c>
      <c r="M121" s="164" t="s">
        <v>2396</v>
      </c>
      <c r="N121" s="369" t="s">
        <v>2377</v>
      </c>
    </row>
    <row r="122" spans="1:14" ht="14.5" customHeight="1" outlineLevel="1">
      <c r="A122" s="59"/>
      <c r="B122" s="72">
        <f>VLOOKUP('Hours Detail'!E122,'BASE_FUNCOES (hide)'!A:W,5,FALSE)</f>
        <v>998</v>
      </c>
      <c r="C122" s="72" t="s">
        <v>5929</v>
      </c>
      <c r="D122" s="73" t="str">
        <f>IF('General Information'!$C$6="Português",VLOOKUP(B122,'ESTRUTURA_MODULO(hide)'!A:D,2,0),IF('General Information'!$C$6="English",VLOOKUP(B122,'ESTRUTURA_MODULO(hide)'!A:D,3,0),IF('General Information'!$C$6="Español",VLOOKUP(B122,'ESTRUTURA_MODULO(hide)'!A:D,4,0))))</f>
        <v>Atenção Primária</v>
      </c>
      <c r="E122" s="254">
        <v>341</v>
      </c>
      <c r="F122" s="73" t="str">
        <f>IF('General Information'!$C$6="Português",VLOOKUP(E122,'BASE_FUNCOES (hide)'!A:H,2,0),IF('General Information'!$C$6="English",VLOOKUP(E122,'BASE_FUNCOES (hide)'!A:H,3,0),IF('General Information'!$C$6="Español",VLOOKUP(E122,'BASE_FUNCOES (hide)'!A:H,4,0))))</f>
        <v>Gestão populacional</v>
      </c>
      <c r="G122" s="73" t="str">
        <f>IF(AND('General Information'!$D$16=1,VLOOKUP(B122,Modules!$B$5:$E$496,4,0)=1)=TRUE,VLOOKUP('Hours Detail'!E122,'BASE_FUNCOES (hide)'!$A:$V,10,0),IF(AND('General Information'!$D$16=2,VLOOKUP(B122,Modules!$B$5:$E$496,4,0)=1)=TRUE,VLOOKUP('Hours Detail'!E122,'BASE_FUNCOES (hide)'!$A:$V,11,0),IF(AND('General Information'!$D$16=3,VLOOKUP(B122,Modules!$B$5:$E$496,4,0)=1)=TRUE,VLOOKUP('Hours Detail'!E122,'BASE_FUNCOES (hide)'!$A:$V,12,0),IF(AND('General Information'!$D$16=4,VLOOKUP(B122,Modules!$B$5:$E$496,4,0)=1)=TRUE,VLOOKUP('Hours Detail'!E122,'BASE_FUNCOES (hide)'!$A:$V,13,0),IF(AND('General Information'!$D$16=5,VLOOKUP(B122,Modules!$B$5:$E$496,4,0)=1)=TRUE,VLOOKUP('Hours Detail'!E122,'BASE_FUNCOES (hide)'!$A:$V,14,0),  IF(AND('General Information'!$D$16=6,VLOOKUP(B122,Modules!$B$5:$E$496,4,0)=1)=TRUE,VLOOKUP('Hours Detail'!E122,'BASE_FUNCOES (hide)'!$A:$V,15,0),"No"))))))</f>
        <v>No</v>
      </c>
      <c r="H122" s="22" t="str">
        <f t="shared" si="3"/>
        <v>No</v>
      </c>
      <c r="I122" s="75">
        <f>IF('General Information'!$C$4="Mexico",(ROUNDUP(VLOOKUP(E122,'BASE_FUNCOES (hide)'!A:X,21,0),0)),(ROUNDUP(VLOOKUP(E122,'BASE_FUNCOES (hide)'!A:L,9,0),0)))</f>
        <v>40</v>
      </c>
      <c r="J122" s="75">
        <f>ROUNDUP(SUMIF(Questions!$E$5:$E$558,'Hours Detail'!E122,Questions!$F$5:$F$558),0)</f>
        <v>0</v>
      </c>
      <c r="K122" s="76">
        <f>IF(H122="Yes",ROUNDUP(IF(VLOOKUP(E122,'BASE_FUNCOES (hide)'!A:T,16,FALSE)&lt;&gt;"No",IF('General Information'!$C$19="HTML5",(I122+J122)*'BASE_FUNCOES (hide)'!$T$2,I122+J122),I122+J122),I122+J122),I122+J122)</f>
        <v>40</v>
      </c>
      <c r="L122" s="265" t="str">
        <f>IF(OR(E122=121,E122=88,E122=2682,E122=2703,E122=2687,E122=2689,E122=2681,E122=2685)=FALSE,"",IF('General Information'!$C$19="HTML5","FUNÇÃO DISPONÍVEL APENAS PARA BRASIL",IF(J123&lt;&gt;0,VLOOKUP(E123,Questions!$E$5:$L$568,5,0),"")))</f>
        <v/>
      </c>
      <c r="M122" s="164" t="s">
        <v>2396</v>
      </c>
      <c r="N122" s="369" t="s">
        <v>2377</v>
      </c>
    </row>
    <row r="123" spans="1:14" ht="14.5" customHeight="1" outlineLevel="1">
      <c r="A123" s="59"/>
      <c r="B123" s="72">
        <f>VLOOKUP('Hours Detail'!E123,'BASE_FUNCOES (hide)'!A:W,5,FALSE)</f>
        <v>23</v>
      </c>
      <c r="C123" s="72" t="s">
        <v>5929</v>
      </c>
      <c r="D123" s="73" t="str">
        <f>IF('General Information'!$C$6="Português",VLOOKUP(B123,'ESTRUTURA_MODULO(hide)'!A:D,2,0),IF('General Information'!$C$6="English",VLOOKUP(B123,'ESTRUTURA_MODULO(hide)'!A:D,3,0),IF('General Information'!$C$6="Español",VLOOKUP(B123,'ESTRUTURA_MODULO(hide)'!A:D,4,0))))</f>
        <v>Laboratório</v>
      </c>
      <c r="E123" s="254">
        <v>723</v>
      </c>
      <c r="F123" s="73" t="str">
        <f>IF('General Information'!$C$6="Português",VLOOKUP(E123,'BASE_FUNCOES (hide)'!A:H,2,0),IF('General Information'!$C$6="English",VLOOKUP(E123,'BASE_FUNCOES (hide)'!A:H,3,0),IF('General Information'!$C$6="Español",VLOOKUP(E123,'BASE_FUNCOES (hide)'!A:H,4,0))))</f>
        <v>Consulta de Exames</v>
      </c>
      <c r="G123" s="73" t="str">
        <f>IF(AND('General Information'!$D$16=1,VLOOKUP(B123,Modules!$B$5:$E$496,4,0)=1)=TRUE,VLOOKUP('Hours Detail'!E123,'BASE_FUNCOES (hide)'!$A:$V,10,0),IF(AND('General Information'!$D$16=2,VLOOKUP(B123,Modules!$B$5:$E$496,4,0)=1)=TRUE,VLOOKUP('Hours Detail'!E123,'BASE_FUNCOES (hide)'!$A:$V,11,0),IF(AND('General Information'!$D$16=3,VLOOKUP(B123,Modules!$B$5:$E$496,4,0)=1)=TRUE,VLOOKUP('Hours Detail'!E123,'BASE_FUNCOES (hide)'!$A:$V,12,0),IF(AND('General Information'!$D$16=4,VLOOKUP(B123,Modules!$B$5:$E$496,4,0)=1)=TRUE,VLOOKUP('Hours Detail'!E123,'BASE_FUNCOES (hide)'!$A:$V,13,0),IF(AND('General Information'!$D$16=5,VLOOKUP(B123,Modules!$B$5:$E$496,4,0)=1)=TRUE,VLOOKUP('Hours Detail'!E123,'BASE_FUNCOES (hide)'!$A:$V,14,0),  IF(AND('General Information'!$D$16=6,VLOOKUP(B123,Modules!$B$5:$E$496,4,0)=1)=TRUE,VLOOKUP('Hours Detail'!E123,'BASE_FUNCOES (hide)'!$A:$V,15,0),"No"))))))</f>
        <v>No</v>
      </c>
      <c r="H123" s="22" t="str">
        <f t="shared" si="3"/>
        <v>No</v>
      </c>
      <c r="I123" s="75">
        <f>IF('General Information'!$C$4="Mexico",(ROUNDUP(VLOOKUP(E123,'BASE_FUNCOES (hide)'!A:X,21,0),0)),(ROUNDUP(VLOOKUP(E123,'BASE_FUNCOES (hide)'!A:L,9,0),0)))</f>
        <v>2</v>
      </c>
      <c r="J123" s="75">
        <f>ROUNDUP(SUMIF(Questions!$E$5:$E$558,'Hours Detail'!E123,Questions!$F$5:$F$558),0)</f>
        <v>0</v>
      </c>
      <c r="K123" s="76">
        <f>IF(H123="Yes",ROUNDUP(IF(VLOOKUP(E123,'BASE_FUNCOES (hide)'!A:T,16,FALSE)&lt;&gt;"No",IF('General Information'!$C$19="HTML5",(I123+J123)*'BASE_FUNCOES (hide)'!$T$2,I123+J123),I123+J123),I123+J123),I123+J123)</f>
        <v>2</v>
      </c>
      <c r="L123" s="265" t="str">
        <f>IF(OR(E123=121,E123=88,E123=2682,E123=2703,E123=2687,E123=2689,E123=2681,E123=2685)=FALSE,"",IF('General Information'!$C$19="HTML5","FUNÇÃO DISPONÍVEL APENAS PARA BRASIL",IF(J124&lt;&gt;0,VLOOKUP(E124,Questions!$E$5:$L$568,5,0),"")))</f>
        <v/>
      </c>
      <c r="M123" s="164" t="s">
        <v>2396</v>
      </c>
      <c r="N123" s="369" t="s">
        <v>2377</v>
      </c>
    </row>
    <row r="124" spans="1:14" ht="14.5" customHeight="1" outlineLevel="1">
      <c r="A124" s="59"/>
      <c r="B124" s="72">
        <f>VLOOKUP('Hours Detail'!E124,'BASE_FUNCOES (hide)'!A:W,5,FALSE)</f>
        <v>23</v>
      </c>
      <c r="C124" s="72" t="s">
        <v>5929</v>
      </c>
      <c r="D124" s="73" t="str">
        <f>IF('General Information'!$C$6="Português",VLOOKUP(B124,'ESTRUTURA_MODULO(hide)'!A:D,2,0),IF('General Information'!$C$6="English",VLOOKUP(B124,'ESTRUTURA_MODULO(hide)'!A:D,3,0),IF('General Information'!$C$6="Español",VLOOKUP(B124,'ESTRUTURA_MODULO(hide)'!A:D,4,0))))</f>
        <v>Laboratório</v>
      </c>
      <c r="E124" s="254">
        <v>9032</v>
      </c>
      <c r="F124" s="73" t="str">
        <f>IF('General Information'!$C$6="Português",VLOOKUP(E124,'BASE_FUNCOES (hide)'!A:H,2,0),IF('General Information'!$C$6="English",VLOOKUP(E124,'BASE_FUNCOES (hide)'!A:H,3,0),IF('General Information'!$C$6="Español",VLOOKUP(E124,'BASE_FUNCOES (hide)'!A:H,4,0))))</f>
        <v>Consulta de Exames do Paciente</v>
      </c>
      <c r="G124" s="73" t="str">
        <f>IF(AND('General Information'!$D$16=1,VLOOKUP(B124,Modules!$B$5:$E$496,4,0)=1)=TRUE,VLOOKUP('Hours Detail'!E124,'BASE_FUNCOES (hide)'!$A:$V,10,0),IF(AND('General Information'!$D$16=2,VLOOKUP(B124,Modules!$B$5:$E$496,4,0)=1)=TRUE,VLOOKUP('Hours Detail'!E124,'BASE_FUNCOES (hide)'!$A:$V,11,0),IF(AND('General Information'!$D$16=3,VLOOKUP(B124,Modules!$B$5:$E$496,4,0)=1)=TRUE,VLOOKUP('Hours Detail'!E124,'BASE_FUNCOES (hide)'!$A:$V,12,0),IF(AND('General Information'!$D$16=4,VLOOKUP(B124,Modules!$B$5:$E$496,4,0)=1)=TRUE,VLOOKUP('Hours Detail'!E124,'BASE_FUNCOES (hide)'!$A:$V,13,0),IF(AND('General Information'!$D$16=5,VLOOKUP(B124,Modules!$B$5:$E$496,4,0)=1)=TRUE,VLOOKUP('Hours Detail'!E124,'BASE_FUNCOES (hide)'!$A:$V,14,0),  IF(AND('General Information'!$D$16=6,VLOOKUP(B124,Modules!$B$5:$E$496,4,0)=1)=TRUE,VLOOKUP('Hours Detail'!E124,'BASE_FUNCOES (hide)'!$A:$V,15,0),"No"))))))</f>
        <v>No</v>
      </c>
      <c r="H124" s="22" t="str">
        <f t="shared" si="3"/>
        <v>No</v>
      </c>
      <c r="I124" s="75">
        <f>IF('General Information'!$C$4="Mexico",(ROUNDUP(VLOOKUP(E124,'BASE_FUNCOES (hide)'!A:X,21,0),0)),(ROUNDUP(VLOOKUP(E124,'BASE_FUNCOES (hide)'!A:L,9,0),0)))</f>
        <v>2</v>
      </c>
      <c r="J124" s="75">
        <f>ROUNDUP(SUMIF(Questions!$E$5:$E$558,'Hours Detail'!E124,Questions!$F$5:$F$558),0)</f>
        <v>0</v>
      </c>
      <c r="K124" s="76">
        <f>IF(H124="Yes",ROUNDUP(IF(VLOOKUP(E124,'BASE_FUNCOES (hide)'!A:T,16,FALSE)&lt;&gt;"No",IF('General Information'!$C$19="HTML5",(I124+J124)*'BASE_FUNCOES (hide)'!$T$2,I124+J124),I124+J124),I124+J124),I124+J124)</f>
        <v>2</v>
      </c>
      <c r="L124" s="265" t="str">
        <f>IF(OR(E124=121,E124=88,E124=2682,E124=2703,E124=2687,E124=2689,E124=2681,E124=2685)=FALSE,"",IF('General Information'!$C$19="HTML5","FUNÇÃO DISPONÍVEL APENAS PARA BRASIL",IF(J125&lt;&gt;0,VLOOKUP(E125,Questions!$E$5:$L$568,5,0),"")))</f>
        <v/>
      </c>
      <c r="M124" s="164" t="s">
        <v>2396</v>
      </c>
      <c r="N124" s="369" t="s">
        <v>2377</v>
      </c>
    </row>
    <row r="125" spans="1:14" ht="14.5" customHeight="1" outlineLevel="1">
      <c r="A125" s="59"/>
      <c r="B125" s="72">
        <f>VLOOKUP('Hours Detail'!E125,'BASE_FUNCOES (hide)'!A:W,5,FALSE)</f>
        <v>23</v>
      </c>
      <c r="C125" s="72" t="s">
        <v>5929</v>
      </c>
      <c r="D125" s="73" t="str">
        <f>IF('General Information'!$C$6="Português",VLOOKUP(B125,'ESTRUTURA_MODULO(hide)'!A:D,2,0),IF('General Information'!$C$6="English",VLOOKUP(B125,'ESTRUTURA_MODULO(hide)'!A:D,3,0),IF('General Information'!$C$6="Español",VLOOKUP(B125,'ESTRUTURA_MODULO(hide)'!A:D,4,0))))</f>
        <v>Laboratório</v>
      </c>
      <c r="E125" s="254">
        <v>7008</v>
      </c>
      <c r="F125" s="73" t="str">
        <f>IF('General Information'!$C$6="Português",VLOOKUP(E125,'BASE_FUNCOES (hide)'!A:H,2,0),IF('General Information'!$C$6="English",VLOOKUP(E125,'BASE_FUNCOES (hide)'!A:H,3,0),IF('General Information'!$C$6="Español",VLOOKUP(E125,'BASE_FUNCOES (hide)'!A:H,4,0))))</f>
        <v>Consulta de Resultados</v>
      </c>
      <c r="G125" s="73" t="str">
        <f>IF(AND('General Information'!$D$16=1,VLOOKUP(B125,Modules!$B$5:$E$496,4,0)=1)=TRUE,VLOOKUP('Hours Detail'!E125,'BASE_FUNCOES (hide)'!$A:$V,10,0),IF(AND('General Information'!$D$16=2,VLOOKUP(B125,Modules!$B$5:$E$496,4,0)=1)=TRUE,VLOOKUP('Hours Detail'!E125,'BASE_FUNCOES (hide)'!$A:$V,11,0),IF(AND('General Information'!$D$16=3,VLOOKUP(B125,Modules!$B$5:$E$496,4,0)=1)=TRUE,VLOOKUP('Hours Detail'!E125,'BASE_FUNCOES (hide)'!$A:$V,12,0),IF(AND('General Information'!$D$16=4,VLOOKUP(B125,Modules!$B$5:$E$496,4,0)=1)=TRUE,VLOOKUP('Hours Detail'!E125,'BASE_FUNCOES (hide)'!$A:$V,13,0),IF(AND('General Information'!$D$16=5,VLOOKUP(B125,Modules!$B$5:$E$496,4,0)=1)=TRUE,VLOOKUP('Hours Detail'!E125,'BASE_FUNCOES (hide)'!$A:$V,14,0),  IF(AND('General Information'!$D$16=6,VLOOKUP(B125,Modules!$B$5:$E$496,4,0)=1)=TRUE,VLOOKUP('Hours Detail'!E125,'BASE_FUNCOES (hide)'!$A:$V,15,0),"No"))))))</f>
        <v>No</v>
      </c>
      <c r="H125" s="22" t="str">
        <f t="shared" si="3"/>
        <v>No</v>
      </c>
      <c r="I125" s="75">
        <f>IF('General Information'!$C$4="Mexico",(ROUNDUP(VLOOKUP(E125,'BASE_FUNCOES (hide)'!A:X,21,0),0)),(ROUNDUP(VLOOKUP(E125,'BASE_FUNCOES (hide)'!A:L,9,0),0)))</f>
        <v>2</v>
      </c>
      <c r="J125" s="75">
        <f>ROUNDUP(SUMIF(Questions!$E$5:$E$558,'Hours Detail'!E125,Questions!$F$5:$F$558),0)</f>
        <v>0</v>
      </c>
      <c r="K125" s="76">
        <f>IF(H125="Yes",ROUNDUP(IF(VLOOKUP(E125,'BASE_FUNCOES (hide)'!A:T,16,FALSE)&lt;&gt;"No",IF('General Information'!$C$19="HTML5",(I125+J125)*'BASE_FUNCOES (hide)'!$T$2,I125+J125),I125+J125),I125+J125),I125+J125)</f>
        <v>2</v>
      </c>
      <c r="L125" s="265" t="str">
        <f>IF(OR(E125=121,E125=88,E125=2682,E125=2703,E125=2687,E125=2689,E125=2681,E125=2685)=FALSE,"",IF('General Information'!$C$19="HTML5","FUNÇÃO DISPONÍVEL APENAS PARA BRASIL",IF(J126&lt;&gt;0,VLOOKUP(E126,Questions!$E$5:$L$568,5,0),"")))</f>
        <v/>
      </c>
      <c r="M125" s="164" t="s">
        <v>2396</v>
      </c>
      <c r="N125" s="369" t="s">
        <v>2377</v>
      </c>
    </row>
    <row r="126" spans="1:14" ht="14.5" customHeight="1" outlineLevel="1">
      <c r="A126" s="59"/>
      <c r="B126" s="72">
        <f>VLOOKUP('Hours Detail'!E126,'BASE_FUNCOES (hide)'!A:W,5,FALSE)</f>
        <v>23</v>
      </c>
      <c r="C126" s="72" t="s">
        <v>5929</v>
      </c>
      <c r="D126" s="73" t="str">
        <f>IF('General Information'!$C$6="Português",VLOOKUP(B126,'ESTRUTURA_MODULO(hide)'!A:D,2,0),IF('General Information'!$C$6="English",VLOOKUP(B126,'ESTRUTURA_MODULO(hide)'!A:D,3,0),IF('General Information'!$C$6="Español",VLOOKUP(B126,'ESTRUTURA_MODULO(hide)'!A:D,4,0))))</f>
        <v>Laboratório</v>
      </c>
      <c r="E126" s="254">
        <v>7012</v>
      </c>
      <c r="F126" s="73" t="str">
        <f>IF('General Information'!$C$6="Português",VLOOKUP(E126,'BASE_FUNCOES (hide)'!A:H,2,0),IF('General Information'!$C$6="English",VLOOKUP(E126,'BASE_FUNCOES (hide)'!A:H,3,0),IF('General Information'!$C$6="Español",VLOOKUP(E126,'BASE_FUNCOES (hide)'!A:H,4,0))))</f>
        <v>Digitação de Resultado de Exames Laboratoriais Externos</v>
      </c>
      <c r="G126" s="73" t="str">
        <f>IF(AND('General Information'!$D$16=1,VLOOKUP(B126,Modules!$B$5:$E$496,4,0)=1)=TRUE,VLOOKUP('Hours Detail'!E126,'BASE_FUNCOES (hide)'!$A:$V,10,0),IF(AND('General Information'!$D$16=2,VLOOKUP(B126,Modules!$B$5:$E$496,4,0)=1)=TRUE,VLOOKUP('Hours Detail'!E126,'BASE_FUNCOES (hide)'!$A:$V,11,0),IF(AND('General Information'!$D$16=3,VLOOKUP(B126,Modules!$B$5:$E$496,4,0)=1)=TRUE,VLOOKUP('Hours Detail'!E126,'BASE_FUNCOES (hide)'!$A:$V,12,0),IF(AND('General Information'!$D$16=4,VLOOKUP(B126,Modules!$B$5:$E$496,4,0)=1)=TRUE,VLOOKUP('Hours Detail'!E126,'BASE_FUNCOES (hide)'!$A:$V,13,0),IF(AND('General Information'!$D$16=5,VLOOKUP(B126,Modules!$B$5:$E$496,4,0)=1)=TRUE,VLOOKUP('Hours Detail'!E126,'BASE_FUNCOES (hide)'!$A:$V,14,0),  IF(AND('General Information'!$D$16=6,VLOOKUP(B126,Modules!$B$5:$E$496,4,0)=1)=TRUE,VLOOKUP('Hours Detail'!E126,'BASE_FUNCOES (hide)'!$A:$V,15,0),"No"))))))</f>
        <v>No</v>
      </c>
      <c r="H126" s="22" t="str">
        <f t="shared" si="3"/>
        <v>No</v>
      </c>
      <c r="I126" s="75">
        <f>IF('General Information'!$C$4="Mexico",(ROUNDUP(VLOOKUP(E126,'BASE_FUNCOES (hide)'!A:X,21,0),0)),(ROUNDUP(VLOOKUP(E126,'BASE_FUNCOES (hide)'!A:L,9,0),0)))</f>
        <v>4</v>
      </c>
      <c r="J126" s="75">
        <f>ROUNDUP(SUMIF(Questions!$E$5:$E$558,'Hours Detail'!E126,Questions!$F$5:$F$558),0)</f>
        <v>0</v>
      </c>
      <c r="K126" s="76">
        <f>IF(H126="Yes",ROUNDUP(IF(VLOOKUP(E126,'BASE_FUNCOES (hide)'!A:T,16,FALSE)&lt;&gt;"No",IF('General Information'!$C$19="HTML5",(I126+J126)*'BASE_FUNCOES (hide)'!$T$2,I126+J126),I126+J126),I126+J126),I126+J126)</f>
        <v>4</v>
      </c>
      <c r="L126" s="265" t="str">
        <f>IF(OR(E126=121,E126=88,E126=2682,E126=2703,E126=2687,E126=2689,E126=2681,E126=2685)=FALSE,"",IF('General Information'!$C$19="HTML5","FUNÇÃO DISPONÍVEL APENAS PARA BRASIL",IF(J127&lt;&gt;0,VLOOKUP(E127,Questions!$E$5:$L$568,5,0),"")))</f>
        <v/>
      </c>
      <c r="M126" s="164" t="s">
        <v>2396</v>
      </c>
      <c r="N126" s="369" t="s">
        <v>2377</v>
      </c>
    </row>
    <row r="127" spans="1:14" ht="14.5" customHeight="1" outlineLevel="1">
      <c r="A127" s="59"/>
      <c r="B127" s="72">
        <f>VLOOKUP('Hours Detail'!E127,'BASE_FUNCOES (hide)'!A:W,5,FALSE)</f>
        <v>23</v>
      </c>
      <c r="C127" s="72" t="s">
        <v>5929</v>
      </c>
      <c r="D127" s="73" t="str">
        <f>IF('General Information'!$C$6="Português",VLOOKUP(B127,'ESTRUTURA_MODULO(hide)'!A:D,2,0),IF('General Information'!$C$6="English",VLOOKUP(B127,'ESTRUTURA_MODULO(hide)'!A:D,3,0),IF('General Information'!$C$6="Español",VLOOKUP(B127,'ESTRUTURA_MODULO(hide)'!A:D,4,0))))</f>
        <v>Laboratório</v>
      </c>
      <c r="E127" s="254">
        <v>56</v>
      </c>
      <c r="F127" s="73" t="str">
        <f>IF('General Information'!$C$6="Português",VLOOKUP(E127,'BASE_FUNCOES (hide)'!A:H,2,0),IF('General Information'!$C$6="English",VLOOKUP(E127,'BASE_FUNCOES (hide)'!A:H,3,0),IF('General Information'!$C$6="Español",VLOOKUP(E127,'BASE_FUNCOES (hide)'!A:H,4,0))))</f>
        <v>Emissão de Exames do Laboratório</v>
      </c>
      <c r="G127" s="73" t="str">
        <f>IF(AND('General Information'!$D$16=1,VLOOKUP(B127,Modules!$B$5:$E$496,4,0)=1)=TRUE,VLOOKUP('Hours Detail'!E127,'BASE_FUNCOES (hide)'!$A:$V,10,0),IF(AND('General Information'!$D$16=2,VLOOKUP(B127,Modules!$B$5:$E$496,4,0)=1)=TRUE,VLOOKUP('Hours Detail'!E127,'BASE_FUNCOES (hide)'!$A:$V,11,0),IF(AND('General Information'!$D$16=3,VLOOKUP(B127,Modules!$B$5:$E$496,4,0)=1)=TRUE,VLOOKUP('Hours Detail'!E127,'BASE_FUNCOES (hide)'!$A:$V,12,0),IF(AND('General Information'!$D$16=4,VLOOKUP(B127,Modules!$B$5:$E$496,4,0)=1)=TRUE,VLOOKUP('Hours Detail'!E127,'BASE_FUNCOES (hide)'!$A:$V,13,0),IF(AND('General Information'!$D$16=5,VLOOKUP(B127,Modules!$B$5:$E$496,4,0)=1)=TRUE,VLOOKUP('Hours Detail'!E127,'BASE_FUNCOES (hide)'!$A:$V,14,0),  IF(AND('General Information'!$D$16=6,VLOOKUP(B127,Modules!$B$5:$E$496,4,0)=1)=TRUE,VLOOKUP('Hours Detail'!E127,'BASE_FUNCOES (hide)'!$A:$V,15,0),"No"))))))</f>
        <v>No</v>
      </c>
      <c r="H127" s="22" t="str">
        <f t="shared" si="3"/>
        <v>No</v>
      </c>
      <c r="I127" s="75">
        <f>IF('General Information'!$C$4="Mexico",(ROUNDUP(VLOOKUP(E127,'BASE_FUNCOES (hide)'!A:X,21,0),0)),(ROUNDUP(VLOOKUP(E127,'BASE_FUNCOES (hide)'!A:L,9,0),0)))</f>
        <v>2</v>
      </c>
      <c r="J127" s="75">
        <f>ROUNDUP(SUMIF(Questions!$E$5:$E$558,'Hours Detail'!E127,Questions!$F$5:$F$558),0)</f>
        <v>0</v>
      </c>
      <c r="K127" s="76">
        <f>IF(H127="Yes",ROUNDUP(IF(VLOOKUP(E127,'BASE_FUNCOES (hide)'!A:T,16,FALSE)&lt;&gt;"No",IF('General Information'!$C$19="HTML5",(I127+J127)*'BASE_FUNCOES (hide)'!$T$2,I127+J127),I127+J127),I127+J127),I127+J127)</f>
        <v>2</v>
      </c>
      <c r="L127" s="265" t="str">
        <f>IF(OR(E127=121,E127=88,E127=2682,E127=2703,E127=2687,E127=2689,E127=2681,E127=2685)=FALSE,"",IF('General Information'!$C$19="HTML5","FUNÇÃO DISPONÍVEL APENAS PARA BRASIL",IF(J128&lt;&gt;0,VLOOKUP(E128,Questions!$E$5:$L$568,5,0),"")))</f>
        <v/>
      </c>
      <c r="M127" s="164" t="s">
        <v>2396</v>
      </c>
      <c r="N127" s="369" t="s">
        <v>2377</v>
      </c>
    </row>
    <row r="128" spans="1:14" ht="14.5" customHeight="1" outlineLevel="1">
      <c r="A128" s="59"/>
      <c r="B128" s="72">
        <f>VLOOKUP('Hours Detail'!E128,'BASE_FUNCOES (hide)'!A:W,5,FALSE)</f>
        <v>23</v>
      </c>
      <c r="C128" s="72" t="s">
        <v>5929</v>
      </c>
      <c r="D128" s="73" t="str">
        <f>IF('General Information'!$C$6="Português",VLOOKUP(B128,'ESTRUTURA_MODULO(hide)'!A:D,2,0),IF('General Information'!$C$6="English",VLOOKUP(B128,'ESTRUTURA_MODULO(hide)'!A:D,3,0),IF('General Information'!$C$6="Español",VLOOKUP(B128,'ESTRUTURA_MODULO(hide)'!A:D,4,0))))</f>
        <v>Laboratório</v>
      </c>
      <c r="E128" s="254">
        <v>746</v>
      </c>
      <c r="F128" s="73" t="str">
        <f>IF('General Information'!$C$6="Português",VLOOKUP(E128,'BASE_FUNCOES (hide)'!A:H,2,0),IF('General Information'!$C$6="English",VLOOKUP(E128,'BASE_FUNCOES (hide)'!A:H,3,0),IF('General Information'!$C$6="Español",VLOOKUP(E128,'BASE_FUNCOES (hide)'!A:H,4,0))))</f>
        <v>Exames de Laboratório</v>
      </c>
      <c r="G128" s="73" t="str">
        <f>IF(AND('General Information'!$D$16=1,VLOOKUP(B128,Modules!$B$5:$E$496,4,0)=1)=TRUE,VLOOKUP('Hours Detail'!E128,'BASE_FUNCOES (hide)'!$A:$V,10,0),IF(AND('General Information'!$D$16=2,VLOOKUP(B128,Modules!$B$5:$E$496,4,0)=1)=TRUE,VLOOKUP('Hours Detail'!E128,'BASE_FUNCOES (hide)'!$A:$V,11,0),IF(AND('General Information'!$D$16=3,VLOOKUP(B128,Modules!$B$5:$E$496,4,0)=1)=TRUE,VLOOKUP('Hours Detail'!E128,'BASE_FUNCOES (hide)'!$A:$V,12,0),IF(AND('General Information'!$D$16=4,VLOOKUP(B128,Modules!$B$5:$E$496,4,0)=1)=TRUE,VLOOKUP('Hours Detail'!E128,'BASE_FUNCOES (hide)'!$A:$V,13,0),IF(AND('General Information'!$D$16=5,VLOOKUP(B128,Modules!$B$5:$E$496,4,0)=1)=TRUE,VLOOKUP('Hours Detail'!E128,'BASE_FUNCOES (hide)'!$A:$V,14,0),  IF(AND('General Information'!$D$16=6,VLOOKUP(B128,Modules!$B$5:$E$496,4,0)=1)=TRUE,VLOOKUP('Hours Detail'!E128,'BASE_FUNCOES (hide)'!$A:$V,15,0),"No"))))))</f>
        <v>No</v>
      </c>
      <c r="H128" s="22" t="str">
        <f t="shared" si="3"/>
        <v>No</v>
      </c>
      <c r="I128" s="75">
        <f>IF('General Information'!$C$4="Mexico",(ROUNDUP(VLOOKUP(E128,'BASE_FUNCOES (hide)'!A:X,21,0),0)),(ROUNDUP(VLOOKUP(E128,'BASE_FUNCOES (hide)'!A:L,9,0),0)))</f>
        <v>24</v>
      </c>
      <c r="J128" s="75">
        <f>ROUNDUP(SUMIF(Questions!$E$5:$E$558,'Hours Detail'!E128,Questions!$F$5:$F$558),0)</f>
        <v>0</v>
      </c>
      <c r="K128" s="76">
        <f>IF(H128="Yes",ROUNDUP(IF(VLOOKUP(E128,'BASE_FUNCOES (hide)'!A:T,16,FALSE)&lt;&gt;"No",IF('General Information'!$C$19="HTML5",(I128+J128)*'BASE_FUNCOES (hide)'!$T$2,I128+J128),I128+J128),I128+J128),I128+J128)</f>
        <v>24</v>
      </c>
      <c r="L128" s="265" t="str">
        <f>IF(OR(E128=121,E128=88,E128=2682,E128=2703,E128=2687,E128=2689,E128=2681,E128=2685)=FALSE,"",IF('General Information'!$C$19="HTML5","FUNÇÃO DISPONÍVEL APENAS PARA BRASIL",IF(J129&lt;&gt;0,VLOOKUP(E129,Questions!$E$5:$L$568,5,0),"")))</f>
        <v/>
      </c>
      <c r="M128" s="164" t="s">
        <v>2396</v>
      </c>
      <c r="N128" s="369" t="s">
        <v>2377</v>
      </c>
    </row>
    <row r="129" spans="1:14" ht="14.5" customHeight="1" outlineLevel="1">
      <c r="A129" s="59"/>
      <c r="B129" s="72">
        <f>VLOOKUP('Hours Detail'!E129,'BASE_FUNCOES (hide)'!A:W,5,FALSE)</f>
        <v>23</v>
      </c>
      <c r="C129" s="72" t="s">
        <v>5929</v>
      </c>
      <c r="D129" s="73" t="str">
        <f>IF('General Information'!$C$6="Português",VLOOKUP(B129,'ESTRUTURA_MODULO(hide)'!A:D,2,0),IF('General Information'!$C$6="English",VLOOKUP(B129,'ESTRUTURA_MODULO(hide)'!A:D,3,0),IF('General Information'!$C$6="Español",VLOOKUP(B129,'ESTRUTURA_MODULO(hide)'!A:D,4,0))))</f>
        <v>Laboratório</v>
      </c>
      <c r="E129" s="254">
        <v>722</v>
      </c>
      <c r="F129" s="73" t="str">
        <f>IF('General Information'!$C$6="Português",VLOOKUP(E129,'BASE_FUNCOES (hide)'!A:H,2,0),IF('General Information'!$C$6="English",VLOOKUP(E129,'BASE_FUNCOES (hide)'!A:H,3,0),IF('General Information'!$C$6="Español",VLOOKUP(E129,'BASE_FUNCOES (hide)'!A:H,4,0))))</f>
        <v>Exames Pendentes</v>
      </c>
      <c r="G129" s="73" t="str">
        <f>IF(AND('General Information'!$D$16=1,VLOOKUP(B129,Modules!$B$5:$E$496,4,0)=1)=TRUE,VLOOKUP('Hours Detail'!E129,'BASE_FUNCOES (hide)'!$A:$V,10,0),IF(AND('General Information'!$D$16=2,VLOOKUP(B129,Modules!$B$5:$E$496,4,0)=1)=TRUE,VLOOKUP('Hours Detail'!E129,'BASE_FUNCOES (hide)'!$A:$V,11,0),IF(AND('General Information'!$D$16=3,VLOOKUP(B129,Modules!$B$5:$E$496,4,0)=1)=TRUE,VLOOKUP('Hours Detail'!E129,'BASE_FUNCOES (hide)'!$A:$V,12,0),IF(AND('General Information'!$D$16=4,VLOOKUP(B129,Modules!$B$5:$E$496,4,0)=1)=TRUE,VLOOKUP('Hours Detail'!E129,'BASE_FUNCOES (hide)'!$A:$V,13,0),IF(AND('General Information'!$D$16=5,VLOOKUP(B129,Modules!$B$5:$E$496,4,0)=1)=TRUE,VLOOKUP('Hours Detail'!E129,'BASE_FUNCOES (hide)'!$A:$V,14,0),  IF(AND('General Information'!$D$16=6,VLOOKUP(B129,Modules!$B$5:$E$496,4,0)=1)=TRUE,VLOOKUP('Hours Detail'!E129,'BASE_FUNCOES (hide)'!$A:$V,15,0),"No"))))))</f>
        <v>No</v>
      </c>
      <c r="H129" s="22" t="str">
        <f t="shared" si="3"/>
        <v>No</v>
      </c>
      <c r="I129" s="75">
        <f>IF('General Information'!$C$4="Mexico",(ROUNDUP(VLOOKUP(E129,'BASE_FUNCOES (hide)'!A:X,21,0),0)),(ROUNDUP(VLOOKUP(E129,'BASE_FUNCOES (hide)'!A:L,9,0),0)))</f>
        <v>24</v>
      </c>
      <c r="J129" s="75">
        <f>ROUNDUP(SUMIF(Questions!$E$5:$E$558,'Hours Detail'!E129,Questions!$F$5:$F$558),0)</f>
        <v>0</v>
      </c>
      <c r="K129" s="76">
        <f>IF(H129="Yes",ROUNDUP(IF(VLOOKUP(E129,'BASE_FUNCOES (hide)'!A:T,16,FALSE)&lt;&gt;"No",IF('General Information'!$C$19="HTML5",(I129+J129)*'BASE_FUNCOES (hide)'!$T$2,I129+J129),I129+J129),I129+J129),I129+J129)</f>
        <v>24</v>
      </c>
      <c r="L129" s="265" t="str">
        <f>IF(OR(E129=121,E129=88,E129=2682,E129=2703,E129=2687,E129=2689,E129=2681,E129=2685)=FALSE,"",IF('General Information'!$C$19="HTML5","FUNÇÃO DISPONÍVEL APENAS PARA BRASIL",IF(J130&lt;&gt;0,VLOOKUP(E130,Questions!$E$5:$L$568,5,0),"")))</f>
        <v/>
      </c>
      <c r="M129" s="164" t="s">
        <v>2396</v>
      </c>
      <c r="N129" s="369" t="s">
        <v>2377</v>
      </c>
    </row>
    <row r="130" spans="1:14" ht="14.5" customHeight="1" outlineLevel="1">
      <c r="A130" s="59"/>
      <c r="B130" s="72">
        <f>VLOOKUP('Hours Detail'!E130,'BASE_FUNCOES (hide)'!A:W,5,FALSE)</f>
        <v>23</v>
      </c>
      <c r="C130" s="72" t="s">
        <v>5929</v>
      </c>
      <c r="D130" s="73" t="str">
        <f>IF('General Information'!$C$6="Português",VLOOKUP(B130,'ESTRUTURA_MODULO(hide)'!A:D,2,0),IF('General Information'!$C$6="English",VLOOKUP(B130,'ESTRUTURA_MODULO(hide)'!A:D,3,0),IF('General Information'!$C$6="Español",VLOOKUP(B130,'ESTRUTURA_MODULO(hide)'!A:D,4,0))))</f>
        <v>Laboratório</v>
      </c>
      <c r="E130" s="254">
        <v>1950</v>
      </c>
      <c r="F130" s="73" t="str">
        <f>IF('General Information'!$C$6="Português",VLOOKUP(E130,'BASE_FUNCOES (hide)'!A:H,2,0),IF('General Information'!$C$6="English",VLOOKUP(E130,'BASE_FUNCOES (hide)'!A:H,3,0),IF('General Information'!$C$6="Español",VLOOKUP(E130,'BASE_FUNCOES (hide)'!A:H,4,0))))</f>
        <v>Gestão das Amostras</v>
      </c>
      <c r="G130" s="73" t="str">
        <f>IF(AND('General Information'!$D$16=1,VLOOKUP(B130,Modules!$B$5:$E$496,4,0)=1)=TRUE,VLOOKUP('Hours Detail'!E130,'BASE_FUNCOES (hide)'!$A:$V,10,0),IF(AND('General Information'!$D$16=2,VLOOKUP(B130,Modules!$B$5:$E$496,4,0)=1)=TRUE,VLOOKUP('Hours Detail'!E130,'BASE_FUNCOES (hide)'!$A:$V,11,0),IF(AND('General Information'!$D$16=3,VLOOKUP(B130,Modules!$B$5:$E$496,4,0)=1)=TRUE,VLOOKUP('Hours Detail'!E130,'BASE_FUNCOES (hide)'!$A:$V,12,0),IF(AND('General Information'!$D$16=4,VLOOKUP(B130,Modules!$B$5:$E$496,4,0)=1)=TRUE,VLOOKUP('Hours Detail'!E130,'BASE_FUNCOES (hide)'!$A:$V,13,0),IF(AND('General Information'!$D$16=5,VLOOKUP(B130,Modules!$B$5:$E$496,4,0)=1)=TRUE,VLOOKUP('Hours Detail'!E130,'BASE_FUNCOES (hide)'!$A:$V,14,0),  IF(AND('General Information'!$D$16=6,VLOOKUP(B130,Modules!$B$5:$E$496,4,0)=1)=TRUE,VLOOKUP('Hours Detail'!E130,'BASE_FUNCOES (hide)'!$A:$V,15,0),"No"))))))</f>
        <v>No</v>
      </c>
      <c r="H130" s="22" t="str">
        <f t="shared" si="3"/>
        <v>No</v>
      </c>
      <c r="I130" s="75">
        <f>IF('General Information'!$C$4="Mexico",(ROUNDUP(VLOOKUP(E130,'BASE_FUNCOES (hide)'!A:X,21,0),0)),(ROUNDUP(VLOOKUP(E130,'BASE_FUNCOES (hide)'!A:L,9,0),0)))</f>
        <v>12</v>
      </c>
      <c r="J130" s="75">
        <f>ROUNDUP(SUMIF(Questions!$E$5:$E$558,'Hours Detail'!E130,Questions!$F$5:$F$558),0)</f>
        <v>0</v>
      </c>
      <c r="K130" s="76">
        <f>IF(H130="Yes",ROUNDUP(IF(VLOOKUP(E130,'BASE_FUNCOES (hide)'!A:T,16,FALSE)&lt;&gt;"No",IF('General Information'!$C$19="HTML5",(I130+J130)*'BASE_FUNCOES (hide)'!$T$2,I130+J130),I130+J130),I130+J130),I130+J130)</f>
        <v>12</v>
      </c>
      <c r="L130" s="265" t="str">
        <f>IF(OR(E130=121,E130=88,E130=2682,E130=2703,E130=2687,E130=2689,E130=2681,E130=2685)=FALSE,"",IF('General Information'!$C$19="HTML5","FUNÇÃO DISPONÍVEL APENAS PARA BRASIL",IF(J131&lt;&gt;0,VLOOKUP(E131,Questions!$E$5:$L$568,5,0),"")))</f>
        <v/>
      </c>
      <c r="M130" s="164" t="s">
        <v>2396</v>
      </c>
      <c r="N130" s="369" t="s">
        <v>2377</v>
      </c>
    </row>
    <row r="131" spans="1:14" ht="14.5" customHeight="1" outlineLevel="1">
      <c r="A131" s="59"/>
      <c r="B131" s="72">
        <f>VLOOKUP('Hours Detail'!E131,'BASE_FUNCOES (hide)'!A:W,5,FALSE)</f>
        <v>23</v>
      </c>
      <c r="C131" s="72" t="s">
        <v>5929</v>
      </c>
      <c r="D131" s="73" t="str">
        <f>IF('General Information'!$C$6="Português",VLOOKUP(B131,'ESTRUTURA_MODULO(hide)'!A:D,2,0),IF('General Information'!$C$6="English",VLOOKUP(B131,'ESTRUTURA_MODULO(hide)'!A:D,3,0),IF('General Information'!$C$6="Español",VLOOKUP(B131,'ESTRUTURA_MODULO(hide)'!A:D,4,0))))</f>
        <v>Laboratório</v>
      </c>
      <c r="E131" s="254">
        <v>10209</v>
      </c>
      <c r="F131" s="73" t="str">
        <f>IF('General Information'!$C$6="Português",VLOOKUP(E131,'BASE_FUNCOES (hide)'!A:H,2,0),IF('General Information'!$C$6="English",VLOOKUP(E131,'BASE_FUNCOES (hide)'!A:H,3,0),IF('General Information'!$C$6="Español",VLOOKUP(E131,'BASE_FUNCOES (hide)'!A:H,4,0))))</f>
        <v>Impressão de Mapa de Exames Laboratoriais</v>
      </c>
      <c r="G131" s="73" t="str">
        <f>IF(AND('General Information'!$D$16=1,VLOOKUP(B131,Modules!$B$5:$E$496,4,0)=1)=TRUE,VLOOKUP('Hours Detail'!E131,'BASE_FUNCOES (hide)'!$A:$V,10,0),IF(AND('General Information'!$D$16=2,VLOOKUP(B131,Modules!$B$5:$E$496,4,0)=1)=TRUE,VLOOKUP('Hours Detail'!E131,'BASE_FUNCOES (hide)'!$A:$V,11,0),IF(AND('General Information'!$D$16=3,VLOOKUP(B131,Modules!$B$5:$E$496,4,0)=1)=TRUE,VLOOKUP('Hours Detail'!E131,'BASE_FUNCOES (hide)'!$A:$V,12,0),IF(AND('General Information'!$D$16=4,VLOOKUP(B131,Modules!$B$5:$E$496,4,0)=1)=TRUE,VLOOKUP('Hours Detail'!E131,'BASE_FUNCOES (hide)'!$A:$V,13,0),IF(AND('General Information'!$D$16=5,VLOOKUP(B131,Modules!$B$5:$E$496,4,0)=1)=TRUE,VLOOKUP('Hours Detail'!E131,'BASE_FUNCOES (hide)'!$A:$V,14,0),  IF(AND('General Information'!$D$16=6,VLOOKUP(B131,Modules!$B$5:$E$496,4,0)=1)=TRUE,VLOOKUP('Hours Detail'!E131,'BASE_FUNCOES (hide)'!$A:$V,15,0),"No"))))))</f>
        <v>No</v>
      </c>
      <c r="H131" s="22" t="str">
        <f t="shared" si="3"/>
        <v>No</v>
      </c>
      <c r="I131" s="75">
        <f>IF('General Information'!$C$4="Mexico",(ROUNDUP(VLOOKUP(E131,'BASE_FUNCOES (hide)'!A:X,21,0),0)),(ROUNDUP(VLOOKUP(E131,'BASE_FUNCOES (hide)'!A:L,9,0),0)))</f>
        <v>8</v>
      </c>
      <c r="J131" s="75">
        <f>ROUNDUP(SUMIF(Questions!$E$5:$E$558,'Hours Detail'!E131,Questions!$F$5:$F$558),0)</f>
        <v>0</v>
      </c>
      <c r="K131" s="76">
        <f>IF(H131="Yes",ROUNDUP(IF(VLOOKUP(E131,'BASE_FUNCOES (hide)'!A:T,16,FALSE)&lt;&gt;"No",IF('General Information'!$C$19="HTML5",(I131+J131)*'BASE_FUNCOES (hide)'!$T$2,I131+J131),I131+J131),I131+J131),I131+J131)</f>
        <v>8</v>
      </c>
      <c r="L131" s="265" t="str">
        <f>IF(OR(E131=121,E131=88,E131=2682,E131=2703,E131=2687,E131=2689,E131=2681,E131=2685)=FALSE,"",IF('General Information'!$C$19="HTML5","FUNÇÃO DISPONÍVEL APENAS PARA BRASIL",IF(J132&lt;&gt;0,VLOOKUP(E132,Questions!$E$5:$L$568,5,0),"")))</f>
        <v/>
      </c>
      <c r="M131" s="164" t="s">
        <v>2396</v>
      </c>
      <c r="N131" s="369" t="s">
        <v>2377</v>
      </c>
    </row>
    <row r="132" spans="1:14" ht="14.5" customHeight="1" outlineLevel="1">
      <c r="A132" s="59"/>
      <c r="B132" s="72">
        <f>VLOOKUP('Hours Detail'!E132,'BASE_FUNCOES (hide)'!A:W,5,FALSE)</f>
        <v>23</v>
      </c>
      <c r="C132" s="72" t="s">
        <v>5929</v>
      </c>
      <c r="D132" s="73" t="str">
        <f>IF('General Information'!$C$6="Português",VLOOKUP(B132,'ESTRUTURA_MODULO(hide)'!A:D,2,0),IF('General Information'!$C$6="English",VLOOKUP(B132,'ESTRUTURA_MODULO(hide)'!A:D,3,0),IF('General Information'!$C$6="Español",VLOOKUP(B132,'ESTRUTURA_MODULO(hide)'!A:D,4,0))))</f>
        <v>Laboratório</v>
      </c>
      <c r="E132" s="254">
        <v>725</v>
      </c>
      <c r="F132" s="73" t="str">
        <f>IF('General Information'!$C$6="Português",VLOOKUP(E132,'BASE_FUNCOES (hide)'!A:H,2,0),IF('General Information'!$C$6="English",VLOOKUP(E132,'BASE_FUNCOES (hide)'!A:H,3,0),IF('General Information'!$C$6="Español",VLOOKUP(E132,'BASE_FUNCOES (hide)'!A:H,4,0))))</f>
        <v>Lote de Exame</v>
      </c>
      <c r="G132" s="73" t="str">
        <f>IF(AND('General Information'!$D$16=1,VLOOKUP(B132,Modules!$B$5:$E$496,4,0)=1)=TRUE,VLOOKUP('Hours Detail'!E132,'BASE_FUNCOES (hide)'!$A:$V,10,0),IF(AND('General Information'!$D$16=2,VLOOKUP(B132,Modules!$B$5:$E$496,4,0)=1)=TRUE,VLOOKUP('Hours Detail'!E132,'BASE_FUNCOES (hide)'!$A:$V,11,0),IF(AND('General Information'!$D$16=3,VLOOKUP(B132,Modules!$B$5:$E$496,4,0)=1)=TRUE,VLOOKUP('Hours Detail'!E132,'BASE_FUNCOES (hide)'!$A:$V,12,0),IF(AND('General Information'!$D$16=4,VLOOKUP(B132,Modules!$B$5:$E$496,4,0)=1)=TRUE,VLOOKUP('Hours Detail'!E132,'BASE_FUNCOES (hide)'!$A:$V,13,0),IF(AND('General Information'!$D$16=5,VLOOKUP(B132,Modules!$B$5:$E$496,4,0)=1)=TRUE,VLOOKUP('Hours Detail'!E132,'BASE_FUNCOES (hide)'!$A:$V,14,0),  IF(AND('General Information'!$D$16=6,VLOOKUP(B132,Modules!$B$5:$E$496,4,0)=1)=TRUE,VLOOKUP('Hours Detail'!E132,'BASE_FUNCOES (hide)'!$A:$V,15,0),"No"))))))</f>
        <v>No</v>
      </c>
      <c r="H132" s="22" t="str">
        <f t="shared" si="3"/>
        <v>No</v>
      </c>
      <c r="I132" s="75">
        <f>IF('General Information'!$C$4="Mexico",(ROUNDUP(VLOOKUP(E132,'BASE_FUNCOES (hide)'!A:X,21,0),0)),(ROUNDUP(VLOOKUP(E132,'BASE_FUNCOES (hide)'!A:L,9,0),0)))</f>
        <v>4</v>
      </c>
      <c r="J132" s="75">
        <f>ROUNDUP(SUMIF(Questions!$E$5:$E$558,'Hours Detail'!E132,Questions!$F$5:$F$558),0)</f>
        <v>0</v>
      </c>
      <c r="K132" s="76">
        <f>IF(H132="Yes",ROUNDUP(IF(VLOOKUP(E132,'BASE_FUNCOES (hide)'!A:T,16,FALSE)&lt;&gt;"No",IF('General Information'!$C$19="HTML5",(I132+J132)*'BASE_FUNCOES (hide)'!$T$2,I132+J132),I132+J132),I132+J132),I132+J132)</f>
        <v>4</v>
      </c>
      <c r="L132" s="265" t="str">
        <f>IF(OR(E132=121,E132=88,E132=2682,E132=2703,E132=2687,E132=2689,E132=2681,E132=2685)=FALSE,"",IF('General Information'!$C$19="HTML5","FUNÇÃO DISPONÍVEL APENAS PARA BRASIL",IF(J133&lt;&gt;0,VLOOKUP(E133,Questions!$E$5:$L$568,5,0),"")))</f>
        <v/>
      </c>
      <c r="M132" s="164" t="s">
        <v>2396</v>
      </c>
      <c r="N132" s="369" t="s">
        <v>2377</v>
      </c>
    </row>
    <row r="133" spans="1:14" ht="14.5" customHeight="1" outlineLevel="1">
      <c r="A133" s="59"/>
      <c r="B133" s="72">
        <f>VLOOKUP('Hours Detail'!E133,'BASE_FUNCOES (hide)'!A:W,5,FALSE)</f>
        <v>23</v>
      </c>
      <c r="C133" s="72" t="s">
        <v>5929</v>
      </c>
      <c r="D133" s="73" t="str">
        <f>IF('General Information'!$C$6="Português",VLOOKUP(B133,'ESTRUTURA_MODULO(hide)'!A:D,2,0),IF('General Information'!$C$6="English",VLOOKUP(B133,'ESTRUTURA_MODULO(hide)'!A:D,3,0),IF('General Information'!$C$6="Español",VLOOKUP(B133,'ESTRUTURA_MODULO(hide)'!A:D,4,0))))</f>
        <v>Laboratório</v>
      </c>
      <c r="E133" s="254">
        <v>718</v>
      </c>
      <c r="F133" s="73" t="str">
        <f>IF('General Information'!$C$6="Português",VLOOKUP(E133,'BASE_FUNCOES (hide)'!A:H,2,0),IF('General Information'!$C$6="English",VLOOKUP(E133,'BASE_FUNCOES (hide)'!A:H,3,0),IF('General Information'!$C$6="Español",VLOOKUP(E133,'BASE_FUNCOES (hide)'!A:H,4,0))))</f>
        <v>Lote de Exames Externos</v>
      </c>
      <c r="G133" s="73" t="str">
        <f>IF(AND('General Information'!$D$16=1,VLOOKUP(B133,Modules!$B$5:$E$496,4,0)=1)=TRUE,VLOOKUP('Hours Detail'!E133,'BASE_FUNCOES (hide)'!$A:$V,10,0),IF(AND('General Information'!$D$16=2,VLOOKUP(B133,Modules!$B$5:$E$496,4,0)=1)=TRUE,VLOOKUP('Hours Detail'!E133,'BASE_FUNCOES (hide)'!$A:$V,11,0),IF(AND('General Information'!$D$16=3,VLOOKUP(B133,Modules!$B$5:$E$496,4,0)=1)=TRUE,VLOOKUP('Hours Detail'!E133,'BASE_FUNCOES (hide)'!$A:$V,12,0),IF(AND('General Information'!$D$16=4,VLOOKUP(B133,Modules!$B$5:$E$496,4,0)=1)=TRUE,VLOOKUP('Hours Detail'!E133,'BASE_FUNCOES (hide)'!$A:$V,13,0),IF(AND('General Information'!$D$16=5,VLOOKUP(B133,Modules!$B$5:$E$496,4,0)=1)=TRUE,VLOOKUP('Hours Detail'!E133,'BASE_FUNCOES (hide)'!$A:$V,14,0),  IF(AND('General Information'!$D$16=6,VLOOKUP(B133,Modules!$B$5:$E$496,4,0)=1)=TRUE,VLOOKUP('Hours Detail'!E133,'BASE_FUNCOES (hide)'!$A:$V,15,0),"No"))))))</f>
        <v>No</v>
      </c>
      <c r="H133" s="22" t="str">
        <f t="shared" si="3"/>
        <v>No</v>
      </c>
      <c r="I133" s="75">
        <f>IF('General Information'!$C$4="Mexico",(ROUNDUP(VLOOKUP(E133,'BASE_FUNCOES (hide)'!A:X,21,0),0)),(ROUNDUP(VLOOKUP(E133,'BASE_FUNCOES (hide)'!A:L,9,0),0)))</f>
        <v>4</v>
      </c>
      <c r="J133" s="75">
        <f>ROUNDUP(SUMIF(Questions!$E$5:$E$558,'Hours Detail'!E133,Questions!$F$5:$F$558),0)</f>
        <v>0</v>
      </c>
      <c r="K133" s="76">
        <f>IF(H133="Yes",ROUNDUP(IF(VLOOKUP(E133,'BASE_FUNCOES (hide)'!A:T,16,FALSE)&lt;&gt;"No",IF('General Information'!$C$19="HTML5",(I133+J133)*'BASE_FUNCOES (hide)'!$T$2,I133+J133),I133+J133),I133+J133),I133+J133)</f>
        <v>4</v>
      </c>
      <c r="L133" s="265" t="str">
        <f>IF(OR(E133=121,E133=88,E133=2682,E133=2703,E133=2687,E133=2689,E133=2681,E133=2685)=FALSE,"",IF('General Information'!$C$19="HTML5","FUNÇÃO DISPONÍVEL APENAS PARA BRASIL",IF(J134&lt;&gt;0,VLOOKUP(E134,Questions!$E$5:$L$568,5,0),"")))</f>
        <v/>
      </c>
      <c r="M133" s="164" t="s">
        <v>2396</v>
      </c>
      <c r="N133" s="369" t="s">
        <v>2377</v>
      </c>
    </row>
    <row r="134" spans="1:14" ht="14.5" customHeight="1" outlineLevel="1">
      <c r="A134" s="59"/>
      <c r="B134" s="72">
        <f>VLOOKUP('Hours Detail'!E134,'BASE_FUNCOES (hide)'!A:W,5,FALSE)</f>
        <v>23</v>
      </c>
      <c r="C134" s="72" t="s">
        <v>5929</v>
      </c>
      <c r="D134" s="73" t="str">
        <f>IF('General Information'!$C$6="Português",VLOOKUP(B134,'ESTRUTURA_MODULO(hide)'!A:D,2,0),IF('General Information'!$C$6="English",VLOOKUP(B134,'ESTRUTURA_MODULO(hide)'!A:D,3,0),IF('General Information'!$C$6="Español",VLOOKUP(B134,'ESTRUTURA_MODULO(hide)'!A:D,4,0))))</f>
        <v>Laboratório</v>
      </c>
      <c r="E134" s="254">
        <v>9048</v>
      </c>
      <c r="F134" s="73" t="str">
        <f>IF('General Information'!$C$6="Português",VLOOKUP(E134,'BASE_FUNCOES (hide)'!A:H,2,0),IF('General Information'!$C$6="English",VLOOKUP(E134,'BASE_FUNCOES (hide)'!A:H,3,0),IF('General Information'!$C$6="Español",VLOOKUP(E134,'BASE_FUNCOES (hide)'!A:H,4,0))))</f>
        <v>Painel de chamadas do laboratório</v>
      </c>
      <c r="G134" s="73" t="str">
        <f>IF(AND('General Information'!$D$16=1,VLOOKUP(B134,Modules!$B$5:$E$496,4,0)=1)=TRUE,VLOOKUP('Hours Detail'!E134,'BASE_FUNCOES (hide)'!$A:$V,10,0),IF(AND('General Information'!$D$16=2,VLOOKUP(B134,Modules!$B$5:$E$496,4,0)=1)=TRUE,VLOOKUP('Hours Detail'!E134,'BASE_FUNCOES (hide)'!$A:$V,11,0),IF(AND('General Information'!$D$16=3,VLOOKUP(B134,Modules!$B$5:$E$496,4,0)=1)=TRUE,VLOOKUP('Hours Detail'!E134,'BASE_FUNCOES (hide)'!$A:$V,12,0),IF(AND('General Information'!$D$16=4,VLOOKUP(B134,Modules!$B$5:$E$496,4,0)=1)=TRUE,VLOOKUP('Hours Detail'!E134,'BASE_FUNCOES (hide)'!$A:$V,13,0),IF(AND('General Information'!$D$16=5,VLOOKUP(B134,Modules!$B$5:$E$496,4,0)=1)=TRUE,VLOOKUP('Hours Detail'!E134,'BASE_FUNCOES (hide)'!$A:$V,14,0),  IF(AND('General Information'!$D$16=6,VLOOKUP(B134,Modules!$B$5:$E$496,4,0)=1)=TRUE,VLOOKUP('Hours Detail'!E134,'BASE_FUNCOES (hide)'!$A:$V,15,0),"No"))))))</f>
        <v>No</v>
      </c>
      <c r="H134" s="22" t="str">
        <f t="shared" si="3"/>
        <v>No</v>
      </c>
      <c r="I134" s="75">
        <f>IF('General Information'!$C$4="Mexico",(ROUNDUP(VLOOKUP(E134,'BASE_FUNCOES (hide)'!A:X,21,0),0)),(ROUNDUP(VLOOKUP(E134,'BASE_FUNCOES (hide)'!A:L,9,0),0)))</f>
        <v>2</v>
      </c>
      <c r="J134" s="75">
        <f>ROUNDUP(SUMIF(Questions!$E$5:$E$558,'Hours Detail'!E134,Questions!$F$5:$F$558),0)</f>
        <v>0</v>
      </c>
      <c r="K134" s="76">
        <f>IF(H134="Yes",ROUNDUP(IF(VLOOKUP(E134,'BASE_FUNCOES (hide)'!A:T,16,FALSE)&lt;&gt;"No",IF('General Information'!$C$19="HTML5",(I134+J134)*'BASE_FUNCOES (hide)'!$T$2,I134+J134),I134+J134),I134+J134),I134+J134)</f>
        <v>2</v>
      </c>
      <c r="L134" s="265" t="str">
        <f>IF(OR(E134=121,E134=88,E134=2682,E134=2703,E134=2687,E134=2689,E134=2681,E134=2685)=FALSE,"",IF('General Information'!$C$19="HTML5","FUNÇÃO DISPONÍVEL APENAS PARA BRASIL",IF(J135&lt;&gt;0,VLOOKUP(E135,Questions!$E$5:$L$568,5,0),"")))</f>
        <v/>
      </c>
      <c r="M134" s="164" t="s">
        <v>2396</v>
      </c>
      <c r="N134" s="369" t="s">
        <v>2377</v>
      </c>
    </row>
    <row r="135" spans="1:14" ht="14.5" customHeight="1" outlineLevel="1">
      <c r="A135" s="59"/>
      <c r="B135" s="72">
        <f>VLOOKUP('Hours Detail'!E135,'BASE_FUNCOES (hide)'!A:W,5,FALSE)</f>
        <v>23</v>
      </c>
      <c r="C135" s="72" t="s">
        <v>5929</v>
      </c>
      <c r="D135" s="73" t="str">
        <f>IF('General Information'!$C$6="Português",VLOOKUP(B135,'ESTRUTURA_MODULO(hide)'!A:D,2,0),IF('General Information'!$C$6="English",VLOOKUP(B135,'ESTRUTURA_MODULO(hide)'!A:D,3,0),IF('General Information'!$C$6="Español",VLOOKUP(B135,'ESTRUTURA_MODULO(hide)'!A:D,4,0))))</f>
        <v>Laboratório</v>
      </c>
      <c r="E135" s="254">
        <v>10210</v>
      </c>
      <c r="F135" s="73" t="str">
        <f>IF('General Information'!$C$6="Português",VLOOKUP(E135,'BASE_FUNCOES (hide)'!A:H,2,0),IF('General Information'!$C$6="English",VLOOKUP(E135,'BASE_FUNCOES (hide)'!A:H,3,0),IF('General Information'!$C$6="Español",VLOOKUP(E135,'BASE_FUNCOES (hide)'!A:H,4,0))))</f>
        <v>Painel de Informações Laboratoriais</v>
      </c>
      <c r="G135" s="73" t="str">
        <f>IF(AND('General Information'!$D$16=1,VLOOKUP(B135,Modules!$B$5:$E$496,4,0)=1)=TRUE,VLOOKUP('Hours Detail'!E135,'BASE_FUNCOES (hide)'!$A:$V,10,0),IF(AND('General Information'!$D$16=2,VLOOKUP(B135,Modules!$B$5:$E$496,4,0)=1)=TRUE,VLOOKUP('Hours Detail'!E135,'BASE_FUNCOES (hide)'!$A:$V,11,0),IF(AND('General Information'!$D$16=3,VLOOKUP(B135,Modules!$B$5:$E$496,4,0)=1)=TRUE,VLOOKUP('Hours Detail'!E135,'BASE_FUNCOES (hide)'!$A:$V,12,0),IF(AND('General Information'!$D$16=4,VLOOKUP(B135,Modules!$B$5:$E$496,4,0)=1)=TRUE,VLOOKUP('Hours Detail'!E135,'BASE_FUNCOES (hide)'!$A:$V,13,0),IF(AND('General Information'!$D$16=5,VLOOKUP(B135,Modules!$B$5:$E$496,4,0)=1)=TRUE,VLOOKUP('Hours Detail'!E135,'BASE_FUNCOES (hide)'!$A:$V,14,0),  IF(AND('General Information'!$D$16=6,VLOOKUP(B135,Modules!$B$5:$E$496,4,0)=1)=TRUE,VLOOKUP('Hours Detail'!E135,'BASE_FUNCOES (hide)'!$A:$V,15,0),"No"))))))</f>
        <v>No</v>
      </c>
      <c r="H135" s="22" t="str">
        <f t="shared" si="3"/>
        <v>No</v>
      </c>
      <c r="I135" s="75">
        <f>IF('General Information'!$C$4="Mexico",(ROUNDUP(VLOOKUP(E135,'BASE_FUNCOES (hide)'!A:X,21,0),0)),(ROUNDUP(VLOOKUP(E135,'BASE_FUNCOES (hide)'!A:L,9,0),0)))</f>
        <v>2</v>
      </c>
      <c r="J135" s="75">
        <f>ROUNDUP(SUMIF(Questions!$E$5:$E$558,'Hours Detail'!E135,Questions!$F$5:$F$558),0)</f>
        <v>0</v>
      </c>
      <c r="K135" s="76">
        <f>IF(H135="Yes",ROUNDUP(IF(VLOOKUP(E135,'BASE_FUNCOES (hide)'!A:T,16,FALSE)&lt;&gt;"No",IF('General Information'!$C$19="HTML5",(I135+J135)*'BASE_FUNCOES (hide)'!$T$2,I135+J135),I135+J135),I135+J135),I135+J135)</f>
        <v>2</v>
      </c>
      <c r="L135" s="265" t="str">
        <f>IF(OR(E135=121,E135=88,E135=2682,E135=2703,E135=2687,E135=2689,E135=2681,E135=2685)=FALSE,"",IF('General Information'!$C$19="HTML5","FUNÇÃO DISPONÍVEL APENAS PARA BRASIL",IF(J136&lt;&gt;0,VLOOKUP(E136,Questions!$E$5:$L$568,5,0),"")))</f>
        <v/>
      </c>
      <c r="M135" s="164" t="s">
        <v>2396</v>
      </c>
      <c r="N135" s="369" t="s">
        <v>2377</v>
      </c>
    </row>
    <row r="136" spans="1:14" ht="14.5" customHeight="1" outlineLevel="1">
      <c r="A136" s="59"/>
      <c r="B136" s="72">
        <f>VLOOKUP('Hours Detail'!E136,'BASE_FUNCOES (hide)'!A:W,5,FALSE)</f>
        <v>9</v>
      </c>
      <c r="C136" s="72" t="s">
        <v>5929</v>
      </c>
      <c r="D136" s="73" t="str">
        <f>IF('General Information'!$C$6="Português",VLOOKUP(B136,'ESTRUTURA_MODULO(hide)'!A:D,2,0),IF('General Information'!$C$6="English",VLOOKUP(B136,'ESTRUTURA_MODULO(hide)'!A:D,3,0),IF('General Information'!$C$6="Español",VLOOKUP(B136,'ESTRUTURA_MODULO(hide)'!A:D,4,0))))</f>
        <v>Exames</v>
      </c>
      <c r="E136" s="254">
        <v>148</v>
      </c>
      <c r="F136" s="73" t="str">
        <f>IF('General Information'!$C$6="Português",VLOOKUP(E136,'BASE_FUNCOES (hide)'!A:H,2,0),IF('General Information'!$C$6="English",VLOOKUP(E136,'BASE_FUNCOES (hide)'!A:H,3,0),IF('General Information'!$C$6="Español",VLOOKUP(E136,'BASE_FUNCOES (hide)'!A:H,4,0))))</f>
        <v>Acompanhamento de Laudos</v>
      </c>
      <c r="G136" s="73" t="str">
        <f>IF(AND('General Information'!$D$16=1,VLOOKUP(B136,Modules!$B$5:$E$496,4,0)=1)=TRUE,VLOOKUP('Hours Detail'!E136,'BASE_FUNCOES (hide)'!$A:$V,10,0),IF(AND('General Information'!$D$16=2,VLOOKUP(B136,Modules!$B$5:$E$496,4,0)=1)=TRUE,VLOOKUP('Hours Detail'!E136,'BASE_FUNCOES (hide)'!$A:$V,11,0),IF(AND('General Information'!$D$16=3,VLOOKUP(B136,Modules!$B$5:$E$496,4,0)=1)=TRUE,VLOOKUP('Hours Detail'!E136,'BASE_FUNCOES (hide)'!$A:$V,12,0),IF(AND('General Information'!$D$16=4,VLOOKUP(B136,Modules!$B$5:$E$496,4,0)=1)=TRUE,VLOOKUP('Hours Detail'!E136,'BASE_FUNCOES (hide)'!$A:$V,13,0),IF(AND('General Information'!$D$16=5,VLOOKUP(B136,Modules!$B$5:$E$496,4,0)=1)=TRUE,VLOOKUP('Hours Detail'!E136,'BASE_FUNCOES (hide)'!$A:$V,14,0),  IF(AND('General Information'!$D$16=6,VLOOKUP(B136,Modules!$B$5:$E$496,4,0)=1)=TRUE,VLOOKUP('Hours Detail'!E136,'BASE_FUNCOES (hide)'!$A:$V,15,0),"No"))))))</f>
        <v>No</v>
      </c>
      <c r="H136" s="22" t="str">
        <f t="shared" si="3"/>
        <v>No</v>
      </c>
      <c r="I136" s="75">
        <f>IF('General Information'!$C$4="Mexico",(ROUNDUP(VLOOKUP(E136,'BASE_FUNCOES (hide)'!A:X,21,0),0)),(ROUNDUP(VLOOKUP(E136,'BASE_FUNCOES (hide)'!A:L,9,0),0)))</f>
        <v>2</v>
      </c>
      <c r="J136" s="75">
        <f>ROUNDUP(SUMIF(Questions!$E$5:$E$558,'Hours Detail'!E136,Questions!$F$5:$F$558),0)</f>
        <v>0</v>
      </c>
      <c r="K136" s="76">
        <f>IF(H136="Yes",ROUNDUP(IF(VLOOKUP(E136,'BASE_FUNCOES (hide)'!A:T,16,FALSE)&lt;&gt;"No",IF('General Information'!$C$19="HTML5",(I136+J136)*'BASE_FUNCOES (hide)'!$T$2,I136+J136),I136+J136),I136+J136),I136+J136)</f>
        <v>2</v>
      </c>
      <c r="L136" s="265" t="str">
        <f>IF(OR(E136=121,E136=88,E136=2682,E136=2703,E136=2687,E136=2689,E136=2681,E136=2685)=FALSE,"",IF('General Information'!$C$19="HTML5","FUNÇÃO DISPONÍVEL APENAS PARA BRASIL",IF(J137&lt;&gt;0,VLOOKUP(E137,Questions!$E$5:$L$568,5,0),"")))</f>
        <v/>
      </c>
      <c r="M136" s="164" t="s">
        <v>2396</v>
      </c>
      <c r="N136" s="369" t="s">
        <v>2377</v>
      </c>
    </row>
    <row r="137" spans="1:14" ht="14.5" customHeight="1" outlineLevel="1">
      <c r="A137" s="59"/>
      <c r="B137" s="72">
        <f>VLOOKUP('Hours Detail'!E137,'BASE_FUNCOES (hide)'!A:W,5,FALSE)</f>
        <v>9</v>
      </c>
      <c r="C137" s="72" t="s">
        <v>5929</v>
      </c>
      <c r="D137" s="73" t="str">
        <f>IF('General Information'!$C$6="Português",VLOOKUP(B137,'ESTRUTURA_MODULO(hide)'!A:D,2,0),IF('General Information'!$C$6="English",VLOOKUP(B137,'ESTRUTURA_MODULO(hide)'!A:D,3,0),IF('General Information'!$C$6="Español",VLOOKUP(B137,'ESTRUTURA_MODULO(hide)'!A:D,4,0))))</f>
        <v>Exames</v>
      </c>
      <c r="E137" s="254">
        <v>99010</v>
      </c>
      <c r="F137" s="73" t="str">
        <f>IF('General Information'!$C$6="Português",VLOOKUP(E137,'BASE_FUNCOES (hide)'!A:H,2,0),IF('General Information'!$C$6="English",VLOOKUP(E137,'BASE_FUNCOES (hide)'!A:H,3,0),IF('General Information'!$C$6="Español",VLOOKUP(E137,'BASE_FUNCOES (hide)'!A:H,4,0))))</f>
        <v>Central de Laudos</v>
      </c>
      <c r="G137" s="73" t="str">
        <f>IF(AND('General Information'!$D$16=1,VLOOKUP(B137,Modules!$B$5:$E$496,4,0)=1)=TRUE,VLOOKUP('Hours Detail'!E137,'BASE_FUNCOES (hide)'!$A:$V,10,0),IF(AND('General Information'!$D$16=2,VLOOKUP(B137,Modules!$B$5:$E$496,4,0)=1)=TRUE,VLOOKUP('Hours Detail'!E137,'BASE_FUNCOES (hide)'!$A:$V,11,0),IF(AND('General Information'!$D$16=3,VLOOKUP(B137,Modules!$B$5:$E$496,4,0)=1)=TRUE,VLOOKUP('Hours Detail'!E137,'BASE_FUNCOES (hide)'!$A:$V,12,0),IF(AND('General Information'!$D$16=4,VLOOKUP(B137,Modules!$B$5:$E$496,4,0)=1)=TRUE,VLOOKUP('Hours Detail'!E137,'BASE_FUNCOES (hide)'!$A:$V,13,0),IF(AND('General Information'!$D$16=5,VLOOKUP(B137,Modules!$B$5:$E$496,4,0)=1)=TRUE,VLOOKUP('Hours Detail'!E137,'BASE_FUNCOES (hide)'!$A:$V,14,0),  IF(AND('General Information'!$D$16=6,VLOOKUP(B137,Modules!$B$5:$E$496,4,0)=1)=TRUE,VLOOKUP('Hours Detail'!E137,'BASE_FUNCOES (hide)'!$A:$V,15,0),"No"))))))</f>
        <v>No</v>
      </c>
      <c r="H137" s="22" t="str">
        <f t="shared" si="3"/>
        <v>No</v>
      </c>
      <c r="I137" s="75">
        <f>IF('General Information'!$C$4="Mexico",(ROUNDUP(VLOOKUP(E137,'BASE_FUNCOES (hide)'!A:X,21,0),0)),(ROUNDUP(VLOOKUP(E137,'BASE_FUNCOES (hide)'!A:L,9,0),0)))</f>
        <v>24</v>
      </c>
      <c r="J137" s="75">
        <f>ROUNDUP(SUMIF(Questions!$E$5:$E$558,'Hours Detail'!E137,Questions!$F$5:$F$558),0)</f>
        <v>0</v>
      </c>
      <c r="K137" s="76">
        <f>IF(H137="Yes",ROUNDUP(IF(VLOOKUP(E137,'BASE_FUNCOES (hide)'!A:T,16,FALSE)&lt;&gt;"No",IF('General Information'!$C$19="HTML5",(I137+J137)*'BASE_FUNCOES (hide)'!$T$2,I137+J137),I137+J137),I137+J137),I137+J137)</f>
        <v>24</v>
      </c>
      <c r="L137" s="265" t="str">
        <f>IF(OR(E137=121,E137=88,E137=2682,E137=2703,E137=2687,E137=2689,E137=2681,E137=2685)=FALSE,"",IF('General Information'!$C$19="HTML5","FUNÇÃO DISPONÍVEL APENAS PARA BRASIL",IF(J138&lt;&gt;0,VLOOKUP(E138,Questions!$E$5:$L$568,5,0),"")))</f>
        <v/>
      </c>
      <c r="M137" s="164" t="s">
        <v>2396</v>
      </c>
      <c r="N137" s="369" t="s">
        <v>2377</v>
      </c>
    </row>
    <row r="138" spans="1:14" ht="14.5" customHeight="1" outlineLevel="1">
      <c r="A138" s="59"/>
      <c r="B138" s="72">
        <f>VLOOKUP('Hours Detail'!E138,'BASE_FUNCOES (hide)'!A:W,5,FALSE)</f>
        <v>9</v>
      </c>
      <c r="C138" s="72" t="s">
        <v>5929</v>
      </c>
      <c r="D138" s="73" t="str">
        <f>IF('General Information'!$C$6="Português",VLOOKUP(B138,'ESTRUTURA_MODULO(hide)'!A:D,2,0),IF('General Information'!$C$6="English",VLOOKUP(B138,'ESTRUTURA_MODULO(hide)'!A:D,3,0),IF('General Information'!$C$6="Español",VLOOKUP(B138,'ESTRUTURA_MODULO(hide)'!A:D,4,0))))</f>
        <v>Exames</v>
      </c>
      <c r="E138" s="254">
        <v>7011</v>
      </c>
      <c r="F138" s="73" t="str">
        <f>IF('General Information'!$C$6="Português",VLOOKUP(E138,'BASE_FUNCOES (hide)'!A:H,2,0),IF('General Information'!$C$6="English",VLOOKUP(E138,'BASE_FUNCOES (hide)'!A:H,3,0),IF('General Information'!$C$6="Español",VLOOKUP(E138,'BASE_FUNCOES (hide)'!A:H,4,0))))</f>
        <v>Digitação de Resultados de Exames No Laboratoriais Externos</v>
      </c>
      <c r="G138" s="73" t="str">
        <f>IF(AND('General Information'!$D$16=1,VLOOKUP(B138,Modules!$B$5:$E$496,4,0)=1)=TRUE,VLOOKUP('Hours Detail'!E138,'BASE_FUNCOES (hide)'!$A:$V,10,0),IF(AND('General Information'!$D$16=2,VLOOKUP(B138,Modules!$B$5:$E$496,4,0)=1)=TRUE,VLOOKUP('Hours Detail'!E138,'BASE_FUNCOES (hide)'!$A:$V,11,0),IF(AND('General Information'!$D$16=3,VLOOKUP(B138,Modules!$B$5:$E$496,4,0)=1)=TRUE,VLOOKUP('Hours Detail'!E138,'BASE_FUNCOES (hide)'!$A:$V,12,0),IF(AND('General Information'!$D$16=4,VLOOKUP(B138,Modules!$B$5:$E$496,4,0)=1)=TRUE,VLOOKUP('Hours Detail'!E138,'BASE_FUNCOES (hide)'!$A:$V,13,0),IF(AND('General Information'!$D$16=5,VLOOKUP(B138,Modules!$B$5:$E$496,4,0)=1)=TRUE,VLOOKUP('Hours Detail'!E138,'BASE_FUNCOES (hide)'!$A:$V,14,0),  IF(AND('General Information'!$D$16=6,VLOOKUP(B138,Modules!$B$5:$E$496,4,0)=1)=TRUE,VLOOKUP('Hours Detail'!E138,'BASE_FUNCOES (hide)'!$A:$V,15,0),"No"))))))</f>
        <v>No</v>
      </c>
      <c r="H138" s="22" t="str">
        <f t="shared" si="3"/>
        <v>No</v>
      </c>
      <c r="I138" s="75">
        <f>IF('General Information'!$C$4="Mexico",(ROUNDUP(VLOOKUP(E138,'BASE_FUNCOES (hide)'!A:X,21,0),0)),(ROUNDUP(VLOOKUP(E138,'BASE_FUNCOES (hide)'!A:L,9,0),0)))</f>
        <v>2</v>
      </c>
      <c r="J138" s="75">
        <f>ROUNDUP(SUMIF(Questions!$E$5:$E$558,'Hours Detail'!E138,Questions!$F$5:$F$558),0)</f>
        <v>0</v>
      </c>
      <c r="K138" s="76">
        <f>IF(H138="Yes",ROUNDUP(IF(VLOOKUP(E138,'BASE_FUNCOES (hide)'!A:T,16,FALSE)&lt;&gt;"No",IF('General Information'!$C$19="HTML5",(I138+J138)*'BASE_FUNCOES (hide)'!$T$2,I138+J138),I138+J138),I138+J138),I138+J138)</f>
        <v>2</v>
      </c>
      <c r="L138" s="265" t="str">
        <f>IF(OR(E138=121,E138=88,E138=2682,E138=2703,E138=2687,E138=2689,E138=2681,E138=2685)=FALSE,"",IF('General Information'!$C$19="HTML5","FUNÇÃO DISPONÍVEL APENAS PARA BRASIL",IF(J139&lt;&gt;0,VLOOKUP(E139,Questions!$E$5:$L$568,5,0),"")))</f>
        <v/>
      </c>
      <c r="M138" s="164" t="s">
        <v>2396</v>
      </c>
      <c r="N138" s="369" t="s">
        <v>2377</v>
      </c>
    </row>
    <row r="139" spans="1:14" ht="14.5" customHeight="1" outlineLevel="1">
      <c r="A139" s="59"/>
      <c r="B139" s="72">
        <f>VLOOKUP('Hours Detail'!E139,'BASE_FUNCOES (hide)'!A:W,5,FALSE)</f>
        <v>9</v>
      </c>
      <c r="C139" s="72" t="s">
        <v>5929</v>
      </c>
      <c r="D139" s="73" t="str">
        <f>IF('General Information'!$C$6="Português",VLOOKUP(B139,'ESTRUTURA_MODULO(hide)'!A:D,2,0),IF('General Information'!$C$6="English",VLOOKUP(B139,'ESTRUTURA_MODULO(hide)'!A:D,3,0),IF('General Information'!$C$6="Español",VLOOKUP(B139,'ESTRUTURA_MODULO(hide)'!A:D,4,0))))</f>
        <v>Exames</v>
      </c>
      <c r="E139" s="254">
        <v>9047</v>
      </c>
      <c r="F139" s="73" t="str">
        <f>IF('General Information'!$C$6="Português",VLOOKUP(E139,'BASE_FUNCOES (hide)'!A:H,2,0),IF('General Information'!$C$6="English",VLOOKUP(E139,'BASE_FUNCOES (hide)'!A:H,3,0),IF('General Information'!$C$6="Español",VLOOKUP(E139,'BASE_FUNCOES (hide)'!A:H,4,0))))</f>
        <v>Gestão de Entregas de Laudos</v>
      </c>
      <c r="G139" s="73" t="str">
        <f>IF(AND('General Information'!$D$16=1,VLOOKUP(B139,Modules!$B$5:$E$496,4,0)=1)=TRUE,VLOOKUP('Hours Detail'!E139,'BASE_FUNCOES (hide)'!$A:$V,10,0),IF(AND('General Information'!$D$16=2,VLOOKUP(B139,Modules!$B$5:$E$496,4,0)=1)=TRUE,VLOOKUP('Hours Detail'!E139,'BASE_FUNCOES (hide)'!$A:$V,11,0),IF(AND('General Information'!$D$16=3,VLOOKUP(B139,Modules!$B$5:$E$496,4,0)=1)=TRUE,VLOOKUP('Hours Detail'!E139,'BASE_FUNCOES (hide)'!$A:$V,12,0),IF(AND('General Information'!$D$16=4,VLOOKUP(B139,Modules!$B$5:$E$496,4,0)=1)=TRUE,VLOOKUP('Hours Detail'!E139,'BASE_FUNCOES (hide)'!$A:$V,13,0),IF(AND('General Information'!$D$16=5,VLOOKUP(B139,Modules!$B$5:$E$496,4,0)=1)=TRUE,VLOOKUP('Hours Detail'!E139,'BASE_FUNCOES (hide)'!$A:$V,14,0),  IF(AND('General Information'!$D$16=6,VLOOKUP(B139,Modules!$B$5:$E$496,4,0)=1)=TRUE,VLOOKUP('Hours Detail'!E139,'BASE_FUNCOES (hide)'!$A:$V,15,0),"No"))))))</f>
        <v>No</v>
      </c>
      <c r="H139" s="22" t="str">
        <f t="shared" si="3"/>
        <v>No</v>
      </c>
      <c r="I139" s="75">
        <f>IF('General Information'!$C$4="Mexico",(ROUNDUP(VLOOKUP(E139,'BASE_FUNCOES (hide)'!A:X,21,0),0)),(ROUNDUP(VLOOKUP(E139,'BASE_FUNCOES (hide)'!A:L,9,0),0)))</f>
        <v>8</v>
      </c>
      <c r="J139" s="75">
        <f>ROUNDUP(SUMIF(Questions!$E$5:$E$558,'Hours Detail'!E139,Questions!$F$5:$F$558),0)</f>
        <v>0</v>
      </c>
      <c r="K139" s="76">
        <f>IF(H139="Yes",ROUNDUP(IF(VLOOKUP(E139,'BASE_FUNCOES (hide)'!A:T,16,FALSE)&lt;&gt;"No",IF('General Information'!$C$19="HTML5",(I139+J139)*'BASE_FUNCOES (hide)'!$T$2,I139+J139),I139+J139),I139+J139),I139+J139)</f>
        <v>8</v>
      </c>
      <c r="L139" s="265" t="str">
        <f>IF(OR(E139=121,E139=88,E139=2682,E139=2703,E139=2687,E139=2689,E139=2681,E139=2685)=FALSE,"",IF('General Information'!$C$19="HTML5","FUNÇÃO DISPONÍVEL APENAS PARA BRASIL",IF(J140&lt;&gt;0,VLOOKUP(E140,Questions!$E$5:$L$568,5,0),"")))</f>
        <v/>
      </c>
      <c r="M139" s="164" t="s">
        <v>2396</v>
      </c>
      <c r="N139" s="369" t="s">
        <v>2377</v>
      </c>
    </row>
    <row r="140" spans="1:14" ht="14.5" customHeight="1" outlineLevel="1">
      <c r="A140" s="59"/>
      <c r="B140" s="72">
        <f>VLOOKUP('Hours Detail'!E140,'BASE_FUNCOES (hide)'!A:W,5,FALSE)</f>
        <v>9</v>
      </c>
      <c r="C140" s="72" t="s">
        <v>5929</v>
      </c>
      <c r="D140" s="73" t="str">
        <f>IF('General Information'!$C$6="Português",VLOOKUP(B140,'ESTRUTURA_MODULO(hide)'!A:D,2,0),IF('General Information'!$C$6="English",VLOOKUP(B140,'ESTRUTURA_MODULO(hide)'!A:D,3,0),IF('General Information'!$C$6="Español",VLOOKUP(B140,'ESTRUTURA_MODULO(hide)'!A:D,4,0))))</f>
        <v>Exames</v>
      </c>
      <c r="E140" s="254">
        <v>942</v>
      </c>
      <c r="F140" s="73" t="str">
        <f>IF('General Information'!$C$6="Português",VLOOKUP(E140,'BASE_FUNCOES (hide)'!A:H,2,0),IF('General Information'!$C$6="English",VLOOKUP(E140,'BASE_FUNCOES (hide)'!A:H,3,0),IF('General Information'!$C$6="Español",VLOOKUP(E140,'BASE_FUNCOES (hide)'!A:H,4,0))))</f>
        <v>Gestão de Exames</v>
      </c>
      <c r="G140" s="73" t="str">
        <f>IF(AND('General Information'!$D$16=1,VLOOKUP(B140,Modules!$B$5:$E$496,4,0)=1)=TRUE,VLOOKUP('Hours Detail'!E140,'BASE_FUNCOES (hide)'!$A:$V,10,0),IF(AND('General Information'!$D$16=2,VLOOKUP(B140,Modules!$B$5:$E$496,4,0)=1)=TRUE,VLOOKUP('Hours Detail'!E140,'BASE_FUNCOES (hide)'!$A:$V,11,0),IF(AND('General Information'!$D$16=3,VLOOKUP(B140,Modules!$B$5:$E$496,4,0)=1)=TRUE,VLOOKUP('Hours Detail'!E140,'BASE_FUNCOES (hide)'!$A:$V,12,0),IF(AND('General Information'!$D$16=4,VLOOKUP(B140,Modules!$B$5:$E$496,4,0)=1)=TRUE,VLOOKUP('Hours Detail'!E140,'BASE_FUNCOES (hide)'!$A:$V,13,0),IF(AND('General Information'!$D$16=5,VLOOKUP(B140,Modules!$B$5:$E$496,4,0)=1)=TRUE,VLOOKUP('Hours Detail'!E140,'BASE_FUNCOES (hide)'!$A:$V,14,0),  IF(AND('General Information'!$D$16=6,VLOOKUP(B140,Modules!$B$5:$E$496,4,0)=1)=TRUE,VLOOKUP('Hours Detail'!E140,'BASE_FUNCOES (hide)'!$A:$V,15,0),"No"))))))</f>
        <v>No</v>
      </c>
      <c r="H140" s="22" t="str">
        <f t="shared" si="3"/>
        <v>No</v>
      </c>
      <c r="I140" s="75">
        <f>IF('General Information'!$C$4="Mexico",(ROUNDUP(VLOOKUP(E140,'BASE_FUNCOES (hide)'!A:X,21,0),0)),(ROUNDUP(VLOOKUP(E140,'BASE_FUNCOES (hide)'!A:L,9,0),0)))</f>
        <v>8</v>
      </c>
      <c r="J140" s="75">
        <f>ROUNDUP(SUMIF(Questions!$E$5:$E$558,'Hours Detail'!E140,Questions!$F$5:$F$558),0)</f>
        <v>0</v>
      </c>
      <c r="K140" s="76">
        <f>IF(H140="Yes",ROUNDUP(IF(VLOOKUP(E140,'BASE_FUNCOES (hide)'!A:T,16,FALSE)&lt;&gt;"No",IF('General Information'!$C$19="HTML5",(I140+J140)*'BASE_FUNCOES (hide)'!$T$2,I140+J140),I140+J140),I140+J140),I140+J140)</f>
        <v>8</v>
      </c>
      <c r="L140" s="265" t="str">
        <f>IF(OR(E140=121,E140=88,E140=2682,E140=2703,E140=2687,E140=2689,E140=2681,E140=2685)=FALSE,"",IF('General Information'!$C$19="HTML5","FUNÇÃO DISPONÍVEL APENAS PARA BRASIL",IF(J141&lt;&gt;0,VLOOKUP(E141,Questions!$E$5:$L$568,5,0),"")))</f>
        <v/>
      </c>
      <c r="M140" s="164" t="s">
        <v>2396</v>
      </c>
      <c r="N140" s="369" t="s">
        <v>2377</v>
      </c>
    </row>
    <row r="141" spans="1:14" ht="14.5" customHeight="1" outlineLevel="1">
      <c r="A141" s="59"/>
      <c r="B141" s="72">
        <f>VLOOKUP('Hours Detail'!E141,'BASE_FUNCOES (hide)'!A:W,5,FALSE)</f>
        <v>9</v>
      </c>
      <c r="C141" s="72" t="s">
        <v>5929</v>
      </c>
      <c r="D141" s="73" t="str">
        <f>IF('General Information'!$C$6="Português",VLOOKUP(B141,'ESTRUTURA_MODULO(hide)'!A:D,2,0),IF('General Information'!$C$6="English",VLOOKUP(B141,'ESTRUTURA_MODULO(hide)'!A:D,3,0),IF('General Information'!$C$6="Español",VLOOKUP(B141,'ESTRUTURA_MODULO(hide)'!A:D,4,0))))</f>
        <v>Exames</v>
      </c>
      <c r="E141" s="254">
        <v>28</v>
      </c>
      <c r="F141" s="73" t="str">
        <f>IF('General Information'!$C$6="Português",VLOOKUP(E141,'BASE_FUNCOES (hide)'!A:H,2,0),IF('General Information'!$C$6="English",VLOOKUP(E141,'BASE_FUNCOES (hide)'!A:H,3,0),IF('General Information'!$C$6="Español",VLOOKUP(E141,'BASE_FUNCOES (hide)'!A:H,4,0))))</f>
        <v>Laudo Paciente</v>
      </c>
      <c r="G141" s="73" t="str">
        <f>IF(AND('General Information'!$D$16=1,VLOOKUP(B141,Modules!$B$5:$E$496,4,0)=1)=TRUE,VLOOKUP('Hours Detail'!E141,'BASE_FUNCOES (hide)'!$A:$V,10,0),IF(AND('General Information'!$D$16=2,VLOOKUP(B141,Modules!$B$5:$E$496,4,0)=1)=TRUE,VLOOKUP('Hours Detail'!E141,'BASE_FUNCOES (hide)'!$A:$V,11,0),IF(AND('General Information'!$D$16=3,VLOOKUP(B141,Modules!$B$5:$E$496,4,0)=1)=TRUE,VLOOKUP('Hours Detail'!E141,'BASE_FUNCOES (hide)'!$A:$V,12,0),IF(AND('General Information'!$D$16=4,VLOOKUP(B141,Modules!$B$5:$E$496,4,0)=1)=TRUE,VLOOKUP('Hours Detail'!E141,'BASE_FUNCOES (hide)'!$A:$V,13,0),IF(AND('General Information'!$D$16=5,VLOOKUP(B141,Modules!$B$5:$E$496,4,0)=1)=TRUE,VLOOKUP('Hours Detail'!E141,'BASE_FUNCOES (hide)'!$A:$V,14,0),  IF(AND('General Information'!$D$16=6,VLOOKUP(B141,Modules!$B$5:$E$496,4,0)=1)=TRUE,VLOOKUP('Hours Detail'!E141,'BASE_FUNCOES (hide)'!$A:$V,15,0),"No"))))))</f>
        <v>No</v>
      </c>
      <c r="H141" s="22" t="str">
        <f t="shared" si="3"/>
        <v>No</v>
      </c>
      <c r="I141" s="75">
        <f>IF('General Information'!$C$4="Mexico",(ROUNDUP(VLOOKUP(E141,'BASE_FUNCOES (hide)'!A:X,21,0),0)),(ROUNDUP(VLOOKUP(E141,'BASE_FUNCOES (hide)'!A:L,9,0),0)))</f>
        <v>12</v>
      </c>
      <c r="J141" s="75">
        <f>ROUNDUP(SUMIF(Questions!$E$5:$E$558,'Hours Detail'!E141,Questions!$F$5:$F$558),0)</f>
        <v>0</v>
      </c>
      <c r="K141" s="76">
        <f>IF(H141="Yes",ROUNDUP(IF(VLOOKUP(E141,'BASE_FUNCOES (hide)'!A:T,16,FALSE)&lt;&gt;"No",IF('General Information'!$C$19="HTML5",(I141+J141)*'BASE_FUNCOES (hide)'!$T$2,I141+J141),I141+J141),I141+J141),I141+J141)</f>
        <v>12</v>
      </c>
      <c r="L141" s="265" t="str">
        <f>IF(OR(E141=121,E141=88,E141=2682,E141=2703,E141=2687,E141=2689,E141=2681,E141=2685)=FALSE,"",IF('General Information'!$C$19="HTML5","FUNÇÃO DISPONÍVEL APENAS PARA BRASIL",IF(J142&lt;&gt;0,VLOOKUP(E142,Questions!$E$5:$L$568,5,0),"")))</f>
        <v/>
      </c>
      <c r="M141" s="164" t="s">
        <v>2396</v>
      </c>
      <c r="N141" s="369" t="s">
        <v>2377</v>
      </c>
    </row>
    <row r="142" spans="1:14" ht="14.5" customHeight="1" outlineLevel="1">
      <c r="A142" s="59"/>
      <c r="B142" s="72">
        <f>VLOOKUP('Hours Detail'!E142,'BASE_FUNCOES (hide)'!A:W,5,FALSE)</f>
        <v>9</v>
      </c>
      <c r="C142" s="72" t="s">
        <v>5929</v>
      </c>
      <c r="D142" s="73" t="str">
        <f>IF('General Information'!$C$6="Português",VLOOKUP(B142,'ESTRUTURA_MODULO(hide)'!A:D,2,0),IF('General Information'!$C$6="English",VLOOKUP(B142,'ESTRUTURA_MODULO(hide)'!A:D,3,0),IF('General Information'!$C$6="Español",VLOOKUP(B142,'ESTRUTURA_MODULO(hide)'!A:D,4,0))))</f>
        <v>Exames</v>
      </c>
      <c r="E142" s="254">
        <v>951</v>
      </c>
      <c r="F142" s="73" t="str">
        <f>IF('General Information'!$C$6="Português",VLOOKUP(E142,'BASE_FUNCOES (hide)'!A:H,2,0),IF('General Information'!$C$6="English",VLOOKUP(E142,'BASE_FUNCOES (hide)'!A:H,3,0),IF('General Information'!$C$6="Español",VLOOKUP(E142,'BASE_FUNCOES (hide)'!A:H,4,0))))</f>
        <v>Medidas de Laudos</v>
      </c>
      <c r="G142" s="73" t="str">
        <f>IF(AND('General Information'!$D$16=1,VLOOKUP(B142,Modules!$B$5:$E$496,4,0)=1)=TRUE,VLOOKUP('Hours Detail'!E142,'BASE_FUNCOES (hide)'!$A:$V,10,0),IF(AND('General Information'!$D$16=2,VLOOKUP(B142,Modules!$B$5:$E$496,4,0)=1)=TRUE,VLOOKUP('Hours Detail'!E142,'BASE_FUNCOES (hide)'!$A:$V,11,0),IF(AND('General Information'!$D$16=3,VLOOKUP(B142,Modules!$B$5:$E$496,4,0)=1)=TRUE,VLOOKUP('Hours Detail'!E142,'BASE_FUNCOES (hide)'!$A:$V,12,0),IF(AND('General Information'!$D$16=4,VLOOKUP(B142,Modules!$B$5:$E$496,4,0)=1)=TRUE,VLOOKUP('Hours Detail'!E142,'BASE_FUNCOES (hide)'!$A:$V,13,0),IF(AND('General Information'!$D$16=5,VLOOKUP(B142,Modules!$B$5:$E$496,4,0)=1)=TRUE,VLOOKUP('Hours Detail'!E142,'BASE_FUNCOES (hide)'!$A:$V,14,0),  IF(AND('General Information'!$D$16=6,VLOOKUP(B142,Modules!$B$5:$E$496,4,0)=1)=TRUE,VLOOKUP('Hours Detail'!E142,'BASE_FUNCOES (hide)'!$A:$V,15,0),"No"))))))</f>
        <v>No</v>
      </c>
      <c r="H142" s="22" t="str">
        <f t="shared" si="3"/>
        <v>No</v>
      </c>
      <c r="I142" s="75">
        <f>IF('General Information'!$C$4="Mexico",(ROUNDUP(VLOOKUP(E142,'BASE_FUNCOES (hide)'!A:X,21,0),0)),(ROUNDUP(VLOOKUP(E142,'BASE_FUNCOES (hide)'!A:L,9,0),0)))</f>
        <v>2</v>
      </c>
      <c r="J142" s="75">
        <f>ROUNDUP(SUMIF(Questions!$E$5:$E$558,'Hours Detail'!E142,Questions!$F$5:$F$558),0)</f>
        <v>0</v>
      </c>
      <c r="K142" s="76">
        <f>IF(H142="Yes",ROUNDUP(IF(VLOOKUP(E142,'BASE_FUNCOES (hide)'!A:T,16,FALSE)&lt;&gt;"No",IF('General Information'!$C$19="HTML5",(I142+J142)*'BASE_FUNCOES (hide)'!$T$2,I142+J142),I142+J142),I142+J142),I142+J142)</f>
        <v>2</v>
      </c>
      <c r="L142" s="265" t="str">
        <f>IF(OR(E142=121,E142=88,E142=2682,E142=2703,E142=2687,E142=2689,E142=2681,E142=2685)=FALSE,"",IF('General Information'!$C$19="HTML5","FUNÇÃO DISPONÍVEL APENAS PARA BRASIL",IF(J143&lt;&gt;0,VLOOKUP(E143,Questions!$E$5:$L$568,5,0),"")))</f>
        <v/>
      </c>
      <c r="M142" s="164" t="s">
        <v>2396</v>
      </c>
      <c r="N142" s="369" t="s">
        <v>2377</v>
      </c>
    </row>
    <row r="143" spans="1:14" ht="14.5" customHeight="1" outlineLevel="1">
      <c r="A143" s="59"/>
      <c r="B143" s="72">
        <f>VLOOKUP('Hours Detail'!E143,'BASE_FUNCOES (hide)'!A:W,5,FALSE)</f>
        <v>9</v>
      </c>
      <c r="C143" s="72" t="s">
        <v>5929</v>
      </c>
      <c r="D143" s="73" t="str">
        <f>IF('General Information'!$C$6="Português",VLOOKUP(B143,'ESTRUTURA_MODULO(hide)'!A:D,2,0),IF('General Information'!$C$6="English",VLOOKUP(B143,'ESTRUTURA_MODULO(hide)'!A:D,3,0),IF('General Information'!$C$6="Español",VLOOKUP(B143,'ESTRUTURA_MODULO(hide)'!A:D,4,0))))</f>
        <v>Exames</v>
      </c>
      <c r="E143" s="254">
        <v>9039</v>
      </c>
      <c r="F143" s="73" t="str">
        <f>IF('General Information'!$C$6="Português",VLOOKUP(E143,'BASE_FUNCOES (hide)'!A:H,2,0),IF('General Information'!$C$6="English",VLOOKUP(E143,'BASE_FUNCOES (hide)'!A:H,3,0),IF('General Information'!$C$6="Español",VLOOKUP(E143,'BASE_FUNCOES (hide)'!A:H,4,0))))</f>
        <v>Painel de chamadas de exames</v>
      </c>
      <c r="G143" s="73" t="str">
        <f>IF(AND('General Information'!$D$16=1,VLOOKUP(B143,Modules!$B$5:$E$496,4,0)=1)=TRUE,VLOOKUP('Hours Detail'!E143,'BASE_FUNCOES (hide)'!$A:$V,10,0),IF(AND('General Information'!$D$16=2,VLOOKUP(B143,Modules!$B$5:$E$496,4,0)=1)=TRUE,VLOOKUP('Hours Detail'!E143,'BASE_FUNCOES (hide)'!$A:$V,11,0),IF(AND('General Information'!$D$16=3,VLOOKUP(B143,Modules!$B$5:$E$496,4,0)=1)=TRUE,VLOOKUP('Hours Detail'!E143,'BASE_FUNCOES (hide)'!$A:$V,12,0),IF(AND('General Information'!$D$16=4,VLOOKUP(B143,Modules!$B$5:$E$496,4,0)=1)=TRUE,VLOOKUP('Hours Detail'!E143,'BASE_FUNCOES (hide)'!$A:$V,13,0),IF(AND('General Information'!$D$16=5,VLOOKUP(B143,Modules!$B$5:$E$496,4,0)=1)=TRUE,VLOOKUP('Hours Detail'!E143,'BASE_FUNCOES (hide)'!$A:$V,14,0),  IF(AND('General Information'!$D$16=6,VLOOKUP(B143,Modules!$B$5:$E$496,4,0)=1)=TRUE,VLOOKUP('Hours Detail'!E143,'BASE_FUNCOES (hide)'!$A:$V,15,0),"No"))))))</f>
        <v>No</v>
      </c>
      <c r="H143" s="22" t="str">
        <f t="shared" si="3"/>
        <v>No</v>
      </c>
      <c r="I143" s="75">
        <f>IF('General Information'!$C$4="Mexico",(ROUNDUP(VLOOKUP(E143,'BASE_FUNCOES (hide)'!A:X,21,0),0)),(ROUNDUP(VLOOKUP(E143,'BASE_FUNCOES (hide)'!A:L,9,0),0)))</f>
        <v>2</v>
      </c>
      <c r="J143" s="75">
        <f>ROUNDUP(SUMIF(Questions!$E$5:$E$558,'Hours Detail'!E143,Questions!$F$5:$F$558),0)</f>
        <v>0</v>
      </c>
      <c r="K143" s="76">
        <f>IF(H143="Yes",ROUNDUP(IF(VLOOKUP(E143,'BASE_FUNCOES (hide)'!A:T,16,FALSE)&lt;&gt;"No",IF('General Information'!$C$19="HTML5",(I143+J143)*'BASE_FUNCOES (hide)'!$T$2,I143+J143),I143+J143),I143+J143),I143+J143)</f>
        <v>2</v>
      </c>
      <c r="L143" s="265" t="str">
        <f>IF(OR(E143=121,E143=88,E143=2682,E143=2703,E143=2687,E143=2689,E143=2681,E143=2685)=FALSE,"",IF('General Information'!$C$19="HTML5","FUNÇÃO DISPONÍVEL APENAS PARA BRASIL",IF(J144&lt;&gt;0,VLOOKUP(E144,Questions!$E$5:$L$568,5,0),"")))</f>
        <v/>
      </c>
      <c r="M143" s="164" t="s">
        <v>2396</v>
      </c>
      <c r="N143" s="369" t="s">
        <v>2377</v>
      </c>
    </row>
    <row r="144" spans="1:14" ht="14.5" customHeight="1" outlineLevel="1">
      <c r="A144" s="59"/>
      <c r="B144" s="72">
        <f>VLOOKUP('Hours Detail'!E144,'BASE_FUNCOES (hide)'!A:W,5,FALSE)</f>
        <v>9</v>
      </c>
      <c r="C144" s="72" t="s">
        <v>5929</v>
      </c>
      <c r="D144" s="73" t="str">
        <f>IF('General Information'!$C$6="Português",VLOOKUP(B144,'ESTRUTURA_MODULO(hide)'!A:D,2,0),IF('General Information'!$C$6="English",VLOOKUP(B144,'ESTRUTURA_MODULO(hide)'!A:D,3,0),IF('General Information'!$C$6="Español",VLOOKUP(B144,'ESTRUTURA_MODULO(hide)'!A:D,4,0))))</f>
        <v>Exames</v>
      </c>
      <c r="E144" s="254">
        <v>994</v>
      </c>
      <c r="F144" s="73" t="str">
        <f>IF('General Information'!$C$6="Português",VLOOKUP(E144,'BASE_FUNCOES (hide)'!A:H,2,0),IF('General Information'!$C$6="English",VLOOKUP(E144,'BASE_FUNCOES (hide)'!A:H,3,0),IF('General Information'!$C$6="Español",VLOOKUP(E144,'BASE_FUNCOES (hide)'!A:H,4,0))))</f>
        <v>Registro da Localização dos Laudos</v>
      </c>
      <c r="G144" s="73" t="str">
        <f>IF(AND('General Information'!$D$16=1,VLOOKUP(B144,Modules!$B$5:$E$496,4,0)=1)=TRUE,VLOOKUP('Hours Detail'!E144,'BASE_FUNCOES (hide)'!$A:$V,10,0),IF(AND('General Information'!$D$16=2,VLOOKUP(B144,Modules!$B$5:$E$496,4,0)=1)=TRUE,VLOOKUP('Hours Detail'!E144,'BASE_FUNCOES (hide)'!$A:$V,11,0),IF(AND('General Information'!$D$16=3,VLOOKUP(B144,Modules!$B$5:$E$496,4,0)=1)=TRUE,VLOOKUP('Hours Detail'!E144,'BASE_FUNCOES (hide)'!$A:$V,12,0),IF(AND('General Information'!$D$16=4,VLOOKUP(B144,Modules!$B$5:$E$496,4,0)=1)=TRUE,VLOOKUP('Hours Detail'!E144,'BASE_FUNCOES (hide)'!$A:$V,13,0),IF(AND('General Information'!$D$16=5,VLOOKUP(B144,Modules!$B$5:$E$496,4,0)=1)=TRUE,VLOOKUP('Hours Detail'!E144,'BASE_FUNCOES (hide)'!$A:$V,14,0),  IF(AND('General Information'!$D$16=6,VLOOKUP(B144,Modules!$B$5:$E$496,4,0)=1)=TRUE,VLOOKUP('Hours Detail'!E144,'BASE_FUNCOES (hide)'!$A:$V,15,0),"No"))))))</f>
        <v>No</v>
      </c>
      <c r="H144" s="22" t="str">
        <f t="shared" si="3"/>
        <v>No</v>
      </c>
      <c r="I144" s="75">
        <f>IF('General Information'!$C$4="Mexico",(ROUNDUP(VLOOKUP(E144,'BASE_FUNCOES (hide)'!A:X,21,0),0)),(ROUNDUP(VLOOKUP(E144,'BASE_FUNCOES (hide)'!A:L,9,0),0)))</f>
        <v>2</v>
      </c>
      <c r="J144" s="75">
        <f>ROUNDUP(SUMIF(Questions!$E$5:$E$558,'Hours Detail'!E144,Questions!$F$5:$F$558),0)</f>
        <v>0</v>
      </c>
      <c r="K144" s="76">
        <f>IF(H144="Yes",ROUNDUP(IF(VLOOKUP(E144,'BASE_FUNCOES (hide)'!A:T,16,FALSE)&lt;&gt;"No",IF('General Information'!$C$19="HTML5",(I144+J144)*'BASE_FUNCOES (hide)'!$T$2,I144+J144),I144+J144),I144+J144),I144+J144)</f>
        <v>2</v>
      </c>
      <c r="L144" s="265" t="str">
        <f>IF(OR(E144=121,E144=88,E144=2682,E144=2703,E144=2687,E144=2689,E144=2681,E144=2685)=FALSE,"",IF('General Information'!$C$19="HTML5","FUNÇÃO DISPONÍVEL APENAS PARA BRASIL",IF(J145&lt;&gt;0,VLOOKUP(E145,Questions!$E$5:$L$568,5,0),"")))</f>
        <v/>
      </c>
      <c r="M144" s="164" t="s">
        <v>2396</v>
      </c>
      <c r="N144" s="369" t="s">
        <v>2377</v>
      </c>
    </row>
    <row r="145" spans="1:14" ht="14.5" customHeight="1" outlineLevel="1">
      <c r="A145" s="59"/>
      <c r="B145" s="72">
        <v>9</v>
      </c>
      <c r="C145" s="72" t="s">
        <v>5929</v>
      </c>
      <c r="D145" s="73" t="str">
        <f>IF('General Information'!$C$6="Português",VLOOKUP(B145,'ESTRUTURA_MODULO(hide)'!A:D,2,0),IF('General Information'!$C$6="English",VLOOKUP(B145,'ESTRUTURA_MODULO(hide)'!A:D,3,0),IF('General Information'!$C$6="Español",VLOOKUP(B145,'ESTRUTURA_MODULO(hide)'!A:D,4,0))))</f>
        <v>Exames</v>
      </c>
      <c r="E145" s="74">
        <v>99013</v>
      </c>
      <c r="F145" s="73" t="str">
        <f>IF('General Information'!$C$6="Português",VLOOKUP(E145,'BASE_FUNCOES (hide)'!A:H,2,0),IF('General Information'!$C$6="English",VLOOKUP(E145,'BASE_FUNCOES (hide)'!A:H,3,0),IF('General Information'!$C$6="Español",VLOOKUP(E145,'BASE_FUNCOES (hide)'!A:H,4,0))))</f>
        <v>Infraestrutura Laudo</v>
      </c>
      <c r="G145" s="73" t="str">
        <f>IF(AND('General Information'!$D$16=1,VLOOKUP(B145,Modules!$B$5:$E$496,4,0)=1)=TRUE,VLOOKUP('Hours Detail'!E145,'BASE_FUNCOES (hide)'!$A:$V,10,0),IF(AND('General Information'!$D$16=2,VLOOKUP(B145,Modules!$B$5:$E$496,4,0)=1)=TRUE,VLOOKUP('Hours Detail'!E145,'BASE_FUNCOES (hide)'!$A:$V,11,0),IF(AND('General Information'!$D$16=3,VLOOKUP(B145,Modules!$B$5:$E$496,4,0)=1)=TRUE,VLOOKUP('Hours Detail'!E145,'BASE_FUNCOES (hide)'!$A:$V,12,0),IF(AND('General Information'!$D$16=4,VLOOKUP(B145,Modules!$B$5:$E$496,4,0)=1)=TRUE,VLOOKUP('Hours Detail'!E145,'BASE_FUNCOES (hide)'!$A:$V,13,0),IF(AND('General Information'!$D$16=5,VLOOKUP(B145,Modules!$B$5:$E$496,4,0)=1)=TRUE,VLOOKUP('Hours Detail'!E145,'BASE_FUNCOES (hide)'!$A:$V,14,0),  IF(AND('General Information'!$D$16=6,VLOOKUP(B145,Modules!$B$5:$E$496,4,0)=1)=TRUE,VLOOKUP('Hours Detail'!E145,'BASE_FUNCOES (hide)'!$A:$V,15,0),"No"))))))</f>
        <v>No</v>
      </c>
      <c r="H145" s="22" t="str">
        <f t="shared" si="3"/>
        <v>No</v>
      </c>
      <c r="I145" s="75">
        <f>IF('General Information'!$C$4="Mexico",(ROUNDUP(VLOOKUP(E145,'BASE_FUNCOES (hide)'!A:X,21,0),0)),(ROUNDUP(VLOOKUP(E145,'BASE_FUNCOES (hide)'!A:L,9,0),0)))</f>
        <v>12</v>
      </c>
      <c r="J145" s="75">
        <f>ROUNDUP(SUMIF(Questions!$E$5:$E$558,'Hours Detail'!E145,Questions!$F$5:$F$558),0)</f>
        <v>0</v>
      </c>
      <c r="K145" s="76">
        <f>IF(H145="Yes",ROUNDUP(IF(VLOOKUP(E145,'BASE_FUNCOES (hide)'!A:T,16,FALSE)&lt;&gt;"No",IF('General Information'!$C$19="HTML5",(I145+J145)*'BASE_FUNCOES (hide)'!$T$2,I145+J145),I145+J145),I145+J145),I145+J145)</f>
        <v>12</v>
      </c>
      <c r="L145" s="265" t="str">
        <f>IF(OR(E145=121,E145=88,E145=2682,E145=2703,E145=2687,E145=2689,E145=2681,E145=2685)=FALSE,"",IF('General Information'!$C$19="HTML5","FUNÇÃO DISPONÍVEL APENAS PARA BRASIL",IF(J146&lt;&gt;0,VLOOKUP(E146,Questions!$E$5:$L$568,5,0),"")))</f>
        <v/>
      </c>
      <c r="M145" s="164" t="s">
        <v>2396</v>
      </c>
      <c r="N145" s="369" t="s">
        <v>2377</v>
      </c>
    </row>
    <row r="146" spans="1:14" ht="14.5" customHeight="1" outlineLevel="1">
      <c r="A146" s="59"/>
      <c r="B146" s="72">
        <f>VLOOKUP('Hours Detail'!E146,'BASE_FUNCOES (hide)'!A:W,5,FALSE)</f>
        <v>95</v>
      </c>
      <c r="C146" s="72" t="s">
        <v>5929</v>
      </c>
      <c r="D146" s="73" t="str">
        <f>IF('General Information'!$C$6="Português",VLOOKUP(B146,'ESTRUTURA_MODULO(hide)'!A:D,2,0),IF('General Information'!$C$6="English",VLOOKUP(B146,'ESTRUTURA_MODULO(hide)'!A:D,3,0),IF('General Information'!$C$6="Español",VLOOKUP(B146,'ESTRUTURA_MODULO(hide)'!A:D,4,0))))</f>
        <v>Check-up</v>
      </c>
      <c r="E146" s="254">
        <v>996</v>
      </c>
      <c r="F146" s="73" t="str">
        <f>IF('General Information'!$C$6="Português",VLOOKUP(E146,'BASE_FUNCOES (hide)'!A:H,2,0),IF('General Information'!$C$6="English",VLOOKUP(E146,'BASE_FUNCOES (hide)'!A:H,3,0),IF('General Information'!$C$6="Español",VLOOKUP(E146,'BASE_FUNCOES (hide)'!A:H,4,0))))</f>
        <v>Check-up</v>
      </c>
      <c r="G146" s="73" t="str">
        <f>IF(AND('General Information'!$D$16=1,VLOOKUP(B146,Modules!$B$5:$E$496,4,0)=1)=TRUE,VLOOKUP('Hours Detail'!E146,'BASE_FUNCOES (hide)'!$A:$V,10,0),IF(AND('General Information'!$D$16=2,VLOOKUP(B146,Modules!$B$5:$E$496,4,0)=1)=TRUE,VLOOKUP('Hours Detail'!E146,'BASE_FUNCOES (hide)'!$A:$V,11,0),IF(AND('General Information'!$D$16=3,VLOOKUP(B146,Modules!$B$5:$E$496,4,0)=1)=TRUE,VLOOKUP('Hours Detail'!E146,'BASE_FUNCOES (hide)'!$A:$V,12,0),IF(AND('General Information'!$D$16=4,VLOOKUP(B146,Modules!$B$5:$E$496,4,0)=1)=TRUE,VLOOKUP('Hours Detail'!E146,'BASE_FUNCOES (hide)'!$A:$V,13,0),IF(AND('General Information'!$D$16=5,VLOOKUP(B146,Modules!$B$5:$E$496,4,0)=1)=TRUE,VLOOKUP('Hours Detail'!E146,'BASE_FUNCOES (hide)'!$A:$V,14,0),  IF(AND('General Information'!$D$16=6,VLOOKUP(B146,Modules!$B$5:$E$496,4,0)=1)=TRUE,VLOOKUP('Hours Detail'!E146,'BASE_FUNCOES (hide)'!$A:$V,15,0),"No"))))))</f>
        <v>No</v>
      </c>
      <c r="H146" s="22" t="str">
        <f t="shared" ref="H146:H209" si="4">G146</f>
        <v>No</v>
      </c>
      <c r="I146" s="75">
        <f>IF('General Information'!$C$4="Mexico",(ROUNDUP(VLOOKUP(E146,'BASE_FUNCOES (hide)'!A:X,21,0),0)),(ROUNDUP(VLOOKUP(E146,'BASE_FUNCOES (hide)'!A:L,9,0),0)))</f>
        <v>40</v>
      </c>
      <c r="J146" s="75">
        <f>ROUNDUP(SUMIF(Questions!$E$5:$E$558,'Hours Detail'!E146,Questions!$F$5:$F$558),0)</f>
        <v>0</v>
      </c>
      <c r="K146" s="76">
        <f>IF(H146="Yes",ROUNDUP(IF(VLOOKUP(E146,'BASE_FUNCOES (hide)'!A:T,16,FALSE)&lt;&gt;"No",IF('General Information'!$C$19="HTML5",(I146+J146)*'BASE_FUNCOES (hide)'!$T$2,I146+J146),I146+J146),I146+J146),I146+J146)</f>
        <v>40</v>
      </c>
      <c r="L146" s="265" t="str">
        <f>IF(OR(E146=121,E146=88,E146=2682,E146=2703,E146=2687,E146=2689,E146=2681,E146=2685)=FALSE,"",IF('General Information'!$C$19="HTML5","FUNÇÃO DISPONÍVEL APENAS PARA BRASIL",IF(J147&lt;&gt;0,VLOOKUP(E147,Questions!$E$5:$L$568,5,0),"")))</f>
        <v/>
      </c>
      <c r="M146" s="164" t="s">
        <v>2396</v>
      </c>
      <c r="N146" s="369" t="s">
        <v>2377</v>
      </c>
    </row>
    <row r="147" spans="1:14" ht="14.5" customHeight="1" outlineLevel="1">
      <c r="A147" s="59"/>
      <c r="B147" s="72">
        <f>VLOOKUP('Hours Detail'!E147,'BASE_FUNCOES (hide)'!A:W,5,FALSE)</f>
        <v>96</v>
      </c>
      <c r="C147" s="72" t="s">
        <v>5929</v>
      </c>
      <c r="D147" s="73" t="str">
        <f>IF('General Information'!$C$6="Português",VLOOKUP(B147,'ESTRUTURA_MODULO(hide)'!A:D,2,0),IF('General Information'!$C$6="English",VLOOKUP(B147,'ESTRUTURA_MODULO(hide)'!A:D,3,0),IF('General Information'!$C$6="Español",VLOOKUP(B147,'ESTRUTURA_MODULO(hide)'!A:D,4,0))))</f>
        <v>Imunização</v>
      </c>
      <c r="E147" s="254">
        <v>903</v>
      </c>
      <c r="F147" s="73" t="str">
        <f>IF('General Information'!$C$6="Português",VLOOKUP(E147,'BASE_FUNCOES (hide)'!A:H,2,0),IF('General Information'!$C$6="English",VLOOKUP(E147,'BASE_FUNCOES (hide)'!A:H,3,0),IF('General Information'!$C$6="Español",VLOOKUP(E147,'BASE_FUNCOES (hide)'!A:H,4,0))))</f>
        <v>Controle de Imunizações</v>
      </c>
      <c r="G147" s="73" t="str">
        <f>IF(AND('General Information'!$D$16=1,VLOOKUP(B147,Modules!$B$5:$E$496,4,0)=1)=TRUE,VLOOKUP('Hours Detail'!E147,'BASE_FUNCOES (hide)'!$A:$V,10,0),IF(AND('General Information'!$D$16=2,VLOOKUP(B147,Modules!$B$5:$E$496,4,0)=1)=TRUE,VLOOKUP('Hours Detail'!E147,'BASE_FUNCOES (hide)'!$A:$V,11,0),IF(AND('General Information'!$D$16=3,VLOOKUP(B147,Modules!$B$5:$E$496,4,0)=1)=TRUE,VLOOKUP('Hours Detail'!E147,'BASE_FUNCOES (hide)'!$A:$V,12,0),IF(AND('General Information'!$D$16=4,VLOOKUP(B147,Modules!$B$5:$E$496,4,0)=1)=TRUE,VLOOKUP('Hours Detail'!E147,'BASE_FUNCOES (hide)'!$A:$V,13,0),IF(AND('General Information'!$D$16=5,VLOOKUP(B147,Modules!$B$5:$E$496,4,0)=1)=TRUE,VLOOKUP('Hours Detail'!E147,'BASE_FUNCOES (hide)'!$A:$V,14,0),  IF(AND('General Information'!$D$16=6,VLOOKUP(B147,Modules!$B$5:$E$496,4,0)=1)=TRUE,VLOOKUP('Hours Detail'!E147,'BASE_FUNCOES (hide)'!$A:$V,15,0),"No"))))))</f>
        <v>No</v>
      </c>
      <c r="H147" s="22" t="str">
        <f t="shared" si="4"/>
        <v>No</v>
      </c>
      <c r="I147" s="75">
        <f>IF('General Information'!$C$4="Mexico",(ROUNDUP(VLOOKUP(E147,'BASE_FUNCOES (hide)'!A:X,21,0),0)),(ROUNDUP(VLOOKUP(E147,'BASE_FUNCOES (hide)'!A:L,9,0),0)))</f>
        <v>16</v>
      </c>
      <c r="J147" s="75">
        <f>ROUNDUP(SUMIF(Questions!$E$5:$E$558,'Hours Detail'!E147,Questions!$F$5:$F$558),0)</f>
        <v>0</v>
      </c>
      <c r="K147" s="76">
        <f>IF(H147="Yes",ROUNDUP(IF(VLOOKUP(E147,'BASE_FUNCOES (hide)'!A:T,16,FALSE)&lt;&gt;"No",IF('General Information'!$C$19="HTML5",(I147+J147)*'BASE_FUNCOES (hide)'!$T$2,I147+J147),I147+J147),I147+J147),I147+J147)</f>
        <v>16</v>
      </c>
      <c r="L147" s="265" t="str">
        <f>IF(OR(E147=121,E147=88,E147=2682,E147=2703,E147=2687,E147=2689,E147=2681,E147=2685)=FALSE,"",IF('General Information'!$C$19="HTML5","FUNÇÃO DISPONÍVEL APENAS PARA BRASIL",IF(J148&lt;&gt;0,VLOOKUP(E148,Questions!$E$5:$L$568,5,0),"")))</f>
        <v/>
      </c>
      <c r="M147" s="164" t="s">
        <v>2396</v>
      </c>
      <c r="N147" s="369" t="s">
        <v>2377</v>
      </c>
    </row>
    <row r="148" spans="1:14" ht="14.5" customHeight="1" outlineLevel="1">
      <c r="A148" s="59"/>
      <c r="B148" s="72">
        <f>VLOOKUP('Hours Detail'!E148,'BASE_FUNCOES (hide)'!A:W,5,FALSE)</f>
        <v>24</v>
      </c>
      <c r="C148" s="72" t="s">
        <v>5929</v>
      </c>
      <c r="D148" s="73" t="str">
        <f>IF('General Information'!$C$6="Português",VLOOKUP(B148,'ESTRUTURA_MODULO(hide)'!A:D,2,0),IF('General Information'!$C$6="English",VLOOKUP(B148,'ESTRUTURA_MODULO(hide)'!A:D,3,0),IF('General Information'!$C$6="Español",VLOOKUP(B148,'ESTRUTURA_MODULO(hide)'!A:D,4,0))))</f>
        <v>Banco de Sangue</v>
      </c>
      <c r="E148" s="254">
        <v>450</v>
      </c>
      <c r="F148" s="73" t="str">
        <f>IF('General Information'!$C$6="Português",VLOOKUP(E148,'BASE_FUNCOES (hide)'!A:H,2,0),IF('General Information'!$C$6="English",VLOOKUP(E148,'BASE_FUNCOES (hide)'!A:H,3,0),IF('General Information'!$C$6="Español",VLOOKUP(E148,'BASE_FUNCOES (hide)'!A:H,4,0))))</f>
        <v>Hemoterapia</v>
      </c>
      <c r="G148" s="73" t="str">
        <f>IF(AND('General Information'!$D$16=1,VLOOKUP(B148,Modules!$B$5:$E$496,4,0)=1)=TRUE,VLOOKUP('Hours Detail'!E148,'BASE_FUNCOES (hide)'!$A:$V,10,0),IF(AND('General Information'!$D$16=2,VLOOKUP(B148,Modules!$B$5:$E$496,4,0)=1)=TRUE,VLOOKUP('Hours Detail'!E148,'BASE_FUNCOES (hide)'!$A:$V,11,0),IF(AND('General Information'!$D$16=3,VLOOKUP(B148,Modules!$B$5:$E$496,4,0)=1)=TRUE,VLOOKUP('Hours Detail'!E148,'BASE_FUNCOES (hide)'!$A:$V,12,0),IF(AND('General Information'!$D$16=4,VLOOKUP(B148,Modules!$B$5:$E$496,4,0)=1)=TRUE,VLOOKUP('Hours Detail'!E148,'BASE_FUNCOES (hide)'!$A:$V,13,0),IF(AND('General Information'!$D$16=5,VLOOKUP(B148,Modules!$B$5:$E$496,4,0)=1)=TRUE,VLOOKUP('Hours Detail'!E148,'BASE_FUNCOES (hide)'!$A:$V,14,0),  IF(AND('General Information'!$D$16=6,VLOOKUP(B148,Modules!$B$5:$E$496,4,0)=1)=TRUE,VLOOKUP('Hours Detail'!E148,'BASE_FUNCOES (hide)'!$A:$V,15,0),"No"))))))</f>
        <v>No</v>
      </c>
      <c r="H148" s="22" t="str">
        <f t="shared" si="4"/>
        <v>No</v>
      </c>
      <c r="I148" s="75">
        <f>IF('General Information'!$C$4="Mexico",(ROUNDUP(VLOOKUP(E148,'BASE_FUNCOES (hide)'!A:X,21,0),0)),(ROUNDUP(VLOOKUP(E148,'BASE_FUNCOES (hide)'!A:L,9,0),0)))</f>
        <v>24</v>
      </c>
      <c r="J148" s="75">
        <f>ROUNDUP(SUMIF(Questions!$E$5:$E$558,'Hours Detail'!E148,Questions!$F$5:$F$558),0)</f>
        <v>0</v>
      </c>
      <c r="K148" s="76">
        <f>IF(H148="Yes",ROUNDUP(IF(VLOOKUP(E148,'BASE_FUNCOES (hide)'!A:T,16,FALSE)&lt;&gt;"No",IF('General Information'!$C$19="HTML5",(I148+J148)*'BASE_FUNCOES (hide)'!$T$2,I148+J148),I148+J148),I148+J148),I148+J148)</f>
        <v>24</v>
      </c>
      <c r="L148" s="265" t="str">
        <f>IF(OR(E148=121,E148=88,E148=2682,E148=2703,E148=2687,E148=2689,E148=2681,E148=2685)=FALSE,"",IF('General Information'!$C$19="HTML5","FUNÇÃO DISPONÍVEL APENAS PARA BRASIL",IF(J149&lt;&gt;0,VLOOKUP(E149,Questions!$E$5:$L$568,5,0),"")))</f>
        <v/>
      </c>
      <c r="M148" s="164" t="s">
        <v>2396</v>
      </c>
      <c r="N148" s="369" t="s">
        <v>2377</v>
      </c>
    </row>
    <row r="149" spans="1:14" ht="14.5" customHeight="1" outlineLevel="1">
      <c r="A149" s="59"/>
      <c r="B149" s="72">
        <f>VLOOKUP('Hours Detail'!E149,'BASE_FUNCOES (hide)'!A:W,5,FALSE)</f>
        <v>945</v>
      </c>
      <c r="C149" s="72" t="s">
        <v>5929</v>
      </c>
      <c r="D149" s="73" t="str">
        <f>IF('General Information'!$C$6="Português",VLOOKUP(B149,'ESTRUTURA_MODULO(hide)'!A:D,2,0),IF('General Information'!$C$6="English",VLOOKUP(B149,'ESTRUTURA_MODULO(hide)'!A:D,3,0),IF('General Information'!$C$6="Español",VLOOKUP(B149,'ESTRUTURA_MODULO(hide)'!A:D,4,0))))</f>
        <v>Banco de Leite</v>
      </c>
      <c r="E149" s="254">
        <v>9902</v>
      </c>
      <c r="F149" s="73" t="str">
        <f>IF('General Information'!$C$6="Português",VLOOKUP(E149,'BASE_FUNCOES (hide)'!A:H,2,0),IF('General Information'!$C$6="English",VLOOKUP(E149,'BASE_FUNCOES (hide)'!A:H,3,0),IF('General Information'!$C$6="Español",VLOOKUP(E149,'BASE_FUNCOES (hide)'!A:H,4,0))))</f>
        <v>Gestão de Banco de Leite </v>
      </c>
      <c r="G149" s="73" t="str">
        <f>IF(AND('General Information'!$D$16=1,VLOOKUP(B149,Modules!$B$5:$E$496,4,0)=1)=TRUE,VLOOKUP('Hours Detail'!E149,'BASE_FUNCOES (hide)'!$A:$V,10,0),IF(AND('General Information'!$D$16=2,VLOOKUP(B149,Modules!$B$5:$E$496,4,0)=1)=TRUE,VLOOKUP('Hours Detail'!E149,'BASE_FUNCOES (hide)'!$A:$V,11,0),IF(AND('General Information'!$D$16=3,VLOOKUP(B149,Modules!$B$5:$E$496,4,0)=1)=TRUE,VLOOKUP('Hours Detail'!E149,'BASE_FUNCOES (hide)'!$A:$V,12,0),IF(AND('General Information'!$D$16=4,VLOOKUP(B149,Modules!$B$5:$E$496,4,0)=1)=TRUE,VLOOKUP('Hours Detail'!E149,'BASE_FUNCOES (hide)'!$A:$V,13,0),IF(AND('General Information'!$D$16=5,VLOOKUP(B149,Modules!$B$5:$E$496,4,0)=1)=TRUE,VLOOKUP('Hours Detail'!E149,'BASE_FUNCOES (hide)'!$A:$V,14,0),  IF(AND('General Information'!$D$16=6,VLOOKUP(B149,Modules!$B$5:$E$496,4,0)=1)=TRUE,VLOOKUP('Hours Detail'!E149,'BASE_FUNCOES (hide)'!$A:$V,15,0),"No"))))))</f>
        <v>No</v>
      </c>
      <c r="H149" s="22" t="str">
        <f t="shared" si="4"/>
        <v>No</v>
      </c>
      <c r="I149" s="75">
        <f>IF('General Information'!$C$4="Mexico",(ROUNDUP(VLOOKUP(E149,'BASE_FUNCOES (hide)'!A:X,21,0),0)),(ROUNDUP(VLOOKUP(E149,'BASE_FUNCOES (hide)'!A:L,9,0),0)))</f>
        <v>40</v>
      </c>
      <c r="J149" s="75">
        <f>ROUNDUP(SUMIF(Questions!$E$5:$E$558,'Hours Detail'!E149,Questions!$F$5:$F$558),0)</f>
        <v>0</v>
      </c>
      <c r="K149" s="76">
        <f>IF(H149="Yes",ROUNDUP(IF(VLOOKUP(E149,'BASE_FUNCOES (hide)'!A:T,16,FALSE)&lt;&gt;"No",IF('General Information'!$C$19="HTML5",(I149+J149)*'BASE_FUNCOES (hide)'!$T$2,I149+J149),I149+J149),I149+J149),I149+J149)</f>
        <v>40</v>
      </c>
      <c r="L149" s="265" t="str">
        <f>IF(OR(E149=121,E149=88,E149=2682,E149=2703,E149=2687,E149=2689,E149=2681,E149=2685)=FALSE,"",IF('General Information'!$C$19="HTML5","FUNÇÃO DISPONÍVEL APENAS PARA BRASIL",IF(J150&lt;&gt;0,VLOOKUP(E150,Questions!$E$5:$L$568,5,0),"")))</f>
        <v/>
      </c>
      <c r="M149" s="164" t="s">
        <v>2396</v>
      </c>
      <c r="N149" s="369" t="s">
        <v>2377</v>
      </c>
    </row>
    <row r="150" spans="1:14" ht="14.5" customHeight="1" outlineLevel="1">
      <c r="A150" s="59"/>
      <c r="B150" s="72">
        <f>VLOOKUP('Hours Detail'!E150,'BASE_FUNCOES (hide)'!A:W,5,FALSE)</f>
        <v>90</v>
      </c>
      <c r="C150" s="72" t="s">
        <v>5929</v>
      </c>
      <c r="D150" s="73" t="str">
        <f>IF('General Information'!$C$6="Português",VLOOKUP(B150,'ESTRUTURA_MODULO(hide)'!A:D,2,0),IF('General Information'!$C$6="English",VLOOKUP(B150,'ESTRUTURA_MODULO(hide)'!A:D,3,0),IF('General Information'!$C$6="Español",VLOOKUP(B150,'ESTRUTURA_MODULO(hide)'!A:D,4,0))))</f>
        <v>Quimioterapia</v>
      </c>
      <c r="E150" s="254">
        <v>865</v>
      </c>
      <c r="F150" s="73" t="str">
        <f>IF('General Information'!$C$6="Português",VLOOKUP(E150,'BASE_FUNCOES (hide)'!A:H,2,0),IF('General Information'!$C$6="English",VLOOKUP(E150,'BASE_FUNCOES (hide)'!A:H,3,0),IF('General Information'!$C$6="Español",VLOOKUP(E150,'BASE_FUNCOES (hide)'!A:H,4,0))))</f>
        <v>Agenda de Quimioterapia</v>
      </c>
      <c r="G150" s="73" t="str">
        <f>IF(AND('General Information'!$D$16=1,VLOOKUP(B150,Modules!$B$5:$E$496,4,0)=1)=TRUE,VLOOKUP('Hours Detail'!E150,'BASE_FUNCOES (hide)'!$A:$V,10,0),IF(AND('General Information'!$D$16=2,VLOOKUP(B150,Modules!$B$5:$E$496,4,0)=1)=TRUE,VLOOKUP('Hours Detail'!E150,'BASE_FUNCOES (hide)'!$A:$V,11,0),IF(AND('General Information'!$D$16=3,VLOOKUP(B150,Modules!$B$5:$E$496,4,0)=1)=TRUE,VLOOKUP('Hours Detail'!E150,'BASE_FUNCOES (hide)'!$A:$V,12,0),IF(AND('General Information'!$D$16=4,VLOOKUP(B150,Modules!$B$5:$E$496,4,0)=1)=TRUE,VLOOKUP('Hours Detail'!E150,'BASE_FUNCOES (hide)'!$A:$V,13,0),IF(AND('General Information'!$D$16=5,VLOOKUP(B150,Modules!$B$5:$E$496,4,0)=1)=TRUE,VLOOKUP('Hours Detail'!E150,'BASE_FUNCOES (hide)'!$A:$V,14,0),  IF(AND('General Information'!$D$16=6,VLOOKUP(B150,Modules!$B$5:$E$496,4,0)=1)=TRUE,VLOOKUP('Hours Detail'!E150,'BASE_FUNCOES (hide)'!$A:$V,15,0),"No"))))))</f>
        <v>No</v>
      </c>
      <c r="H150" s="22" t="str">
        <f t="shared" si="4"/>
        <v>No</v>
      </c>
      <c r="I150" s="75">
        <f>IF('General Information'!$C$4="Mexico",(ROUNDUP(VLOOKUP(E150,'BASE_FUNCOES (hide)'!A:X,21,0),0)),(ROUNDUP(VLOOKUP(E150,'BASE_FUNCOES (hide)'!A:L,9,0),0)))</f>
        <v>24</v>
      </c>
      <c r="J150" s="75">
        <f>ROUNDUP(SUMIF(Questions!$E$5:$E$558,'Hours Detail'!E150,Questions!$F$5:$F$558),0)</f>
        <v>0</v>
      </c>
      <c r="K150" s="76">
        <f>IF(H150="Yes",ROUNDUP(IF(VLOOKUP(E150,'BASE_FUNCOES (hide)'!A:T,16,FALSE)&lt;&gt;"No",IF('General Information'!$C$19="HTML5",(I150+J150)*'BASE_FUNCOES (hide)'!$T$2,I150+J150),I150+J150),I150+J150),I150+J150)</f>
        <v>24</v>
      </c>
      <c r="L150" s="265" t="str">
        <f>IF(OR(E150=121,E150=88,E150=2682,E150=2703,E150=2687,E150=2689,E150=2681,E150=2685)=FALSE,"",IF('General Information'!$C$19="HTML5","FUNÇÃO DISPONÍVEL APENAS PARA BRASIL",IF(J151&lt;&gt;0,VLOOKUP(E151,Questions!$E$5:$L$568,5,0),"")))</f>
        <v/>
      </c>
      <c r="M150" s="164" t="s">
        <v>2396</v>
      </c>
      <c r="N150" s="369" t="s">
        <v>2377</v>
      </c>
    </row>
    <row r="151" spans="1:14" ht="14.5" customHeight="1" outlineLevel="1">
      <c r="A151" s="59"/>
      <c r="B151" s="72">
        <f>VLOOKUP('Hours Detail'!E151,'BASE_FUNCOES (hide)'!A:W,5,FALSE)</f>
        <v>90</v>
      </c>
      <c r="C151" s="72" t="s">
        <v>5929</v>
      </c>
      <c r="D151" s="73" t="str">
        <f>IF('General Information'!$C$6="Português",VLOOKUP(B151,'ESTRUTURA_MODULO(hide)'!A:D,2,0),IF('General Information'!$C$6="English",VLOOKUP(B151,'ESTRUTURA_MODULO(hide)'!A:D,3,0),IF('General Information'!$C$6="Español",VLOOKUP(B151,'ESTRUTURA_MODULO(hide)'!A:D,4,0))))</f>
        <v>Quimioterapia</v>
      </c>
      <c r="E151" s="254">
        <v>3130</v>
      </c>
      <c r="F151" s="73" t="str">
        <f>IF('General Information'!$C$6="Português",VLOOKUP(E151,'BASE_FUNCOES (hide)'!A:H,2,0),IF('General Information'!$C$6="English",VLOOKUP(E151,'BASE_FUNCOES (hide)'!A:H,3,0),IF('General Information'!$C$6="Español",VLOOKUP(E151,'BASE_FUNCOES (hide)'!A:H,4,0))))</f>
        <v>Quimioterapia</v>
      </c>
      <c r="G151" s="73" t="str">
        <f>IF(AND('General Information'!$D$16=1,VLOOKUP(B151,Modules!$B$5:$E$496,4,0)=1)=TRUE,VLOOKUP('Hours Detail'!E151,'BASE_FUNCOES (hide)'!$A:$V,10,0),IF(AND('General Information'!$D$16=2,VLOOKUP(B151,Modules!$B$5:$E$496,4,0)=1)=TRUE,VLOOKUP('Hours Detail'!E151,'BASE_FUNCOES (hide)'!$A:$V,11,0),IF(AND('General Information'!$D$16=3,VLOOKUP(B151,Modules!$B$5:$E$496,4,0)=1)=TRUE,VLOOKUP('Hours Detail'!E151,'BASE_FUNCOES (hide)'!$A:$V,12,0),IF(AND('General Information'!$D$16=4,VLOOKUP(B151,Modules!$B$5:$E$496,4,0)=1)=TRUE,VLOOKUP('Hours Detail'!E151,'BASE_FUNCOES (hide)'!$A:$V,13,0),IF(AND('General Information'!$D$16=5,VLOOKUP(B151,Modules!$B$5:$E$496,4,0)=1)=TRUE,VLOOKUP('Hours Detail'!E151,'BASE_FUNCOES (hide)'!$A:$V,14,0),  IF(AND('General Information'!$D$16=6,VLOOKUP(B151,Modules!$B$5:$E$496,4,0)=1)=TRUE,VLOOKUP('Hours Detail'!E151,'BASE_FUNCOES (hide)'!$A:$V,15,0),"No"))))))</f>
        <v>No</v>
      </c>
      <c r="H151" s="22" t="str">
        <f t="shared" si="4"/>
        <v>No</v>
      </c>
      <c r="I151" s="75">
        <f>IF('General Information'!$C$4="Mexico",(ROUNDUP(VLOOKUP(E151,'BASE_FUNCOES (hide)'!A:X,21,0),0)),(ROUNDUP(VLOOKUP(E151,'BASE_FUNCOES (hide)'!A:L,9,0),0)))</f>
        <v>40</v>
      </c>
      <c r="J151" s="75">
        <f>ROUNDUP(SUMIF(Questions!$E$5:$E$558,'Hours Detail'!E151,Questions!$F$5:$F$558),0)</f>
        <v>0</v>
      </c>
      <c r="K151" s="76">
        <f>IF(H151="Yes",ROUNDUP(IF(VLOOKUP(E151,'BASE_FUNCOES (hide)'!A:T,16,FALSE)&lt;&gt;"No",IF('General Information'!$C$19="HTML5",(I151+J151)*'BASE_FUNCOES (hide)'!$T$2,I151+J151),I151+J151),I151+J151),I151+J151)</f>
        <v>40</v>
      </c>
      <c r="L151" s="265" t="str">
        <f>IF(OR(E151=121,E151=88,E151=2682,E151=2703,E151=2687,E151=2689,E151=2681,E151=2685)=FALSE,"",IF('General Information'!$C$19="HTML5","FUNÇÃO DISPONÍVEL APENAS PARA BRASIL",IF(J152&lt;&gt;0,VLOOKUP(E152,Questions!$E$5:$L$568,5,0),"")))</f>
        <v/>
      </c>
      <c r="M151" s="164" t="s">
        <v>2396</v>
      </c>
      <c r="N151" s="369" t="s">
        <v>2377</v>
      </c>
    </row>
    <row r="152" spans="1:14" ht="14.5" customHeight="1" outlineLevel="1">
      <c r="A152" s="59"/>
      <c r="B152" s="72">
        <f>VLOOKUP('Hours Detail'!E152,'BASE_FUNCOES (hide)'!A:W,5,FALSE)</f>
        <v>90</v>
      </c>
      <c r="C152" s="72" t="s">
        <v>5929</v>
      </c>
      <c r="D152" s="73" t="str">
        <f>IF('General Information'!$C$6="Português",VLOOKUP(B152,'ESTRUTURA_MODULO(hide)'!A:D,2,0),IF('General Information'!$C$6="English",VLOOKUP(B152,'ESTRUTURA_MODULO(hide)'!A:D,3,0),IF('General Information'!$C$6="Español",VLOOKUP(B152,'ESTRUTURA_MODULO(hide)'!A:D,4,0))))</f>
        <v>Quimioterapia</v>
      </c>
      <c r="E152" s="254">
        <v>3131</v>
      </c>
      <c r="F152" s="73" t="str">
        <f>IF('General Information'!$C$6="Português",VLOOKUP(E152,'BASE_FUNCOES (hide)'!A:H,2,0),IF('General Information'!$C$6="English",VLOOKUP(E152,'BASE_FUNCOES (hide)'!A:H,3,0),IF('General Information'!$C$6="Español",VLOOKUP(E152,'BASE_FUNCOES (hide)'!A:H,4,0))))</f>
        <v>Registro Hospitalar de Câncer</v>
      </c>
      <c r="G152" s="73" t="str">
        <f>IF(AND('General Information'!$D$16=1,VLOOKUP(B152,Modules!$B$5:$E$496,4,0)=1)=TRUE,VLOOKUP('Hours Detail'!E152,'BASE_FUNCOES (hide)'!$A:$V,10,0),IF(AND('General Information'!$D$16=2,VLOOKUP(B152,Modules!$B$5:$E$496,4,0)=1)=TRUE,VLOOKUP('Hours Detail'!E152,'BASE_FUNCOES (hide)'!$A:$V,11,0),IF(AND('General Information'!$D$16=3,VLOOKUP(B152,Modules!$B$5:$E$496,4,0)=1)=TRUE,VLOOKUP('Hours Detail'!E152,'BASE_FUNCOES (hide)'!$A:$V,12,0),IF(AND('General Information'!$D$16=4,VLOOKUP(B152,Modules!$B$5:$E$496,4,0)=1)=TRUE,VLOOKUP('Hours Detail'!E152,'BASE_FUNCOES (hide)'!$A:$V,13,0),IF(AND('General Information'!$D$16=5,VLOOKUP(B152,Modules!$B$5:$E$496,4,0)=1)=TRUE,VLOOKUP('Hours Detail'!E152,'BASE_FUNCOES (hide)'!$A:$V,14,0),  IF(AND('General Information'!$D$16=6,VLOOKUP(B152,Modules!$B$5:$E$496,4,0)=1)=TRUE,VLOOKUP('Hours Detail'!E152,'BASE_FUNCOES (hide)'!$A:$V,15,0),"No"))))))</f>
        <v>No</v>
      </c>
      <c r="H152" s="22" t="str">
        <f t="shared" si="4"/>
        <v>No</v>
      </c>
      <c r="I152" s="75">
        <f>IF('General Information'!$C$4="Mexico",(ROUNDUP(VLOOKUP(E152,'BASE_FUNCOES (hide)'!A:X,21,0),0)),(ROUNDUP(VLOOKUP(E152,'BASE_FUNCOES (hide)'!A:L,9,0),0)))</f>
        <v>8</v>
      </c>
      <c r="J152" s="75">
        <f>ROUNDUP(SUMIF(Questions!$E$5:$E$558,'Hours Detail'!E152,Questions!$F$5:$F$558),0)</f>
        <v>0</v>
      </c>
      <c r="K152" s="76">
        <f>IF(H152="Yes",ROUNDUP(IF(VLOOKUP(E152,'BASE_FUNCOES (hide)'!A:T,16,FALSE)&lt;&gt;"No",IF('General Information'!$C$19="HTML5",(I152+J152)*'BASE_FUNCOES (hide)'!$T$2,I152+J152),I152+J152),I152+J152),I152+J152)</f>
        <v>8</v>
      </c>
      <c r="L152" s="265" t="str">
        <f>IF(OR(E152=121,E152=88,E152=2682,E152=2703,E152=2687,E152=2689,E152=2681,E152=2685)=FALSE,"",IF('General Information'!$C$19="HTML5","FUNÇÃO DISPONÍVEL APENAS PARA BRASIL",IF(J153&lt;&gt;0,VLOOKUP(E153,Questions!$E$5:$L$568,5,0),"")))</f>
        <v/>
      </c>
      <c r="M152" s="164" t="s">
        <v>2396</v>
      </c>
      <c r="N152" s="369" t="s">
        <v>2377</v>
      </c>
    </row>
    <row r="153" spans="1:14" ht="14.5" customHeight="1" outlineLevel="1">
      <c r="A153" s="59"/>
      <c r="B153" s="72">
        <f>VLOOKUP('Hours Detail'!E153,'BASE_FUNCOES (hide)'!A:W,5,FALSE)</f>
        <v>90</v>
      </c>
      <c r="C153" s="72" t="s">
        <v>5929</v>
      </c>
      <c r="D153" s="73" t="str">
        <f>IF('General Information'!$C$6="Português",VLOOKUP(B153,'ESTRUTURA_MODULO(hide)'!A:D,2,0),IF('General Information'!$C$6="English",VLOOKUP(B153,'ESTRUTURA_MODULO(hide)'!A:D,3,0),IF('General Information'!$C$6="Español",VLOOKUP(B153,'ESTRUTURA_MODULO(hide)'!A:D,4,0))))</f>
        <v>Quimioterapia</v>
      </c>
      <c r="E153" s="254">
        <v>220</v>
      </c>
      <c r="F153" s="73" t="str">
        <f>IF('General Information'!$C$6="Português",VLOOKUP(E153,'BASE_FUNCOES (hide)'!A:H,2,0),IF('General Information'!$C$6="English",VLOOKUP(E153,'BASE_FUNCOES (hide)'!A:H,3,0),IF('General Information'!$C$6="Español",VLOOKUP(E153,'BASE_FUNCOES (hide)'!A:H,4,0))))</f>
        <v>Ressuprimento quimioterapia</v>
      </c>
      <c r="G153" s="73" t="str">
        <f>IF(AND('General Information'!$D$16=1,VLOOKUP(B153,Modules!$B$5:$E$496,4,0)=1)=TRUE,VLOOKUP('Hours Detail'!E153,'BASE_FUNCOES (hide)'!$A:$V,10,0),IF(AND('General Information'!$D$16=2,VLOOKUP(B153,Modules!$B$5:$E$496,4,0)=1)=TRUE,VLOOKUP('Hours Detail'!E153,'BASE_FUNCOES (hide)'!$A:$V,11,0),IF(AND('General Information'!$D$16=3,VLOOKUP(B153,Modules!$B$5:$E$496,4,0)=1)=TRUE,VLOOKUP('Hours Detail'!E153,'BASE_FUNCOES (hide)'!$A:$V,12,0),IF(AND('General Information'!$D$16=4,VLOOKUP(B153,Modules!$B$5:$E$496,4,0)=1)=TRUE,VLOOKUP('Hours Detail'!E153,'BASE_FUNCOES (hide)'!$A:$V,13,0),IF(AND('General Information'!$D$16=5,VLOOKUP(B153,Modules!$B$5:$E$496,4,0)=1)=TRUE,VLOOKUP('Hours Detail'!E153,'BASE_FUNCOES (hide)'!$A:$V,14,0),  IF(AND('General Information'!$D$16=6,VLOOKUP(B153,Modules!$B$5:$E$496,4,0)=1)=TRUE,VLOOKUP('Hours Detail'!E153,'BASE_FUNCOES (hide)'!$A:$V,15,0),"No"))))))</f>
        <v>No</v>
      </c>
      <c r="H153" s="22" t="str">
        <f t="shared" si="4"/>
        <v>No</v>
      </c>
      <c r="I153" s="75">
        <f>IF('General Information'!$C$4="Mexico",(ROUNDUP(VLOOKUP(E153,'BASE_FUNCOES (hide)'!A:X,21,0),0)),(ROUNDUP(VLOOKUP(E153,'BASE_FUNCOES (hide)'!A:L,9,0),0)))</f>
        <v>8</v>
      </c>
      <c r="J153" s="75">
        <f>ROUNDUP(SUMIF(Questions!$E$5:$E$558,'Hours Detail'!E153,Questions!$F$5:$F$558),0)</f>
        <v>0</v>
      </c>
      <c r="K153" s="76">
        <f>IF(H153="Yes",ROUNDUP(IF(VLOOKUP(E153,'BASE_FUNCOES (hide)'!A:T,16,FALSE)&lt;&gt;"No",IF('General Information'!$C$19="HTML5",(I153+J153)*'BASE_FUNCOES (hide)'!$T$2,I153+J153),I153+J153),I153+J153),I153+J153)</f>
        <v>8</v>
      </c>
      <c r="L153" s="265" t="str">
        <f>IF(OR(E153=121,E153=88,E153=2682,E153=2703,E153=2687,E153=2689,E153=2681,E153=2685)=FALSE,"",IF('General Information'!$C$19="HTML5","FUNÇÃO DISPONÍVEL APENAS PARA BRASIL",IF(J154&lt;&gt;0,VLOOKUP(E154,Questions!$E$5:$L$568,5,0),"")))</f>
        <v/>
      </c>
      <c r="M153" s="164" t="s">
        <v>2396</v>
      </c>
      <c r="N153" s="369" t="s">
        <v>2377</v>
      </c>
    </row>
    <row r="154" spans="1:14" ht="14.5" customHeight="1" outlineLevel="1">
      <c r="A154" s="59"/>
      <c r="B154" s="72">
        <f>VLOOKUP('Hours Detail'!E154,'BASE_FUNCOES (hide)'!A:W,5,FALSE)</f>
        <v>90</v>
      </c>
      <c r="C154" s="72" t="s">
        <v>5929</v>
      </c>
      <c r="D154" s="73" t="str">
        <f>IF('General Information'!$C$6="Português",VLOOKUP(B154,'ESTRUTURA_MODULO(hide)'!A:D,2,0),IF('General Information'!$C$6="English",VLOOKUP(B154,'ESTRUTURA_MODULO(hide)'!A:D,3,0),IF('General Information'!$C$6="Español",VLOOKUP(B154,'ESTRUTURA_MODULO(hide)'!A:D,4,0))))</f>
        <v>Quimioterapia</v>
      </c>
      <c r="E154" s="254">
        <v>221</v>
      </c>
      <c r="F154" s="73" t="str">
        <f>IF('General Information'!$C$6="Português",VLOOKUP(E154,'BASE_FUNCOES (hide)'!A:H,2,0),IF('General Information'!$C$6="English",VLOOKUP(E154,'BASE_FUNCOES (hide)'!A:H,3,0),IF('General Information'!$C$6="Español",VLOOKUP(E154,'BASE_FUNCOES (hide)'!A:H,4,0))))</f>
        <v>Transferência Estoque Quimioterapia</v>
      </c>
      <c r="G154" s="73" t="str">
        <f>IF(AND('General Information'!$D$16=1,VLOOKUP(B154,Modules!$B$5:$E$496,4,0)=1)=TRUE,VLOOKUP('Hours Detail'!E154,'BASE_FUNCOES (hide)'!$A:$V,10,0),IF(AND('General Information'!$D$16=2,VLOOKUP(B154,Modules!$B$5:$E$496,4,0)=1)=TRUE,VLOOKUP('Hours Detail'!E154,'BASE_FUNCOES (hide)'!$A:$V,11,0),IF(AND('General Information'!$D$16=3,VLOOKUP(B154,Modules!$B$5:$E$496,4,0)=1)=TRUE,VLOOKUP('Hours Detail'!E154,'BASE_FUNCOES (hide)'!$A:$V,12,0),IF(AND('General Information'!$D$16=4,VLOOKUP(B154,Modules!$B$5:$E$496,4,0)=1)=TRUE,VLOOKUP('Hours Detail'!E154,'BASE_FUNCOES (hide)'!$A:$V,13,0),IF(AND('General Information'!$D$16=5,VLOOKUP(B154,Modules!$B$5:$E$496,4,0)=1)=TRUE,VLOOKUP('Hours Detail'!E154,'BASE_FUNCOES (hide)'!$A:$V,14,0),  IF(AND('General Information'!$D$16=6,VLOOKUP(B154,Modules!$B$5:$E$496,4,0)=1)=TRUE,VLOOKUP('Hours Detail'!E154,'BASE_FUNCOES (hide)'!$A:$V,15,0),"No"))))))</f>
        <v>No</v>
      </c>
      <c r="H154" s="22" t="str">
        <f t="shared" si="4"/>
        <v>No</v>
      </c>
      <c r="I154" s="75">
        <f>IF('General Information'!$C$4="Mexico",(ROUNDUP(VLOOKUP(E154,'BASE_FUNCOES (hide)'!A:X,21,0),0)),(ROUNDUP(VLOOKUP(E154,'BASE_FUNCOES (hide)'!A:L,9,0),0)))</f>
        <v>8</v>
      </c>
      <c r="J154" s="75">
        <f>ROUNDUP(SUMIF(Questions!$E$5:$E$558,'Hours Detail'!E154,Questions!$F$5:$F$558),0)</f>
        <v>0</v>
      </c>
      <c r="K154" s="76">
        <f>IF(H154="Yes",ROUNDUP(IF(VLOOKUP(E154,'BASE_FUNCOES (hide)'!A:T,16,FALSE)&lt;&gt;"No",IF('General Information'!$C$19="HTML5",(I154+J154)*'BASE_FUNCOES (hide)'!$T$2,I154+J154),I154+J154),I154+J154),I154+J154)</f>
        <v>8</v>
      </c>
      <c r="L154" s="265" t="str">
        <f>IF(OR(E154=121,E154=88,E154=2682,E154=2703,E154=2687,E154=2689,E154=2681,E154=2685)=FALSE,"",IF('General Information'!$C$19="HTML5","FUNÇÃO DISPONÍVEL APENAS PARA BRASIL",IF(J155&lt;&gt;0,VLOOKUP(E155,Questions!$E$5:$L$568,5,0),"")))</f>
        <v/>
      </c>
      <c r="M154" s="164" t="s">
        <v>2396</v>
      </c>
      <c r="N154" s="369" t="s">
        <v>2377</v>
      </c>
    </row>
    <row r="155" spans="1:14" ht="14.5" customHeight="1" outlineLevel="1">
      <c r="A155" s="59"/>
      <c r="B155" s="72">
        <f>VLOOKUP('Hours Detail'!E155,'BASE_FUNCOES (hide)'!A:W,5,FALSE)</f>
        <v>451</v>
      </c>
      <c r="C155" s="72" t="s">
        <v>5929</v>
      </c>
      <c r="D155" s="73" t="str">
        <f>IF('General Information'!$C$6="Português",VLOOKUP(B155,'ESTRUTURA_MODULO(hide)'!A:D,2,0),IF('General Information'!$C$6="English",VLOOKUP(B155,'ESTRUTURA_MODULO(hide)'!A:D,3,0),IF('General Information'!$C$6="Español",VLOOKUP(B155,'ESTRUTURA_MODULO(hide)'!A:D,4,0))))</f>
        <v>Radioterapia</v>
      </c>
      <c r="E155" s="254">
        <v>3030</v>
      </c>
      <c r="F155" s="73" t="str">
        <f>IF('General Information'!$C$6="Português",VLOOKUP(E155,'BASE_FUNCOES (hide)'!A:H,2,0),IF('General Information'!$C$6="English",VLOOKUP(E155,'BASE_FUNCOES (hide)'!A:H,3,0),IF('General Information'!$C$6="Español",VLOOKUP(E155,'BASE_FUNCOES (hide)'!A:H,4,0))))</f>
        <v>Gestão de Radioterapia</v>
      </c>
      <c r="G155" s="73" t="str">
        <f>IF(AND('General Information'!$D$16=1,VLOOKUP(B155,Modules!$B$5:$E$496,4,0)=1)=TRUE,VLOOKUP('Hours Detail'!E155,'BASE_FUNCOES (hide)'!$A:$V,10,0),IF(AND('General Information'!$D$16=2,VLOOKUP(B155,Modules!$B$5:$E$496,4,0)=1)=TRUE,VLOOKUP('Hours Detail'!E155,'BASE_FUNCOES (hide)'!$A:$V,11,0),IF(AND('General Information'!$D$16=3,VLOOKUP(B155,Modules!$B$5:$E$496,4,0)=1)=TRUE,VLOOKUP('Hours Detail'!E155,'BASE_FUNCOES (hide)'!$A:$V,12,0),IF(AND('General Information'!$D$16=4,VLOOKUP(B155,Modules!$B$5:$E$496,4,0)=1)=TRUE,VLOOKUP('Hours Detail'!E155,'BASE_FUNCOES (hide)'!$A:$V,13,0),IF(AND('General Information'!$D$16=5,VLOOKUP(B155,Modules!$B$5:$E$496,4,0)=1)=TRUE,VLOOKUP('Hours Detail'!E155,'BASE_FUNCOES (hide)'!$A:$V,14,0),  IF(AND('General Information'!$D$16=6,VLOOKUP(B155,Modules!$B$5:$E$496,4,0)=1)=TRUE,VLOOKUP('Hours Detail'!E155,'BASE_FUNCOES (hide)'!$A:$V,15,0),"No"))))))</f>
        <v>No</v>
      </c>
      <c r="H155" s="22" t="str">
        <f t="shared" si="4"/>
        <v>No</v>
      </c>
      <c r="I155" s="75">
        <f>IF('General Information'!$C$4="Mexico",(ROUNDUP(VLOOKUP(E155,'BASE_FUNCOES (hide)'!A:X,21,0),0)),(ROUNDUP(VLOOKUP(E155,'BASE_FUNCOES (hide)'!A:L,9,0),0)))</f>
        <v>40</v>
      </c>
      <c r="J155" s="75">
        <f>ROUNDUP(SUMIF(Questions!$E$5:$E$558,'Hours Detail'!E155,Questions!$F$5:$F$558),0)</f>
        <v>0</v>
      </c>
      <c r="K155" s="76">
        <f>IF(H155="Yes",ROUNDUP(IF(VLOOKUP(E155,'BASE_FUNCOES (hide)'!A:T,16,FALSE)&lt;&gt;"No",IF('General Information'!$C$19="HTML5",(I155+J155)*'BASE_FUNCOES (hide)'!$T$2,I155+J155),I155+J155),I155+J155),I155+J155)</f>
        <v>40</v>
      </c>
      <c r="L155" s="265" t="str">
        <f>IF(OR(E155=121,E155=88,E155=2682,E155=2703,E155=2687,E155=2689,E155=2681,E155=2685)=FALSE,"",IF('General Information'!$C$19="HTML5","FUNÇÃO DISPONÍVEL APENAS PARA BRASIL",IF(J156&lt;&gt;0,VLOOKUP(E156,Questions!$E$5:$L$568,5,0),"")))</f>
        <v/>
      </c>
      <c r="M155" s="164" t="s">
        <v>2396</v>
      </c>
      <c r="N155" s="369" t="s">
        <v>2377</v>
      </c>
    </row>
    <row r="156" spans="1:14" ht="14.5" customHeight="1" outlineLevel="1">
      <c r="A156" s="59"/>
      <c r="B156" s="72">
        <f>VLOOKUP('Hours Detail'!E156,'BASE_FUNCOES (hide)'!A:W,5,FALSE)</f>
        <v>451</v>
      </c>
      <c r="C156" s="72" t="s">
        <v>5929</v>
      </c>
      <c r="D156" s="73" t="str">
        <f>IF('General Information'!$C$6="Português",VLOOKUP(B156,'ESTRUTURA_MODULO(hide)'!A:D,2,0),IF('General Information'!$C$6="English",VLOOKUP(B156,'ESTRUTURA_MODULO(hide)'!A:D,3,0),IF('General Information'!$C$6="Español",VLOOKUP(B156,'ESTRUTURA_MODULO(hide)'!A:D,4,0))))</f>
        <v>Radioterapia</v>
      </c>
      <c r="E156" s="254">
        <v>99009</v>
      </c>
      <c r="F156" s="73" t="str">
        <f>IF('General Information'!$C$6="Português",VLOOKUP(E156,'BASE_FUNCOES (hide)'!A:H,2,0),IF('General Information'!$C$6="English",VLOOKUP(E156,'BASE_FUNCOES (hide)'!A:H,3,0),IF('General Information'!$C$6="Español",VLOOKUP(E156,'BASE_FUNCOES (hide)'!A:H,4,0))))</f>
        <v>Painel de chamadas da radioterapia</v>
      </c>
      <c r="G156" s="73" t="str">
        <f>IF(AND('General Information'!$D$16=1,VLOOKUP(B156,Modules!$B$5:$E$496,4,0)=1)=TRUE,VLOOKUP('Hours Detail'!E156,'BASE_FUNCOES (hide)'!$A:$V,10,0),IF(AND('General Information'!$D$16=2,VLOOKUP(B156,Modules!$B$5:$E$496,4,0)=1)=TRUE,VLOOKUP('Hours Detail'!E156,'BASE_FUNCOES (hide)'!$A:$V,11,0),IF(AND('General Information'!$D$16=3,VLOOKUP(B156,Modules!$B$5:$E$496,4,0)=1)=TRUE,VLOOKUP('Hours Detail'!E156,'BASE_FUNCOES (hide)'!$A:$V,12,0),IF(AND('General Information'!$D$16=4,VLOOKUP(B156,Modules!$B$5:$E$496,4,0)=1)=TRUE,VLOOKUP('Hours Detail'!E156,'BASE_FUNCOES (hide)'!$A:$V,13,0),IF(AND('General Information'!$D$16=5,VLOOKUP(B156,Modules!$B$5:$E$496,4,0)=1)=TRUE,VLOOKUP('Hours Detail'!E156,'BASE_FUNCOES (hide)'!$A:$V,14,0),  IF(AND('General Information'!$D$16=6,VLOOKUP(B156,Modules!$B$5:$E$496,4,0)=1)=TRUE,VLOOKUP('Hours Detail'!E156,'BASE_FUNCOES (hide)'!$A:$V,15,0),"No"))))))</f>
        <v>No</v>
      </c>
      <c r="H156" s="22" t="str">
        <f t="shared" si="4"/>
        <v>No</v>
      </c>
      <c r="I156" s="75">
        <f>IF('General Information'!$C$4="Mexico",(ROUNDUP(VLOOKUP(E156,'BASE_FUNCOES (hide)'!A:X,21,0),0)),(ROUNDUP(VLOOKUP(E156,'BASE_FUNCOES (hide)'!A:L,9,0),0)))</f>
        <v>2</v>
      </c>
      <c r="J156" s="75">
        <f>ROUNDUP(SUMIF(Questions!$E$5:$E$558,'Hours Detail'!E156,Questions!$F$5:$F$558),0)</f>
        <v>0</v>
      </c>
      <c r="K156" s="76">
        <f>IF(H156="Yes",ROUNDUP(IF(VLOOKUP(E156,'BASE_FUNCOES (hide)'!A:T,16,FALSE)&lt;&gt;"No",IF('General Information'!$C$19="HTML5",(I156+J156)*'BASE_FUNCOES (hide)'!$T$2,I156+J156),I156+J156),I156+J156),I156+J156)</f>
        <v>2</v>
      </c>
      <c r="L156" s="265" t="str">
        <f>IF(OR(E156=121,E156=88,E156=2682,E156=2703,E156=2687,E156=2689,E156=2681,E156=2685)=FALSE,"",IF('General Information'!$C$19="HTML5","FUNÇÃO DISPONÍVEL APENAS PARA BRASIL",IF(J157&lt;&gt;0,VLOOKUP(E157,Questions!$E$5:$L$568,5,0),"")))</f>
        <v/>
      </c>
      <c r="M156" s="164" t="s">
        <v>2396</v>
      </c>
      <c r="N156" s="369" t="s">
        <v>2377</v>
      </c>
    </row>
    <row r="157" spans="1:14" ht="14.5" customHeight="1" outlineLevel="1">
      <c r="A157" s="59"/>
      <c r="B157" s="72">
        <f>VLOOKUP('Hours Detail'!E157,'BASE_FUNCOES (hide)'!A:W,5,FALSE)</f>
        <v>212</v>
      </c>
      <c r="C157" s="72" t="s">
        <v>5929</v>
      </c>
      <c r="D157" s="73" t="str">
        <f>IF('General Information'!$C$6="Português",VLOOKUP(B157,'ESTRUTURA_MODULO(hide)'!A:D,2,0),IF('General Information'!$C$6="English",VLOOKUP(B157,'ESTRUTURA_MODULO(hide)'!A:D,3,0),IF('General Information'!$C$6="Español",VLOOKUP(B157,'ESTRUTURA_MODULO(hide)'!A:D,4,0))))</f>
        <v>Hemodiálise</v>
      </c>
      <c r="E157" s="254">
        <v>9901</v>
      </c>
      <c r="F157" s="73" t="str">
        <f>IF('General Information'!$C$6="Português",VLOOKUP(E157,'BASE_FUNCOES (hide)'!A:H,2,0),IF('General Information'!$C$6="English",VLOOKUP(E157,'BASE_FUNCOES (hide)'!A:H,3,0),IF('General Information'!$C$6="Español",VLOOKUP(E157,'BASE_FUNCOES (hide)'!A:H,4,0))))</f>
        <v>Controle de Água</v>
      </c>
      <c r="G157" s="73" t="str">
        <f>IF(AND('General Information'!$D$16=1,VLOOKUP(B157,Modules!$B$5:$E$496,4,0)=1)=TRUE,VLOOKUP('Hours Detail'!E157,'BASE_FUNCOES (hide)'!$A:$V,10,0),IF(AND('General Information'!$D$16=2,VLOOKUP(B157,Modules!$B$5:$E$496,4,0)=1)=TRUE,VLOOKUP('Hours Detail'!E157,'BASE_FUNCOES (hide)'!$A:$V,11,0),IF(AND('General Information'!$D$16=3,VLOOKUP(B157,Modules!$B$5:$E$496,4,0)=1)=TRUE,VLOOKUP('Hours Detail'!E157,'BASE_FUNCOES (hide)'!$A:$V,12,0),IF(AND('General Information'!$D$16=4,VLOOKUP(B157,Modules!$B$5:$E$496,4,0)=1)=TRUE,VLOOKUP('Hours Detail'!E157,'BASE_FUNCOES (hide)'!$A:$V,13,0),IF(AND('General Information'!$D$16=5,VLOOKUP(B157,Modules!$B$5:$E$496,4,0)=1)=TRUE,VLOOKUP('Hours Detail'!E157,'BASE_FUNCOES (hide)'!$A:$V,14,0),  IF(AND('General Information'!$D$16=6,VLOOKUP(B157,Modules!$B$5:$E$496,4,0)=1)=TRUE,VLOOKUP('Hours Detail'!E157,'BASE_FUNCOES (hide)'!$A:$V,15,0),"No"))))))</f>
        <v>No</v>
      </c>
      <c r="H157" s="22" t="str">
        <f t="shared" si="4"/>
        <v>No</v>
      </c>
      <c r="I157" s="75">
        <f>IF('General Information'!$C$4="Mexico",(ROUNDUP(VLOOKUP(E157,'BASE_FUNCOES (hide)'!A:X,21,0),0)),(ROUNDUP(VLOOKUP(E157,'BASE_FUNCOES (hide)'!A:L,9,0),0)))</f>
        <v>4</v>
      </c>
      <c r="J157" s="75">
        <f>ROUNDUP(SUMIF(Questions!$E$5:$E$558,'Hours Detail'!E157,Questions!$F$5:$F$558),0)</f>
        <v>0</v>
      </c>
      <c r="K157" s="76">
        <f>IF(H157="Yes",ROUNDUP(IF(VLOOKUP(E157,'BASE_FUNCOES (hide)'!A:T,16,FALSE)&lt;&gt;"No",IF('General Information'!$C$19="HTML5",(I157+J157)*'BASE_FUNCOES (hide)'!$T$2,I157+J157),I157+J157),I157+J157),I157+J157)</f>
        <v>4</v>
      </c>
      <c r="L157" s="265" t="str">
        <f>IF(OR(E157=121,E157=88,E157=2682,E157=2703,E157=2687,E157=2689,E157=2681,E157=2685)=FALSE,"",IF('General Information'!$C$19="HTML5","FUNÇÃO DISPONÍVEL APENAS PARA BRASIL",IF(J158&lt;&gt;0,VLOOKUP(E158,Questions!$E$5:$L$568,5,0),"")))</f>
        <v/>
      </c>
      <c r="M157" s="164" t="s">
        <v>2396</v>
      </c>
      <c r="N157" s="369" t="s">
        <v>2377</v>
      </c>
    </row>
    <row r="158" spans="1:14" ht="14.5" customHeight="1" outlineLevel="1">
      <c r="A158" s="59"/>
      <c r="B158" s="72">
        <f>VLOOKUP('Hours Detail'!E158,'BASE_FUNCOES (hide)'!A:W,5,FALSE)</f>
        <v>212</v>
      </c>
      <c r="C158" s="72" t="s">
        <v>5929</v>
      </c>
      <c r="D158" s="73" t="str">
        <f>IF('General Information'!$C$6="Português",VLOOKUP(B158,'ESTRUTURA_MODULO(hide)'!A:D,2,0),IF('General Information'!$C$6="English",VLOOKUP(B158,'ESTRUTURA_MODULO(hide)'!A:D,3,0),IF('General Information'!$C$6="Español",VLOOKUP(B158,'ESTRUTURA_MODULO(hide)'!A:D,4,0))))</f>
        <v>Hemodiálise</v>
      </c>
      <c r="E158" s="254">
        <v>7009</v>
      </c>
      <c r="F158" s="73" t="str">
        <f>IF('General Information'!$C$6="Português",VLOOKUP(E158,'BASE_FUNCOES (hide)'!A:H,2,0),IF('General Information'!$C$6="English",VLOOKUP(E158,'BASE_FUNCOES (hide)'!A:H,3,0),IF('General Information'!$C$6="Español",VLOOKUP(E158,'BASE_FUNCOES (hide)'!A:H,4,0))))</f>
        <v>Gestão de Insuficiência Renal</v>
      </c>
      <c r="G158" s="73" t="str">
        <f>IF(AND('General Information'!$D$16=1,VLOOKUP(B158,Modules!$B$5:$E$496,4,0)=1)=TRUE,VLOOKUP('Hours Detail'!E158,'BASE_FUNCOES (hide)'!$A:$V,10,0),IF(AND('General Information'!$D$16=2,VLOOKUP(B158,Modules!$B$5:$E$496,4,0)=1)=TRUE,VLOOKUP('Hours Detail'!E158,'BASE_FUNCOES (hide)'!$A:$V,11,0),IF(AND('General Information'!$D$16=3,VLOOKUP(B158,Modules!$B$5:$E$496,4,0)=1)=TRUE,VLOOKUP('Hours Detail'!E158,'BASE_FUNCOES (hide)'!$A:$V,12,0),IF(AND('General Information'!$D$16=4,VLOOKUP(B158,Modules!$B$5:$E$496,4,0)=1)=TRUE,VLOOKUP('Hours Detail'!E158,'BASE_FUNCOES (hide)'!$A:$V,13,0),IF(AND('General Information'!$D$16=5,VLOOKUP(B158,Modules!$B$5:$E$496,4,0)=1)=TRUE,VLOOKUP('Hours Detail'!E158,'BASE_FUNCOES (hide)'!$A:$V,14,0),  IF(AND('General Information'!$D$16=6,VLOOKUP(B158,Modules!$B$5:$E$496,4,0)=1)=TRUE,VLOOKUP('Hours Detail'!E158,'BASE_FUNCOES (hide)'!$A:$V,15,0),"No"))))))</f>
        <v>No</v>
      </c>
      <c r="H158" s="22" t="str">
        <f t="shared" si="4"/>
        <v>No</v>
      </c>
      <c r="I158" s="75">
        <f>IF('General Information'!$C$4="Mexico",(ROUNDUP(VLOOKUP(E158,'BASE_FUNCOES (hide)'!A:X,21,0),0)),(ROUNDUP(VLOOKUP(E158,'BASE_FUNCOES (hide)'!A:L,9,0),0)))</f>
        <v>40</v>
      </c>
      <c r="J158" s="75">
        <f>ROUNDUP(SUMIF(Questions!$E$5:$E$558,'Hours Detail'!E158,Questions!$F$5:$F$558),0)</f>
        <v>0</v>
      </c>
      <c r="K158" s="76">
        <f>IF(H158="Yes",ROUNDUP(IF(VLOOKUP(E158,'BASE_FUNCOES (hide)'!A:T,16,FALSE)&lt;&gt;"No",IF('General Information'!$C$19="HTML5",(I158+J158)*'BASE_FUNCOES (hide)'!$T$2,I158+J158),I158+J158),I158+J158),I158+J158)</f>
        <v>40</v>
      </c>
      <c r="L158" s="265" t="str">
        <f>IF(OR(E158=121,E158=88,E158=2682,E158=2703,E158=2687,E158=2689,E158=2681,E158=2685)=FALSE,"",IF('General Information'!$C$19="HTML5","FUNÇÃO DISPONÍVEL APENAS PARA BRASIL",IF(J159&lt;&gt;0,VLOOKUP(E159,Questions!$E$5:$L$568,5,0),"")))</f>
        <v/>
      </c>
      <c r="M158" s="164" t="s">
        <v>2396</v>
      </c>
      <c r="N158" s="369" t="s">
        <v>2377</v>
      </c>
    </row>
    <row r="159" spans="1:14" ht="14.5" customHeight="1" outlineLevel="1">
      <c r="A159" s="59"/>
      <c r="B159" s="72">
        <f>VLOOKUP('Hours Detail'!E159,'BASE_FUNCOES (hide)'!A:W,5,FALSE)</f>
        <v>681</v>
      </c>
      <c r="C159" s="72" t="s">
        <v>5929</v>
      </c>
      <c r="D159" s="73" t="str">
        <f>IF('General Information'!$C$6="Português",VLOOKUP(B159,'ESTRUTURA_MODULO(hide)'!A:D,2,0),IF('General Information'!$C$6="English",VLOOKUP(B159,'ESTRUTURA_MODULO(hide)'!A:D,3,0),IF('General Information'!$C$6="Español",VLOOKUP(B159,'ESTRUTURA_MODULO(hide)'!A:D,4,0))))</f>
        <v>Transplantes</v>
      </c>
      <c r="E159" s="254">
        <v>7006</v>
      </c>
      <c r="F159" s="73" t="str">
        <f>IF('General Information'!$C$6="Português",VLOOKUP(E159,'BASE_FUNCOES (hide)'!A:H,2,0),IF('General Information'!$C$6="English",VLOOKUP(E159,'BASE_FUNCOES (hide)'!A:H,3,0),IF('General Information'!$C$6="Español",VLOOKUP(E159,'BASE_FUNCOES (hide)'!A:H,4,0))))</f>
        <v>Gestão de Transplante</v>
      </c>
      <c r="G159" s="73" t="str">
        <f>IF(AND('General Information'!$D$16=1,VLOOKUP(B159,Modules!$B$5:$E$496,4,0)=1)=TRUE,VLOOKUP('Hours Detail'!E159,'BASE_FUNCOES (hide)'!$A:$V,10,0),IF(AND('General Information'!$D$16=2,VLOOKUP(B159,Modules!$B$5:$E$496,4,0)=1)=TRUE,VLOOKUP('Hours Detail'!E159,'BASE_FUNCOES (hide)'!$A:$V,11,0),IF(AND('General Information'!$D$16=3,VLOOKUP(B159,Modules!$B$5:$E$496,4,0)=1)=TRUE,VLOOKUP('Hours Detail'!E159,'BASE_FUNCOES (hide)'!$A:$V,12,0),IF(AND('General Information'!$D$16=4,VLOOKUP(B159,Modules!$B$5:$E$496,4,0)=1)=TRUE,VLOOKUP('Hours Detail'!E159,'BASE_FUNCOES (hide)'!$A:$V,13,0),IF(AND('General Information'!$D$16=5,VLOOKUP(B159,Modules!$B$5:$E$496,4,0)=1)=TRUE,VLOOKUP('Hours Detail'!E159,'BASE_FUNCOES (hide)'!$A:$V,14,0),  IF(AND('General Information'!$D$16=6,VLOOKUP(B159,Modules!$B$5:$E$496,4,0)=1)=TRUE,VLOOKUP('Hours Detail'!E159,'BASE_FUNCOES (hide)'!$A:$V,15,0),"No"))))))</f>
        <v>No</v>
      </c>
      <c r="H159" s="22" t="str">
        <f t="shared" si="4"/>
        <v>No</v>
      </c>
      <c r="I159" s="75">
        <f>IF('General Information'!$C$4="Mexico",(ROUNDUP(VLOOKUP(E159,'BASE_FUNCOES (hide)'!A:X,21,0),0)),(ROUNDUP(VLOOKUP(E159,'BASE_FUNCOES (hide)'!A:L,9,0),0)))</f>
        <v>40</v>
      </c>
      <c r="J159" s="75">
        <f>ROUNDUP(SUMIF(Questions!$E$5:$E$558,'Hours Detail'!E159,Questions!$F$5:$F$558),0)</f>
        <v>0</v>
      </c>
      <c r="K159" s="76">
        <f>IF(H159="Yes",ROUNDUP(IF(VLOOKUP(E159,'BASE_FUNCOES (hide)'!A:T,16,FALSE)&lt;&gt;"No",IF('General Information'!$C$19="HTML5",(I159+J159)*'BASE_FUNCOES (hide)'!$T$2,I159+J159),I159+J159),I159+J159),I159+J159)</f>
        <v>40</v>
      </c>
      <c r="L159" s="265" t="str">
        <f>IF(OR(E159=121,E159=88,E159=2682,E159=2703,E159=2687,E159=2689,E159=2681,E159=2685)=FALSE,"",IF('General Information'!$C$19="HTML5","FUNÇÃO DISPONÍVEL APENAS PARA BRASIL",IF(J160&lt;&gt;0,VLOOKUP(E160,Questions!$E$5:$L$568,5,0),"")))</f>
        <v/>
      </c>
      <c r="M159" s="164" t="s">
        <v>2396</v>
      </c>
      <c r="N159" s="369" t="s">
        <v>2377</v>
      </c>
    </row>
    <row r="160" spans="1:14" ht="14.5" customHeight="1" outlineLevel="1">
      <c r="A160" s="59"/>
      <c r="B160" s="72">
        <f>VLOOKUP('Hours Detail'!E160,'BASE_FUNCOES (hide)'!A:W,5,FALSE)</f>
        <v>999</v>
      </c>
      <c r="C160" s="72" t="s">
        <v>5929</v>
      </c>
      <c r="D160" s="73" t="str">
        <f>IF('General Information'!$C$6="Português",VLOOKUP(B160,'ESTRUTURA_MODULO(hide)'!A:D,2,0),IF('General Information'!$C$6="English",VLOOKUP(B160,'ESTRUTURA_MODULO(hide)'!A:D,3,0),IF('General Information'!$C$6="Español",VLOOKUP(B160,'ESTRUTURA_MODULO(hide)'!A:D,4,0))))</f>
        <v>Anatomia Patológica</v>
      </c>
      <c r="E160" s="254">
        <v>945</v>
      </c>
      <c r="F160" s="73" t="str">
        <f>IF('General Information'!$C$6="Português",VLOOKUP(E160,'BASE_FUNCOES (hide)'!A:H,2,0),IF('General Information'!$C$6="English",VLOOKUP(E160,'BASE_FUNCOES (hide)'!A:H,3,0),IF('General Information'!$C$6="Español",VLOOKUP(E160,'BASE_FUNCOES (hide)'!A:H,4,0))))</f>
        <v>Laudo de Anatomia patológica</v>
      </c>
      <c r="G160" s="73" t="str">
        <f>IF(AND('General Information'!$D$16=1,VLOOKUP(B160,Modules!$B$5:$E$496,4,0)=1)=TRUE,VLOOKUP('Hours Detail'!E160,'BASE_FUNCOES (hide)'!$A:$V,10,0),IF(AND('General Information'!$D$16=2,VLOOKUP(B160,Modules!$B$5:$E$496,4,0)=1)=TRUE,VLOOKUP('Hours Detail'!E160,'BASE_FUNCOES (hide)'!$A:$V,11,0),IF(AND('General Information'!$D$16=3,VLOOKUP(B160,Modules!$B$5:$E$496,4,0)=1)=TRUE,VLOOKUP('Hours Detail'!E160,'BASE_FUNCOES (hide)'!$A:$V,12,0),IF(AND('General Information'!$D$16=4,VLOOKUP(B160,Modules!$B$5:$E$496,4,0)=1)=TRUE,VLOOKUP('Hours Detail'!E160,'BASE_FUNCOES (hide)'!$A:$V,13,0),IF(AND('General Information'!$D$16=5,VLOOKUP(B160,Modules!$B$5:$E$496,4,0)=1)=TRUE,VLOOKUP('Hours Detail'!E160,'BASE_FUNCOES (hide)'!$A:$V,14,0),  IF(AND('General Information'!$D$16=6,VLOOKUP(B160,Modules!$B$5:$E$496,4,0)=1)=TRUE,VLOOKUP('Hours Detail'!E160,'BASE_FUNCOES (hide)'!$A:$V,15,0),"No"))))))</f>
        <v>No</v>
      </c>
      <c r="H160" s="22" t="str">
        <f t="shared" si="4"/>
        <v>No</v>
      </c>
      <c r="I160" s="75">
        <f>IF('General Information'!$C$4="Mexico",(ROUNDUP(VLOOKUP(E160,'BASE_FUNCOES (hide)'!A:X,21,0),0)),(ROUNDUP(VLOOKUP(E160,'BASE_FUNCOES (hide)'!A:L,9,0),0)))</f>
        <v>16</v>
      </c>
      <c r="J160" s="75">
        <f>ROUNDUP(SUMIF(Questions!$E$5:$E$558,'Hours Detail'!E160,Questions!$F$5:$F$558),0)</f>
        <v>0</v>
      </c>
      <c r="K160" s="76">
        <f>IF(H160="Yes",ROUNDUP(IF(VLOOKUP(E160,'BASE_FUNCOES (hide)'!A:T,16,FALSE)&lt;&gt;"No",IF('General Information'!$C$19="HTML5",(I160+J160)*'BASE_FUNCOES (hide)'!$T$2,I160+J160),I160+J160),I160+J160),I160+J160)</f>
        <v>16</v>
      </c>
      <c r="L160" s="265" t="str">
        <f>IF(OR(E160=121,E160=88,E160=2682,E160=2703,E160=2687,E160=2689,E160=2681,E160=2685)=FALSE,"",IF('General Information'!$C$19="HTML5","FUNÇÃO DISPONÍVEL APENAS PARA BRASIL",IF(J161&lt;&gt;0,VLOOKUP(E161,Questions!$E$5:$L$568,5,0),"")))</f>
        <v/>
      </c>
      <c r="M160" s="164" t="s">
        <v>2396</v>
      </c>
      <c r="N160" s="369" t="s">
        <v>2377</v>
      </c>
    </row>
    <row r="161" spans="1:14" ht="14.5" customHeight="1" outlineLevel="1">
      <c r="A161" s="59"/>
      <c r="B161" s="72">
        <f>VLOOKUP('Hours Detail'!E161,'BASE_FUNCOES (hide)'!A:W,5,FALSE)</f>
        <v>904</v>
      </c>
      <c r="C161" s="72" t="s">
        <v>5929</v>
      </c>
      <c r="D161" s="73" t="str">
        <f>IF('General Information'!$C$6="Português",VLOOKUP(B161,'ESTRUTURA_MODULO(hide)'!A:D,2,0),IF('General Information'!$C$6="English",VLOOKUP(B161,'ESTRUTURA_MODULO(hide)'!A:D,3,0),IF('General Information'!$C$6="Español",VLOOKUP(B161,'ESTRUTURA_MODULO(hide)'!A:D,4,0))))</f>
        <v>Medicina Preventiva</v>
      </c>
      <c r="E161" s="254">
        <v>10159</v>
      </c>
      <c r="F161" s="73" t="str">
        <f>IF('General Information'!$C$6="Português",VLOOKUP(E161,'BASE_FUNCOES (hide)'!A:H,2,0),IF('General Information'!$C$6="English",VLOOKUP(E161,'BASE_FUNCOES (hide)'!A:H,3,0),IF('General Information'!$C$6="Español",VLOOKUP(E161,'BASE_FUNCOES (hide)'!A:H,4,0))))</f>
        <v>HDM - Acompanhamento do Plano de Atendimento</v>
      </c>
      <c r="G161" s="73" t="str">
        <f>IF(AND('General Information'!$D$16=1,VLOOKUP(B161,Modules!$B$5:$E$496,4,0)=1)=TRUE,VLOOKUP('Hours Detail'!E161,'BASE_FUNCOES (hide)'!$A:$V,10,0),IF(AND('General Information'!$D$16=2,VLOOKUP(B161,Modules!$B$5:$E$496,4,0)=1)=TRUE,VLOOKUP('Hours Detail'!E161,'BASE_FUNCOES (hide)'!$A:$V,11,0),IF(AND('General Information'!$D$16=3,VLOOKUP(B161,Modules!$B$5:$E$496,4,0)=1)=TRUE,VLOOKUP('Hours Detail'!E161,'BASE_FUNCOES (hide)'!$A:$V,12,0),IF(AND('General Information'!$D$16=4,VLOOKUP(B161,Modules!$B$5:$E$496,4,0)=1)=TRUE,VLOOKUP('Hours Detail'!E161,'BASE_FUNCOES (hide)'!$A:$V,13,0),IF(AND('General Information'!$D$16=5,VLOOKUP(B161,Modules!$B$5:$E$496,4,0)=1)=TRUE,VLOOKUP('Hours Detail'!E161,'BASE_FUNCOES (hide)'!$A:$V,14,0),  IF(AND('General Information'!$D$16=6,VLOOKUP(B161,Modules!$B$5:$E$496,4,0)=1)=TRUE,VLOOKUP('Hours Detail'!E161,'BASE_FUNCOES (hide)'!$A:$V,15,0),"No"))))))</f>
        <v>No</v>
      </c>
      <c r="H161" s="22" t="str">
        <f t="shared" si="4"/>
        <v>No</v>
      </c>
      <c r="I161" s="75">
        <f>IF('General Information'!$C$4="Mexico",(ROUNDUP(VLOOKUP(E161,'BASE_FUNCOES (hide)'!A:X,21,0),0)),(ROUNDUP(VLOOKUP(E161,'BASE_FUNCOES (hide)'!A:L,9,0),0)))</f>
        <v>12</v>
      </c>
      <c r="J161" s="75">
        <f>ROUNDUP(SUMIF(Questions!$E$5:$E$558,'Hours Detail'!E161,Questions!$F$5:$F$558),0)</f>
        <v>0</v>
      </c>
      <c r="K161" s="76">
        <f>IF(H161="Yes",ROUNDUP(IF(VLOOKUP(E161,'BASE_FUNCOES (hide)'!A:T,16,FALSE)&lt;&gt;"No",IF('General Information'!$C$19="HTML5",(I161+J161)*'BASE_FUNCOES (hide)'!$T$2,I161+J161),I161+J161),I161+J161),I161+J161)</f>
        <v>12</v>
      </c>
      <c r="L161" s="265" t="str">
        <f>IF(OR(E161=121,E161=88,E161=2682,E161=2703,E161=2687,E161=2689,E161=2681,E161=2685)=FALSE,"",IF('General Information'!$C$19="HTML5","FUNÇÃO DISPONÍVEL APENAS PARA BRASIL",IF(J162&lt;&gt;0,VLOOKUP(E162,Questions!$E$5:$L$568,5,0),"")))</f>
        <v/>
      </c>
      <c r="M161" s="164" t="s">
        <v>2396</v>
      </c>
      <c r="N161" s="369" t="s">
        <v>2377</v>
      </c>
    </row>
    <row r="162" spans="1:14" ht="14.5" customHeight="1" outlineLevel="1">
      <c r="A162" s="59"/>
      <c r="B162" s="72">
        <f>VLOOKUP('Hours Detail'!E162,'BASE_FUNCOES (hide)'!A:W,5,FALSE)</f>
        <v>904</v>
      </c>
      <c r="C162" s="72" t="s">
        <v>5929</v>
      </c>
      <c r="D162" s="73" t="str">
        <f>IF('General Information'!$C$6="Português",VLOOKUP(B162,'ESTRUTURA_MODULO(hide)'!A:D,2,0),IF('General Information'!$C$6="English",VLOOKUP(B162,'ESTRUTURA_MODULO(hide)'!A:D,3,0),IF('General Information'!$C$6="Español",VLOOKUP(B162,'ESTRUTURA_MODULO(hide)'!A:D,4,0))))</f>
        <v>Medicina Preventiva</v>
      </c>
      <c r="E162" s="254">
        <v>10158</v>
      </c>
      <c r="F162" s="73" t="str">
        <f>IF('General Information'!$C$6="Português",VLOOKUP(E162,'BASE_FUNCOES (hide)'!A:H,2,0),IF('General Information'!$C$6="English",VLOOKUP(E162,'BASE_FUNCOES (hide)'!A:H,3,0),IF('General Information'!$C$6="Español",VLOOKUP(E162,'BASE_FUNCOES (hide)'!A:H,4,0))))</f>
        <v>HDM - Agenda</v>
      </c>
      <c r="G162" s="73" t="str">
        <f>IF(AND('General Information'!$D$16=1,VLOOKUP(B162,Modules!$B$5:$E$496,4,0)=1)=TRUE,VLOOKUP('Hours Detail'!E162,'BASE_FUNCOES (hide)'!$A:$V,10,0),IF(AND('General Information'!$D$16=2,VLOOKUP(B162,Modules!$B$5:$E$496,4,0)=1)=TRUE,VLOOKUP('Hours Detail'!E162,'BASE_FUNCOES (hide)'!$A:$V,11,0),IF(AND('General Information'!$D$16=3,VLOOKUP(B162,Modules!$B$5:$E$496,4,0)=1)=TRUE,VLOOKUP('Hours Detail'!E162,'BASE_FUNCOES (hide)'!$A:$V,12,0),IF(AND('General Information'!$D$16=4,VLOOKUP(B162,Modules!$B$5:$E$496,4,0)=1)=TRUE,VLOOKUP('Hours Detail'!E162,'BASE_FUNCOES (hide)'!$A:$V,13,0),IF(AND('General Information'!$D$16=5,VLOOKUP(B162,Modules!$B$5:$E$496,4,0)=1)=TRUE,VLOOKUP('Hours Detail'!E162,'BASE_FUNCOES (hide)'!$A:$V,14,0),  IF(AND('General Information'!$D$16=6,VLOOKUP(B162,Modules!$B$5:$E$496,4,0)=1)=TRUE,VLOOKUP('Hours Detail'!E162,'BASE_FUNCOES (hide)'!$A:$V,15,0),"No"))))))</f>
        <v>No</v>
      </c>
      <c r="H162" s="22" t="str">
        <f t="shared" si="4"/>
        <v>No</v>
      </c>
      <c r="I162" s="75">
        <f>IF('General Information'!$C$4="Mexico",(ROUNDUP(VLOOKUP(E162,'BASE_FUNCOES (hide)'!A:X,21,0),0)),(ROUNDUP(VLOOKUP(E162,'BASE_FUNCOES (hide)'!A:L,9,0),0)))</f>
        <v>16</v>
      </c>
      <c r="J162" s="75">
        <f>ROUNDUP(SUMIF(Questions!$E$5:$E$558,'Hours Detail'!E162,Questions!$F$5:$F$558),0)</f>
        <v>0</v>
      </c>
      <c r="K162" s="76">
        <f>IF(H162="Yes",ROUNDUP(IF(VLOOKUP(E162,'BASE_FUNCOES (hide)'!A:T,16,FALSE)&lt;&gt;"No",IF('General Information'!$C$19="HTML5",(I162+J162)*'BASE_FUNCOES (hide)'!$T$2,I162+J162),I162+J162),I162+J162),I162+J162)</f>
        <v>16</v>
      </c>
      <c r="L162" s="265" t="str">
        <f>IF(OR(E162=121,E162=88,E162=2682,E162=2703,E162=2687,E162=2689,E162=2681,E162=2685)=FALSE,"",IF('General Information'!$C$19="HTML5","FUNÇÃO DISPONÍVEL APENAS PARA BRASIL",IF(J163&lt;&gt;0,VLOOKUP(E163,Questions!$E$5:$L$568,5,0),"")))</f>
        <v/>
      </c>
      <c r="M162" s="164" t="s">
        <v>2396</v>
      </c>
      <c r="N162" s="369" t="s">
        <v>2377</v>
      </c>
    </row>
    <row r="163" spans="1:14" ht="14.5" customHeight="1" outlineLevel="1">
      <c r="A163" s="59"/>
      <c r="B163" s="72">
        <f>VLOOKUP('Hours Detail'!E163,'BASE_FUNCOES (hide)'!A:W,5,FALSE)</f>
        <v>904</v>
      </c>
      <c r="C163" s="72" t="s">
        <v>5929</v>
      </c>
      <c r="D163" s="73" t="str">
        <f>IF('General Information'!$C$6="Português",VLOOKUP(B163,'ESTRUTURA_MODULO(hide)'!A:D,2,0),IF('General Information'!$C$6="English",VLOOKUP(B163,'ESTRUTURA_MODULO(hide)'!A:D,3,0),IF('General Information'!$C$6="Español",VLOOKUP(B163,'ESTRUTURA_MODULO(hide)'!A:D,4,0))))</f>
        <v>Medicina Preventiva</v>
      </c>
      <c r="E163" s="254">
        <v>10160</v>
      </c>
      <c r="F163" s="73" t="str">
        <f>IF('General Information'!$C$6="Português",VLOOKUP(E163,'BASE_FUNCOES (hide)'!A:H,2,0),IF('General Information'!$C$6="English",VLOOKUP(E163,'BASE_FUNCOES (hide)'!A:H,3,0),IF('General Information'!$C$6="Español",VLOOKUP(E163,'BASE_FUNCOES (hide)'!A:H,4,0))))</f>
        <v>HDM - Atendimento</v>
      </c>
      <c r="G163" s="73" t="str">
        <f>IF(AND('General Information'!$D$16=1,VLOOKUP(B163,Modules!$B$5:$E$496,4,0)=1)=TRUE,VLOOKUP('Hours Detail'!E163,'BASE_FUNCOES (hide)'!$A:$V,10,0),IF(AND('General Information'!$D$16=2,VLOOKUP(B163,Modules!$B$5:$E$496,4,0)=1)=TRUE,VLOOKUP('Hours Detail'!E163,'BASE_FUNCOES (hide)'!$A:$V,11,0),IF(AND('General Information'!$D$16=3,VLOOKUP(B163,Modules!$B$5:$E$496,4,0)=1)=TRUE,VLOOKUP('Hours Detail'!E163,'BASE_FUNCOES (hide)'!$A:$V,12,0),IF(AND('General Information'!$D$16=4,VLOOKUP(B163,Modules!$B$5:$E$496,4,0)=1)=TRUE,VLOOKUP('Hours Detail'!E163,'BASE_FUNCOES (hide)'!$A:$V,13,0),IF(AND('General Information'!$D$16=5,VLOOKUP(B163,Modules!$B$5:$E$496,4,0)=1)=TRUE,VLOOKUP('Hours Detail'!E163,'BASE_FUNCOES (hide)'!$A:$V,14,0),  IF(AND('General Information'!$D$16=6,VLOOKUP(B163,Modules!$B$5:$E$496,4,0)=1)=TRUE,VLOOKUP('Hours Detail'!E163,'BASE_FUNCOES (hide)'!$A:$V,15,0),"No"))))))</f>
        <v>No</v>
      </c>
      <c r="H163" s="22" t="str">
        <f t="shared" si="4"/>
        <v>No</v>
      </c>
      <c r="I163" s="75">
        <f>IF('General Information'!$C$4="Mexico",(ROUNDUP(VLOOKUP(E163,'BASE_FUNCOES (hide)'!A:X,21,0),0)),(ROUNDUP(VLOOKUP(E163,'BASE_FUNCOES (hide)'!A:L,9,0),0)))</f>
        <v>16</v>
      </c>
      <c r="J163" s="75">
        <f>ROUNDUP(SUMIF(Questions!$E$5:$E$558,'Hours Detail'!E163,Questions!$F$5:$F$558),0)</f>
        <v>0</v>
      </c>
      <c r="K163" s="76">
        <f>IF(H163="Yes",ROUNDUP(IF(VLOOKUP(E163,'BASE_FUNCOES (hide)'!A:T,16,FALSE)&lt;&gt;"No",IF('General Information'!$C$19="HTML5",(I163+J163)*'BASE_FUNCOES (hide)'!$T$2,I163+J163),I163+J163),I163+J163),I163+J163)</f>
        <v>16</v>
      </c>
      <c r="L163" s="265" t="str">
        <f>IF(OR(E163=121,E163=88,E163=2682,E163=2703,E163=2687,E163=2689,E163=2681,E163=2685)=FALSE,"",IF('General Information'!$C$19="HTML5","FUNÇÃO DISPONÍVEL APENAS PARA BRASIL",IF(J164&lt;&gt;0,VLOOKUP(E164,Questions!$E$5:$L$568,5,0),"")))</f>
        <v/>
      </c>
      <c r="M163" s="164" t="s">
        <v>2396</v>
      </c>
      <c r="N163" s="369" t="s">
        <v>2377</v>
      </c>
    </row>
    <row r="164" spans="1:14" ht="14.5" customHeight="1" outlineLevel="1">
      <c r="A164" s="59"/>
      <c r="B164" s="72">
        <f>VLOOKUP('Hours Detail'!E164,'BASE_FUNCOES (hide)'!A:W,5,FALSE)</f>
        <v>904</v>
      </c>
      <c r="C164" s="72" t="s">
        <v>5929</v>
      </c>
      <c r="D164" s="73" t="str">
        <f>IF('General Information'!$C$6="Português",VLOOKUP(B164,'ESTRUTURA_MODULO(hide)'!A:D,2,0),IF('General Information'!$C$6="English",VLOOKUP(B164,'ESTRUTURA_MODULO(hide)'!A:D,3,0),IF('General Information'!$C$6="Español",VLOOKUP(B164,'ESTRUTURA_MODULO(hide)'!A:D,4,0))))</f>
        <v>Medicina Preventiva</v>
      </c>
      <c r="E164" s="254">
        <v>10150</v>
      </c>
      <c r="F164" s="73" t="str">
        <f>IF('General Information'!$C$6="Português",VLOOKUP(E164,'BASE_FUNCOES (hide)'!A:H,2,0),IF('General Information'!$C$6="English",VLOOKUP(E164,'BASE_FUNCOES (hide)'!A:H,3,0),IF('General Information'!$C$6="Español",VLOOKUP(E164,'BASE_FUNCOES (hide)'!A:H,4,0))))</f>
        <v>HDM - Cadastros Gerais</v>
      </c>
      <c r="G164" s="73" t="str">
        <f>IF(AND('General Information'!$D$16=1,VLOOKUP(B164,Modules!$B$5:$E$496,4,0)=1)=TRUE,VLOOKUP('Hours Detail'!E164,'BASE_FUNCOES (hide)'!$A:$V,10,0),IF(AND('General Information'!$D$16=2,VLOOKUP(B164,Modules!$B$5:$E$496,4,0)=1)=TRUE,VLOOKUP('Hours Detail'!E164,'BASE_FUNCOES (hide)'!$A:$V,11,0),IF(AND('General Information'!$D$16=3,VLOOKUP(B164,Modules!$B$5:$E$496,4,0)=1)=TRUE,VLOOKUP('Hours Detail'!E164,'BASE_FUNCOES (hide)'!$A:$V,12,0),IF(AND('General Information'!$D$16=4,VLOOKUP(B164,Modules!$B$5:$E$496,4,0)=1)=TRUE,VLOOKUP('Hours Detail'!E164,'BASE_FUNCOES (hide)'!$A:$V,13,0),IF(AND('General Information'!$D$16=5,VLOOKUP(B164,Modules!$B$5:$E$496,4,0)=1)=TRUE,VLOOKUP('Hours Detail'!E164,'BASE_FUNCOES (hide)'!$A:$V,14,0),  IF(AND('General Information'!$D$16=6,VLOOKUP(B164,Modules!$B$5:$E$496,4,0)=1)=TRUE,VLOOKUP('Hours Detail'!E164,'BASE_FUNCOES (hide)'!$A:$V,15,0),"No"))))))</f>
        <v>No</v>
      </c>
      <c r="H164" s="22" t="str">
        <f t="shared" si="4"/>
        <v>No</v>
      </c>
      <c r="I164" s="75">
        <f>IF('General Information'!$C$4="Mexico",(ROUNDUP(VLOOKUP(E164,'BASE_FUNCOES (hide)'!A:X,21,0),0)),(ROUNDUP(VLOOKUP(E164,'BASE_FUNCOES (hide)'!A:L,9,0),0)))</f>
        <v>12</v>
      </c>
      <c r="J164" s="75">
        <f>ROUNDUP(SUMIF(Questions!$E$5:$E$558,'Hours Detail'!E164,Questions!$F$5:$F$558),0)</f>
        <v>0</v>
      </c>
      <c r="K164" s="76">
        <f>IF(H164="Yes",ROUNDUP(IF(VLOOKUP(E164,'BASE_FUNCOES (hide)'!A:T,16,FALSE)&lt;&gt;"No",IF('General Information'!$C$19="HTML5",(I164+J164)*'BASE_FUNCOES (hide)'!$T$2,I164+J164),I164+J164),I164+J164),I164+J164)</f>
        <v>12</v>
      </c>
      <c r="L164" s="265" t="str">
        <f>IF(OR(E164=121,E164=88,E164=2682,E164=2703,E164=2687,E164=2689,E164=2681,E164=2685)=FALSE,"",IF('General Information'!$C$19="HTML5","FUNÇÃO DISPONÍVEL APENAS PARA BRASIL",IF(J165&lt;&gt;0,VLOOKUP(E165,Questions!$E$5:$L$568,5,0),"")))</f>
        <v/>
      </c>
      <c r="M164" s="164" t="s">
        <v>2396</v>
      </c>
      <c r="N164" s="369" t="s">
        <v>2377</v>
      </c>
    </row>
    <row r="165" spans="1:14" ht="14.5" customHeight="1" outlineLevel="1">
      <c r="A165" s="59"/>
      <c r="B165" s="72">
        <f>VLOOKUP('Hours Detail'!E165,'BASE_FUNCOES (hide)'!A:W,5,FALSE)</f>
        <v>904</v>
      </c>
      <c r="C165" s="72" t="s">
        <v>5929</v>
      </c>
      <c r="D165" s="73" t="str">
        <f>IF('General Information'!$C$6="Português",VLOOKUP(B165,'ESTRUTURA_MODULO(hide)'!A:D,2,0),IF('General Information'!$C$6="English",VLOOKUP(B165,'ESTRUTURA_MODULO(hide)'!A:D,3,0),IF('General Information'!$C$6="Español",VLOOKUP(B165,'ESTRUTURA_MODULO(hide)'!A:D,4,0))))</f>
        <v>Medicina Preventiva</v>
      </c>
      <c r="E165" s="254">
        <v>10155</v>
      </c>
      <c r="F165" s="73" t="str">
        <f>IF('General Information'!$C$6="Português",VLOOKUP(E165,'BASE_FUNCOES (hide)'!A:H,2,0),IF('General Information'!$C$6="English",VLOOKUP(E165,'BASE_FUNCOES (hide)'!A:H,3,0),IF('General Information'!$C$6="Español",VLOOKUP(E165,'BASE_FUNCOES (hide)'!A:H,4,0))))</f>
        <v>HDM - Captação</v>
      </c>
      <c r="G165" s="73" t="str">
        <f>IF(AND('General Information'!$D$16=1,VLOOKUP(B165,Modules!$B$5:$E$496,4,0)=1)=TRUE,VLOOKUP('Hours Detail'!E165,'BASE_FUNCOES (hide)'!$A:$V,10,0),IF(AND('General Information'!$D$16=2,VLOOKUP(B165,Modules!$B$5:$E$496,4,0)=1)=TRUE,VLOOKUP('Hours Detail'!E165,'BASE_FUNCOES (hide)'!$A:$V,11,0),IF(AND('General Information'!$D$16=3,VLOOKUP(B165,Modules!$B$5:$E$496,4,0)=1)=TRUE,VLOOKUP('Hours Detail'!E165,'BASE_FUNCOES (hide)'!$A:$V,12,0),IF(AND('General Information'!$D$16=4,VLOOKUP(B165,Modules!$B$5:$E$496,4,0)=1)=TRUE,VLOOKUP('Hours Detail'!E165,'BASE_FUNCOES (hide)'!$A:$V,13,0),IF(AND('General Information'!$D$16=5,VLOOKUP(B165,Modules!$B$5:$E$496,4,0)=1)=TRUE,VLOOKUP('Hours Detail'!E165,'BASE_FUNCOES (hide)'!$A:$V,14,0),  IF(AND('General Information'!$D$16=6,VLOOKUP(B165,Modules!$B$5:$E$496,4,0)=1)=TRUE,VLOOKUP('Hours Detail'!E165,'BASE_FUNCOES (hide)'!$A:$V,15,0),"No"))))))</f>
        <v>No</v>
      </c>
      <c r="H165" s="22" t="str">
        <f t="shared" si="4"/>
        <v>No</v>
      </c>
      <c r="I165" s="75">
        <f>IF('General Information'!$C$4="Mexico",(ROUNDUP(VLOOKUP(E165,'BASE_FUNCOES (hide)'!A:X,21,0),0)),(ROUNDUP(VLOOKUP(E165,'BASE_FUNCOES (hide)'!A:L,9,0),0)))</f>
        <v>16</v>
      </c>
      <c r="J165" s="75">
        <f>ROUNDUP(SUMIF(Questions!$E$5:$E$558,'Hours Detail'!E165,Questions!$F$5:$F$558),0)</f>
        <v>0</v>
      </c>
      <c r="K165" s="76">
        <f>IF(H165="Yes",ROUNDUP(IF(VLOOKUP(E165,'BASE_FUNCOES (hide)'!A:T,16,FALSE)&lt;&gt;"No",IF('General Information'!$C$19="HTML5",(I165+J165)*'BASE_FUNCOES (hide)'!$T$2,I165+J165),I165+J165),I165+J165),I165+J165)</f>
        <v>16</v>
      </c>
      <c r="L165" s="265" t="str">
        <f>IF(OR(E165=121,E165=88,E165=2682,E165=2703,E165=2687,E165=2689,E165=2681,E165=2685)=FALSE,"",IF('General Information'!$C$19="HTML5","FUNÇÃO DISPONÍVEL APENAS PARA BRASIL",IF(J166&lt;&gt;0,VLOOKUP(E166,Questions!$E$5:$L$568,5,0),"")))</f>
        <v/>
      </c>
      <c r="M165" s="164" t="s">
        <v>2396</v>
      </c>
      <c r="N165" s="369" t="s">
        <v>2377</v>
      </c>
    </row>
    <row r="166" spans="1:14" ht="14.5" customHeight="1" outlineLevel="1">
      <c r="A166" s="59"/>
      <c r="B166" s="72">
        <f>VLOOKUP('Hours Detail'!E166,'BASE_FUNCOES (hide)'!A:W,5,FALSE)</f>
        <v>904</v>
      </c>
      <c r="C166" s="72" t="s">
        <v>5929</v>
      </c>
      <c r="D166" s="73" t="str">
        <f>IF('General Information'!$C$6="Português",VLOOKUP(B166,'ESTRUTURA_MODULO(hide)'!A:D,2,0),IF('General Information'!$C$6="English",VLOOKUP(B166,'ESTRUTURA_MODULO(hide)'!A:D,3,0),IF('General Information'!$C$6="Español",VLOOKUP(B166,'ESTRUTURA_MODULO(hide)'!A:D,4,0))))</f>
        <v>Medicina Preventiva</v>
      </c>
      <c r="E166" s="254">
        <v>10200</v>
      </c>
      <c r="F166" s="73" t="str">
        <f>IF('General Information'!$C$6="Português",VLOOKUP(E166,'BASE_FUNCOES (hide)'!A:H,2,0),IF('General Information'!$C$6="English",VLOOKUP(E166,'BASE_FUNCOES (hide)'!A:H,3,0),IF('General Information'!$C$6="Español",VLOOKUP(E166,'BASE_FUNCOES (hide)'!A:H,4,0))))</f>
        <v>HDM - Configurações Gerais</v>
      </c>
      <c r="G166" s="73" t="str">
        <f>IF(AND('General Information'!$D$16=1,VLOOKUP(B166,Modules!$B$5:$E$496,4,0)=1)=TRUE,VLOOKUP('Hours Detail'!E166,'BASE_FUNCOES (hide)'!$A:$V,10,0),IF(AND('General Information'!$D$16=2,VLOOKUP(B166,Modules!$B$5:$E$496,4,0)=1)=TRUE,VLOOKUP('Hours Detail'!E166,'BASE_FUNCOES (hide)'!$A:$V,11,0),IF(AND('General Information'!$D$16=3,VLOOKUP(B166,Modules!$B$5:$E$496,4,0)=1)=TRUE,VLOOKUP('Hours Detail'!E166,'BASE_FUNCOES (hide)'!$A:$V,12,0),IF(AND('General Information'!$D$16=4,VLOOKUP(B166,Modules!$B$5:$E$496,4,0)=1)=TRUE,VLOOKUP('Hours Detail'!E166,'BASE_FUNCOES (hide)'!$A:$V,13,0),IF(AND('General Information'!$D$16=5,VLOOKUP(B166,Modules!$B$5:$E$496,4,0)=1)=TRUE,VLOOKUP('Hours Detail'!E166,'BASE_FUNCOES (hide)'!$A:$V,14,0),  IF(AND('General Information'!$D$16=6,VLOOKUP(B166,Modules!$B$5:$E$496,4,0)=1)=TRUE,VLOOKUP('Hours Detail'!E166,'BASE_FUNCOES (hide)'!$A:$V,15,0),"No"))))))</f>
        <v>No</v>
      </c>
      <c r="H166" s="22" t="str">
        <f t="shared" si="4"/>
        <v>No</v>
      </c>
      <c r="I166" s="75">
        <f>IF('General Information'!$C$4="Mexico",(ROUNDUP(VLOOKUP(E166,'BASE_FUNCOES (hide)'!A:X,21,0),0)),(ROUNDUP(VLOOKUP(E166,'BASE_FUNCOES (hide)'!A:L,9,0),0)))</f>
        <v>12</v>
      </c>
      <c r="J166" s="75">
        <f>ROUNDUP(SUMIF(Questions!$E$5:$E$558,'Hours Detail'!E166,Questions!$F$5:$F$558),0)</f>
        <v>0</v>
      </c>
      <c r="K166" s="76">
        <f>IF(H166="Yes",ROUNDUP(IF(VLOOKUP(E166,'BASE_FUNCOES (hide)'!A:T,16,FALSE)&lt;&gt;"No",IF('General Information'!$C$19="HTML5",(I166+J166)*'BASE_FUNCOES (hide)'!$T$2,I166+J166),I166+J166),I166+J166),I166+J166)</f>
        <v>12</v>
      </c>
      <c r="L166" s="265" t="str">
        <f>IF(OR(E166=121,E166=88,E166=2682,E166=2703,E166=2687,E166=2689,E166=2681,E166=2685)=FALSE,"",IF('General Information'!$C$19="HTML5","FUNÇÃO DISPONÍVEL APENAS PARA BRASIL",IF(J167&lt;&gt;0,VLOOKUP(E167,Questions!$E$5:$L$568,5,0),"")))</f>
        <v/>
      </c>
      <c r="M166" s="164" t="s">
        <v>2396</v>
      </c>
      <c r="N166" s="369" t="s">
        <v>2377</v>
      </c>
    </row>
    <row r="167" spans="1:14" ht="14.5" customHeight="1" outlineLevel="1">
      <c r="A167" s="59"/>
      <c r="B167" s="72">
        <f>VLOOKUP('Hours Detail'!E167,'BASE_FUNCOES (hide)'!A:W,5,FALSE)</f>
        <v>904</v>
      </c>
      <c r="C167" s="72" t="s">
        <v>5929</v>
      </c>
      <c r="D167" s="73" t="str">
        <f>IF('General Information'!$C$6="Português",VLOOKUP(B167,'ESTRUTURA_MODULO(hide)'!A:D,2,0),IF('General Information'!$C$6="English",VLOOKUP(B167,'ESTRUTURA_MODULO(hide)'!A:D,3,0),IF('General Information'!$C$6="Español",VLOOKUP(B167,'ESTRUTURA_MODULO(hide)'!A:D,4,0))))</f>
        <v>Medicina Preventiva</v>
      </c>
      <c r="E167" s="254">
        <v>10151</v>
      </c>
      <c r="F167" s="73" t="str">
        <f>IF('General Information'!$C$6="Português",VLOOKUP(E167,'BASE_FUNCOES (hide)'!A:H,2,0),IF('General Information'!$C$6="English",VLOOKUP(E167,'BASE_FUNCOES (hide)'!A:H,3,0),IF('General Information'!$C$6="Español",VLOOKUP(E167,'BASE_FUNCOES (hide)'!A:H,4,0))))</f>
        <v>HDM - Controle de Campanhas</v>
      </c>
      <c r="G167" s="73" t="str">
        <f>IF(AND('General Information'!$D$16=1,VLOOKUP(B167,Modules!$B$5:$E$496,4,0)=1)=TRUE,VLOOKUP('Hours Detail'!E167,'BASE_FUNCOES (hide)'!$A:$V,10,0),IF(AND('General Information'!$D$16=2,VLOOKUP(B167,Modules!$B$5:$E$496,4,0)=1)=TRUE,VLOOKUP('Hours Detail'!E167,'BASE_FUNCOES (hide)'!$A:$V,11,0),IF(AND('General Information'!$D$16=3,VLOOKUP(B167,Modules!$B$5:$E$496,4,0)=1)=TRUE,VLOOKUP('Hours Detail'!E167,'BASE_FUNCOES (hide)'!$A:$V,12,0),IF(AND('General Information'!$D$16=4,VLOOKUP(B167,Modules!$B$5:$E$496,4,0)=1)=TRUE,VLOOKUP('Hours Detail'!E167,'BASE_FUNCOES (hide)'!$A:$V,13,0),IF(AND('General Information'!$D$16=5,VLOOKUP(B167,Modules!$B$5:$E$496,4,0)=1)=TRUE,VLOOKUP('Hours Detail'!E167,'BASE_FUNCOES (hide)'!$A:$V,14,0),  IF(AND('General Information'!$D$16=6,VLOOKUP(B167,Modules!$B$5:$E$496,4,0)=1)=TRUE,VLOOKUP('Hours Detail'!E167,'BASE_FUNCOES (hide)'!$A:$V,15,0),"No"))))))</f>
        <v>No</v>
      </c>
      <c r="H167" s="22" t="str">
        <f t="shared" si="4"/>
        <v>No</v>
      </c>
      <c r="I167" s="75">
        <f>IF('General Information'!$C$4="Mexico",(ROUNDUP(VLOOKUP(E167,'BASE_FUNCOES (hide)'!A:X,21,0),0)),(ROUNDUP(VLOOKUP(E167,'BASE_FUNCOES (hide)'!A:L,9,0),0)))</f>
        <v>16</v>
      </c>
      <c r="J167" s="75">
        <f>ROUNDUP(SUMIF(Questions!$E$5:$E$558,'Hours Detail'!E167,Questions!$F$5:$F$558),0)</f>
        <v>0</v>
      </c>
      <c r="K167" s="76">
        <f>IF(H167="Yes",ROUNDUP(IF(VLOOKUP(E167,'BASE_FUNCOES (hide)'!A:T,16,FALSE)&lt;&gt;"No",IF('General Information'!$C$19="HTML5",(I167+J167)*'BASE_FUNCOES (hide)'!$T$2,I167+J167),I167+J167),I167+J167),I167+J167)</f>
        <v>16</v>
      </c>
      <c r="L167" s="265" t="str">
        <f>IF(OR(E167=121,E167=88,E167=2682,E167=2703,E167=2687,E167=2689,E167=2681,E167=2685)=FALSE,"",IF('General Information'!$C$19="HTML5","FUNÇÃO DISPONÍVEL APENAS PARA BRASIL",IF(J168&lt;&gt;0,VLOOKUP(E168,Questions!$E$5:$L$568,5,0),"")))</f>
        <v/>
      </c>
      <c r="M167" s="164" t="s">
        <v>2396</v>
      </c>
      <c r="N167" s="369" t="s">
        <v>2377</v>
      </c>
    </row>
    <row r="168" spans="1:14" ht="14.5" customHeight="1" outlineLevel="1">
      <c r="A168" s="59"/>
      <c r="B168" s="72">
        <f>VLOOKUP('Hours Detail'!E168,'BASE_FUNCOES (hide)'!A:W,5,FALSE)</f>
        <v>904</v>
      </c>
      <c r="C168" s="72" t="s">
        <v>5929</v>
      </c>
      <c r="D168" s="73" t="str">
        <f>IF('General Information'!$C$6="Português",VLOOKUP(B168,'ESTRUTURA_MODULO(hide)'!A:D,2,0),IF('General Information'!$C$6="English",VLOOKUP(B168,'ESTRUTURA_MODULO(hide)'!A:D,3,0),IF('General Information'!$C$6="Español",VLOOKUP(B168,'ESTRUTURA_MODULO(hide)'!A:D,4,0))))</f>
        <v>Medicina Preventiva</v>
      </c>
      <c r="E168" s="254">
        <v>10153</v>
      </c>
      <c r="F168" s="73" t="str">
        <f>IF('General Information'!$C$6="Português",VLOOKUP(E168,'BASE_FUNCOES (hide)'!A:H,2,0),IF('General Information'!$C$6="English",VLOOKUP(E168,'BASE_FUNCOES (hide)'!A:H,3,0),IF('General Information'!$C$6="Español",VLOOKUP(E168,'BASE_FUNCOES (hide)'!A:H,4,0))))</f>
        <v>HDM - Controle de Equipes e Papéis</v>
      </c>
      <c r="G168" s="73" t="str">
        <f>IF(AND('General Information'!$D$16=1,VLOOKUP(B168,Modules!$B$5:$E$496,4,0)=1)=TRUE,VLOOKUP('Hours Detail'!E168,'BASE_FUNCOES (hide)'!$A:$V,10,0),IF(AND('General Information'!$D$16=2,VLOOKUP(B168,Modules!$B$5:$E$496,4,0)=1)=TRUE,VLOOKUP('Hours Detail'!E168,'BASE_FUNCOES (hide)'!$A:$V,11,0),IF(AND('General Information'!$D$16=3,VLOOKUP(B168,Modules!$B$5:$E$496,4,0)=1)=TRUE,VLOOKUP('Hours Detail'!E168,'BASE_FUNCOES (hide)'!$A:$V,12,0),IF(AND('General Information'!$D$16=4,VLOOKUP(B168,Modules!$B$5:$E$496,4,0)=1)=TRUE,VLOOKUP('Hours Detail'!E168,'BASE_FUNCOES (hide)'!$A:$V,13,0),IF(AND('General Information'!$D$16=5,VLOOKUP(B168,Modules!$B$5:$E$496,4,0)=1)=TRUE,VLOOKUP('Hours Detail'!E168,'BASE_FUNCOES (hide)'!$A:$V,14,0),  IF(AND('General Information'!$D$16=6,VLOOKUP(B168,Modules!$B$5:$E$496,4,0)=1)=TRUE,VLOOKUP('Hours Detail'!E168,'BASE_FUNCOES (hide)'!$A:$V,15,0),"No"))))))</f>
        <v>No</v>
      </c>
      <c r="H168" s="22" t="str">
        <f t="shared" si="4"/>
        <v>No</v>
      </c>
      <c r="I168" s="75">
        <f>IF('General Information'!$C$4="Mexico",(ROUNDUP(VLOOKUP(E168,'BASE_FUNCOES (hide)'!A:X,21,0),0)),(ROUNDUP(VLOOKUP(E168,'BASE_FUNCOES (hide)'!A:L,9,0),0)))</f>
        <v>12</v>
      </c>
      <c r="J168" s="75">
        <f>ROUNDUP(SUMIF(Questions!$E$5:$E$558,'Hours Detail'!E168,Questions!$F$5:$F$558),0)</f>
        <v>0</v>
      </c>
      <c r="K168" s="76">
        <f>IF(H168="Yes",ROUNDUP(IF(VLOOKUP(E168,'BASE_FUNCOES (hide)'!A:T,16,FALSE)&lt;&gt;"No",IF('General Information'!$C$19="HTML5",(I168+J168)*'BASE_FUNCOES (hide)'!$T$2,I168+J168),I168+J168),I168+J168),I168+J168)</f>
        <v>12</v>
      </c>
      <c r="L168" s="265" t="str">
        <f>IF(OR(E168=121,E168=88,E168=2682,E168=2703,E168=2687,E168=2689,E168=2681,E168=2685)=FALSE,"",IF('General Information'!$C$19="HTML5","FUNÇÃO DISPONÍVEL APENAS PARA BRASIL",IF(J169&lt;&gt;0,VLOOKUP(E169,Questions!$E$5:$L$568,5,0),"")))</f>
        <v/>
      </c>
      <c r="M168" s="164" t="s">
        <v>2396</v>
      </c>
      <c r="N168" s="369" t="s">
        <v>2377</v>
      </c>
    </row>
    <row r="169" spans="1:14" ht="14.5" customHeight="1" outlineLevel="1">
      <c r="A169" s="59"/>
      <c r="B169" s="72">
        <f>VLOOKUP('Hours Detail'!E169,'BASE_FUNCOES (hide)'!A:W,5,FALSE)</f>
        <v>904</v>
      </c>
      <c r="C169" s="72" t="s">
        <v>5929</v>
      </c>
      <c r="D169" s="73" t="str">
        <f>IF('General Information'!$C$6="Português",VLOOKUP(B169,'ESTRUTURA_MODULO(hide)'!A:D,2,0),IF('General Information'!$C$6="English",VLOOKUP(B169,'ESTRUTURA_MODULO(hide)'!A:D,3,0),IF('General Information'!$C$6="Español",VLOOKUP(B169,'ESTRUTURA_MODULO(hide)'!A:D,4,0))))</f>
        <v>Medicina Preventiva</v>
      </c>
      <c r="E169" s="254">
        <v>10157</v>
      </c>
      <c r="F169" s="73" t="str">
        <f>IF('General Information'!$C$6="Português",VLOOKUP(E169,'BASE_FUNCOES (hide)'!A:H,2,0),IF('General Information'!$C$6="English",VLOOKUP(E169,'BASE_FUNCOES (hide)'!A:H,3,0),IF('General Information'!$C$6="Español",VLOOKUP(E169,'BASE_FUNCOES (hide)'!A:H,4,0))))</f>
        <v>HDM - Controle de Participantes</v>
      </c>
      <c r="G169" s="73" t="str">
        <f>IF(AND('General Information'!$D$16=1,VLOOKUP(B169,Modules!$B$5:$E$496,4,0)=1)=TRUE,VLOOKUP('Hours Detail'!E169,'BASE_FUNCOES (hide)'!$A:$V,10,0),IF(AND('General Information'!$D$16=2,VLOOKUP(B169,Modules!$B$5:$E$496,4,0)=1)=TRUE,VLOOKUP('Hours Detail'!E169,'BASE_FUNCOES (hide)'!$A:$V,11,0),IF(AND('General Information'!$D$16=3,VLOOKUP(B169,Modules!$B$5:$E$496,4,0)=1)=TRUE,VLOOKUP('Hours Detail'!E169,'BASE_FUNCOES (hide)'!$A:$V,12,0),IF(AND('General Information'!$D$16=4,VLOOKUP(B169,Modules!$B$5:$E$496,4,0)=1)=TRUE,VLOOKUP('Hours Detail'!E169,'BASE_FUNCOES (hide)'!$A:$V,13,0),IF(AND('General Information'!$D$16=5,VLOOKUP(B169,Modules!$B$5:$E$496,4,0)=1)=TRUE,VLOOKUP('Hours Detail'!E169,'BASE_FUNCOES (hide)'!$A:$V,14,0),  IF(AND('General Information'!$D$16=6,VLOOKUP(B169,Modules!$B$5:$E$496,4,0)=1)=TRUE,VLOOKUP('Hours Detail'!E169,'BASE_FUNCOES (hide)'!$A:$V,15,0),"No"))))))</f>
        <v>No</v>
      </c>
      <c r="H169" s="22" t="str">
        <f t="shared" si="4"/>
        <v>No</v>
      </c>
      <c r="I169" s="75">
        <f>IF('General Information'!$C$4="Mexico",(ROUNDUP(VLOOKUP(E169,'BASE_FUNCOES (hide)'!A:X,21,0),0)),(ROUNDUP(VLOOKUP(E169,'BASE_FUNCOES (hide)'!A:L,9,0),0)))</f>
        <v>12</v>
      </c>
      <c r="J169" s="75">
        <f>ROUNDUP(SUMIF(Questions!$E$5:$E$558,'Hours Detail'!E169,Questions!$F$5:$F$558),0)</f>
        <v>0</v>
      </c>
      <c r="K169" s="76">
        <f>IF(H169="Yes",ROUNDUP(IF(VLOOKUP(E169,'BASE_FUNCOES (hide)'!A:T,16,FALSE)&lt;&gt;"No",IF('General Information'!$C$19="HTML5",(I169+J169)*'BASE_FUNCOES (hide)'!$T$2,I169+J169),I169+J169),I169+J169),I169+J169)</f>
        <v>12</v>
      </c>
      <c r="L169" s="265" t="str">
        <f>IF(OR(E169=121,E169=88,E169=2682,E169=2703,E169=2687,E169=2689,E169=2681,E169=2685)=FALSE,"",IF('General Information'!$C$19="HTML5","FUNÇÃO DISPONÍVEL APENAS PARA BRASIL",IF(J170&lt;&gt;0,VLOOKUP(E170,Questions!$E$5:$L$568,5,0),"")))</f>
        <v/>
      </c>
      <c r="M169" s="164" t="s">
        <v>2396</v>
      </c>
      <c r="N169" s="369" t="s">
        <v>2377</v>
      </c>
    </row>
    <row r="170" spans="1:14" ht="14.5" customHeight="1" outlineLevel="1">
      <c r="A170" s="59"/>
      <c r="B170" s="72">
        <f>VLOOKUP('Hours Detail'!E170,'BASE_FUNCOES (hide)'!A:W,5,FALSE)</f>
        <v>904</v>
      </c>
      <c r="C170" s="72" t="s">
        <v>5929</v>
      </c>
      <c r="D170" s="73" t="str">
        <f>IF('General Information'!$C$6="Português",VLOOKUP(B170,'ESTRUTURA_MODULO(hide)'!A:D,2,0),IF('General Information'!$C$6="English",VLOOKUP(B170,'ESTRUTURA_MODULO(hide)'!A:D,3,0),IF('General Information'!$C$6="Español",VLOOKUP(B170,'ESTRUTURA_MODULO(hide)'!A:D,4,0))))</f>
        <v>Medicina Preventiva</v>
      </c>
      <c r="E170" s="254">
        <v>10154</v>
      </c>
      <c r="F170" s="73" t="str">
        <f>IF('General Information'!$C$6="Português",VLOOKUP(E170,'BASE_FUNCOES (hide)'!A:H,2,0),IF('General Information'!$C$6="English",VLOOKUP(E170,'BASE_FUNCOES (hide)'!A:H,3,0),IF('General Information'!$C$6="Español",VLOOKUP(E170,'BASE_FUNCOES (hide)'!A:H,4,0))))</f>
        <v>HDM - Grupos de Atendimento Coletivo</v>
      </c>
      <c r="G170" s="73" t="str">
        <f>IF(AND('General Information'!$D$16=1,VLOOKUP(B170,Modules!$B$5:$E$496,4,0)=1)=TRUE,VLOOKUP('Hours Detail'!E170,'BASE_FUNCOES (hide)'!$A:$V,10,0),IF(AND('General Information'!$D$16=2,VLOOKUP(B170,Modules!$B$5:$E$496,4,0)=1)=TRUE,VLOOKUP('Hours Detail'!E170,'BASE_FUNCOES (hide)'!$A:$V,11,0),IF(AND('General Information'!$D$16=3,VLOOKUP(B170,Modules!$B$5:$E$496,4,0)=1)=TRUE,VLOOKUP('Hours Detail'!E170,'BASE_FUNCOES (hide)'!$A:$V,12,0),IF(AND('General Information'!$D$16=4,VLOOKUP(B170,Modules!$B$5:$E$496,4,0)=1)=TRUE,VLOOKUP('Hours Detail'!E170,'BASE_FUNCOES (hide)'!$A:$V,13,0),IF(AND('General Information'!$D$16=5,VLOOKUP(B170,Modules!$B$5:$E$496,4,0)=1)=TRUE,VLOOKUP('Hours Detail'!E170,'BASE_FUNCOES (hide)'!$A:$V,14,0),  IF(AND('General Information'!$D$16=6,VLOOKUP(B170,Modules!$B$5:$E$496,4,0)=1)=TRUE,VLOOKUP('Hours Detail'!E170,'BASE_FUNCOES (hide)'!$A:$V,15,0),"No"))))))</f>
        <v>No</v>
      </c>
      <c r="H170" s="22" t="str">
        <f t="shared" si="4"/>
        <v>No</v>
      </c>
      <c r="I170" s="75">
        <f>IF('General Information'!$C$4="Mexico",(ROUNDUP(VLOOKUP(E170,'BASE_FUNCOES (hide)'!A:X,21,0),0)),(ROUNDUP(VLOOKUP(E170,'BASE_FUNCOES (hide)'!A:L,9,0),0)))</f>
        <v>12</v>
      </c>
      <c r="J170" s="75">
        <f>ROUNDUP(SUMIF(Questions!$E$5:$E$558,'Hours Detail'!E170,Questions!$F$5:$F$558),0)</f>
        <v>0</v>
      </c>
      <c r="K170" s="76">
        <f>IF(H170="Yes",ROUNDUP(IF(VLOOKUP(E170,'BASE_FUNCOES (hide)'!A:T,16,FALSE)&lt;&gt;"No",IF('General Information'!$C$19="HTML5",(I170+J170)*'BASE_FUNCOES (hide)'!$T$2,I170+J170),I170+J170),I170+J170),I170+J170)</f>
        <v>12</v>
      </c>
      <c r="L170" s="265" t="str">
        <f>IF(OR(E170=121,E170=88,E170=2682,E170=2703,E170=2687,E170=2689,E170=2681,E170=2685)=FALSE,"",IF('General Information'!$C$19="HTML5","FUNÇÃO DISPONÍVEL APENAS PARA BRASIL",IF(J171&lt;&gt;0,VLOOKUP(E171,Questions!$E$5:$L$568,5,0),"")))</f>
        <v/>
      </c>
      <c r="M170" s="164" t="s">
        <v>2396</v>
      </c>
      <c r="N170" s="369" t="s">
        <v>2377</v>
      </c>
    </row>
    <row r="171" spans="1:14" ht="14.5" customHeight="1" outlineLevel="1">
      <c r="A171" s="59"/>
      <c r="B171" s="72">
        <f>VLOOKUP('Hours Detail'!E171,'BASE_FUNCOES (hide)'!A:W,5,FALSE)</f>
        <v>904</v>
      </c>
      <c r="C171" s="72" t="s">
        <v>5929</v>
      </c>
      <c r="D171" s="73" t="str">
        <f>IF('General Information'!$C$6="Português",VLOOKUP(B171,'ESTRUTURA_MODULO(hide)'!A:D,2,0),IF('General Information'!$C$6="English",VLOOKUP(B171,'ESTRUTURA_MODULO(hide)'!A:D,3,0),IF('General Information'!$C$6="Español",VLOOKUP(B171,'ESTRUTURA_MODULO(hide)'!A:D,4,0))))</f>
        <v>Medicina Preventiva</v>
      </c>
      <c r="E171" s="254">
        <v>10156</v>
      </c>
      <c r="F171" s="73" t="str">
        <f>IF('General Information'!$C$6="Português",VLOOKUP(E171,'BASE_FUNCOES (hide)'!A:H,2,0),IF('General Information'!$C$6="English",VLOOKUP(E171,'BASE_FUNCOES (hide)'!A:H,3,0),IF('General Information'!$C$6="Español",VLOOKUP(E171,'BASE_FUNCOES (hide)'!A:H,4,0))))</f>
        <v>HDM - Pesquisa de População Alvo</v>
      </c>
      <c r="G171" s="73" t="str">
        <f>IF(AND('General Information'!$D$16=1,VLOOKUP(B171,Modules!$B$5:$E$496,4,0)=1)=TRUE,VLOOKUP('Hours Detail'!E171,'BASE_FUNCOES (hide)'!$A:$V,10,0),IF(AND('General Information'!$D$16=2,VLOOKUP(B171,Modules!$B$5:$E$496,4,0)=1)=TRUE,VLOOKUP('Hours Detail'!E171,'BASE_FUNCOES (hide)'!$A:$V,11,0),IF(AND('General Information'!$D$16=3,VLOOKUP(B171,Modules!$B$5:$E$496,4,0)=1)=TRUE,VLOOKUP('Hours Detail'!E171,'BASE_FUNCOES (hide)'!$A:$V,12,0),IF(AND('General Information'!$D$16=4,VLOOKUP(B171,Modules!$B$5:$E$496,4,0)=1)=TRUE,VLOOKUP('Hours Detail'!E171,'BASE_FUNCOES (hide)'!$A:$V,13,0),IF(AND('General Information'!$D$16=5,VLOOKUP(B171,Modules!$B$5:$E$496,4,0)=1)=TRUE,VLOOKUP('Hours Detail'!E171,'BASE_FUNCOES (hide)'!$A:$V,14,0),  IF(AND('General Information'!$D$16=6,VLOOKUP(B171,Modules!$B$5:$E$496,4,0)=1)=TRUE,VLOOKUP('Hours Detail'!E171,'BASE_FUNCOES (hide)'!$A:$V,15,0),"No"))))))</f>
        <v>No</v>
      </c>
      <c r="H171" s="22" t="str">
        <f t="shared" si="4"/>
        <v>No</v>
      </c>
      <c r="I171" s="75">
        <f>IF('General Information'!$C$4="Mexico",(ROUNDUP(VLOOKUP(E171,'BASE_FUNCOES (hide)'!A:X,21,0),0)),(ROUNDUP(VLOOKUP(E171,'BASE_FUNCOES (hide)'!A:L,9,0),0)))</f>
        <v>16</v>
      </c>
      <c r="J171" s="75">
        <f>ROUNDUP(SUMIF(Questions!$E$5:$E$558,'Hours Detail'!E171,Questions!$F$5:$F$558),0)</f>
        <v>0</v>
      </c>
      <c r="K171" s="76">
        <f>IF(H171="Yes",ROUNDUP(IF(VLOOKUP(E171,'BASE_FUNCOES (hide)'!A:T,16,FALSE)&lt;&gt;"No",IF('General Information'!$C$19="HTML5",(I171+J171)*'BASE_FUNCOES (hide)'!$T$2,I171+J171),I171+J171),I171+J171),I171+J171)</f>
        <v>16</v>
      </c>
      <c r="L171" s="265" t="str">
        <f>IF(OR(E171=121,E171=88,E171=2682,E171=2703,E171=2687,E171=2689,E171=2681,E171=2685)=FALSE,"",IF('General Information'!$C$19="HTML5","FUNÇÃO DISPONÍVEL APENAS PARA BRASIL",IF(J172&lt;&gt;0,VLOOKUP(E172,Questions!$E$5:$L$568,5,0),"")))</f>
        <v/>
      </c>
      <c r="M171" s="164" t="s">
        <v>2396</v>
      </c>
      <c r="N171" s="369" t="s">
        <v>2377</v>
      </c>
    </row>
    <row r="172" spans="1:14" ht="14.5" customHeight="1" outlineLevel="1">
      <c r="A172" s="59"/>
      <c r="B172" s="72">
        <f>VLOOKUP('Hours Detail'!E172,'BASE_FUNCOES (hide)'!A:W,5,FALSE)</f>
        <v>904</v>
      </c>
      <c r="C172" s="72" t="s">
        <v>5929</v>
      </c>
      <c r="D172" s="73" t="str">
        <f>IF('General Information'!$C$6="Português",VLOOKUP(B172,'ESTRUTURA_MODULO(hide)'!A:D,2,0),IF('General Information'!$C$6="English",VLOOKUP(B172,'ESTRUTURA_MODULO(hide)'!A:D,3,0),IF('General Information'!$C$6="Español",VLOOKUP(B172,'ESTRUTURA_MODULO(hide)'!A:D,4,0))))</f>
        <v>Medicina Preventiva</v>
      </c>
      <c r="E172" s="254">
        <v>10152</v>
      </c>
      <c r="F172" s="73" t="str">
        <f>IF('General Information'!$C$6="Português",VLOOKUP(E172,'BASE_FUNCOES (hide)'!A:H,2,0),IF('General Information'!$C$6="English",VLOOKUP(E172,'BASE_FUNCOES (hide)'!A:H,3,0),IF('General Information'!$C$6="Español",VLOOKUP(E172,'BASE_FUNCOES (hide)'!A:H,4,0))))</f>
        <v>HDM - Programas</v>
      </c>
      <c r="G172" s="73" t="str">
        <f>IF(AND('General Information'!$D$16=1,VLOOKUP(B172,Modules!$B$5:$E$496,4,0)=1)=TRUE,VLOOKUP('Hours Detail'!E172,'BASE_FUNCOES (hide)'!$A:$V,10,0),IF(AND('General Information'!$D$16=2,VLOOKUP(B172,Modules!$B$5:$E$496,4,0)=1)=TRUE,VLOOKUP('Hours Detail'!E172,'BASE_FUNCOES (hide)'!$A:$V,11,0),IF(AND('General Information'!$D$16=3,VLOOKUP(B172,Modules!$B$5:$E$496,4,0)=1)=TRUE,VLOOKUP('Hours Detail'!E172,'BASE_FUNCOES (hide)'!$A:$V,12,0),IF(AND('General Information'!$D$16=4,VLOOKUP(B172,Modules!$B$5:$E$496,4,0)=1)=TRUE,VLOOKUP('Hours Detail'!E172,'BASE_FUNCOES (hide)'!$A:$V,13,0),IF(AND('General Information'!$D$16=5,VLOOKUP(B172,Modules!$B$5:$E$496,4,0)=1)=TRUE,VLOOKUP('Hours Detail'!E172,'BASE_FUNCOES (hide)'!$A:$V,14,0),  IF(AND('General Information'!$D$16=6,VLOOKUP(B172,Modules!$B$5:$E$496,4,0)=1)=TRUE,VLOOKUP('Hours Detail'!E172,'BASE_FUNCOES (hide)'!$A:$V,15,0),"No"))))))</f>
        <v>No</v>
      </c>
      <c r="H172" s="22" t="str">
        <f t="shared" si="4"/>
        <v>No</v>
      </c>
      <c r="I172" s="75">
        <f>IF('General Information'!$C$4="Mexico",(ROUNDUP(VLOOKUP(E172,'BASE_FUNCOES (hide)'!A:X,21,0),0)),(ROUNDUP(VLOOKUP(E172,'BASE_FUNCOES (hide)'!A:L,9,0),0)))</f>
        <v>16</v>
      </c>
      <c r="J172" s="75">
        <f>ROUNDUP(SUMIF(Questions!$E$5:$E$558,'Hours Detail'!E172,Questions!$F$5:$F$558),0)</f>
        <v>0</v>
      </c>
      <c r="K172" s="76">
        <f>IF(H172="Yes",ROUNDUP(IF(VLOOKUP(E172,'BASE_FUNCOES (hide)'!A:T,16,FALSE)&lt;&gt;"No",IF('General Information'!$C$19="HTML5",(I172+J172)*'BASE_FUNCOES (hide)'!$T$2,I172+J172),I172+J172),I172+J172),I172+J172)</f>
        <v>16</v>
      </c>
      <c r="L172" s="265" t="str">
        <f>IF(OR(E172=121,E172=88,E172=2682,E172=2703,E172=2687,E172=2689,E172=2681,E172=2685)=FALSE,"",IF('General Information'!$C$19="HTML5","FUNÇÃO DISPONÍVEL APENAS PARA BRASIL",IF(J173&lt;&gt;0,VLOOKUP(E173,Questions!$E$5:$L$568,5,0),"")))</f>
        <v/>
      </c>
      <c r="M172" s="164" t="s">
        <v>2396</v>
      </c>
      <c r="N172" s="369" t="s">
        <v>2377</v>
      </c>
    </row>
    <row r="173" spans="1:14" ht="14.5" customHeight="1" outlineLevel="1">
      <c r="A173" s="59"/>
      <c r="B173" s="72">
        <f>VLOOKUP('Hours Detail'!E173,'BASE_FUNCOES (hide)'!A:W,5,FALSE)</f>
        <v>904</v>
      </c>
      <c r="C173" s="72" t="s">
        <v>5929</v>
      </c>
      <c r="D173" s="73" t="str">
        <f>IF('General Information'!$C$6="Português",VLOOKUP(B173,'ESTRUTURA_MODULO(hide)'!A:D,2,0),IF('General Information'!$C$6="English",VLOOKUP(B173,'ESTRUTURA_MODULO(hide)'!A:D,3,0),IF('General Information'!$C$6="Español",VLOOKUP(B173,'ESTRUTURA_MODULO(hide)'!A:D,4,0))))</f>
        <v>Medicina Preventiva</v>
      </c>
      <c r="E173" s="254">
        <v>10161</v>
      </c>
      <c r="F173" s="73" t="str">
        <f>IF('General Information'!$C$6="Português",VLOOKUP(E173,'BASE_FUNCOES (hide)'!A:H,2,0),IF('General Information'!$C$6="English",VLOOKUP(E173,'BASE_FUNCOES (hide)'!A:H,3,0),IF('General Information'!$C$6="Español",VLOOKUP(E173,'BASE_FUNCOES (hide)'!A:H,4,0))))</f>
        <v>HDM - Telemonitoramento</v>
      </c>
      <c r="G173" s="73" t="str">
        <f>IF(AND('General Information'!$D$16=1,VLOOKUP(B173,Modules!$B$5:$E$496,4,0)=1)=TRUE,VLOOKUP('Hours Detail'!E173,'BASE_FUNCOES (hide)'!$A:$V,10,0),IF(AND('General Information'!$D$16=2,VLOOKUP(B173,Modules!$B$5:$E$496,4,0)=1)=TRUE,VLOOKUP('Hours Detail'!E173,'BASE_FUNCOES (hide)'!$A:$V,11,0),IF(AND('General Information'!$D$16=3,VLOOKUP(B173,Modules!$B$5:$E$496,4,0)=1)=TRUE,VLOOKUP('Hours Detail'!E173,'BASE_FUNCOES (hide)'!$A:$V,12,0),IF(AND('General Information'!$D$16=4,VLOOKUP(B173,Modules!$B$5:$E$496,4,0)=1)=TRUE,VLOOKUP('Hours Detail'!E173,'BASE_FUNCOES (hide)'!$A:$V,13,0),IF(AND('General Information'!$D$16=5,VLOOKUP(B173,Modules!$B$5:$E$496,4,0)=1)=TRUE,VLOOKUP('Hours Detail'!E173,'BASE_FUNCOES (hide)'!$A:$V,14,0),  IF(AND('General Information'!$D$16=6,VLOOKUP(B173,Modules!$B$5:$E$496,4,0)=1)=TRUE,VLOOKUP('Hours Detail'!E173,'BASE_FUNCOES (hide)'!$A:$V,15,0),"No"))))))</f>
        <v>No</v>
      </c>
      <c r="H173" s="22" t="str">
        <f t="shared" si="4"/>
        <v>No</v>
      </c>
      <c r="I173" s="75">
        <f>IF('General Information'!$C$4="Mexico",(ROUNDUP(VLOOKUP(E173,'BASE_FUNCOES (hide)'!A:X,21,0),0)),(ROUNDUP(VLOOKUP(E173,'BASE_FUNCOES (hide)'!A:L,9,0),0)))</f>
        <v>12</v>
      </c>
      <c r="J173" s="75">
        <f>ROUNDUP(SUMIF(Questions!$E$5:$E$558,'Hours Detail'!E173,Questions!$F$5:$F$558),0)</f>
        <v>0</v>
      </c>
      <c r="K173" s="76">
        <f>IF(H173="Yes",ROUNDUP(IF(VLOOKUP(E173,'BASE_FUNCOES (hide)'!A:T,16,FALSE)&lt;&gt;"No",IF('General Information'!$C$19="HTML5",(I173+J173)*'BASE_FUNCOES (hide)'!$T$2,I173+J173),I173+J173),I173+J173),I173+J173)</f>
        <v>12</v>
      </c>
      <c r="L173" s="265" t="str">
        <f>IF(OR(E173=121,E173=88,E173=2682,E173=2703,E173=2687,E173=2689,E173=2681,E173=2685)=FALSE,"",IF('General Information'!$C$19="HTML5","FUNÇÃO DISPONÍVEL APENAS PARA BRASIL",IF(J174&lt;&gt;0,VLOOKUP(E174,Questions!$E$5:$L$568,5,0),"")))</f>
        <v/>
      </c>
      <c r="M173" s="164" t="s">
        <v>2396</v>
      </c>
      <c r="N173" s="369" t="s">
        <v>2377</v>
      </c>
    </row>
    <row r="174" spans="1:14" ht="14.5" customHeight="1" outlineLevel="1">
      <c r="A174" s="59"/>
      <c r="B174" s="72">
        <f>VLOOKUP('Hours Detail'!E174,'BASE_FUNCOES (hide)'!A:W,5,FALSE)</f>
        <v>71</v>
      </c>
      <c r="C174" s="72" t="s">
        <v>5929</v>
      </c>
      <c r="D174" s="73" t="str">
        <f>IF('General Information'!$C$6="Português",VLOOKUP(B174,'ESTRUTURA_MODULO(hide)'!A:D,2,0),IF('General Information'!$C$6="English",VLOOKUP(B174,'ESTRUTURA_MODULO(hide)'!A:D,3,0),IF('General Information'!$C$6="Español",VLOOKUP(B174,'ESTRUTURA_MODULO(hide)'!A:D,4,0))))</f>
        <v>Nutrição</v>
      </c>
      <c r="E174" s="254">
        <v>1133</v>
      </c>
      <c r="F174" s="73" t="str">
        <f>IF('General Information'!$C$6="Português",VLOOKUP(E174,'BASE_FUNCOES (hide)'!A:H,2,0),IF('General Information'!$C$6="English",VLOOKUP(E174,'BASE_FUNCOES (hide)'!A:H,3,0),IF('General Information'!$C$6="Español",VLOOKUP(E174,'BASE_FUNCOES (hide)'!A:H,4,0))))</f>
        <v>Cadastros de Nutrição</v>
      </c>
      <c r="G174" s="73" t="str">
        <f>IF(AND('General Information'!$D$16=1,VLOOKUP(B174,Modules!$B$5:$E$496,4,0)=1)=TRUE,VLOOKUP('Hours Detail'!E174,'BASE_FUNCOES (hide)'!$A:$V,10,0),IF(AND('General Information'!$D$16=2,VLOOKUP(B174,Modules!$B$5:$E$496,4,0)=1)=TRUE,VLOOKUP('Hours Detail'!E174,'BASE_FUNCOES (hide)'!$A:$V,11,0),IF(AND('General Information'!$D$16=3,VLOOKUP(B174,Modules!$B$5:$E$496,4,0)=1)=TRUE,VLOOKUP('Hours Detail'!E174,'BASE_FUNCOES (hide)'!$A:$V,12,0),IF(AND('General Information'!$D$16=4,VLOOKUP(B174,Modules!$B$5:$E$496,4,0)=1)=TRUE,VLOOKUP('Hours Detail'!E174,'BASE_FUNCOES (hide)'!$A:$V,13,0),IF(AND('General Information'!$D$16=5,VLOOKUP(B174,Modules!$B$5:$E$496,4,0)=1)=TRUE,VLOOKUP('Hours Detail'!E174,'BASE_FUNCOES (hide)'!$A:$V,14,0),  IF(AND('General Information'!$D$16=6,VLOOKUP(B174,Modules!$B$5:$E$496,4,0)=1)=TRUE,VLOOKUP('Hours Detail'!E174,'BASE_FUNCOES (hide)'!$A:$V,15,0),"No"))))))</f>
        <v>No</v>
      </c>
      <c r="H174" s="22" t="str">
        <f t="shared" si="4"/>
        <v>No</v>
      </c>
      <c r="I174" s="75">
        <f>IF('General Information'!$C$4="Mexico",(ROUNDUP(VLOOKUP(E174,'BASE_FUNCOES (hide)'!A:X,21,0),0)),(ROUNDUP(VLOOKUP(E174,'BASE_FUNCOES (hide)'!A:L,9,0),0)))</f>
        <v>16</v>
      </c>
      <c r="J174" s="75">
        <f>ROUNDUP(SUMIF(Questions!$E$5:$E$558,'Hours Detail'!E174,Questions!$F$5:$F$558),0)</f>
        <v>0</v>
      </c>
      <c r="K174" s="76">
        <f>IF(H174="Yes",ROUNDUP(IF(VLOOKUP(E174,'BASE_FUNCOES (hide)'!A:T,16,FALSE)&lt;&gt;"No",IF('General Information'!$C$19="HTML5",(I174+J174)*'BASE_FUNCOES (hide)'!$T$2,I174+J174),I174+J174),I174+J174),I174+J174)</f>
        <v>16</v>
      </c>
      <c r="L174" s="265" t="str">
        <f>IF(OR(E174=121,E174=88,E174=2682,E174=2703,E174=2687,E174=2689,E174=2681,E174=2685)=FALSE,"",IF('General Information'!$C$19="HTML5","FUNÇÃO DISPONÍVEL APENAS PARA BRASIL",IF(J175&lt;&gt;0,VLOOKUP(E175,Questions!$E$5:$L$568,5,0),"")))</f>
        <v/>
      </c>
      <c r="M174" s="164" t="s">
        <v>2396</v>
      </c>
      <c r="N174" s="369" t="s">
        <v>2377</v>
      </c>
    </row>
    <row r="175" spans="1:14" ht="14.5" customHeight="1" outlineLevel="1">
      <c r="A175" s="59"/>
      <c r="B175" s="72">
        <f>VLOOKUP('Hours Detail'!E175,'BASE_FUNCOES (hide)'!A:W,5,FALSE)</f>
        <v>71</v>
      </c>
      <c r="C175" s="72" t="s">
        <v>5929</v>
      </c>
      <c r="D175" s="73" t="str">
        <f>IF('General Information'!$C$6="Português",VLOOKUP(B175,'ESTRUTURA_MODULO(hide)'!A:D,2,0),IF('General Information'!$C$6="English",VLOOKUP(B175,'ESTRUTURA_MODULO(hide)'!A:D,3,0),IF('General Information'!$C$6="Español",VLOOKUP(B175,'ESTRUTURA_MODULO(hide)'!A:D,4,0))))</f>
        <v>Nutrição</v>
      </c>
      <c r="E175" s="254">
        <v>1003</v>
      </c>
      <c r="F175" s="73" t="str">
        <f>IF('General Information'!$C$6="Português",VLOOKUP(E175,'BASE_FUNCOES (hide)'!A:H,2,0),IF('General Information'!$C$6="English",VLOOKUP(E175,'BASE_FUNCOES (hide)'!A:H,3,0),IF('General Information'!$C$6="Español",VLOOKUP(E175,'BASE_FUNCOES (hide)'!A:H,4,0))))</f>
        <v>Gestão da Nutrição</v>
      </c>
      <c r="G175" s="73" t="str">
        <f>IF(AND('General Information'!$D$16=1,VLOOKUP(B175,Modules!$B$5:$E$496,4,0)=1)=TRUE,VLOOKUP('Hours Detail'!E175,'BASE_FUNCOES (hide)'!$A:$V,10,0),IF(AND('General Information'!$D$16=2,VLOOKUP(B175,Modules!$B$5:$E$496,4,0)=1)=TRUE,VLOOKUP('Hours Detail'!E175,'BASE_FUNCOES (hide)'!$A:$V,11,0),IF(AND('General Information'!$D$16=3,VLOOKUP(B175,Modules!$B$5:$E$496,4,0)=1)=TRUE,VLOOKUP('Hours Detail'!E175,'BASE_FUNCOES (hide)'!$A:$V,12,0),IF(AND('General Information'!$D$16=4,VLOOKUP(B175,Modules!$B$5:$E$496,4,0)=1)=TRUE,VLOOKUP('Hours Detail'!E175,'BASE_FUNCOES (hide)'!$A:$V,13,0),IF(AND('General Information'!$D$16=5,VLOOKUP(B175,Modules!$B$5:$E$496,4,0)=1)=TRUE,VLOOKUP('Hours Detail'!E175,'BASE_FUNCOES (hide)'!$A:$V,14,0),  IF(AND('General Information'!$D$16=6,VLOOKUP(B175,Modules!$B$5:$E$496,4,0)=1)=TRUE,VLOOKUP('Hours Detail'!E175,'BASE_FUNCOES (hide)'!$A:$V,15,0),"No"))))))</f>
        <v>No</v>
      </c>
      <c r="H175" s="22" t="str">
        <f t="shared" si="4"/>
        <v>No</v>
      </c>
      <c r="I175" s="75">
        <f>IF('General Information'!$C$4="Mexico",(ROUNDUP(VLOOKUP(E175,'BASE_FUNCOES (hide)'!A:X,21,0),0)),(ROUNDUP(VLOOKUP(E175,'BASE_FUNCOES (hide)'!A:L,9,0),0)))</f>
        <v>40</v>
      </c>
      <c r="J175" s="75">
        <f>ROUNDUP(SUMIF(Questions!$E$5:$E$558,'Hours Detail'!E175,Questions!$F$5:$F$558),0)</f>
        <v>0</v>
      </c>
      <c r="K175" s="76">
        <f>IF(H175="Yes",ROUNDUP(IF(VLOOKUP(E175,'BASE_FUNCOES (hide)'!A:T,16,FALSE)&lt;&gt;"No",IF('General Information'!$C$19="HTML5",(I175+J175)*'BASE_FUNCOES (hide)'!$T$2,I175+J175),I175+J175),I175+J175),I175+J175)</f>
        <v>40</v>
      </c>
      <c r="L175" s="265" t="str">
        <f>IF(OR(E175=121,E175=88,E175=2682,E175=2703,E175=2687,E175=2689,E175=2681,E175=2685)=FALSE,"",IF('General Information'!$C$19="HTML5","FUNÇÃO DISPONÍVEL APENAS PARA BRASIL",IF(J176&lt;&gt;0,VLOOKUP(E176,Questions!$E$5:$L$568,5,0),"")))</f>
        <v/>
      </c>
      <c r="M175" s="164" t="s">
        <v>2396</v>
      </c>
      <c r="N175" s="369" t="s">
        <v>2377</v>
      </c>
    </row>
    <row r="176" spans="1:14" ht="14.5" customHeight="1" outlineLevel="1">
      <c r="A176" s="59"/>
      <c r="B176" s="72">
        <f>VLOOKUP('Hours Detail'!E176,'BASE_FUNCOES (hide)'!A:W,5,FALSE)</f>
        <v>71</v>
      </c>
      <c r="C176" s="72" t="s">
        <v>5929</v>
      </c>
      <c r="D176" s="73" t="str">
        <f>IF('General Information'!$C$6="Português",VLOOKUP(B176,'ESTRUTURA_MODULO(hide)'!A:D,2,0),IF('General Information'!$C$6="English",VLOOKUP(B176,'ESTRUTURA_MODULO(hide)'!A:D,3,0),IF('General Information'!$C$6="Español",VLOOKUP(B176,'ESTRUTURA_MODULO(hide)'!A:D,4,0))))</f>
        <v>Nutrição</v>
      </c>
      <c r="E176" s="254">
        <v>7026</v>
      </c>
      <c r="F176" s="73" t="str">
        <f>IF('General Information'!$C$6="Português",VLOOKUP(E176,'BASE_FUNCOES (hide)'!A:H,2,0),IF('General Information'!$C$6="English",VLOOKUP(E176,'BASE_FUNCOES (hide)'!A:H,3,0),IF('General Information'!$C$6="Español",VLOOKUP(E176,'BASE_FUNCOES (hide)'!A:H,4,0))))</f>
        <v>Gestão de Reserva de Refeições</v>
      </c>
      <c r="G176" s="73" t="str">
        <f>IF(AND('General Information'!$D$16=1,VLOOKUP(B176,Modules!$B$5:$E$496,4,0)=1)=TRUE,VLOOKUP('Hours Detail'!E176,'BASE_FUNCOES (hide)'!$A:$V,10,0),IF(AND('General Information'!$D$16=2,VLOOKUP(B176,Modules!$B$5:$E$496,4,0)=1)=TRUE,VLOOKUP('Hours Detail'!E176,'BASE_FUNCOES (hide)'!$A:$V,11,0),IF(AND('General Information'!$D$16=3,VLOOKUP(B176,Modules!$B$5:$E$496,4,0)=1)=TRUE,VLOOKUP('Hours Detail'!E176,'BASE_FUNCOES (hide)'!$A:$V,12,0),IF(AND('General Information'!$D$16=4,VLOOKUP(B176,Modules!$B$5:$E$496,4,0)=1)=TRUE,VLOOKUP('Hours Detail'!E176,'BASE_FUNCOES (hide)'!$A:$V,13,0),IF(AND('General Information'!$D$16=5,VLOOKUP(B176,Modules!$B$5:$E$496,4,0)=1)=TRUE,VLOOKUP('Hours Detail'!E176,'BASE_FUNCOES (hide)'!$A:$V,14,0),  IF(AND('General Information'!$D$16=6,VLOOKUP(B176,Modules!$B$5:$E$496,4,0)=1)=TRUE,VLOOKUP('Hours Detail'!E176,'BASE_FUNCOES (hide)'!$A:$V,15,0),"No"))))))</f>
        <v>No</v>
      </c>
      <c r="H176" s="22" t="str">
        <f t="shared" si="4"/>
        <v>No</v>
      </c>
      <c r="I176" s="75">
        <f>IF('General Information'!$C$4="Mexico",(ROUNDUP(VLOOKUP(E176,'BASE_FUNCOES (hide)'!A:X,21,0),0)),(ROUNDUP(VLOOKUP(E176,'BASE_FUNCOES (hide)'!A:L,9,0),0)))</f>
        <v>4</v>
      </c>
      <c r="J176" s="75">
        <f>ROUNDUP(SUMIF(Questions!$E$5:$E$558,'Hours Detail'!E176,Questions!$F$5:$F$558),0)</f>
        <v>0</v>
      </c>
      <c r="K176" s="76">
        <f>IF(H176="Yes",ROUNDUP(IF(VLOOKUP(E176,'BASE_FUNCOES (hide)'!A:T,16,FALSE)&lt;&gt;"No",IF('General Information'!$C$19="HTML5",(I176+J176)*'BASE_FUNCOES (hide)'!$T$2,I176+J176),I176+J176),I176+J176),I176+J176)</f>
        <v>4</v>
      </c>
      <c r="L176" s="265" t="str">
        <f>IF(OR(E176=121,E176=88,E176=2682,E176=2703,E176=2687,E176=2689,E176=2681,E176=2685)=FALSE,"",IF('General Information'!$C$19="HTML5","FUNÇÃO DISPONÍVEL APENAS PARA BRASIL",IF(J177&lt;&gt;0,VLOOKUP(E177,Questions!$E$5:$L$568,5,0),"")))</f>
        <v/>
      </c>
      <c r="M176" s="164" t="s">
        <v>2396</v>
      </c>
      <c r="N176" s="369" t="s">
        <v>2377</v>
      </c>
    </row>
    <row r="177" spans="1:14" ht="14.5" customHeight="1" outlineLevel="1">
      <c r="A177" s="59"/>
      <c r="B177" s="72">
        <f>VLOOKUP('Hours Detail'!E177,'BASE_FUNCOES (hide)'!A:W,5,FALSE)</f>
        <v>71</v>
      </c>
      <c r="C177" s="72" t="s">
        <v>5929</v>
      </c>
      <c r="D177" s="73" t="str">
        <f>IF('General Information'!$C$6="Português",VLOOKUP(B177,'ESTRUTURA_MODULO(hide)'!A:D,2,0),IF('General Information'!$C$6="English",VLOOKUP(B177,'ESTRUTURA_MODULO(hide)'!A:D,3,0),IF('General Information'!$C$6="Español",VLOOKUP(B177,'ESTRUTURA_MODULO(hide)'!A:D,4,0))))</f>
        <v>Nutrição</v>
      </c>
      <c r="E177" s="254">
        <v>373</v>
      </c>
      <c r="F177" s="73" t="str">
        <f>IF('General Information'!$C$6="Português",VLOOKUP(E177,'BASE_FUNCOES (hide)'!A:H,2,0),IF('General Information'!$C$6="English",VLOOKUP(E177,'BASE_FUNCOES (hide)'!A:H,3,0),IF('General Information'!$C$6="Español",VLOOKUP(E177,'BASE_FUNCOES (hide)'!A:H,4,0))))</f>
        <v>Painel de Serviços da Nutrição </v>
      </c>
      <c r="G177" s="73" t="str">
        <f>IF(AND('General Information'!$D$16=1,VLOOKUP(B177,Modules!$B$5:$E$496,4,0)=1)=TRUE,VLOOKUP('Hours Detail'!E177,'BASE_FUNCOES (hide)'!$A:$V,10,0),IF(AND('General Information'!$D$16=2,VLOOKUP(B177,Modules!$B$5:$E$496,4,0)=1)=TRUE,VLOOKUP('Hours Detail'!E177,'BASE_FUNCOES (hide)'!$A:$V,11,0),IF(AND('General Information'!$D$16=3,VLOOKUP(B177,Modules!$B$5:$E$496,4,0)=1)=TRUE,VLOOKUP('Hours Detail'!E177,'BASE_FUNCOES (hide)'!$A:$V,12,0),IF(AND('General Information'!$D$16=4,VLOOKUP(B177,Modules!$B$5:$E$496,4,0)=1)=TRUE,VLOOKUP('Hours Detail'!E177,'BASE_FUNCOES (hide)'!$A:$V,13,0),IF(AND('General Information'!$D$16=5,VLOOKUP(B177,Modules!$B$5:$E$496,4,0)=1)=TRUE,VLOOKUP('Hours Detail'!E177,'BASE_FUNCOES (hide)'!$A:$V,14,0),  IF(AND('General Information'!$D$16=6,VLOOKUP(B177,Modules!$B$5:$E$496,4,0)=1)=TRUE,VLOOKUP('Hours Detail'!E177,'BASE_FUNCOES (hide)'!$A:$V,15,0),"No"))))))</f>
        <v>No</v>
      </c>
      <c r="H177" s="22" t="str">
        <f t="shared" si="4"/>
        <v>No</v>
      </c>
      <c r="I177" s="75">
        <f>IF('General Information'!$C$4="Mexico",(ROUNDUP(VLOOKUP(E177,'BASE_FUNCOES (hide)'!A:X,21,0),0)),(ROUNDUP(VLOOKUP(E177,'BASE_FUNCOES (hide)'!A:L,9,0),0)))</f>
        <v>40</v>
      </c>
      <c r="J177" s="75">
        <f>ROUNDUP(SUMIF(Questions!$E$5:$E$558,'Hours Detail'!E177,Questions!$F$5:$F$558),0)</f>
        <v>0</v>
      </c>
      <c r="K177" s="76">
        <f>IF(H177="Yes",ROUNDUP(IF(VLOOKUP(E177,'BASE_FUNCOES (hide)'!A:T,16,FALSE)&lt;&gt;"No",IF('General Information'!$C$19="HTML5",(I177+J177)*'BASE_FUNCOES (hide)'!$T$2,I177+J177),I177+J177),I177+J177),I177+J177)</f>
        <v>40</v>
      </c>
      <c r="L177" s="265" t="str">
        <f>IF(OR(E177=121,E177=88,E177=2682,E177=2703,E177=2687,E177=2689,E177=2681,E177=2685)=FALSE,"",IF('General Information'!$C$19="HTML5","FUNÇÃO DISPONÍVEL APENAS PARA BRASIL",IF(J178&lt;&gt;0,VLOOKUP(E178,Questions!$E$5:$L$568,5,0),"")))</f>
        <v/>
      </c>
      <c r="M177" s="164" t="s">
        <v>2396</v>
      </c>
      <c r="N177" s="369" t="s">
        <v>2377</v>
      </c>
    </row>
    <row r="178" spans="1:14" ht="14.5" customHeight="1" outlineLevel="1">
      <c r="A178" s="59"/>
      <c r="B178" s="72">
        <f>VLOOKUP('Hours Detail'!E178,'BASE_FUNCOES (hide)'!A:W,5,FALSE)</f>
        <v>93</v>
      </c>
      <c r="C178" s="72" t="s">
        <v>5929</v>
      </c>
      <c r="D178" s="73" t="str">
        <f>IF('General Information'!$C$6="Português",VLOOKUP(B178,'ESTRUTURA_MODULO(hide)'!A:D,2,0),IF('General Information'!$C$6="English",VLOOKUP(B178,'ESTRUTURA_MODULO(hide)'!A:D,3,0),IF('General Information'!$C$6="Español",VLOOKUP(B178,'ESTRUTURA_MODULO(hide)'!A:D,4,0))))</f>
        <v>Higienização</v>
      </c>
      <c r="E178" s="254">
        <v>1350</v>
      </c>
      <c r="F178" s="73" t="str">
        <f>IF('General Information'!$C$6="Português",VLOOKUP(E178,'BASE_FUNCOES (hide)'!A:H,2,0),IF('General Information'!$C$6="English",VLOOKUP(E178,'BASE_FUNCOES (hide)'!A:H,3,0),IF('General Information'!$C$6="Español",VLOOKUP(E178,'BASE_FUNCOES (hide)'!A:H,4,0))))</f>
        <v>Controle de Resíduos Hospitalares e Lixo</v>
      </c>
      <c r="G178" s="73" t="str">
        <f>IF(AND('General Information'!$D$16=1,VLOOKUP(B178,Modules!$B$5:$E$496,4,0)=1)=TRUE,VLOOKUP('Hours Detail'!E178,'BASE_FUNCOES (hide)'!$A:$V,10,0),IF(AND('General Information'!$D$16=2,VLOOKUP(B178,Modules!$B$5:$E$496,4,0)=1)=TRUE,VLOOKUP('Hours Detail'!E178,'BASE_FUNCOES (hide)'!$A:$V,11,0),IF(AND('General Information'!$D$16=3,VLOOKUP(B178,Modules!$B$5:$E$496,4,0)=1)=TRUE,VLOOKUP('Hours Detail'!E178,'BASE_FUNCOES (hide)'!$A:$V,12,0),IF(AND('General Information'!$D$16=4,VLOOKUP(B178,Modules!$B$5:$E$496,4,0)=1)=TRUE,VLOOKUP('Hours Detail'!E178,'BASE_FUNCOES (hide)'!$A:$V,13,0),IF(AND('General Information'!$D$16=5,VLOOKUP(B178,Modules!$B$5:$E$496,4,0)=1)=TRUE,VLOOKUP('Hours Detail'!E178,'BASE_FUNCOES (hide)'!$A:$V,14,0),  IF(AND('General Information'!$D$16=6,VLOOKUP(B178,Modules!$B$5:$E$496,4,0)=1)=TRUE,VLOOKUP('Hours Detail'!E178,'BASE_FUNCOES (hide)'!$A:$V,15,0),"No"))))))</f>
        <v>No</v>
      </c>
      <c r="H178" s="22" t="str">
        <f t="shared" si="4"/>
        <v>No</v>
      </c>
      <c r="I178" s="75">
        <f>IF('General Information'!$C$4="Mexico",(ROUNDUP(VLOOKUP(E178,'BASE_FUNCOES (hide)'!A:X,21,0),0)),(ROUNDUP(VLOOKUP(E178,'BASE_FUNCOES (hide)'!A:L,9,0),0)))</f>
        <v>8</v>
      </c>
      <c r="J178" s="75">
        <f>ROUNDUP(SUMIF(Questions!$E$5:$E$558,'Hours Detail'!E178,Questions!$F$5:$F$558),0)</f>
        <v>0</v>
      </c>
      <c r="K178" s="76">
        <f>IF(H178="Yes",ROUNDUP(IF(VLOOKUP(E178,'BASE_FUNCOES (hide)'!A:T,16,FALSE)&lt;&gt;"No",IF('General Information'!$C$19="HTML5",(I178+J178)*'BASE_FUNCOES (hide)'!$T$2,I178+J178),I178+J178),I178+J178),I178+J178)</f>
        <v>8</v>
      </c>
      <c r="L178" s="265" t="str">
        <f>IF(OR(E178=121,E178=88,E178=2682,E178=2703,E178=2687,E178=2689,E178=2681,E178=2685)=FALSE,"",IF('General Information'!$C$19="HTML5","FUNÇÃO DISPONÍVEL APENAS PARA BRASIL",IF(J179&lt;&gt;0,VLOOKUP(E179,Questions!$E$5:$L$568,5,0),"")))</f>
        <v/>
      </c>
      <c r="M178" s="164" t="s">
        <v>2396</v>
      </c>
      <c r="N178" s="369" t="s">
        <v>2377</v>
      </c>
    </row>
    <row r="179" spans="1:14" ht="14.5" customHeight="1" outlineLevel="1">
      <c r="A179" s="59"/>
      <c r="B179" s="72">
        <f>VLOOKUP('Hours Detail'!E179,'BASE_FUNCOES (hide)'!A:W,5,FALSE)</f>
        <v>93</v>
      </c>
      <c r="C179" s="72" t="s">
        <v>5929</v>
      </c>
      <c r="D179" s="73" t="str">
        <f>IF('General Information'!$C$6="Português",VLOOKUP(B179,'ESTRUTURA_MODULO(hide)'!A:D,2,0),IF('General Information'!$C$6="English",VLOOKUP(B179,'ESTRUTURA_MODULO(hide)'!A:D,3,0),IF('General Information'!$C$6="Español",VLOOKUP(B179,'ESTRUTURA_MODULO(hide)'!A:D,4,0))))</f>
        <v>Higienização</v>
      </c>
      <c r="E179" s="254">
        <v>75</v>
      </c>
      <c r="F179" s="73" t="str">
        <f>IF('General Information'!$C$6="Português",VLOOKUP(E179,'BASE_FUNCOES (hide)'!A:H,2,0),IF('General Information'!$C$6="English",VLOOKUP(E179,'BASE_FUNCOES (hide)'!A:H,3,0),IF('General Information'!$C$6="Español",VLOOKUP(E179,'BASE_FUNCOES (hide)'!A:H,4,0))))</f>
        <v>Gestão de Serviços de Leito</v>
      </c>
      <c r="G179" s="73" t="str">
        <f>IF(AND('General Information'!$D$16=1,VLOOKUP(B179,Modules!$B$5:$E$496,4,0)=1)=TRUE,VLOOKUP('Hours Detail'!E179,'BASE_FUNCOES (hide)'!$A:$V,10,0),IF(AND('General Information'!$D$16=2,VLOOKUP(B179,Modules!$B$5:$E$496,4,0)=1)=TRUE,VLOOKUP('Hours Detail'!E179,'BASE_FUNCOES (hide)'!$A:$V,11,0),IF(AND('General Information'!$D$16=3,VLOOKUP(B179,Modules!$B$5:$E$496,4,0)=1)=TRUE,VLOOKUP('Hours Detail'!E179,'BASE_FUNCOES (hide)'!$A:$V,12,0),IF(AND('General Information'!$D$16=4,VLOOKUP(B179,Modules!$B$5:$E$496,4,0)=1)=TRUE,VLOOKUP('Hours Detail'!E179,'BASE_FUNCOES (hide)'!$A:$V,13,0),IF(AND('General Information'!$D$16=5,VLOOKUP(B179,Modules!$B$5:$E$496,4,0)=1)=TRUE,VLOOKUP('Hours Detail'!E179,'BASE_FUNCOES (hide)'!$A:$V,14,0),  IF(AND('General Information'!$D$16=6,VLOOKUP(B179,Modules!$B$5:$E$496,4,0)=1)=TRUE,VLOOKUP('Hours Detail'!E179,'BASE_FUNCOES (hide)'!$A:$V,15,0),"No"))))))</f>
        <v>No</v>
      </c>
      <c r="H179" s="22" t="str">
        <f t="shared" si="4"/>
        <v>No</v>
      </c>
      <c r="I179" s="75">
        <f>IF('General Information'!$C$4="Mexico",(ROUNDUP(VLOOKUP(E179,'BASE_FUNCOES (hide)'!A:X,21,0),0)),(ROUNDUP(VLOOKUP(E179,'BASE_FUNCOES (hide)'!A:L,9,0),0)))</f>
        <v>24</v>
      </c>
      <c r="J179" s="75">
        <f>ROUNDUP(SUMIF(Questions!$E$5:$E$558,'Hours Detail'!E179,Questions!$F$5:$F$558),0)</f>
        <v>0</v>
      </c>
      <c r="K179" s="76">
        <f>IF(H179="Yes",ROUNDUP(IF(VLOOKUP(E179,'BASE_FUNCOES (hide)'!A:T,16,FALSE)&lt;&gt;"No",IF('General Information'!$C$19="HTML5",(I179+J179)*'BASE_FUNCOES (hide)'!$T$2,I179+J179),I179+J179),I179+J179),I179+J179)</f>
        <v>24</v>
      </c>
      <c r="L179" s="265" t="str">
        <f>IF(OR(E179=121,E179=88,E179=2682,E179=2703,E179=2687,E179=2689,E179=2681,E179=2685)=FALSE,"",IF('General Information'!$C$19="HTML5","FUNÇÃO DISPONÍVEL APENAS PARA BRASIL",IF(J180&lt;&gt;0,VLOOKUP(E180,Questions!$E$5:$L$568,5,0),"")))</f>
        <v/>
      </c>
      <c r="M179" s="164" t="s">
        <v>2396</v>
      </c>
      <c r="N179" s="369" t="s">
        <v>2377</v>
      </c>
    </row>
    <row r="180" spans="1:14" ht="14.5" customHeight="1" outlineLevel="1">
      <c r="A180" s="59"/>
      <c r="B180" s="72">
        <f>VLOOKUP('Hours Detail'!E180,'BASE_FUNCOES (hide)'!A:W,5,FALSE)</f>
        <v>312</v>
      </c>
      <c r="C180" s="72" t="s">
        <v>5929</v>
      </c>
      <c r="D180" s="73" t="str">
        <f>IF('General Information'!$C$6="Português",VLOOKUP(B180,'ESTRUTURA_MODULO(hide)'!A:D,2,0),IF('General Information'!$C$6="English",VLOOKUP(B180,'ESTRUTURA_MODULO(hide)'!A:D,3,0),IF('General Information'!$C$6="Español",VLOOKUP(B180,'ESTRUTURA_MODULO(hide)'!A:D,4,0))))</f>
        <v>Rouparia</v>
      </c>
      <c r="E180" s="254">
        <v>1301</v>
      </c>
      <c r="F180" s="73" t="str">
        <f>IF('General Information'!$C$6="Português",VLOOKUP(E180,'BASE_FUNCOES (hide)'!A:H,2,0),IF('General Information'!$C$6="English",VLOOKUP(E180,'BASE_FUNCOES (hide)'!A:H,3,0),IF('General Information'!$C$6="Español",VLOOKUP(E180,'BASE_FUNCOES (hide)'!A:H,4,0))))</f>
        <v>Rouparia</v>
      </c>
      <c r="G180" s="73" t="str">
        <f>IF(AND('General Information'!$D$16=1,VLOOKUP(B180,Modules!$B$5:$E$496,4,0)=1)=TRUE,VLOOKUP('Hours Detail'!E180,'BASE_FUNCOES (hide)'!$A:$V,10,0),IF(AND('General Information'!$D$16=2,VLOOKUP(B180,Modules!$B$5:$E$496,4,0)=1)=TRUE,VLOOKUP('Hours Detail'!E180,'BASE_FUNCOES (hide)'!$A:$V,11,0),IF(AND('General Information'!$D$16=3,VLOOKUP(B180,Modules!$B$5:$E$496,4,0)=1)=TRUE,VLOOKUP('Hours Detail'!E180,'BASE_FUNCOES (hide)'!$A:$V,12,0),IF(AND('General Information'!$D$16=4,VLOOKUP(B180,Modules!$B$5:$E$496,4,0)=1)=TRUE,VLOOKUP('Hours Detail'!E180,'BASE_FUNCOES (hide)'!$A:$V,13,0),IF(AND('General Information'!$D$16=5,VLOOKUP(B180,Modules!$B$5:$E$496,4,0)=1)=TRUE,VLOOKUP('Hours Detail'!E180,'BASE_FUNCOES (hide)'!$A:$V,14,0),  IF(AND('General Information'!$D$16=6,VLOOKUP(B180,Modules!$B$5:$E$496,4,0)=1)=TRUE,VLOOKUP('Hours Detail'!E180,'BASE_FUNCOES (hide)'!$A:$V,15,0),"No"))))))</f>
        <v>No</v>
      </c>
      <c r="H180" s="22" t="str">
        <f t="shared" si="4"/>
        <v>No</v>
      </c>
      <c r="I180" s="75">
        <f>IF('General Information'!$C$4="Mexico",(ROUNDUP(VLOOKUP(E180,'BASE_FUNCOES (hide)'!A:X,21,0),0)),(ROUNDUP(VLOOKUP(E180,'BASE_FUNCOES (hide)'!A:L,9,0),0)))</f>
        <v>24</v>
      </c>
      <c r="J180" s="75">
        <f>ROUNDUP(SUMIF(Questions!$E$5:$E$558,'Hours Detail'!E180,Questions!$F$5:$F$558),0)</f>
        <v>0</v>
      </c>
      <c r="K180" s="76">
        <f>IF(H180="Yes",ROUNDUP(IF(VLOOKUP(E180,'BASE_FUNCOES (hide)'!A:T,16,FALSE)&lt;&gt;"No",IF('General Information'!$C$19="HTML5",(I180+J180)*'BASE_FUNCOES (hide)'!$T$2,I180+J180),I180+J180),I180+J180),I180+J180)</f>
        <v>24</v>
      </c>
      <c r="L180" s="265" t="str">
        <f>IF(OR(E180=121,E180=88,E180=2682,E180=2703,E180=2687,E180=2689,E180=2681,E180=2685)=FALSE,"",IF('General Information'!$C$19="HTML5","FUNÇÃO DISPONÍVEL APENAS PARA BRASIL",IF(J181&lt;&gt;0,VLOOKUP(E181,Questions!$E$5:$L$568,5,0),"")))</f>
        <v/>
      </c>
      <c r="M180" s="164" t="s">
        <v>2396</v>
      </c>
      <c r="N180" s="369" t="s">
        <v>2377</v>
      </c>
    </row>
    <row r="181" spans="1:14" ht="14.5" customHeight="1" outlineLevel="1">
      <c r="A181" s="59"/>
      <c r="B181" s="72">
        <f>VLOOKUP('Hours Detail'!E181,'BASE_FUNCOES (hide)'!A:W,5,FALSE)</f>
        <v>391</v>
      </c>
      <c r="C181" s="72" t="s">
        <v>5929</v>
      </c>
      <c r="D181" s="73" t="str">
        <f>IF('General Information'!$C$6="Português",VLOOKUP(B181,'ESTRUTURA_MODULO(hide)'!A:D,2,0),IF('General Information'!$C$6="English",VLOOKUP(B181,'ESTRUTURA_MODULO(hide)'!A:D,3,0),IF('General Information'!$C$6="Español",VLOOKUP(B181,'ESTRUTURA_MODULO(hide)'!A:D,4,0))))</f>
        <v>Home Care</v>
      </c>
      <c r="E181" s="254">
        <v>867</v>
      </c>
      <c r="F181" s="73" t="str">
        <f>IF('General Information'!$C$6="Português",VLOOKUP(E181,'BASE_FUNCOES (hide)'!A:H,2,0),IF('General Information'!$C$6="English",VLOOKUP(E181,'BASE_FUNCOES (hide)'!A:H,3,0),IF('General Information'!$C$6="Español",VLOOKUP(E181,'BASE_FUNCOES (hide)'!A:H,4,0))))</f>
        <v>Gestão de Home Care</v>
      </c>
      <c r="G181" s="73" t="str">
        <f>IF(AND('General Information'!$D$16=1,VLOOKUP(B181,Modules!$B$5:$E$496,4,0)=1)=TRUE,VLOOKUP('Hours Detail'!E181,'BASE_FUNCOES (hide)'!$A:$V,10,0),IF(AND('General Information'!$D$16=2,VLOOKUP(B181,Modules!$B$5:$E$496,4,0)=1)=TRUE,VLOOKUP('Hours Detail'!E181,'BASE_FUNCOES (hide)'!$A:$V,11,0),IF(AND('General Information'!$D$16=3,VLOOKUP(B181,Modules!$B$5:$E$496,4,0)=1)=TRUE,VLOOKUP('Hours Detail'!E181,'BASE_FUNCOES (hide)'!$A:$V,12,0),IF(AND('General Information'!$D$16=4,VLOOKUP(B181,Modules!$B$5:$E$496,4,0)=1)=TRUE,VLOOKUP('Hours Detail'!E181,'BASE_FUNCOES (hide)'!$A:$V,13,0),IF(AND('General Information'!$D$16=5,VLOOKUP(B181,Modules!$B$5:$E$496,4,0)=1)=TRUE,VLOOKUP('Hours Detail'!E181,'BASE_FUNCOES (hide)'!$A:$V,14,0),  IF(AND('General Information'!$D$16=6,VLOOKUP(B181,Modules!$B$5:$E$496,4,0)=1)=TRUE,VLOOKUP('Hours Detail'!E181,'BASE_FUNCOES (hide)'!$A:$V,15,0),"No"))))))</f>
        <v>No</v>
      </c>
      <c r="H181" s="22" t="str">
        <f t="shared" si="4"/>
        <v>No</v>
      </c>
      <c r="I181" s="75">
        <f>IF('General Information'!$C$4="Mexico",(ROUNDUP(VLOOKUP(E181,'BASE_FUNCOES (hide)'!A:X,21,0),0)),(ROUNDUP(VLOOKUP(E181,'BASE_FUNCOES (hide)'!A:L,9,0),0)))</f>
        <v>32</v>
      </c>
      <c r="J181" s="75">
        <f>ROUNDUP(SUMIF(Questions!$E$5:$E$558,'Hours Detail'!E181,Questions!$F$5:$F$558),0)</f>
        <v>0</v>
      </c>
      <c r="K181" s="76">
        <f>IF(H181="Yes",ROUNDUP(IF(VLOOKUP(E181,'BASE_FUNCOES (hide)'!A:T,16,FALSE)&lt;&gt;"No",IF('General Information'!$C$19="HTML5",(I181+J181)*'BASE_FUNCOES (hide)'!$T$2,I181+J181),I181+J181),I181+J181),I181+J181)</f>
        <v>32</v>
      </c>
      <c r="L181" s="265" t="str">
        <f>IF(OR(E181=121,E181=88,E181=2682,E181=2703,E181=2687,E181=2689,E181=2681,E181=2685)=FALSE,"",IF('General Information'!$C$19="HTML5","FUNÇÃO DISPONÍVEL APENAS PARA BRASIL",IF(J182&lt;&gt;0,VLOOKUP(E182,Questions!$E$5:$L$568,5,0),"")))</f>
        <v/>
      </c>
      <c r="M181" s="164" t="s">
        <v>2396</v>
      </c>
      <c r="N181" s="369" t="s">
        <v>2377</v>
      </c>
    </row>
    <row r="182" spans="1:14" ht="14.5" customHeight="1" outlineLevel="1">
      <c r="A182" s="59"/>
      <c r="B182" s="72">
        <f>VLOOKUP('Hours Detail'!E182,'BASE_FUNCOES (hide)'!A:W,5,FALSE)</f>
        <v>98</v>
      </c>
      <c r="C182" s="72" t="s">
        <v>5929</v>
      </c>
      <c r="D182" s="73" t="str">
        <f>IF('General Information'!$C$6="Português",VLOOKUP(B182,'ESTRUTURA_MODULO(hide)'!A:D,2,0),IF('General Information'!$C$6="English",VLOOKUP(B182,'ESTRUTURA_MODULO(hide)'!A:D,3,0),IF('General Information'!$C$6="Español",VLOOKUP(B182,'ESTRUTURA_MODULO(hide)'!A:D,4,0))))</f>
        <v>SAME</v>
      </c>
      <c r="E182" s="254">
        <v>46</v>
      </c>
      <c r="F182" s="73" t="str">
        <f>IF('General Information'!$C$6="Português",VLOOKUP(E182,'BASE_FUNCOES (hide)'!A:H,2,0),IF('General Information'!$C$6="English",VLOOKUP(E182,'BASE_FUNCOES (hide)'!A:H,3,0),IF('General Information'!$C$6="Español",VLOOKUP(E182,'BASE_FUNCOES (hide)'!A:H,4,0))))</f>
        <v>Controle de Prontuários</v>
      </c>
      <c r="G182" s="73" t="str">
        <f>IF(AND('General Information'!$D$16=1,VLOOKUP(B182,Modules!$B$5:$E$496,4,0)=1)=TRUE,VLOOKUP('Hours Detail'!E182,'BASE_FUNCOES (hide)'!$A:$V,10,0),IF(AND('General Information'!$D$16=2,VLOOKUP(B182,Modules!$B$5:$E$496,4,0)=1)=TRUE,VLOOKUP('Hours Detail'!E182,'BASE_FUNCOES (hide)'!$A:$V,11,0),IF(AND('General Information'!$D$16=3,VLOOKUP(B182,Modules!$B$5:$E$496,4,0)=1)=TRUE,VLOOKUP('Hours Detail'!E182,'BASE_FUNCOES (hide)'!$A:$V,12,0),IF(AND('General Information'!$D$16=4,VLOOKUP(B182,Modules!$B$5:$E$496,4,0)=1)=TRUE,VLOOKUP('Hours Detail'!E182,'BASE_FUNCOES (hide)'!$A:$V,13,0),IF(AND('General Information'!$D$16=5,VLOOKUP(B182,Modules!$B$5:$E$496,4,0)=1)=TRUE,VLOOKUP('Hours Detail'!E182,'BASE_FUNCOES (hide)'!$A:$V,14,0),  IF(AND('General Information'!$D$16=6,VLOOKUP(B182,Modules!$B$5:$E$496,4,0)=1)=TRUE,VLOOKUP('Hours Detail'!E182,'BASE_FUNCOES (hide)'!$A:$V,15,0),"No"))))))</f>
        <v>No</v>
      </c>
      <c r="H182" s="22" t="str">
        <f t="shared" si="4"/>
        <v>No</v>
      </c>
      <c r="I182" s="75">
        <f>IF('General Information'!$C$4="Mexico",(ROUNDUP(VLOOKUP(E182,'BASE_FUNCOES (hide)'!A:X,21,0),0)),(ROUNDUP(VLOOKUP(E182,'BASE_FUNCOES (hide)'!A:L,9,0),0)))</f>
        <v>16</v>
      </c>
      <c r="J182" s="75">
        <f>ROUNDUP(SUMIF(Questions!$E$5:$E$558,'Hours Detail'!E182,Questions!$F$5:$F$558),0)</f>
        <v>0</v>
      </c>
      <c r="K182" s="76">
        <f>IF(H182="Yes",ROUNDUP(IF(VLOOKUP(E182,'BASE_FUNCOES (hide)'!A:T,16,FALSE)&lt;&gt;"No",IF('General Information'!$C$19="HTML5",(I182+J182)*'BASE_FUNCOES (hide)'!$T$2,I182+J182),I182+J182),I182+J182),I182+J182)</f>
        <v>16</v>
      </c>
      <c r="L182" s="265" t="str">
        <f>IF(OR(E182=121,E182=88,E182=2682,E182=2703,E182=2687,E182=2689,E182=2681,E182=2685)=FALSE,"",IF('General Information'!$C$19="HTML5","FUNÇÃO DISPONÍVEL APENAS PARA BRASIL",IF(J183&lt;&gt;0,VLOOKUP(E183,Questions!$E$5:$L$568,5,0),"")))</f>
        <v/>
      </c>
      <c r="M182" s="164" t="s">
        <v>2396</v>
      </c>
      <c r="N182" s="369" t="s">
        <v>2377</v>
      </c>
    </row>
    <row r="183" spans="1:14" ht="14.5" customHeight="1" outlineLevel="1">
      <c r="A183" s="59"/>
      <c r="B183" s="72">
        <f>VLOOKUP('Hours Detail'!E183,'BASE_FUNCOES (hide)'!A:W,5,FALSE)</f>
        <v>98</v>
      </c>
      <c r="C183" s="72" t="s">
        <v>5929</v>
      </c>
      <c r="D183" s="73" t="str">
        <f>IF('General Information'!$C$6="Português",VLOOKUP(B183,'ESTRUTURA_MODULO(hide)'!A:D,2,0),IF('General Information'!$C$6="English",VLOOKUP(B183,'ESTRUTURA_MODULO(hide)'!A:D,3,0),IF('General Information'!$C$6="Español",VLOOKUP(B183,'ESTRUTURA_MODULO(hide)'!A:D,4,0))))</f>
        <v>SAME</v>
      </c>
      <c r="E183" s="254">
        <v>941</v>
      </c>
      <c r="F183" s="73" t="str">
        <f>IF('General Information'!$C$6="Português",VLOOKUP(E183,'BASE_FUNCOES (hide)'!A:H,2,0),IF('General Information'!$C$6="English",VLOOKUP(E183,'BASE_FUNCOES (hide)'!A:H,3,0),IF('General Information'!$C$6="Español",VLOOKUP(E183,'BASE_FUNCOES (hide)'!A:H,4,0))))</f>
        <v>Gestão de Prontuários</v>
      </c>
      <c r="G183" s="73" t="str">
        <f>IF(AND('General Information'!$D$16=1,VLOOKUP(B183,Modules!$B$5:$E$496,4,0)=1)=TRUE,VLOOKUP('Hours Detail'!E183,'BASE_FUNCOES (hide)'!$A:$V,10,0),IF(AND('General Information'!$D$16=2,VLOOKUP(B183,Modules!$B$5:$E$496,4,0)=1)=TRUE,VLOOKUP('Hours Detail'!E183,'BASE_FUNCOES (hide)'!$A:$V,11,0),IF(AND('General Information'!$D$16=3,VLOOKUP(B183,Modules!$B$5:$E$496,4,0)=1)=TRUE,VLOOKUP('Hours Detail'!E183,'BASE_FUNCOES (hide)'!$A:$V,12,0),IF(AND('General Information'!$D$16=4,VLOOKUP(B183,Modules!$B$5:$E$496,4,0)=1)=TRUE,VLOOKUP('Hours Detail'!E183,'BASE_FUNCOES (hide)'!$A:$V,13,0),IF(AND('General Information'!$D$16=5,VLOOKUP(B183,Modules!$B$5:$E$496,4,0)=1)=TRUE,VLOOKUP('Hours Detail'!E183,'BASE_FUNCOES (hide)'!$A:$V,14,0),  IF(AND('General Information'!$D$16=6,VLOOKUP(B183,Modules!$B$5:$E$496,4,0)=1)=TRUE,VLOOKUP('Hours Detail'!E183,'BASE_FUNCOES (hide)'!$A:$V,15,0),"No"))))))</f>
        <v>No</v>
      </c>
      <c r="H183" s="22" t="str">
        <f t="shared" si="4"/>
        <v>No</v>
      </c>
      <c r="I183" s="75">
        <f>IF('General Information'!$C$4="Mexico",(ROUNDUP(VLOOKUP(E183,'BASE_FUNCOES (hide)'!A:X,21,0),0)),(ROUNDUP(VLOOKUP(E183,'BASE_FUNCOES (hide)'!A:L,9,0),0)))</f>
        <v>32</v>
      </c>
      <c r="J183" s="75">
        <f>ROUNDUP(SUMIF(Questions!$E$5:$E$558,'Hours Detail'!E183,Questions!$F$5:$F$558),0)</f>
        <v>0</v>
      </c>
      <c r="K183" s="76">
        <f>IF(H183="Yes",ROUNDUP(IF(VLOOKUP(E183,'BASE_FUNCOES (hide)'!A:T,16,FALSE)&lt;&gt;"No",IF('General Information'!$C$19="HTML5",(I183+J183)*'BASE_FUNCOES (hide)'!$T$2,I183+J183),I183+J183),I183+J183),I183+J183)</f>
        <v>32</v>
      </c>
      <c r="L183" s="265" t="str">
        <f>IF(OR(E183=121,E183=88,E183=2682,E183=2703,E183=2687,E183=2689,E183=2681,E183=2685)=FALSE,"",IF('General Information'!$C$19="HTML5","FUNÇÃO DISPONÍVEL APENAS PARA BRASIL",IF(J184&lt;&gt;0,VLOOKUP(E184,Questions!$E$5:$L$568,5,0),"")))</f>
        <v/>
      </c>
      <c r="M183" s="164" t="s">
        <v>2396</v>
      </c>
      <c r="N183" s="369" t="s">
        <v>2377</v>
      </c>
    </row>
    <row r="184" spans="1:14" ht="14.5" customHeight="1" outlineLevel="1">
      <c r="A184" s="59"/>
      <c r="B184" s="72">
        <f>VLOOKUP('Hours Detail'!E184,'BASE_FUNCOES (hide)'!A:W,5,FALSE)</f>
        <v>15</v>
      </c>
      <c r="C184" s="72" t="s">
        <v>5929</v>
      </c>
      <c r="D184" s="73" t="str">
        <f>IF('General Information'!$C$6="Português",VLOOKUP(B184,'ESTRUTURA_MODULO(hide)'!A:D,2,0),IF('General Information'!$C$6="English",VLOOKUP(B184,'ESTRUTURA_MODULO(hide)'!A:D,3,0),IF('General Information'!$C$6="Español",VLOOKUP(B184,'ESTRUTURA_MODULO(hide)'!A:D,4,0))))</f>
        <v>Controle de Infecção Hospitalar</v>
      </c>
      <c r="E184" s="254">
        <v>7020</v>
      </c>
      <c r="F184" s="73" t="str">
        <f>IF('General Information'!$C$6="Português",VLOOKUP(E184,'BASE_FUNCOES (hide)'!A:H,2,0),IF('General Information'!$C$6="English",VLOOKUP(E184,'BASE_FUNCOES (hide)'!A:H,3,0),IF('General Information'!$C$6="Español",VLOOKUP(E184,'BASE_FUNCOES (hide)'!A:H,4,0))))</f>
        <v>Cadastro de Dispositivos Utilizados no Paciente</v>
      </c>
      <c r="G184" s="73" t="str">
        <f>IF(AND('General Information'!$D$16=1,VLOOKUP(B184,Modules!$B$5:$E$496,4,0)=1)=TRUE,VLOOKUP('Hours Detail'!E184,'BASE_FUNCOES (hide)'!$A:$V,10,0),IF(AND('General Information'!$D$16=2,VLOOKUP(B184,Modules!$B$5:$E$496,4,0)=1)=TRUE,VLOOKUP('Hours Detail'!E184,'BASE_FUNCOES (hide)'!$A:$V,11,0),IF(AND('General Information'!$D$16=3,VLOOKUP(B184,Modules!$B$5:$E$496,4,0)=1)=TRUE,VLOOKUP('Hours Detail'!E184,'BASE_FUNCOES (hide)'!$A:$V,12,0),IF(AND('General Information'!$D$16=4,VLOOKUP(B184,Modules!$B$5:$E$496,4,0)=1)=TRUE,VLOOKUP('Hours Detail'!E184,'BASE_FUNCOES (hide)'!$A:$V,13,0),IF(AND('General Information'!$D$16=5,VLOOKUP(B184,Modules!$B$5:$E$496,4,0)=1)=TRUE,VLOOKUP('Hours Detail'!E184,'BASE_FUNCOES (hide)'!$A:$V,14,0),  IF(AND('General Information'!$D$16=6,VLOOKUP(B184,Modules!$B$5:$E$496,4,0)=1)=TRUE,VLOOKUP('Hours Detail'!E184,'BASE_FUNCOES (hide)'!$A:$V,15,0),"No"))))))</f>
        <v>No</v>
      </c>
      <c r="H184" s="22" t="str">
        <f t="shared" si="4"/>
        <v>No</v>
      </c>
      <c r="I184" s="75">
        <f>IF('General Information'!$C$4="Mexico",(ROUNDUP(VLOOKUP(E184,'BASE_FUNCOES (hide)'!A:X,21,0),0)),(ROUNDUP(VLOOKUP(E184,'BASE_FUNCOES (hide)'!A:L,9,0),0)))</f>
        <v>6</v>
      </c>
      <c r="J184" s="75">
        <f>ROUNDUP(SUMIF(Questions!$E$5:$E$558,'Hours Detail'!E184,Questions!$F$5:$F$558),0)</f>
        <v>0</v>
      </c>
      <c r="K184" s="76">
        <f>IF(H184="Yes",ROUNDUP(IF(VLOOKUP(E184,'BASE_FUNCOES (hide)'!A:T,16,FALSE)&lt;&gt;"No",IF('General Information'!$C$19="HTML5",(I184+J184)*'BASE_FUNCOES (hide)'!$T$2,I184+J184),I184+J184),I184+J184),I184+J184)</f>
        <v>6</v>
      </c>
      <c r="L184" s="265" t="str">
        <f>IF(OR(E184=121,E184=88,E184=2682,E184=2703,E184=2687,E184=2689,E184=2681,E184=2685)=FALSE,"",IF('General Information'!$C$19="HTML5","FUNÇÃO DISPONÍVEL APENAS PARA BRASIL",IF(J185&lt;&gt;0,VLOOKUP(E185,Questions!$E$5:$L$568,5,0),"")))</f>
        <v/>
      </c>
      <c r="M184" s="164" t="s">
        <v>2396</v>
      </c>
      <c r="N184" s="369" t="s">
        <v>2377</v>
      </c>
    </row>
    <row r="185" spans="1:14" ht="14.5" customHeight="1" outlineLevel="1">
      <c r="A185" s="59"/>
      <c r="B185" s="72">
        <f>VLOOKUP('Hours Detail'!E185,'BASE_FUNCOES (hide)'!A:W,5,FALSE)</f>
        <v>15</v>
      </c>
      <c r="C185" s="72" t="s">
        <v>5929</v>
      </c>
      <c r="D185" s="73" t="str">
        <f>IF('General Information'!$C$6="Português",VLOOKUP(B185,'ESTRUTURA_MODULO(hide)'!A:D,2,0),IF('General Information'!$C$6="English",VLOOKUP(B185,'ESTRUTURA_MODULO(hide)'!A:D,3,0),IF('General Information'!$C$6="Español",VLOOKUP(B185,'ESTRUTURA_MODULO(hide)'!A:D,4,0))))</f>
        <v>Controle de Infecção Hospitalar</v>
      </c>
      <c r="E185" s="254">
        <v>936</v>
      </c>
      <c r="F185" s="73" t="str">
        <f>IF('General Information'!$C$6="Português",VLOOKUP(E185,'BASE_FUNCOES (hide)'!A:H,2,0),IF('General Information'!$C$6="English",VLOOKUP(E185,'BASE_FUNCOES (hide)'!A:H,3,0),IF('General Information'!$C$6="Español",VLOOKUP(E185,'BASE_FUNCOES (hide)'!A:H,4,0))))</f>
        <v>Ficha de Ocorrência  CIH</v>
      </c>
      <c r="G185" s="73" t="str">
        <f>IF(AND('General Information'!$D$16=1,VLOOKUP(B185,Modules!$B$5:$E$496,4,0)=1)=TRUE,VLOOKUP('Hours Detail'!E185,'BASE_FUNCOES (hide)'!$A:$V,10,0),IF(AND('General Information'!$D$16=2,VLOOKUP(B185,Modules!$B$5:$E$496,4,0)=1)=TRUE,VLOOKUP('Hours Detail'!E185,'BASE_FUNCOES (hide)'!$A:$V,11,0),IF(AND('General Information'!$D$16=3,VLOOKUP(B185,Modules!$B$5:$E$496,4,0)=1)=TRUE,VLOOKUP('Hours Detail'!E185,'BASE_FUNCOES (hide)'!$A:$V,12,0),IF(AND('General Information'!$D$16=4,VLOOKUP(B185,Modules!$B$5:$E$496,4,0)=1)=TRUE,VLOOKUP('Hours Detail'!E185,'BASE_FUNCOES (hide)'!$A:$V,13,0),IF(AND('General Information'!$D$16=5,VLOOKUP(B185,Modules!$B$5:$E$496,4,0)=1)=TRUE,VLOOKUP('Hours Detail'!E185,'BASE_FUNCOES (hide)'!$A:$V,14,0),  IF(AND('General Information'!$D$16=6,VLOOKUP(B185,Modules!$B$5:$E$496,4,0)=1)=TRUE,VLOOKUP('Hours Detail'!E185,'BASE_FUNCOES (hide)'!$A:$V,15,0),"No"))))))</f>
        <v>No</v>
      </c>
      <c r="H185" s="22" t="str">
        <f t="shared" si="4"/>
        <v>No</v>
      </c>
      <c r="I185" s="75">
        <f>IF('General Information'!$C$4="Mexico",(ROUNDUP(VLOOKUP(E185,'BASE_FUNCOES (hide)'!A:X,21,0),0)),(ROUNDUP(VLOOKUP(E185,'BASE_FUNCOES (hide)'!A:L,9,0),0)))</f>
        <v>16</v>
      </c>
      <c r="J185" s="75">
        <f>ROUNDUP(SUMIF(Questions!$E$5:$E$558,'Hours Detail'!E185,Questions!$F$5:$F$558),0)</f>
        <v>0</v>
      </c>
      <c r="K185" s="76">
        <f>IF(H185="Yes",ROUNDUP(IF(VLOOKUP(E185,'BASE_FUNCOES (hide)'!A:T,16,FALSE)&lt;&gt;"No",IF('General Information'!$C$19="HTML5",(I185+J185)*'BASE_FUNCOES (hide)'!$T$2,I185+J185),I185+J185),I185+J185),I185+J185)</f>
        <v>16</v>
      </c>
      <c r="L185" s="265" t="str">
        <f>IF(OR(E185=121,E185=88,E185=2682,E185=2703,E185=2687,E185=2689,E185=2681,E185=2685)=FALSE,"",IF('General Information'!$C$19="HTML5","FUNÇÃO DISPONÍVEL APENAS PARA BRASIL",IF(J186&lt;&gt;0,VLOOKUP(E186,Questions!$E$5:$L$568,5,0),"")))</f>
        <v/>
      </c>
      <c r="M185" s="164" t="s">
        <v>2396</v>
      </c>
      <c r="N185" s="369" t="s">
        <v>2377</v>
      </c>
    </row>
    <row r="186" spans="1:14" ht="14.5" customHeight="1" outlineLevel="1">
      <c r="A186" s="59"/>
      <c r="B186" s="72">
        <f>VLOOKUP('Hours Detail'!E186,'BASE_FUNCOES (hide)'!A:W,5,FALSE)</f>
        <v>15</v>
      </c>
      <c r="C186" s="72" t="s">
        <v>5929</v>
      </c>
      <c r="D186" s="73" t="str">
        <f>IF('General Information'!$C$6="Português",VLOOKUP(B186,'ESTRUTURA_MODULO(hide)'!A:D,2,0),IF('General Information'!$C$6="English",VLOOKUP(B186,'ESTRUTURA_MODULO(hide)'!A:D,3,0),IF('General Information'!$C$6="Español",VLOOKUP(B186,'ESTRUTURA_MODULO(hide)'!A:D,4,0))))</f>
        <v>Controle de Infecção Hospitalar</v>
      </c>
      <c r="E186" s="254">
        <v>7043</v>
      </c>
      <c r="F186" s="73" t="str">
        <f>IF('General Information'!$C$6="Português",VLOOKUP(E186,'BASE_FUNCOES (hide)'!A:H,2,0),IF('General Information'!$C$6="English",VLOOKUP(E186,'BASE_FUNCOES (hide)'!A:H,3,0),IF('General Information'!$C$6="Español",VLOOKUP(E186,'BASE_FUNCOES (hide)'!A:H,4,0))))</f>
        <v>Gestão de CCIH</v>
      </c>
      <c r="G186" s="73" t="str">
        <f>IF(AND('General Information'!$D$16=1,VLOOKUP(B186,Modules!$B$5:$E$496,4,0)=1)=TRUE,VLOOKUP('Hours Detail'!E186,'BASE_FUNCOES (hide)'!$A:$V,10,0),IF(AND('General Information'!$D$16=2,VLOOKUP(B186,Modules!$B$5:$E$496,4,0)=1)=TRUE,VLOOKUP('Hours Detail'!E186,'BASE_FUNCOES (hide)'!$A:$V,11,0),IF(AND('General Information'!$D$16=3,VLOOKUP(B186,Modules!$B$5:$E$496,4,0)=1)=TRUE,VLOOKUP('Hours Detail'!E186,'BASE_FUNCOES (hide)'!$A:$V,12,0),IF(AND('General Information'!$D$16=4,VLOOKUP(B186,Modules!$B$5:$E$496,4,0)=1)=TRUE,VLOOKUP('Hours Detail'!E186,'BASE_FUNCOES (hide)'!$A:$V,13,0),IF(AND('General Information'!$D$16=5,VLOOKUP(B186,Modules!$B$5:$E$496,4,0)=1)=TRUE,VLOOKUP('Hours Detail'!E186,'BASE_FUNCOES (hide)'!$A:$V,14,0),  IF(AND('General Information'!$D$16=6,VLOOKUP(B186,Modules!$B$5:$E$496,4,0)=1)=TRUE,VLOOKUP('Hours Detail'!E186,'BASE_FUNCOES (hide)'!$A:$V,15,0),"No"))))))</f>
        <v>No</v>
      </c>
      <c r="H186" s="22" t="str">
        <f t="shared" si="4"/>
        <v>No</v>
      </c>
      <c r="I186" s="75">
        <f>IF('General Information'!$C$4="Mexico",(ROUNDUP(VLOOKUP(E186,'BASE_FUNCOES (hide)'!A:X,21,0),0)),(ROUNDUP(VLOOKUP(E186,'BASE_FUNCOES (hide)'!A:L,9,0),0)))</f>
        <v>12</v>
      </c>
      <c r="J186" s="75">
        <f>ROUNDUP(SUMIF(Questions!$E$5:$E$558,'Hours Detail'!E186,Questions!$F$5:$F$558),0)</f>
        <v>0</v>
      </c>
      <c r="K186" s="76">
        <f>IF(H186="Yes",ROUNDUP(IF(VLOOKUP(E186,'BASE_FUNCOES (hide)'!A:T,16,FALSE)&lt;&gt;"No",IF('General Information'!$C$19="HTML5",(I186+J186)*'BASE_FUNCOES (hide)'!$T$2,I186+J186),I186+J186),I186+J186),I186+J186)</f>
        <v>12</v>
      </c>
      <c r="L186" s="265" t="str">
        <f>IF(OR(E186=121,E186=88,E186=2682,E186=2703,E186=2687,E186=2689,E186=2681,E186=2685)=FALSE,"",IF('General Information'!$C$19="HTML5","FUNÇÃO DISPONÍVEL APENAS PARA BRASIL",IF(J187&lt;&gt;0,VLOOKUP(E187,Questions!$E$5:$L$568,5,0),"")))</f>
        <v/>
      </c>
      <c r="M186" s="164" t="s">
        <v>2396</v>
      </c>
      <c r="N186" s="369" t="s">
        <v>2377</v>
      </c>
    </row>
    <row r="187" spans="1:14" ht="14.5" customHeight="1" outlineLevel="1">
      <c r="A187" s="59"/>
      <c r="B187" s="72">
        <f>VLOOKUP('Hours Detail'!E187,'BASE_FUNCOES (hide)'!A:W,5,FALSE)</f>
        <v>15</v>
      </c>
      <c r="C187" s="72" t="s">
        <v>5929</v>
      </c>
      <c r="D187" s="73" t="str">
        <f>IF('General Information'!$C$6="Português",VLOOKUP(B187,'ESTRUTURA_MODULO(hide)'!A:D,2,0),IF('General Information'!$C$6="English",VLOOKUP(B187,'ESTRUTURA_MODULO(hide)'!A:D,3,0),IF('General Information'!$C$6="Español",VLOOKUP(B187,'ESTRUTURA_MODULO(hide)'!A:D,4,0))))</f>
        <v>Controle de Infecção Hospitalar</v>
      </c>
      <c r="E187" s="254">
        <v>7022</v>
      </c>
      <c r="F187" s="73" t="str">
        <f>IF('General Information'!$C$6="Português",VLOOKUP(E187,'BASE_FUNCOES (hide)'!A:H,2,0),IF('General Information'!$C$6="English",VLOOKUP(E187,'BASE_FUNCOES (hide)'!A:H,3,0),IF('General Information'!$C$6="Español",VLOOKUP(E187,'BASE_FUNCOES (hide)'!A:H,4,0))))</f>
        <v>Gestão NISS</v>
      </c>
      <c r="G187" s="73" t="str">
        <f>IF(AND('General Information'!$D$16=1,VLOOKUP(B187,Modules!$B$5:$E$496,4,0)=1)=TRUE,VLOOKUP('Hours Detail'!E187,'BASE_FUNCOES (hide)'!$A:$V,10,0),IF(AND('General Information'!$D$16=2,VLOOKUP(B187,Modules!$B$5:$E$496,4,0)=1)=TRUE,VLOOKUP('Hours Detail'!E187,'BASE_FUNCOES (hide)'!$A:$V,11,0),IF(AND('General Information'!$D$16=3,VLOOKUP(B187,Modules!$B$5:$E$496,4,0)=1)=TRUE,VLOOKUP('Hours Detail'!E187,'BASE_FUNCOES (hide)'!$A:$V,12,0),IF(AND('General Information'!$D$16=4,VLOOKUP(B187,Modules!$B$5:$E$496,4,0)=1)=TRUE,VLOOKUP('Hours Detail'!E187,'BASE_FUNCOES (hide)'!$A:$V,13,0),IF(AND('General Information'!$D$16=5,VLOOKUP(B187,Modules!$B$5:$E$496,4,0)=1)=TRUE,VLOOKUP('Hours Detail'!E187,'BASE_FUNCOES (hide)'!$A:$V,14,0),  IF(AND('General Information'!$D$16=6,VLOOKUP(B187,Modules!$B$5:$E$496,4,0)=1)=TRUE,VLOOKUP('Hours Detail'!E187,'BASE_FUNCOES (hide)'!$A:$V,15,0),"No"))))))</f>
        <v>No</v>
      </c>
      <c r="H187" s="22" t="str">
        <f t="shared" si="4"/>
        <v>No</v>
      </c>
      <c r="I187" s="75">
        <f>IF('General Information'!$C$4="Mexico",(ROUNDUP(VLOOKUP(E187,'BASE_FUNCOES (hide)'!A:X,21,0),0)),(ROUNDUP(VLOOKUP(E187,'BASE_FUNCOES (hide)'!A:L,9,0),0)))</f>
        <v>12</v>
      </c>
      <c r="J187" s="75">
        <f>ROUNDUP(SUMIF(Questions!$E$5:$E$558,'Hours Detail'!E187,Questions!$F$5:$F$558),0)</f>
        <v>0</v>
      </c>
      <c r="K187" s="76">
        <f>IF(H187="Yes",ROUNDUP(IF(VLOOKUP(E187,'BASE_FUNCOES (hide)'!A:T,16,FALSE)&lt;&gt;"No",IF('General Information'!$C$19="HTML5",(I187+J187)*'BASE_FUNCOES (hide)'!$T$2,I187+J187),I187+J187),I187+J187),I187+J187)</f>
        <v>12</v>
      </c>
      <c r="L187" s="265" t="str">
        <f>IF(OR(E187=121,E187=88,E187=2682,E187=2703,E187=2687,E187=2689,E187=2681,E187=2685)=FALSE,"",IF('General Information'!$C$19="HTML5","FUNÇÃO DISPONÍVEL APENAS PARA BRASIL",IF(J188&lt;&gt;0,VLOOKUP(E188,Questions!$E$5:$L$568,5,0),"")))</f>
        <v/>
      </c>
      <c r="M187" s="164" t="s">
        <v>2396</v>
      </c>
      <c r="N187" s="369" t="s">
        <v>2377</v>
      </c>
    </row>
    <row r="188" spans="1:14" ht="14.5" customHeight="1" outlineLevel="1">
      <c r="A188" s="59"/>
      <c r="B188" s="72">
        <f>VLOOKUP('Hours Detail'!E188,'BASE_FUNCOES (hide)'!A:W,5,FALSE)</f>
        <v>15</v>
      </c>
      <c r="C188" s="72" t="s">
        <v>5929</v>
      </c>
      <c r="D188" s="73" t="str">
        <f>IF('General Information'!$C$6="Português",VLOOKUP(B188,'ESTRUTURA_MODULO(hide)'!A:D,2,0),IF('General Information'!$C$6="English",VLOOKUP(B188,'ESTRUTURA_MODULO(hide)'!A:D,3,0),IF('General Information'!$C$6="Español",VLOOKUP(B188,'ESTRUTURA_MODULO(hide)'!A:D,4,0))))</f>
        <v>Controle de Infecção Hospitalar</v>
      </c>
      <c r="E188" s="254">
        <v>896</v>
      </c>
      <c r="F188" s="73" t="str">
        <f>IF('General Information'!$C$6="Português",VLOOKUP(E188,'BASE_FUNCOES (hide)'!A:H,2,0),IF('General Information'!$C$6="English",VLOOKUP(E188,'BASE_FUNCOES (hide)'!A:H,3,0),IF('General Information'!$C$6="Español",VLOOKUP(E188,'BASE_FUNCOES (hide)'!A:H,4,0))))</f>
        <v>Liberação Medicamentos CIH</v>
      </c>
      <c r="G188" s="73" t="str">
        <f>IF(AND('General Information'!$D$16=1,VLOOKUP(B188,Modules!$B$5:$E$496,4,0)=1)=TRUE,VLOOKUP('Hours Detail'!E188,'BASE_FUNCOES (hide)'!$A:$V,10,0),IF(AND('General Information'!$D$16=2,VLOOKUP(B188,Modules!$B$5:$E$496,4,0)=1)=TRUE,VLOOKUP('Hours Detail'!E188,'BASE_FUNCOES (hide)'!$A:$V,11,0),IF(AND('General Information'!$D$16=3,VLOOKUP(B188,Modules!$B$5:$E$496,4,0)=1)=TRUE,VLOOKUP('Hours Detail'!E188,'BASE_FUNCOES (hide)'!$A:$V,12,0),IF(AND('General Information'!$D$16=4,VLOOKUP(B188,Modules!$B$5:$E$496,4,0)=1)=TRUE,VLOOKUP('Hours Detail'!E188,'BASE_FUNCOES (hide)'!$A:$V,13,0),IF(AND('General Information'!$D$16=5,VLOOKUP(B188,Modules!$B$5:$E$496,4,0)=1)=TRUE,VLOOKUP('Hours Detail'!E188,'BASE_FUNCOES (hide)'!$A:$V,14,0),  IF(AND('General Information'!$D$16=6,VLOOKUP(B188,Modules!$B$5:$E$496,4,0)=1)=TRUE,VLOOKUP('Hours Detail'!E188,'BASE_FUNCOES (hide)'!$A:$V,15,0),"No"))))))</f>
        <v>No</v>
      </c>
      <c r="H188" s="22" t="str">
        <f t="shared" si="4"/>
        <v>No</v>
      </c>
      <c r="I188" s="75">
        <f>IF('General Information'!$C$4="Mexico",(ROUNDUP(VLOOKUP(E188,'BASE_FUNCOES (hide)'!A:X,21,0),0)),(ROUNDUP(VLOOKUP(E188,'BASE_FUNCOES (hide)'!A:L,9,0),0)))</f>
        <v>8</v>
      </c>
      <c r="J188" s="75">
        <f>ROUNDUP(SUMIF(Questions!$E$5:$E$558,'Hours Detail'!E188,Questions!$F$5:$F$558),0)</f>
        <v>0</v>
      </c>
      <c r="K188" s="76">
        <f>IF(H188="Yes",ROUNDUP(IF(VLOOKUP(E188,'BASE_FUNCOES (hide)'!A:T,16,FALSE)&lt;&gt;"No",IF('General Information'!$C$19="HTML5",(I188+J188)*'BASE_FUNCOES (hide)'!$T$2,I188+J188),I188+J188),I188+J188),I188+J188)</f>
        <v>8</v>
      </c>
      <c r="L188" s="265" t="str">
        <f>IF(OR(E188=121,E188=88,E188=2682,E188=2703,E188=2687,E188=2689,E188=2681,E188=2685)=FALSE,"",IF('General Information'!$C$19="HTML5","FUNÇÃO DISPONÍVEL APENAS PARA BRASIL",IF(J189&lt;&gt;0,VLOOKUP(E189,Questions!$E$5:$L$568,5,0),"")))</f>
        <v/>
      </c>
      <c r="M188" s="164" t="s">
        <v>2396</v>
      </c>
      <c r="N188" s="369" t="s">
        <v>2377</v>
      </c>
    </row>
    <row r="189" spans="1:14" ht="14.5" customHeight="1" outlineLevel="1">
      <c r="A189" s="59"/>
      <c r="B189" s="72">
        <f>VLOOKUP('Hours Detail'!E189,'BASE_FUNCOES (hide)'!A:W,5,FALSE)</f>
        <v>15</v>
      </c>
      <c r="C189" s="72" t="s">
        <v>5929</v>
      </c>
      <c r="D189" s="73" t="str">
        <f>IF('General Information'!$C$6="Português",VLOOKUP(B189,'ESTRUTURA_MODULO(hide)'!A:D,2,0),IF('General Information'!$C$6="English",VLOOKUP(B189,'ESTRUTURA_MODULO(hide)'!A:D,3,0),IF('General Information'!$C$6="Español",VLOOKUP(B189,'ESTRUTURA_MODULO(hide)'!A:D,4,0))))</f>
        <v>Controle de Infecção Hospitalar</v>
      </c>
      <c r="E189" s="254">
        <v>1302</v>
      </c>
      <c r="F189" s="73" t="str">
        <f>IF('General Information'!$C$6="Português",VLOOKUP(E189,'BASE_FUNCOES (hide)'!A:H,2,0),IF('General Information'!$C$6="English",VLOOKUP(E189,'BASE_FUNCOES (hide)'!A:H,3,0),IF('General Information'!$C$6="Español",VLOOKUP(E189,'BASE_FUNCOES (hide)'!A:H,4,0))))</f>
        <v>Registro de Ficha de Ocorrência</v>
      </c>
      <c r="G189" s="73" t="str">
        <f>IF(AND('General Information'!$D$16=1,VLOOKUP(B189,Modules!$B$5:$E$496,4,0)=1)=TRUE,VLOOKUP('Hours Detail'!E189,'BASE_FUNCOES (hide)'!$A:$V,10,0),IF(AND('General Information'!$D$16=2,VLOOKUP(B189,Modules!$B$5:$E$496,4,0)=1)=TRUE,VLOOKUP('Hours Detail'!E189,'BASE_FUNCOES (hide)'!$A:$V,11,0),IF(AND('General Information'!$D$16=3,VLOOKUP(B189,Modules!$B$5:$E$496,4,0)=1)=TRUE,VLOOKUP('Hours Detail'!E189,'BASE_FUNCOES (hide)'!$A:$V,12,0),IF(AND('General Information'!$D$16=4,VLOOKUP(B189,Modules!$B$5:$E$496,4,0)=1)=TRUE,VLOOKUP('Hours Detail'!E189,'BASE_FUNCOES (hide)'!$A:$V,13,0),IF(AND('General Information'!$D$16=5,VLOOKUP(B189,Modules!$B$5:$E$496,4,0)=1)=TRUE,VLOOKUP('Hours Detail'!E189,'BASE_FUNCOES (hide)'!$A:$V,14,0),  IF(AND('General Information'!$D$16=6,VLOOKUP(B189,Modules!$B$5:$E$496,4,0)=1)=TRUE,VLOOKUP('Hours Detail'!E189,'BASE_FUNCOES (hide)'!$A:$V,15,0),"No"))))))</f>
        <v>No</v>
      </c>
      <c r="H189" s="22" t="str">
        <f t="shared" si="4"/>
        <v>No</v>
      </c>
      <c r="I189" s="75">
        <f>IF('General Information'!$C$4="Mexico",(ROUNDUP(VLOOKUP(E189,'BASE_FUNCOES (hide)'!A:X,21,0),0)),(ROUNDUP(VLOOKUP(E189,'BASE_FUNCOES (hide)'!A:L,9,0),0)))</f>
        <v>4</v>
      </c>
      <c r="J189" s="75">
        <f>ROUNDUP(SUMIF(Questions!$E$5:$E$558,'Hours Detail'!E189,Questions!$F$5:$F$558),0)</f>
        <v>0</v>
      </c>
      <c r="K189" s="76">
        <f>IF(H189="Yes",ROUNDUP(IF(VLOOKUP(E189,'BASE_FUNCOES (hide)'!A:T,16,FALSE)&lt;&gt;"No",IF('General Information'!$C$19="HTML5",(I189+J189)*'BASE_FUNCOES (hide)'!$T$2,I189+J189),I189+J189),I189+J189),I189+J189)</f>
        <v>4</v>
      </c>
      <c r="L189" s="265" t="str">
        <f>IF(OR(E189=121,E189=88,E189=2682,E189=2703,E189=2687,E189=2689,E189=2681,E189=2685)=FALSE,"",IF('General Information'!$C$19="HTML5","FUNÇÃO DISPONÍVEL APENAS PARA BRASIL",IF(J190&lt;&gt;0,VLOOKUP(E190,Questions!$E$5:$L$568,5,0),"")))</f>
        <v/>
      </c>
      <c r="M189" s="164" t="s">
        <v>2396</v>
      </c>
      <c r="N189" s="369" t="s">
        <v>2377</v>
      </c>
    </row>
    <row r="190" spans="1:14" ht="14.5" customHeight="1" outlineLevel="1">
      <c r="A190" s="59"/>
      <c r="B190" s="72">
        <f>VLOOKUP('Hours Detail'!E190,'BASE_FUNCOES (hide)'!A:W,5,FALSE)</f>
        <v>15</v>
      </c>
      <c r="C190" s="72" t="s">
        <v>5929</v>
      </c>
      <c r="D190" s="73" t="str">
        <f>IF('General Information'!$C$6="Português",VLOOKUP(B190,'ESTRUTURA_MODULO(hide)'!A:D,2,0),IF('General Information'!$C$6="English",VLOOKUP(B190,'ESTRUTURA_MODULO(hide)'!A:D,3,0),IF('General Information'!$C$6="Español",VLOOKUP(B190,'ESTRUTURA_MODULO(hide)'!A:D,4,0))))</f>
        <v>Controle de Infecção Hospitalar</v>
      </c>
      <c r="E190" s="254">
        <v>1137</v>
      </c>
      <c r="F190" s="73" t="str">
        <f>IF('General Information'!$C$6="Português",VLOOKUP(E190,'BASE_FUNCOES (hide)'!A:H,2,0),IF('General Information'!$C$6="English",VLOOKUP(E190,'BASE_FUNCOES (hide)'!A:H,3,0),IF('General Information'!$C$6="Español",VLOOKUP(E190,'BASE_FUNCOES (hide)'!A:H,4,0))))</f>
        <v>SINAN - Ficha de Notificação e Investigação</v>
      </c>
      <c r="G190" s="73" t="str">
        <f>IF(AND('General Information'!$D$16=1,VLOOKUP(B190,Modules!$B$5:$E$496,4,0)=1)=TRUE,VLOOKUP('Hours Detail'!E190,'BASE_FUNCOES (hide)'!$A:$V,10,0),IF(AND('General Information'!$D$16=2,VLOOKUP(B190,Modules!$B$5:$E$496,4,0)=1)=TRUE,VLOOKUP('Hours Detail'!E190,'BASE_FUNCOES (hide)'!$A:$V,11,0),IF(AND('General Information'!$D$16=3,VLOOKUP(B190,Modules!$B$5:$E$496,4,0)=1)=TRUE,VLOOKUP('Hours Detail'!E190,'BASE_FUNCOES (hide)'!$A:$V,12,0),IF(AND('General Information'!$D$16=4,VLOOKUP(B190,Modules!$B$5:$E$496,4,0)=1)=TRUE,VLOOKUP('Hours Detail'!E190,'BASE_FUNCOES (hide)'!$A:$V,13,0),IF(AND('General Information'!$D$16=5,VLOOKUP(B190,Modules!$B$5:$E$496,4,0)=1)=TRUE,VLOOKUP('Hours Detail'!E190,'BASE_FUNCOES (hide)'!$A:$V,14,0),  IF(AND('General Information'!$D$16=6,VLOOKUP(B190,Modules!$B$5:$E$496,4,0)=1)=TRUE,VLOOKUP('Hours Detail'!E190,'BASE_FUNCOES (hide)'!$A:$V,15,0),"No"))))))</f>
        <v>No</v>
      </c>
      <c r="H190" s="22" t="str">
        <f t="shared" si="4"/>
        <v>No</v>
      </c>
      <c r="I190" s="75">
        <f>IF('General Information'!$C$4="Mexico",(ROUNDUP(VLOOKUP(E190,'BASE_FUNCOES (hide)'!A:X,21,0),0)),(ROUNDUP(VLOOKUP(E190,'BASE_FUNCOES (hide)'!A:L,9,0),0)))</f>
        <v>4</v>
      </c>
      <c r="J190" s="75">
        <f>ROUNDUP(SUMIF(Questions!$E$5:$E$558,'Hours Detail'!E190,Questions!$F$5:$F$558),0)</f>
        <v>0</v>
      </c>
      <c r="K190" s="76">
        <f>IF(H190="Yes",ROUNDUP(IF(VLOOKUP(E190,'BASE_FUNCOES (hide)'!A:T,16,FALSE)&lt;&gt;"No",IF('General Information'!$C$19="HTML5",(I190+J190)*'BASE_FUNCOES (hide)'!$T$2,I190+J190),I190+J190),I190+J190),I190+J190)</f>
        <v>4</v>
      </c>
      <c r="L190" s="265" t="str">
        <f>IF(OR(E190=121,E190=88,E190=2682,E190=2703,E190=2687,E190=2689,E190=2681,E190=2685)=FALSE,"",IF('General Information'!$C$19="HTML5","FUNÇÃO DISPONÍVEL APENAS PARA BRASIL",IF(J191&lt;&gt;0,VLOOKUP(E191,Questions!$E$5:$L$568,5,0),"")))</f>
        <v/>
      </c>
      <c r="M190" s="164" t="s">
        <v>2396</v>
      </c>
      <c r="N190" s="369" t="s">
        <v>2377</v>
      </c>
    </row>
    <row r="191" spans="1:14" ht="14.5" customHeight="1" outlineLevel="1">
      <c r="A191" s="59"/>
      <c r="B191" s="72">
        <f>VLOOKUP('Hours Detail'!E191,'BASE_FUNCOES (hide)'!A:W,5,FALSE)</f>
        <v>91</v>
      </c>
      <c r="C191" s="72" t="s">
        <v>5929</v>
      </c>
      <c r="D191" s="73" t="str">
        <f>IF('General Information'!$C$6="Português",VLOOKUP(B191,'ESTRUTURA_MODULO(hide)'!A:D,2,0),IF('General Information'!$C$6="English",VLOOKUP(B191,'ESTRUTURA_MODULO(hide)'!A:D,3,0),IF('General Information'!$C$6="Español",VLOOKUP(B191,'ESTRUTURA_MODULO(hide)'!A:D,4,0))))</f>
        <v>CME - Central de Material Esterilizado</v>
      </c>
      <c r="E191" s="254">
        <v>407</v>
      </c>
      <c r="F191" s="73" t="str">
        <f>IF('General Information'!$C$6="Português",VLOOKUP(E191,'BASE_FUNCOES (hide)'!A:H,2,0),IF('General Information'!$C$6="English",VLOOKUP(E191,'BASE_FUNCOES (hide)'!A:H,3,0),IF('General Information'!$C$6="Español",VLOOKUP(E191,'BASE_FUNCOES (hide)'!A:H,4,0))))</f>
        <v>Cadastro de Itens Físicos</v>
      </c>
      <c r="G191" s="73" t="str">
        <f>IF(AND('General Information'!$D$16=1,VLOOKUP(B191,Modules!$B$5:$E$496,4,0)=1)=TRUE,VLOOKUP('Hours Detail'!E191,'BASE_FUNCOES (hide)'!$A:$V,10,0),IF(AND('General Information'!$D$16=2,VLOOKUP(B191,Modules!$B$5:$E$496,4,0)=1)=TRUE,VLOOKUP('Hours Detail'!E191,'BASE_FUNCOES (hide)'!$A:$V,11,0),IF(AND('General Information'!$D$16=3,VLOOKUP(B191,Modules!$B$5:$E$496,4,0)=1)=TRUE,VLOOKUP('Hours Detail'!E191,'BASE_FUNCOES (hide)'!$A:$V,12,0),IF(AND('General Information'!$D$16=4,VLOOKUP(B191,Modules!$B$5:$E$496,4,0)=1)=TRUE,VLOOKUP('Hours Detail'!E191,'BASE_FUNCOES (hide)'!$A:$V,13,0),IF(AND('General Information'!$D$16=5,VLOOKUP(B191,Modules!$B$5:$E$496,4,0)=1)=TRUE,VLOOKUP('Hours Detail'!E191,'BASE_FUNCOES (hide)'!$A:$V,14,0),  IF(AND('General Information'!$D$16=6,VLOOKUP(B191,Modules!$B$5:$E$496,4,0)=1)=TRUE,VLOOKUP('Hours Detail'!E191,'BASE_FUNCOES (hide)'!$A:$V,15,0),"No"))))))</f>
        <v>No</v>
      </c>
      <c r="H191" s="22" t="str">
        <f t="shared" si="4"/>
        <v>No</v>
      </c>
      <c r="I191" s="75">
        <f>IF('General Information'!$C$4="Mexico",(ROUNDUP(VLOOKUP(E191,'BASE_FUNCOES (hide)'!A:X,21,0),0)),(ROUNDUP(VLOOKUP(E191,'BASE_FUNCOES (hide)'!A:L,9,0),0)))</f>
        <v>4</v>
      </c>
      <c r="J191" s="75">
        <f>ROUNDUP(SUMIF(Questions!$E$5:$E$558,'Hours Detail'!E191,Questions!$F$5:$F$558),0)</f>
        <v>0</v>
      </c>
      <c r="K191" s="76">
        <f>IF(H191="Yes",ROUNDUP(IF(VLOOKUP(E191,'BASE_FUNCOES (hide)'!A:T,16,FALSE)&lt;&gt;"No",IF('General Information'!$C$19="HTML5",(I191+J191)*'BASE_FUNCOES (hide)'!$T$2,I191+J191),I191+J191),I191+J191),I191+J191)</f>
        <v>4</v>
      </c>
      <c r="L191" s="265" t="str">
        <f>IF(OR(E191=121,E191=88,E191=2682,E191=2703,E191=2687,E191=2689,E191=2681,E191=2685)=FALSE,"",IF('General Information'!$C$19="HTML5","FUNÇÃO DISPONÍVEL APENAS PARA BRASIL",IF(J192&lt;&gt;0,VLOOKUP(E192,Questions!$E$5:$L$568,5,0),"")))</f>
        <v/>
      </c>
      <c r="M191" s="164" t="s">
        <v>2396</v>
      </c>
      <c r="N191" s="369" t="s">
        <v>2377</v>
      </c>
    </row>
    <row r="192" spans="1:14" ht="14.5" customHeight="1" outlineLevel="1">
      <c r="A192" s="59"/>
      <c r="B192" s="72">
        <f>VLOOKUP('Hours Detail'!E192,'BASE_FUNCOES (hide)'!A:W,5,FALSE)</f>
        <v>91</v>
      </c>
      <c r="C192" s="72" t="s">
        <v>5929</v>
      </c>
      <c r="D192" s="73" t="str">
        <f>IF('General Information'!$C$6="Português",VLOOKUP(B192,'ESTRUTURA_MODULO(hide)'!A:D,2,0),IF('General Information'!$C$6="English",VLOOKUP(B192,'ESTRUTURA_MODULO(hide)'!A:D,3,0),IF('General Information'!$C$6="Español",VLOOKUP(B192,'ESTRUTURA_MODULO(hide)'!A:D,4,0))))</f>
        <v>CME - Central de Material Esterilizado</v>
      </c>
      <c r="E192" s="254">
        <v>406</v>
      </c>
      <c r="F192" s="73" t="str">
        <f>IF('General Information'!$C$6="Português",VLOOKUP(E192,'BASE_FUNCOES (hide)'!A:H,2,0),IF('General Information'!$C$6="English",VLOOKUP(E192,'BASE_FUNCOES (hide)'!A:H,3,0),IF('General Information'!$C$6="Español",VLOOKUP(E192,'BASE_FUNCOES (hide)'!A:H,4,0))))</f>
        <v>Gestão de CME</v>
      </c>
      <c r="G192" s="73" t="str">
        <f>IF(AND('General Information'!$D$16=1,VLOOKUP(B192,Modules!$B$5:$E$496,4,0)=1)=TRUE,VLOOKUP('Hours Detail'!E192,'BASE_FUNCOES (hide)'!$A:$V,10,0),IF(AND('General Information'!$D$16=2,VLOOKUP(B192,Modules!$B$5:$E$496,4,0)=1)=TRUE,VLOOKUP('Hours Detail'!E192,'BASE_FUNCOES (hide)'!$A:$V,11,0),IF(AND('General Information'!$D$16=3,VLOOKUP(B192,Modules!$B$5:$E$496,4,0)=1)=TRUE,VLOOKUP('Hours Detail'!E192,'BASE_FUNCOES (hide)'!$A:$V,12,0),IF(AND('General Information'!$D$16=4,VLOOKUP(B192,Modules!$B$5:$E$496,4,0)=1)=TRUE,VLOOKUP('Hours Detail'!E192,'BASE_FUNCOES (hide)'!$A:$V,13,0),IF(AND('General Information'!$D$16=5,VLOOKUP(B192,Modules!$B$5:$E$496,4,0)=1)=TRUE,VLOOKUP('Hours Detail'!E192,'BASE_FUNCOES (hide)'!$A:$V,14,0),  IF(AND('General Information'!$D$16=6,VLOOKUP(B192,Modules!$B$5:$E$496,4,0)=1)=TRUE,VLOOKUP('Hours Detail'!E192,'BASE_FUNCOES (hide)'!$A:$V,15,0),"No"))))))</f>
        <v>No</v>
      </c>
      <c r="H192" s="22" t="str">
        <f t="shared" si="4"/>
        <v>No</v>
      </c>
      <c r="I192" s="75">
        <f>IF('General Information'!$C$4="Mexico",(ROUNDUP(VLOOKUP(E192,'BASE_FUNCOES (hide)'!A:X,21,0),0)),(ROUNDUP(VLOOKUP(E192,'BASE_FUNCOES (hide)'!A:L,9,0),0)))</f>
        <v>40</v>
      </c>
      <c r="J192" s="75">
        <f>ROUNDUP(SUMIF(Questions!$E$5:$E$558,'Hours Detail'!E192,Questions!$F$5:$F$558),0)</f>
        <v>0</v>
      </c>
      <c r="K192" s="76">
        <f>IF(H192="Yes",ROUNDUP(IF(VLOOKUP(E192,'BASE_FUNCOES (hide)'!A:T,16,FALSE)&lt;&gt;"No",IF('General Information'!$C$19="HTML5",(I192+J192)*'BASE_FUNCOES (hide)'!$T$2,I192+J192),I192+J192),I192+J192),I192+J192)</f>
        <v>40</v>
      </c>
      <c r="L192" s="265" t="str">
        <f>IF(OR(E192=121,E192=88,E192=2682,E192=2703,E192=2687,E192=2689,E192=2681,E192=2685)=FALSE,"",IF('General Information'!$C$19="HTML5","FUNÇÃO DISPONÍVEL APENAS PARA BRASIL",IF(J193&lt;&gt;0,VLOOKUP(E193,Questions!$E$5:$L$568,5,0),"")))</f>
        <v/>
      </c>
      <c r="M192" s="164" t="s">
        <v>2396</v>
      </c>
      <c r="N192" s="369" t="s">
        <v>2377</v>
      </c>
    </row>
    <row r="193" spans="1:14" ht="14.5" customHeight="1" outlineLevel="1">
      <c r="A193" s="59"/>
      <c r="B193" s="72">
        <f>VLOOKUP('Hours Detail'!E193,'BASE_FUNCOES (hide)'!A:W,5,FALSE)</f>
        <v>91</v>
      </c>
      <c r="C193" s="72" t="s">
        <v>5929</v>
      </c>
      <c r="D193" s="73" t="str">
        <f>IF('General Information'!$C$6="Português",VLOOKUP(B193,'ESTRUTURA_MODULO(hide)'!A:D,2,0),IF('General Information'!$C$6="English",VLOOKUP(B193,'ESTRUTURA_MODULO(hide)'!A:D,3,0),IF('General Information'!$C$6="Español",VLOOKUP(B193,'ESTRUTURA_MODULO(hide)'!A:D,4,0))))</f>
        <v>CME - Central de Material Esterilizado</v>
      </c>
      <c r="E193" s="254">
        <v>410</v>
      </c>
      <c r="F193" s="73" t="str">
        <f>IF('General Information'!$C$6="Português",VLOOKUP(E193,'BASE_FUNCOES (hide)'!A:H,2,0),IF('General Information'!$C$6="English",VLOOKUP(E193,'BASE_FUNCOES (hide)'!A:H,3,0),IF('General Information'!$C$6="Español",VLOOKUP(E193,'BASE_FUNCOES (hide)'!A:H,4,0))))</f>
        <v>Requisição de Conjuntos</v>
      </c>
      <c r="G193" s="73" t="str">
        <f>IF(AND('General Information'!$D$16=1,VLOOKUP(B193,Modules!$B$5:$E$496,4,0)=1)=TRUE,VLOOKUP('Hours Detail'!E193,'BASE_FUNCOES (hide)'!$A:$V,10,0),IF(AND('General Information'!$D$16=2,VLOOKUP(B193,Modules!$B$5:$E$496,4,0)=1)=TRUE,VLOOKUP('Hours Detail'!E193,'BASE_FUNCOES (hide)'!$A:$V,11,0),IF(AND('General Information'!$D$16=3,VLOOKUP(B193,Modules!$B$5:$E$496,4,0)=1)=TRUE,VLOOKUP('Hours Detail'!E193,'BASE_FUNCOES (hide)'!$A:$V,12,0),IF(AND('General Information'!$D$16=4,VLOOKUP(B193,Modules!$B$5:$E$496,4,0)=1)=TRUE,VLOOKUP('Hours Detail'!E193,'BASE_FUNCOES (hide)'!$A:$V,13,0),IF(AND('General Information'!$D$16=5,VLOOKUP(B193,Modules!$B$5:$E$496,4,0)=1)=TRUE,VLOOKUP('Hours Detail'!E193,'BASE_FUNCOES (hide)'!$A:$V,14,0),  IF(AND('General Information'!$D$16=6,VLOOKUP(B193,Modules!$B$5:$E$496,4,0)=1)=TRUE,VLOOKUP('Hours Detail'!E193,'BASE_FUNCOES (hide)'!$A:$V,15,0),"No"))))))</f>
        <v>No</v>
      </c>
      <c r="H193" s="22" t="str">
        <f t="shared" si="4"/>
        <v>No</v>
      </c>
      <c r="I193" s="75">
        <f>IF('General Information'!$C$4="Mexico",(ROUNDUP(VLOOKUP(E193,'BASE_FUNCOES (hide)'!A:X,21,0),0)),(ROUNDUP(VLOOKUP(E193,'BASE_FUNCOES (hide)'!A:L,9,0),0)))</f>
        <v>4</v>
      </c>
      <c r="J193" s="75">
        <f>ROUNDUP(SUMIF(Questions!$E$5:$E$558,'Hours Detail'!E193,Questions!$F$5:$F$558),0)</f>
        <v>0</v>
      </c>
      <c r="K193" s="76">
        <f>IF(H193="Yes",ROUNDUP(IF(VLOOKUP(E193,'BASE_FUNCOES (hide)'!A:T,16,FALSE)&lt;&gt;"No",IF('General Information'!$C$19="HTML5",(I193+J193)*'BASE_FUNCOES (hide)'!$T$2,I193+J193),I193+J193),I193+J193),I193+J193)</f>
        <v>4</v>
      </c>
      <c r="L193" s="265" t="str">
        <f>IF(OR(E193=121,E193=88,E193=2682,E193=2703,E193=2687,E193=2689,E193=2681,E193=2685)=FALSE,"",IF('General Information'!$C$19="HTML5","FUNÇÃO DISPONÍVEL APENAS PARA BRASIL",IF(J194&lt;&gt;0,VLOOKUP(E194,Questions!$E$5:$L$568,5,0),"")))</f>
        <v/>
      </c>
      <c r="M193" s="164" t="s">
        <v>2396</v>
      </c>
      <c r="N193" s="369" t="s">
        <v>2377</v>
      </c>
    </row>
    <row r="194" spans="1:14" ht="14.5" customHeight="1" outlineLevel="1">
      <c r="A194" s="59"/>
      <c r="B194" s="72">
        <f>VLOOKUP('Hours Detail'!E194,'BASE_FUNCOES (hide)'!A:W,5,FALSE)</f>
        <v>105</v>
      </c>
      <c r="C194" s="72" t="s">
        <v>5929</v>
      </c>
      <c r="D194" s="73" t="str">
        <f>IF('General Information'!$C$6="Português",VLOOKUP(B194,'ESTRUTURA_MODULO(hide)'!A:D,2,0),IF('General Information'!$C$6="English",VLOOKUP(B194,'ESTRUTURA_MODULO(hide)'!A:D,3,0),IF('General Information'!$C$6="Español",VLOOKUP(B194,'ESTRUTURA_MODULO(hide)'!A:D,4,0))))</f>
        <v>Qualidade</v>
      </c>
      <c r="E194" s="254">
        <v>7007</v>
      </c>
      <c r="F194" s="73" t="str">
        <f>IF('General Information'!$C$6="Português",VLOOKUP(E194,'BASE_FUNCOES (hide)'!A:H,2,0),IF('General Information'!$C$6="English",VLOOKUP(E194,'BASE_FUNCOES (hide)'!A:H,3,0),IF('General Information'!$C$6="Español",VLOOKUP(E194,'BASE_FUNCOES (hide)'!A:H,4,0))))</f>
        <v>Avaliação de Profissionais</v>
      </c>
      <c r="G194" s="73" t="str">
        <f>IF(AND('General Information'!$D$16=1,VLOOKUP(B194,Modules!$B$5:$E$496,4,0)=1)=TRUE,VLOOKUP('Hours Detail'!E194,'BASE_FUNCOES (hide)'!$A:$V,10,0),IF(AND('General Information'!$D$16=2,VLOOKUP(B194,Modules!$B$5:$E$496,4,0)=1)=TRUE,VLOOKUP('Hours Detail'!E194,'BASE_FUNCOES (hide)'!$A:$V,11,0),IF(AND('General Information'!$D$16=3,VLOOKUP(B194,Modules!$B$5:$E$496,4,0)=1)=TRUE,VLOOKUP('Hours Detail'!E194,'BASE_FUNCOES (hide)'!$A:$V,12,0),IF(AND('General Information'!$D$16=4,VLOOKUP(B194,Modules!$B$5:$E$496,4,0)=1)=TRUE,VLOOKUP('Hours Detail'!E194,'BASE_FUNCOES (hide)'!$A:$V,13,0),IF(AND('General Information'!$D$16=5,VLOOKUP(B194,Modules!$B$5:$E$496,4,0)=1)=TRUE,VLOOKUP('Hours Detail'!E194,'BASE_FUNCOES (hide)'!$A:$V,14,0),  IF(AND('General Information'!$D$16=6,VLOOKUP(B194,Modules!$B$5:$E$496,4,0)=1)=TRUE,VLOOKUP('Hours Detail'!E194,'BASE_FUNCOES (hide)'!$A:$V,15,0),"No"))))))</f>
        <v>No</v>
      </c>
      <c r="H194" s="22" t="str">
        <f t="shared" si="4"/>
        <v>No</v>
      </c>
      <c r="I194" s="75">
        <f>IF('General Information'!$C$4="Mexico",(ROUNDUP(VLOOKUP(E194,'BASE_FUNCOES (hide)'!A:X,21,0),0)),(ROUNDUP(VLOOKUP(E194,'BASE_FUNCOES (hide)'!A:L,9,0),0)))</f>
        <v>8</v>
      </c>
      <c r="J194" s="75">
        <f>ROUNDUP(SUMIF(Questions!$E$5:$E$558,'Hours Detail'!E194,Questions!$F$5:$F$558),0)</f>
        <v>0</v>
      </c>
      <c r="K194" s="76">
        <f>IF(H194="Yes",ROUNDUP(IF(VLOOKUP(E194,'BASE_FUNCOES (hide)'!A:T,16,FALSE)&lt;&gt;"No",IF('General Information'!$C$19="HTML5",(I194+J194)*'BASE_FUNCOES (hide)'!$T$2,I194+J194),I194+J194),I194+J194),I194+J194)</f>
        <v>8</v>
      </c>
      <c r="L194" s="265" t="str">
        <f>IF(OR(E194=121,E194=88,E194=2682,E194=2703,E194=2687,E194=2689,E194=2681,E194=2685)=FALSE,"",IF('General Information'!$C$19="HTML5","FUNÇÃO DISPONÍVEL APENAS PARA BRASIL",IF(J195&lt;&gt;0,VLOOKUP(E195,Questions!$E$5:$L$568,5,0),"")))</f>
        <v/>
      </c>
      <c r="M194" s="164" t="s">
        <v>2396</v>
      </c>
      <c r="N194" s="369" t="s">
        <v>2377</v>
      </c>
    </row>
    <row r="195" spans="1:14" ht="14.5" customHeight="1" outlineLevel="1">
      <c r="A195" s="59"/>
      <c r="B195" s="72">
        <f>VLOOKUP('Hours Detail'!E195,'BASE_FUNCOES (hide)'!A:W,5,FALSE)</f>
        <v>105</v>
      </c>
      <c r="C195" s="72" t="s">
        <v>5929</v>
      </c>
      <c r="D195" s="73" t="str">
        <f>IF('General Information'!$C$6="Português",VLOOKUP(B195,'ESTRUTURA_MODULO(hide)'!A:D,2,0),IF('General Information'!$C$6="English",VLOOKUP(B195,'ESTRUTURA_MODULO(hide)'!A:D,3,0),IF('General Information'!$C$6="Español",VLOOKUP(B195,'ESTRUTURA_MODULO(hide)'!A:D,4,0))))</f>
        <v>Qualidade</v>
      </c>
      <c r="E195" s="254">
        <v>4000</v>
      </c>
      <c r="F195" s="73" t="str">
        <f>IF('General Information'!$C$6="Português",VLOOKUP(E195,'BASE_FUNCOES (hide)'!A:H,2,0),IF('General Information'!$C$6="English",VLOOKUP(E195,'BASE_FUNCOES (hide)'!A:H,3,0),IF('General Information'!$C$6="Español",VLOOKUP(E195,'BASE_FUNCOES (hide)'!A:H,4,0))))</f>
        <v>Gestão da Qualidade</v>
      </c>
      <c r="G195" s="73" t="str">
        <f>IF(AND('General Information'!$D$16=1,VLOOKUP(B195,Modules!$B$5:$E$496,4,0)=1)=TRUE,VLOOKUP('Hours Detail'!E195,'BASE_FUNCOES (hide)'!$A:$V,10,0),IF(AND('General Information'!$D$16=2,VLOOKUP(B195,Modules!$B$5:$E$496,4,0)=1)=TRUE,VLOOKUP('Hours Detail'!E195,'BASE_FUNCOES (hide)'!$A:$V,11,0),IF(AND('General Information'!$D$16=3,VLOOKUP(B195,Modules!$B$5:$E$496,4,0)=1)=TRUE,VLOOKUP('Hours Detail'!E195,'BASE_FUNCOES (hide)'!$A:$V,12,0),IF(AND('General Information'!$D$16=4,VLOOKUP(B195,Modules!$B$5:$E$496,4,0)=1)=TRUE,VLOOKUP('Hours Detail'!E195,'BASE_FUNCOES (hide)'!$A:$V,13,0),IF(AND('General Information'!$D$16=5,VLOOKUP(B195,Modules!$B$5:$E$496,4,0)=1)=TRUE,VLOOKUP('Hours Detail'!E195,'BASE_FUNCOES (hide)'!$A:$V,14,0),  IF(AND('General Information'!$D$16=6,VLOOKUP(B195,Modules!$B$5:$E$496,4,0)=1)=TRUE,VLOOKUP('Hours Detail'!E195,'BASE_FUNCOES (hide)'!$A:$V,15,0),"No"))))))</f>
        <v>No</v>
      </c>
      <c r="H195" s="22" t="str">
        <f t="shared" si="4"/>
        <v>No</v>
      </c>
      <c r="I195" s="75">
        <f>IF('General Information'!$C$4="Mexico",(ROUNDUP(VLOOKUP(E195,'BASE_FUNCOES (hide)'!A:X,21,0),0)),(ROUNDUP(VLOOKUP(E195,'BASE_FUNCOES (hide)'!A:L,9,0),0)))</f>
        <v>40</v>
      </c>
      <c r="J195" s="75">
        <f>ROUNDUP(SUMIF(Questions!$E$5:$E$558,'Hours Detail'!E195,Questions!$F$5:$F$558),0)</f>
        <v>0</v>
      </c>
      <c r="K195" s="76">
        <f>IF(H195="Yes",ROUNDUP(IF(VLOOKUP(E195,'BASE_FUNCOES (hide)'!A:T,16,FALSE)&lt;&gt;"No",IF('General Information'!$C$19="HTML5",(I195+J195)*'BASE_FUNCOES (hide)'!$T$2,I195+J195),I195+J195),I195+J195),I195+J195)</f>
        <v>40</v>
      </c>
      <c r="L195" s="265" t="str">
        <f>IF(OR(E195=121,E195=88,E195=2682,E195=2703,E195=2687,E195=2689,E195=2681,E195=2685)=FALSE,"",IF('General Information'!$C$19="HTML5","FUNÇÃO DISPONÍVEL APENAS PARA BRASIL",IF(J196&lt;&gt;0,VLOOKUP(E196,Questions!$E$5:$L$568,5,0),"")))</f>
        <v/>
      </c>
      <c r="M195" s="164" t="s">
        <v>2396</v>
      </c>
      <c r="N195" s="369" t="s">
        <v>2377</v>
      </c>
    </row>
    <row r="196" spans="1:14" ht="14.5" customHeight="1" outlineLevel="1">
      <c r="A196" s="59"/>
      <c r="B196" s="72">
        <f>VLOOKUP('Hours Detail'!E196,'BASE_FUNCOES (hide)'!A:W,5,FALSE)</f>
        <v>105</v>
      </c>
      <c r="C196" s="72" t="s">
        <v>5929</v>
      </c>
      <c r="D196" s="73" t="str">
        <f>IF('General Information'!$C$6="Português",VLOOKUP(B196,'ESTRUTURA_MODULO(hide)'!A:D,2,0),IF('General Information'!$C$6="English",VLOOKUP(B196,'ESTRUTURA_MODULO(hide)'!A:D,3,0),IF('General Information'!$C$6="Español",VLOOKUP(B196,'ESTRUTURA_MODULO(hide)'!A:D,4,0))))</f>
        <v>Qualidade</v>
      </c>
      <c r="E196" s="254">
        <v>63</v>
      </c>
      <c r="F196" s="73" t="str">
        <f>IF('General Information'!$C$6="Português",VLOOKUP(E196,'BASE_FUNCOES (hide)'!A:H,2,0),IF('General Information'!$C$6="English",VLOOKUP(E196,'BASE_FUNCOES (hide)'!A:H,3,0),IF('General Information'!$C$6="Español",VLOOKUP(E196,'BASE_FUNCOES (hide)'!A:H,4,0))))</f>
        <v>Gestão de Acesso de Profissionais</v>
      </c>
      <c r="G196" s="73" t="str">
        <f>IF(AND('General Information'!$D$16=1,VLOOKUP(B196,Modules!$B$5:$E$496,4,0)=1)=TRUE,VLOOKUP('Hours Detail'!E196,'BASE_FUNCOES (hide)'!$A:$V,10,0),IF(AND('General Information'!$D$16=2,VLOOKUP(B196,Modules!$B$5:$E$496,4,0)=1)=TRUE,VLOOKUP('Hours Detail'!E196,'BASE_FUNCOES (hide)'!$A:$V,11,0),IF(AND('General Information'!$D$16=3,VLOOKUP(B196,Modules!$B$5:$E$496,4,0)=1)=TRUE,VLOOKUP('Hours Detail'!E196,'BASE_FUNCOES (hide)'!$A:$V,12,0),IF(AND('General Information'!$D$16=4,VLOOKUP(B196,Modules!$B$5:$E$496,4,0)=1)=TRUE,VLOOKUP('Hours Detail'!E196,'BASE_FUNCOES (hide)'!$A:$V,13,0),IF(AND('General Information'!$D$16=5,VLOOKUP(B196,Modules!$B$5:$E$496,4,0)=1)=TRUE,VLOOKUP('Hours Detail'!E196,'BASE_FUNCOES (hide)'!$A:$V,14,0),  IF(AND('General Information'!$D$16=6,VLOOKUP(B196,Modules!$B$5:$E$496,4,0)=1)=TRUE,VLOOKUP('Hours Detail'!E196,'BASE_FUNCOES (hide)'!$A:$V,15,0),"No"))))))</f>
        <v>No</v>
      </c>
      <c r="H196" s="22" t="str">
        <f t="shared" si="4"/>
        <v>No</v>
      </c>
      <c r="I196" s="75">
        <f>IF('General Information'!$C$4="Mexico",(ROUNDUP(VLOOKUP(E196,'BASE_FUNCOES (hide)'!A:X,21,0),0)),(ROUNDUP(VLOOKUP(E196,'BASE_FUNCOES (hide)'!A:L,9,0),0)))</f>
        <v>32</v>
      </c>
      <c r="J196" s="75">
        <f>ROUNDUP(SUMIF(Questions!$E$5:$E$558,'Hours Detail'!E196,Questions!$F$5:$F$558),0)</f>
        <v>0</v>
      </c>
      <c r="K196" s="76">
        <f>IF(H196="Yes",ROUNDUP(IF(VLOOKUP(E196,'BASE_FUNCOES (hide)'!A:T,16,FALSE)&lt;&gt;"No",IF('General Information'!$C$19="HTML5",(I196+J196)*'BASE_FUNCOES (hide)'!$T$2,I196+J196),I196+J196),I196+J196),I196+J196)</f>
        <v>32</v>
      </c>
      <c r="L196" s="265" t="str">
        <f>IF(OR(E196=121,E196=88,E196=2682,E196=2703,E196=2687,E196=2689,E196=2681,E196=2685)=FALSE,"",IF('General Information'!$C$19="HTML5","FUNÇÃO DISPONÍVEL APENAS PARA BRASIL",IF(J198&lt;&gt;0,VLOOKUP(E198,Questions!$E$5:$L$568,5,0),"")))</f>
        <v/>
      </c>
      <c r="M196" s="164" t="s">
        <v>2396</v>
      </c>
      <c r="N196" s="369" t="s">
        <v>2377</v>
      </c>
    </row>
    <row r="197" spans="1:14" ht="14.5" customHeight="1" outlineLevel="1">
      <c r="A197" s="59"/>
      <c r="B197" s="72">
        <f>VLOOKUP('Hours Detail'!E197,'BASE_FUNCOES (hide)'!A:W,5,FALSE)</f>
        <v>105</v>
      </c>
      <c r="C197" s="72" t="s">
        <v>5929</v>
      </c>
      <c r="D197" s="73" t="str">
        <f>IF('General Information'!$C$6="Português",VLOOKUP(B197,'ESTRUTURA_MODULO(hide)'!A:D,2,0),IF('General Information'!$C$6="English",VLOOKUP(B197,'ESTRUTURA_MODULO(hide)'!A:D,3,0),IF('General Information'!$C$6="Español",VLOOKUP(B197,'ESTRUTURA_MODULO(hide)'!A:D,4,0))))</f>
        <v>Qualidade</v>
      </c>
      <c r="E197" s="254">
        <v>4003</v>
      </c>
      <c r="F197" s="73" t="str">
        <f>IF('General Information'!$C$6="Português",VLOOKUP(E197,'BASE_FUNCOES (hide)'!A:H,2,0),IF('General Information'!$C$6="English",VLOOKUP(E197,'BASE_FUNCOES (hide)'!A:H,3,0),IF('General Information'!$C$6="Español",VLOOKUP(E197,'BASE_FUNCOES (hide)'!A:H,4,0))))</f>
        <v>Consulta da Qualidade</v>
      </c>
      <c r="G197" s="73" t="str">
        <f>IF(AND('General Information'!$D$16=1,VLOOKUP(B197,Modules!$B$5:$E$496,4,0)=1)=TRUE,VLOOKUP('Hours Detail'!E197,'BASE_FUNCOES (hide)'!$A:$V,10,0),IF(AND('General Information'!$D$16=2,VLOOKUP(B197,Modules!$B$5:$E$496,4,0)=1)=TRUE,VLOOKUP('Hours Detail'!E197,'BASE_FUNCOES (hide)'!$A:$V,11,0),IF(AND('General Information'!$D$16=3,VLOOKUP(B197,Modules!$B$5:$E$496,4,0)=1)=TRUE,VLOOKUP('Hours Detail'!E197,'BASE_FUNCOES (hide)'!$A:$V,12,0),IF(AND('General Information'!$D$16=4,VLOOKUP(B197,Modules!$B$5:$E$496,4,0)=1)=TRUE,VLOOKUP('Hours Detail'!E197,'BASE_FUNCOES (hide)'!$A:$V,13,0),IF(AND('General Information'!$D$16=5,VLOOKUP(B197,Modules!$B$5:$E$496,4,0)=1)=TRUE,VLOOKUP('Hours Detail'!E197,'BASE_FUNCOES (hide)'!$A:$V,14,0),  IF(AND('General Information'!$D$16=6,VLOOKUP(B197,Modules!$B$5:$E$496,4,0)=1)=TRUE,VLOOKUP('Hours Detail'!E197,'BASE_FUNCOES (hide)'!$A:$V,15,0),"No"))))))</f>
        <v>No</v>
      </c>
      <c r="H197" s="22" t="str">
        <f t="shared" si="4"/>
        <v>No</v>
      </c>
      <c r="I197" s="75">
        <f>IF('General Information'!$C$4="Mexico",(ROUNDUP(VLOOKUP(E197,'BASE_FUNCOES (hide)'!A:X,21,0),0)),(ROUNDUP(VLOOKUP(E197,'BASE_FUNCOES (hide)'!A:L,9,0),0)))</f>
        <v>0</v>
      </c>
      <c r="J197" s="75">
        <f>ROUNDUP(SUMIF(Questions!$E$5:$E$558,'Hours Detail'!E197,Questions!$F$5:$F$558),0)</f>
        <v>0</v>
      </c>
      <c r="K197" s="76">
        <f>IF(H197="Yes",ROUNDUP(IF(VLOOKUP(E197,'BASE_FUNCOES (hide)'!A:T,16,FALSE)&lt;&gt;"No",IF('General Information'!$C$19="HTML5",(I197+J197)*'BASE_FUNCOES (hide)'!$T$2,I197+J197),I197+J197),I197+J197),I197+J197)</f>
        <v>0</v>
      </c>
      <c r="L197" s="265" t="str">
        <f>IF(OR(E197=121,E197=88,E197=2682,E197=2703,E197=2687,E197=2689,E197=2681,E197=2685)=FALSE,"",IF('General Information'!$C$19="HTML5","FUNÇÃO DISPONÍVEL APENAS PARA BRASIL",IF(J199&lt;&gt;0,VLOOKUP(E199,Questions!$E$5:$L$568,5,0),"")))</f>
        <v/>
      </c>
      <c r="M197" s="164" t="s">
        <v>2396</v>
      </c>
      <c r="N197" s="369" t="s">
        <v>2377</v>
      </c>
    </row>
    <row r="198" spans="1:14" ht="14.5" customHeight="1" outlineLevel="1">
      <c r="A198" s="59"/>
      <c r="B198" s="72">
        <f>VLOOKUP('Hours Detail'!E198,'BASE_FUNCOES (hide)'!A:W,5,FALSE)</f>
        <v>105</v>
      </c>
      <c r="C198" s="72" t="s">
        <v>5929</v>
      </c>
      <c r="D198" s="73" t="str">
        <f>IF('General Information'!$C$6="Português",VLOOKUP(B198,'ESTRUTURA_MODULO(hide)'!A:D,2,0),IF('General Information'!$C$6="English",VLOOKUP(B198,'ESTRUTURA_MODULO(hide)'!A:D,3,0),IF('General Information'!$C$6="Español",VLOOKUP(B198,'ESTRUTURA_MODULO(hide)'!A:D,4,0))))</f>
        <v>Qualidade</v>
      </c>
      <c r="E198" s="254">
        <v>7032</v>
      </c>
      <c r="F198" s="73" t="str">
        <f>IF('General Information'!$C$6="Português",VLOOKUP(E198,'BASE_FUNCOES (hide)'!A:H,2,0),IF('General Information'!$C$6="English",VLOOKUP(E198,'BASE_FUNCOES (hide)'!A:H,3,0),IF('General Information'!$C$6="Español",VLOOKUP(E198,'BASE_FUNCOES (hide)'!A:H,4,0))))</f>
        <v>Gestão de Alertas e Eventos</v>
      </c>
      <c r="G198" s="73" t="str">
        <f>IF(AND('General Information'!$D$16=1,VLOOKUP(B198,Modules!$B$5:$E$496,4,0)=1)=TRUE,VLOOKUP('Hours Detail'!E198,'BASE_FUNCOES (hide)'!$A:$V,10,0),IF(AND('General Information'!$D$16=2,VLOOKUP(B198,Modules!$B$5:$E$496,4,0)=1)=TRUE,VLOOKUP('Hours Detail'!E198,'BASE_FUNCOES (hide)'!$A:$V,11,0),IF(AND('General Information'!$D$16=3,VLOOKUP(B198,Modules!$B$5:$E$496,4,0)=1)=TRUE,VLOOKUP('Hours Detail'!E198,'BASE_FUNCOES (hide)'!$A:$V,12,0),IF(AND('General Information'!$D$16=4,VLOOKUP(B198,Modules!$B$5:$E$496,4,0)=1)=TRUE,VLOOKUP('Hours Detail'!E198,'BASE_FUNCOES (hide)'!$A:$V,13,0),IF(AND('General Information'!$D$16=5,VLOOKUP(B198,Modules!$B$5:$E$496,4,0)=1)=TRUE,VLOOKUP('Hours Detail'!E198,'BASE_FUNCOES (hide)'!$A:$V,14,0),  IF(AND('General Information'!$D$16=6,VLOOKUP(B198,Modules!$B$5:$E$496,4,0)=1)=TRUE,VLOOKUP('Hours Detail'!E198,'BASE_FUNCOES (hide)'!$A:$V,15,0),"No"))))))</f>
        <v>No</v>
      </c>
      <c r="H198" s="22" t="str">
        <f t="shared" si="4"/>
        <v>No</v>
      </c>
      <c r="I198" s="75">
        <f>IF('General Information'!$C$4="Mexico",(ROUNDUP(VLOOKUP(E198,'BASE_FUNCOES (hide)'!A:X,21,0),0)),(ROUNDUP(VLOOKUP(E198,'BASE_FUNCOES (hide)'!A:L,9,0),0)))</f>
        <v>8</v>
      </c>
      <c r="J198" s="75">
        <f>ROUNDUP(SUMIF(Questions!$E$5:$E$558,'Hours Detail'!E198,Questions!$F$5:$F$558),0)</f>
        <v>0</v>
      </c>
      <c r="K198" s="76">
        <f>IF(H198="Yes",ROUNDUP(IF(VLOOKUP(E198,'BASE_FUNCOES (hide)'!A:T,16,FALSE)&lt;&gt;"No",IF('General Information'!$C$19="HTML5",(I198+J198)*'BASE_FUNCOES (hide)'!$T$2,I198+J198),I198+J198),I198+J198),I198+J198)</f>
        <v>8</v>
      </c>
      <c r="L198" s="265" t="str">
        <f>IF(OR(E198=121,E198=88,E198=2682,E198=2703,E198=2687,E198=2689,E198=2681,E198=2685)=FALSE,"",IF('General Information'!$C$19="HTML5","FUNÇÃO DISPONÍVEL APENAS PARA BRASIL",IF(J199&lt;&gt;0,VLOOKUP(E199,Questions!$E$5:$L$568,5,0),"")))</f>
        <v/>
      </c>
      <c r="M198" s="164" t="s">
        <v>2396</v>
      </c>
      <c r="N198" s="369" t="s">
        <v>2377</v>
      </c>
    </row>
    <row r="199" spans="1:14" ht="14.5" customHeight="1" outlineLevel="1">
      <c r="A199" s="59"/>
      <c r="B199" s="72">
        <f>VLOOKUP('Hours Detail'!E199,'BASE_FUNCOES (hide)'!A:W,5,FALSE)</f>
        <v>322</v>
      </c>
      <c r="C199" s="72" t="s">
        <v>5929</v>
      </c>
      <c r="D199" s="73" t="str">
        <f>IF('General Information'!$C$6="Português",VLOOKUP(B199,'ESTRUTURA_MODULO(hide)'!A:D,2,0),IF('General Information'!$C$6="English",VLOOKUP(B199,'ESTRUTURA_MODULO(hide)'!A:D,3,0),IF('General Information'!$C$6="Español",VLOOKUP(B199,'ESTRUTURA_MODULO(hide)'!A:D,4,0))))</f>
        <v>Treinamentos</v>
      </c>
      <c r="E199" s="254">
        <v>7041</v>
      </c>
      <c r="F199" s="73" t="str">
        <f>IF('General Information'!$C$6="Português",VLOOKUP(E199,'BASE_FUNCOES (hide)'!A:H,2,0),IF('General Information'!$C$6="English",VLOOKUP(E199,'BASE_FUNCOES (hide)'!A:H,3,0),IF('General Information'!$C$6="Español",VLOOKUP(E199,'BASE_FUNCOES (hide)'!A:H,4,0))))</f>
        <v>Gestão de Treinamento</v>
      </c>
      <c r="G199" s="73" t="str">
        <f>IF(AND('General Information'!$D$16=1,VLOOKUP(B199,Modules!$B$5:$E$496,4,0)=1)=TRUE,VLOOKUP('Hours Detail'!E199,'BASE_FUNCOES (hide)'!$A:$V,10,0),IF(AND('General Information'!$D$16=2,VLOOKUP(B199,Modules!$B$5:$E$496,4,0)=1)=TRUE,VLOOKUP('Hours Detail'!E199,'BASE_FUNCOES (hide)'!$A:$V,11,0),IF(AND('General Information'!$D$16=3,VLOOKUP(B199,Modules!$B$5:$E$496,4,0)=1)=TRUE,VLOOKUP('Hours Detail'!E199,'BASE_FUNCOES (hide)'!$A:$V,12,0),IF(AND('General Information'!$D$16=4,VLOOKUP(B199,Modules!$B$5:$E$496,4,0)=1)=TRUE,VLOOKUP('Hours Detail'!E199,'BASE_FUNCOES (hide)'!$A:$V,13,0),IF(AND('General Information'!$D$16=5,VLOOKUP(B199,Modules!$B$5:$E$496,4,0)=1)=TRUE,VLOOKUP('Hours Detail'!E199,'BASE_FUNCOES (hide)'!$A:$V,14,0),  IF(AND('General Information'!$D$16=6,VLOOKUP(B199,Modules!$B$5:$E$496,4,0)=1)=TRUE,VLOOKUP('Hours Detail'!E199,'BASE_FUNCOES (hide)'!$A:$V,15,0),"No"))))))</f>
        <v>No</v>
      </c>
      <c r="H199" s="22" t="str">
        <f t="shared" si="4"/>
        <v>No</v>
      </c>
      <c r="I199" s="75">
        <f>IF('General Information'!$C$4="Mexico",(ROUNDUP(VLOOKUP(E199,'BASE_FUNCOES (hide)'!A:X,21,0),0)),(ROUNDUP(VLOOKUP(E199,'BASE_FUNCOES (hide)'!A:L,9,0),0)))</f>
        <v>12</v>
      </c>
      <c r="J199" s="75">
        <f>ROUNDUP(SUMIF(Questions!$E$5:$E$558,'Hours Detail'!E199,Questions!$F$5:$F$558),0)</f>
        <v>0</v>
      </c>
      <c r="K199" s="76">
        <f>IF(H199="Yes",ROUNDUP(IF(VLOOKUP(E199,'BASE_FUNCOES (hide)'!A:T,16,FALSE)&lt;&gt;"No",IF('General Information'!$C$19="HTML5",(I199+J199)*'BASE_FUNCOES (hide)'!$T$2,I199+J199),I199+J199),I199+J199),I199+J199)</f>
        <v>12</v>
      </c>
      <c r="L199" s="265" t="str">
        <f>IF(OR(E199=121,E199=88,E199=2682,E199=2703,E199=2687,E199=2689,E199=2681,E199=2685)=FALSE,"",IF('General Information'!$C$19="HTML5","FUNÇÃO DISPONÍVEL APENAS PARA BRASIL",IF(J200&lt;&gt;0,VLOOKUP(E200,Questions!$E$5:$L$568,5,0),"")))</f>
        <v/>
      </c>
      <c r="M199" s="164" t="s">
        <v>2396</v>
      </c>
      <c r="N199" s="369" t="s">
        <v>2377</v>
      </c>
    </row>
    <row r="200" spans="1:14" ht="14.5" customHeight="1" outlineLevel="1">
      <c r="A200" s="59"/>
      <c r="B200" s="72">
        <f>VLOOKUP('Hours Detail'!E200,'BASE_FUNCOES (hide)'!A:W,5,FALSE)</f>
        <v>322</v>
      </c>
      <c r="C200" s="72" t="s">
        <v>5929</v>
      </c>
      <c r="D200" s="73" t="str">
        <f>IF('General Information'!$C$6="Português",VLOOKUP(B200,'ESTRUTURA_MODULO(hide)'!A:D,2,0),IF('General Information'!$C$6="English",VLOOKUP(B200,'ESTRUTURA_MODULO(hide)'!A:D,3,0),IF('General Information'!$C$6="Español",VLOOKUP(B200,'ESTRUTURA_MODULO(hide)'!A:D,4,0))))</f>
        <v>Treinamentos</v>
      </c>
      <c r="E200" s="254">
        <v>7004</v>
      </c>
      <c r="F200" s="73" t="str">
        <f>IF('General Information'!$C$6="Português",VLOOKUP(E200,'BASE_FUNCOES (hide)'!A:H,2,0),IF('General Information'!$C$6="English",VLOOKUP(E200,'BASE_FUNCOES (hide)'!A:H,3,0),IF('General Information'!$C$6="Español",VLOOKUP(E200,'BASE_FUNCOES (hide)'!A:H,4,0))))</f>
        <v>Treinamento</v>
      </c>
      <c r="G200" s="73" t="str">
        <f>IF(AND('General Information'!$D$16=1,VLOOKUP(B200,Modules!$B$5:$E$496,4,0)=1)=TRUE,VLOOKUP('Hours Detail'!E200,'BASE_FUNCOES (hide)'!$A:$V,10,0),IF(AND('General Information'!$D$16=2,VLOOKUP(B200,Modules!$B$5:$E$496,4,0)=1)=TRUE,VLOOKUP('Hours Detail'!E200,'BASE_FUNCOES (hide)'!$A:$V,11,0),IF(AND('General Information'!$D$16=3,VLOOKUP(B200,Modules!$B$5:$E$496,4,0)=1)=TRUE,VLOOKUP('Hours Detail'!E200,'BASE_FUNCOES (hide)'!$A:$V,12,0),IF(AND('General Information'!$D$16=4,VLOOKUP(B200,Modules!$B$5:$E$496,4,0)=1)=TRUE,VLOOKUP('Hours Detail'!E200,'BASE_FUNCOES (hide)'!$A:$V,13,0),IF(AND('General Information'!$D$16=5,VLOOKUP(B200,Modules!$B$5:$E$496,4,0)=1)=TRUE,VLOOKUP('Hours Detail'!E200,'BASE_FUNCOES (hide)'!$A:$V,14,0),  IF(AND('General Information'!$D$16=6,VLOOKUP(B200,Modules!$B$5:$E$496,4,0)=1)=TRUE,VLOOKUP('Hours Detail'!E200,'BASE_FUNCOES (hide)'!$A:$V,15,0),"No"))))))</f>
        <v>No</v>
      </c>
      <c r="H200" s="22" t="str">
        <f t="shared" si="4"/>
        <v>No</v>
      </c>
      <c r="I200" s="75">
        <f>IF('General Information'!$C$4="Mexico",(ROUNDUP(VLOOKUP(E200,'BASE_FUNCOES (hide)'!A:X,21,0),0)),(ROUNDUP(VLOOKUP(E200,'BASE_FUNCOES (hide)'!A:L,9,0),0)))</f>
        <v>12</v>
      </c>
      <c r="J200" s="75">
        <f>ROUNDUP(SUMIF(Questions!$E$5:$E$558,'Hours Detail'!E200,Questions!$F$5:$F$558),0)</f>
        <v>0</v>
      </c>
      <c r="K200" s="76">
        <f>IF(H200="Yes",ROUNDUP(IF(VLOOKUP(E200,'BASE_FUNCOES (hide)'!A:T,16,FALSE)&lt;&gt;"No",IF('General Information'!$C$19="HTML5",(I200+J200)*'BASE_FUNCOES (hide)'!$T$2,I200+J200),I200+J200),I200+J200),I200+J200)</f>
        <v>12</v>
      </c>
      <c r="L200" s="265" t="str">
        <f>IF(OR(E200=121,E200=88,E200=2682,E200=2703,E200=2687,E200=2689,E200=2681,E200=2685)=FALSE,"",IF('General Information'!$C$19="HTML5","FUNÇÃO DISPONÍVEL APENAS PARA BRASIL",IF(J201&lt;&gt;0,VLOOKUP(E201,Questions!$E$5:$L$568,5,0),"")))</f>
        <v/>
      </c>
      <c r="M200" s="164" t="s">
        <v>2396</v>
      </c>
      <c r="N200" s="369" t="s">
        <v>2377</v>
      </c>
    </row>
    <row r="201" spans="1:14" ht="14.5" customHeight="1" outlineLevel="1">
      <c r="A201" s="59"/>
      <c r="B201" s="72">
        <f>VLOOKUP('Hours Detail'!E201,'BASE_FUNCOES (hide)'!A:W,5,FALSE)</f>
        <v>94</v>
      </c>
      <c r="C201" s="72" t="s">
        <v>5929</v>
      </c>
      <c r="D201" s="73" t="str">
        <f>IF('General Information'!$C$6="Português",VLOOKUP(B201,'ESTRUTURA_MODULO(hide)'!A:D,2,0),IF('General Information'!$C$6="English",VLOOKUP(B201,'ESTRUTURA_MODULO(hide)'!A:D,3,0),IF('General Information'!$C$6="Español",VLOOKUP(B201,'ESTRUTURA_MODULO(hide)'!A:D,4,0))))</f>
        <v>SOS</v>
      </c>
      <c r="E201" s="254">
        <v>929</v>
      </c>
      <c r="F201" s="73" t="str">
        <f>IF('General Information'!$C$6="Português",VLOOKUP(E201,'BASE_FUNCOES (hide)'!A:H,2,0),IF('General Information'!$C$6="English",VLOOKUP(E201,'BASE_FUNCOES (hide)'!A:H,3,0),IF('General Information'!$C$6="Español",VLOOKUP(E201,'BASE_FUNCOES (hide)'!A:H,4,0))))</f>
        <v>Serviços de Emergência</v>
      </c>
      <c r="G201" s="73" t="str">
        <f>IF(AND('General Information'!$D$16=1,VLOOKUP(B201,Modules!$B$5:$E$496,4,0)=1)=TRUE,VLOOKUP('Hours Detail'!E201,'BASE_FUNCOES (hide)'!$A:$V,10,0),IF(AND('General Information'!$D$16=2,VLOOKUP(B201,Modules!$B$5:$E$496,4,0)=1)=TRUE,VLOOKUP('Hours Detail'!E201,'BASE_FUNCOES (hide)'!$A:$V,11,0),IF(AND('General Information'!$D$16=3,VLOOKUP(B201,Modules!$B$5:$E$496,4,0)=1)=TRUE,VLOOKUP('Hours Detail'!E201,'BASE_FUNCOES (hide)'!$A:$V,12,0),IF(AND('General Information'!$D$16=4,VLOOKUP(B201,Modules!$B$5:$E$496,4,0)=1)=TRUE,VLOOKUP('Hours Detail'!E201,'BASE_FUNCOES (hide)'!$A:$V,13,0),IF(AND('General Information'!$D$16=5,VLOOKUP(B201,Modules!$B$5:$E$496,4,0)=1)=TRUE,VLOOKUP('Hours Detail'!E201,'BASE_FUNCOES (hide)'!$A:$V,14,0),  IF(AND('General Information'!$D$16=6,VLOOKUP(B201,Modules!$B$5:$E$496,4,0)=1)=TRUE,VLOOKUP('Hours Detail'!E201,'BASE_FUNCOES (hide)'!$A:$V,15,0),"No"))))))</f>
        <v>No</v>
      </c>
      <c r="H201" s="22" t="str">
        <f t="shared" si="4"/>
        <v>No</v>
      </c>
      <c r="I201" s="75">
        <f>IF('General Information'!$C$4="Mexico",(ROUNDUP(VLOOKUP(E201,'BASE_FUNCOES (hide)'!A:X,21,0),0)),(ROUNDUP(VLOOKUP(E201,'BASE_FUNCOES (hide)'!A:L,9,0),0)))</f>
        <v>40</v>
      </c>
      <c r="J201" s="75">
        <f>ROUNDUP(SUMIF(Questions!$E$5:$E$558,'Hours Detail'!E201,Questions!$F$5:$F$558),0)</f>
        <v>0</v>
      </c>
      <c r="K201" s="76">
        <f>IF(H201="Yes",ROUNDUP(IF(VLOOKUP(E201,'BASE_FUNCOES (hide)'!A:T,16,FALSE)&lt;&gt;"No",IF('General Information'!$C$19="HTML5",(I201+J201)*'BASE_FUNCOES (hide)'!$T$2,I201+J201),I201+J201),I201+J201),I201+J201)</f>
        <v>40</v>
      </c>
      <c r="L201" s="265" t="str">
        <f>IF(OR(E201=121,E201=88,E201=2682,E201=2703,E201=2687,E201=2689,E201=2681,E201=2685)=FALSE,"",IF('General Information'!$C$19="HTML5","FUNÇÃO DISPONÍVEL APENAS PARA BRASIL",IF(J202&lt;&gt;0,VLOOKUP(E202,Questions!$E$5:$L$568,5,0),"")))</f>
        <v/>
      </c>
      <c r="M201" s="164" t="s">
        <v>2396</v>
      </c>
      <c r="N201" s="369" t="s">
        <v>2377</v>
      </c>
    </row>
    <row r="202" spans="1:14" ht="14.5" customHeight="1" outlineLevel="1">
      <c r="A202" s="59"/>
      <c r="B202" s="72">
        <f>VLOOKUP('Hours Detail'!E202,'BASE_FUNCOES (hide)'!A:W,5,FALSE)</f>
        <v>18</v>
      </c>
      <c r="C202" s="72" t="s">
        <v>5929</v>
      </c>
      <c r="D202" s="73" t="str">
        <f>IF('General Information'!$C$6="Português",VLOOKUP(B202,'ESTRUTURA_MODULO(hide)'!A:D,2,0),IF('General Information'!$C$6="English",VLOOKUP(B202,'ESTRUTURA_MODULO(hide)'!A:D,3,0),IF('General Information'!$C$6="Español",VLOOKUP(B202,'ESTRUTURA_MODULO(hide)'!A:D,4,0))))</f>
        <v>Manutenção</v>
      </c>
      <c r="E202" s="254">
        <v>295</v>
      </c>
      <c r="F202" s="73" t="str">
        <f>IF('General Information'!$C$6="Português",VLOOKUP(E202,'BASE_FUNCOES (hide)'!A:H,2,0),IF('General Information'!$C$6="English",VLOOKUP(E202,'BASE_FUNCOES (hide)'!A:H,3,0),IF('General Information'!$C$6="Español",VLOOKUP(E202,'BASE_FUNCOES (hide)'!A:H,4,0))))</f>
        <v>Cadastros da manutenção</v>
      </c>
      <c r="G202" s="73" t="str">
        <f>IF(AND('General Information'!$D$16=1,VLOOKUP(B202,Modules!$B$5:$E$496,4,0)=1)=TRUE,VLOOKUP('Hours Detail'!E202,'BASE_FUNCOES (hide)'!$A:$V,10,0),IF(AND('General Information'!$D$16=2,VLOOKUP(B202,Modules!$B$5:$E$496,4,0)=1)=TRUE,VLOOKUP('Hours Detail'!E202,'BASE_FUNCOES (hide)'!$A:$V,11,0),IF(AND('General Information'!$D$16=3,VLOOKUP(B202,Modules!$B$5:$E$496,4,0)=1)=TRUE,VLOOKUP('Hours Detail'!E202,'BASE_FUNCOES (hide)'!$A:$V,12,0),IF(AND('General Information'!$D$16=4,VLOOKUP(B202,Modules!$B$5:$E$496,4,0)=1)=TRUE,VLOOKUP('Hours Detail'!E202,'BASE_FUNCOES (hide)'!$A:$V,13,0),IF(AND('General Information'!$D$16=5,VLOOKUP(B202,Modules!$B$5:$E$496,4,0)=1)=TRUE,VLOOKUP('Hours Detail'!E202,'BASE_FUNCOES (hide)'!$A:$V,14,0),  IF(AND('General Information'!$D$16=6,VLOOKUP(B202,Modules!$B$5:$E$496,4,0)=1)=TRUE,VLOOKUP('Hours Detail'!E202,'BASE_FUNCOES (hide)'!$A:$V,15,0),"No"))))))</f>
        <v>No</v>
      </c>
      <c r="H202" s="22" t="str">
        <f t="shared" si="4"/>
        <v>No</v>
      </c>
      <c r="I202" s="75">
        <f>IF('General Information'!$C$4="Mexico",(ROUNDUP(VLOOKUP(E202,'BASE_FUNCOES (hide)'!A:X,21,0),0)),(ROUNDUP(VLOOKUP(E202,'BASE_FUNCOES (hide)'!A:L,9,0),0)))</f>
        <v>8</v>
      </c>
      <c r="J202" s="75">
        <f>ROUNDUP(SUMIF(Questions!$E$5:$E$558,'Hours Detail'!E202,Questions!$F$5:$F$558),0)</f>
        <v>0</v>
      </c>
      <c r="K202" s="76">
        <f>IF(H202="Yes",ROUNDUP(IF(VLOOKUP(E202,'BASE_FUNCOES (hide)'!A:T,16,FALSE)&lt;&gt;"No",IF('General Information'!$C$19="HTML5",(I202+J202)*'BASE_FUNCOES (hide)'!$T$2,I202+J202),I202+J202),I202+J202),I202+J202)</f>
        <v>8</v>
      </c>
      <c r="L202" s="265" t="str">
        <f>IF(OR(E202=121,E202=88,E202=2682,E202=2703,E202=2687,E202=2689,E202=2681,E202=2685)=FALSE,"",IF('General Information'!$C$19="HTML5","FUNÇÃO DISPONÍVEL APENAS PARA BRASIL",IF(J203&lt;&gt;0,VLOOKUP(E203,Questions!$E$5:$L$568,5,0),"")))</f>
        <v/>
      </c>
      <c r="M202" s="164" t="s">
        <v>2396</v>
      </c>
      <c r="N202" s="369" t="s">
        <v>2377</v>
      </c>
    </row>
    <row r="203" spans="1:14" ht="14.5" customHeight="1" outlineLevel="1">
      <c r="A203" s="59"/>
      <c r="B203" s="72">
        <f>VLOOKUP('Hours Detail'!E203,'BASE_FUNCOES (hide)'!A:W,5,FALSE)</f>
        <v>18</v>
      </c>
      <c r="C203" s="72" t="s">
        <v>5929</v>
      </c>
      <c r="D203" s="73" t="str">
        <f>IF('General Information'!$C$6="Português",VLOOKUP(B203,'ESTRUTURA_MODULO(hide)'!A:D,2,0),IF('General Information'!$C$6="English",VLOOKUP(B203,'ESTRUTURA_MODULO(hide)'!A:D,3,0),IF('General Information'!$C$6="Español",VLOOKUP(B203,'ESTRUTURA_MODULO(hide)'!A:D,4,0))))</f>
        <v>Manutenção</v>
      </c>
      <c r="E203" s="254">
        <v>298</v>
      </c>
      <c r="F203" s="73" t="str">
        <f>IF('General Information'!$C$6="Português",VLOOKUP(E203,'BASE_FUNCOES (hide)'!A:H,2,0),IF('General Information'!$C$6="English",VLOOKUP(E203,'BASE_FUNCOES (hide)'!A:H,3,0),IF('General Information'!$C$6="Español",VLOOKUP(E203,'BASE_FUNCOES (hide)'!A:H,4,0))))</f>
        <v>Controle de Equipamentos</v>
      </c>
      <c r="G203" s="73" t="str">
        <f>IF(AND('General Information'!$D$16=1,VLOOKUP(B203,Modules!$B$5:$E$496,4,0)=1)=TRUE,VLOOKUP('Hours Detail'!E203,'BASE_FUNCOES (hide)'!$A:$V,10,0),IF(AND('General Information'!$D$16=2,VLOOKUP(B203,Modules!$B$5:$E$496,4,0)=1)=TRUE,VLOOKUP('Hours Detail'!E203,'BASE_FUNCOES (hide)'!$A:$V,11,0),IF(AND('General Information'!$D$16=3,VLOOKUP(B203,Modules!$B$5:$E$496,4,0)=1)=TRUE,VLOOKUP('Hours Detail'!E203,'BASE_FUNCOES (hide)'!$A:$V,12,0),IF(AND('General Information'!$D$16=4,VLOOKUP(B203,Modules!$B$5:$E$496,4,0)=1)=TRUE,VLOOKUP('Hours Detail'!E203,'BASE_FUNCOES (hide)'!$A:$V,13,0),IF(AND('General Information'!$D$16=5,VLOOKUP(B203,Modules!$B$5:$E$496,4,0)=1)=TRUE,VLOOKUP('Hours Detail'!E203,'BASE_FUNCOES (hide)'!$A:$V,14,0),  IF(AND('General Information'!$D$16=6,VLOOKUP(B203,Modules!$B$5:$E$496,4,0)=1)=TRUE,VLOOKUP('Hours Detail'!E203,'BASE_FUNCOES (hide)'!$A:$V,15,0),"No"))))))</f>
        <v>No</v>
      </c>
      <c r="H203" s="22" t="str">
        <f t="shared" si="4"/>
        <v>No</v>
      </c>
      <c r="I203" s="75">
        <f>IF('General Information'!$C$4="Mexico",(ROUNDUP(VLOOKUP(E203,'BASE_FUNCOES (hide)'!A:X,21,0),0)),(ROUNDUP(VLOOKUP(E203,'BASE_FUNCOES (hide)'!A:L,9,0),0)))</f>
        <v>12</v>
      </c>
      <c r="J203" s="75">
        <f>ROUNDUP(SUMIF(Questions!$E$5:$E$558,'Hours Detail'!E203,Questions!$F$5:$F$558),0)</f>
        <v>0</v>
      </c>
      <c r="K203" s="76">
        <f>IF(H203="Yes",ROUNDUP(IF(VLOOKUP(E203,'BASE_FUNCOES (hide)'!A:T,16,FALSE)&lt;&gt;"No",IF('General Information'!$C$19="HTML5",(I203+J203)*'BASE_FUNCOES (hide)'!$T$2,I203+J203),I203+J203),I203+J203),I203+J203)</f>
        <v>12</v>
      </c>
      <c r="L203" s="265" t="str">
        <f>IF(OR(E203=121,E203=88,E203=2682,E203=2703,E203=2687,E203=2689,E203=2681,E203=2685)=FALSE,"",IF('General Information'!$C$19="HTML5","FUNÇÃO DISPONÍVEL APENAS PARA BRASIL",IF(J204&lt;&gt;0,VLOOKUP(E204,Questions!$E$5:$L$568,5,0),"")))</f>
        <v/>
      </c>
      <c r="M203" s="164" t="s">
        <v>2396</v>
      </c>
      <c r="N203" s="369" t="s">
        <v>2377</v>
      </c>
    </row>
    <row r="204" spans="1:14" ht="14.5" customHeight="1" outlineLevel="1">
      <c r="A204" s="59"/>
      <c r="B204" s="72">
        <f>VLOOKUP('Hours Detail'!E204,'BASE_FUNCOES (hide)'!A:W,5,FALSE)</f>
        <v>18</v>
      </c>
      <c r="C204" s="72" t="s">
        <v>5929</v>
      </c>
      <c r="D204" s="73" t="str">
        <f>IF('General Information'!$C$6="Português",VLOOKUP(B204,'ESTRUTURA_MODULO(hide)'!A:D,2,0),IF('General Information'!$C$6="English",VLOOKUP(B204,'ESTRUTURA_MODULO(hide)'!A:D,3,0),IF('General Information'!$C$6="Español",VLOOKUP(B204,'ESTRUTURA_MODULO(hide)'!A:D,4,0))))</f>
        <v>Manutenção</v>
      </c>
      <c r="E204" s="254">
        <v>1300</v>
      </c>
      <c r="F204" s="73" t="str">
        <f>IF('General Information'!$C$6="Português",VLOOKUP(E204,'BASE_FUNCOES (hide)'!A:H,2,0),IF('General Information'!$C$6="English",VLOOKUP(E204,'BASE_FUNCOES (hide)'!A:H,3,0),IF('General Information'!$C$6="Español",VLOOKUP(E204,'BASE_FUNCOES (hide)'!A:H,4,0))))</f>
        <v>Controle de Temperatura dos Setores</v>
      </c>
      <c r="G204" s="73" t="str">
        <f>IF(AND('General Information'!$D$16=1,VLOOKUP(B204,Modules!$B$5:$E$496,4,0)=1)=TRUE,VLOOKUP('Hours Detail'!E204,'BASE_FUNCOES (hide)'!$A:$V,10,0),IF(AND('General Information'!$D$16=2,VLOOKUP(B204,Modules!$B$5:$E$496,4,0)=1)=TRUE,VLOOKUP('Hours Detail'!E204,'BASE_FUNCOES (hide)'!$A:$V,11,0),IF(AND('General Information'!$D$16=3,VLOOKUP(B204,Modules!$B$5:$E$496,4,0)=1)=TRUE,VLOOKUP('Hours Detail'!E204,'BASE_FUNCOES (hide)'!$A:$V,12,0),IF(AND('General Information'!$D$16=4,VLOOKUP(B204,Modules!$B$5:$E$496,4,0)=1)=TRUE,VLOOKUP('Hours Detail'!E204,'BASE_FUNCOES (hide)'!$A:$V,13,0),IF(AND('General Information'!$D$16=5,VLOOKUP(B204,Modules!$B$5:$E$496,4,0)=1)=TRUE,VLOOKUP('Hours Detail'!E204,'BASE_FUNCOES (hide)'!$A:$V,14,0),  IF(AND('General Information'!$D$16=6,VLOOKUP(B204,Modules!$B$5:$E$496,4,0)=1)=TRUE,VLOOKUP('Hours Detail'!E204,'BASE_FUNCOES (hide)'!$A:$V,15,0),"No"))))))</f>
        <v>No</v>
      </c>
      <c r="H204" s="22" t="str">
        <f t="shared" si="4"/>
        <v>No</v>
      </c>
      <c r="I204" s="75">
        <f>IF('General Information'!$C$4="Mexico",(ROUNDUP(VLOOKUP(E204,'BASE_FUNCOES (hide)'!A:X,21,0),0)),(ROUNDUP(VLOOKUP(E204,'BASE_FUNCOES (hide)'!A:L,9,0),0)))</f>
        <v>4</v>
      </c>
      <c r="J204" s="75">
        <f>ROUNDUP(SUMIF(Questions!$E$5:$E$558,'Hours Detail'!E204,Questions!$F$5:$F$558),0)</f>
        <v>0</v>
      </c>
      <c r="K204" s="76">
        <f>IF(H204="Yes",ROUNDUP(IF(VLOOKUP(E204,'BASE_FUNCOES (hide)'!A:T,16,FALSE)&lt;&gt;"No",IF('General Information'!$C$19="HTML5",(I204+J204)*'BASE_FUNCOES (hide)'!$T$2,I204+J204),I204+J204),I204+J204),I204+J204)</f>
        <v>4</v>
      </c>
      <c r="L204" s="265" t="str">
        <f>IF(OR(E204=121,E204=88,E204=2682,E204=2703,E204=2687,E204=2689,E204=2681,E204=2685)=FALSE,"",IF('General Information'!$C$19="HTML5","FUNÇÃO DISPONÍVEL APENAS PARA BRASIL",IF(J205&lt;&gt;0,VLOOKUP(E205,Questions!$E$5:$L$568,5,0),"")))</f>
        <v/>
      </c>
      <c r="M204" s="164" t="s">
        <v>2396</v>
      </c>
      <c r="N204" s="369" t="s">
        <v>2377</v>
      </c>
    </row>
    <row r="205" spans="1:14" ht="14.5" customHeight="1" outlineLevel="1">
      <c r="A205" s="59"/>
      <c r="B205" s="72">
        <f>VLOOKUP('Hours Detail'!E205,'BASE_FUNCOES (hide)'!A:W,5,FALSE)</f>
        <v>18</v>
      </c>
      <c r="C205" s="72" t="s">
        <v>5929</v>
      </c>
      <c r="D205" s="73" t="str">
        <f>IF('General Information'!$C$6="Português",VLOOKUP(B205,'ESTRUTURA_MODULO(hide)'!A:D,2,0),IF('General Information'!$C$6="English",VLOOKUP(B205,'ESTRUTURA_MODULO(hide)'!A:D,3,0),IF('General Information'!$C$6="Español",VLOOKUP(B205,'ESTRUTURA_MODULO(hide)'!A:D,4,0))))</f>
        <v>Manutenção</v>
      </c>
      <c r="E205" s="254">
        <v>296</v>
      </c>
      <c r="F205" s="73" t="str">
        <f>IF('General Information'!$C$6="Português",VLOOKUP(E205,'BASE_FUNCOES (hide)'!A:H,2,0),IF('General Information'!$C$6="English",VLOOKUP(E205,'BASE_FUNCOES (hide)'!A:H,3,0),IF('General Information'!$C$6="Español",VLOOKUP(E205,'BASE_FUNCOES (hide)'!A:H,4,0))))</f>
        <v>Gestão de Ordens de Serviço</v>
      </c>
      <c r="G205" s="73" t="str">
        <f>IF(AND('General Information'!$D$16=1,VLOOKUP(B205,Modules!$B$5:$E$496,4,0)=1)=TRUE,VLOOKUP('Hours Detail'!E205,'BASE_FUNCOES (hide)'!$A:$V,10,0),IF(AND('General Information'!$D$16=2,VLOOKUP(B205,Modules!$B$5:$E$496,4,0)=1)=TRUE,VLOOKUP('Hours Detail'!E205,'BASE_FUNCOES (hide)'!$A:$V,11,0),IF(AND('General Information'!$D$16=3,VLOOKUP(B205,Modules!$B$5:$E$496,4,0)=1)=TRUE,VLOOKUP('Hours Detail'!E205,'BASE_FUNCOES (hide)'!$A:$V,12,0),IF(AND('General Information'!$D$16=4,VLOOKUP(B205,Modules!$B$5:$E$496,4,0)=1)=TRUE,VLOOKUP('Hours Detail'!E205,'BASE_FUNCOES (hide)'!$A:$V,13,0),IF(AND('General Information'!$D$16=5,VLOOKUP(B205,Modules!$B$5:$E$496,4,0)=1)=TRUE,VLOOKUP('Hours Detail'!E205,'BASE_FUNCOES (hide)'!$A:$V,14,0),  IF(AND('General Information'!$D$16=6,VLOOKUP(B205,Modules!$B$5:$E$496,4,0)=1)=TRUE,VLOOKUP('Hours Detail'!E205,'BASE_FUNCOES (hide)'!$A:$V,15,0),"No"))))))</f>
        <v>No</v>
      </c>
      <c r="H205" s="22" t="str">
        <f t="shared" si="4"/>
        <v>No</v>
      </c>
      <c r="I205" s="75">
        <f>IF('General Information'!$C$4="Mexico",(ROUNDUP(VLOOKUP(E205,'BASE_FUNCOES (hide)'!A:X,21,0),0)),(ROUNDUP(VLOOKUP(E205,'BASE_FUNCOES (hide)'!A:L,9,0),0)))</f>
        <v>4</v>
      </c>
      <c r="J205" s="75">
        <f>ROUNDUP(SUMIF(Questions!$E$5:$E$558,'Hours Detail'!E205,Questions!$F$5:$F$558),0)</f>
        <v>0</v>
      </c>
      <c r="K205" s="76">
        <f>IF(H205="Yes",ROUNDUP(IF(VLOOKUP(E205,'BASE_FUNCOES (hide)'!A:T,16,FALSE)&lt;&gt;"No",IF('General Information'!$C$19="HTML5",(I205+J205)*'BASE_FUNCOES (hide)'!$T$2,I205+J205),I205+J205),I205+J205),I205+J205)</f>
        <v>4</v>
      </c>
      <c r="L205" s="265" t="str">
        <f>IF(OR(E205=121,E205=88,E205=2682,E205=2703,E205=2687,E205=2689,E205=2681,E205=2685)=FALSE,"",IF('General Information'!$C$19="HTML5","FUNÇÃO DISPONÍVEL APENAS PARA BRASIL",IF(J206&lt;&gt;0,VLOOKUP(E206,Questions!$E$5:$L$568,5,0),"")))</f>
        <v/>
      </c>
      <c r="M205" s="164" t="s">
        <v>2396</v>
      </c>
      <c r="N205" s="369" t="s">
        <v>2377</v>
      </c>
    </row>
    <row r="206" spans="1:14" ht="14.5" customHeight="1" outlineLevel="1">
      <c r="A206" s="59"/>
      <c r="B206" s="72">
        <f>VLOOKUP('Hours Detail'!E206,'BASE_FUNCOES (hide)'!A:W,5,FALSE)</f>
        <v>18</v>
      </c>
      <c r="C206" s="72" t="s">
        <v>5929</v>
      </c>
      <c r="D206" s="73" t="str">
        <f>IF('General Information'!$C$6="Português",VLOOKUP(B206,'ESTRUTURA_MODULO(hide)'!A:D,2,0),IF('General Information'!$C$6="English",VLOOKUP(B206,'ESTRUTURA_MODULO(hide)'!A:D,3,0),IF('General Information'!$C$6="Español",VLOOKUP(B206,'ESTRUTURA_MODULO(hide)'!A:D,4,0))))</f>
        <v>Manutenção</v>
      </c>
      <c r="E206" s="254">
        <v>297</v>
      </c>
      <c r="F206" s="73" t="str">
        <f>IF('General Information'!$C$6="Português",VLOOKUP(E206,'BASE_FUNCOES (hide)'!A:H,2,0),IF('General Information'!$C$6="English",VLOOKUP(E206,'BASE_FUNCOES (hide)'!A:H,3,0),IF('General Information'!$C$6="Español",VLOOKUP(E206,'BASE_FUNCOES (hide)'!A:H,4,0))))</f>
        <v>Ordem de Serviço (Nova)</v>
      </c>
      <c r="G206" s="73" t="str">
        <f>IF(AND('General Information'!$D$16=1,VLOOKUP(B206,Modules!$B$5:$E$496,4,0)=1)=TRUE,VLOOKUP('Hours Detail'!E206,'BASE_FUNCOES (hide)'!$A:$V,10,0),IF(AND('General Information'!$D$16=2,VLOOKUP(B206,Modules!$B$5:$E$496,4,0)=1)=TRUE,VLOOKUP('Hours Detail'!E206,'BASE_FUNCOES (hide)'!$A:$V,11,0),IF(AND('General Information'!$D$16=3,VLOOKUP(B206,Modules!$B$5:$E$496,4,0)=1)=TRUE,VLOOKUP('Hours Detail'!E206,'BASE_FUNCOES (hide)'!$A:$V,12,0),IF(AND('General Information'!$D$16=4,VLOOKUP(B206,Modules!$B$5:$E$496,4,0)=1)=TRUE,VLOOKUP('Hours Detail'!E206,'BASE_FUNCOES (hide)'!$A:$V,13,0),IF(AND('General Information'!$D$16=5,VLOOKUP(B206,Modules!$B$5:$E$496,4,0)=1)=TRUE,VLOOKUP('Hours Detail'!E206,'BASE_FUNCOES (hide)'!$A:$V,14,0),  IF(AND('General Information'!$D$16=6,VLOOKUP(B206,Modules!$B$5:$E$496,4,0)=1)=TRUE,VLOOKUP('Hours Detail'!E206,'BASE_FUNCOES (hide)'!$A:$V,15,0),"No"))))))</f>
        <v>No</v>
      </c>
      <c r="H206" s="22" t="str">
        <f t="shared" si="4"/>
        <v>No</v>
      </c>
      <c r="I206" s="75">
        <f>IF('General Information'!$C$4="Mexico",(ROUNDUP(VLOOKUP(E206,'BASE_FUNCOES (hide)'!A:X,21,0),0)),(ROUNDUP(VLOOKUP(E206,'BASE_FUNCOES (hide)'!A:L,9,0),0)))</f>
        <v>24</v>
      </c>
      <c r="J206" s="75">
        <f>ROUNDUP(SUMIF(Questions!$E$5:$E$558,'Hours Detail'!E206,Questions!$F$5:$F$558),0)</f>
        <v>0</v>
      </c>
      <c r="K206" s="76">
        <f>IF(H206="Yes",ROUNDUP(IF(VLOOKUP(E206,'BASE_FUNCOES (hide)'!A:T,16,FALSE)&lt;&gt;"No",IF('General Information'!$C$19="HTML5",(I206+J206)*'BASE_FUNCOES (hide)'!$T$2,I206+J206),I206+J206),I206+J206),I206+J206)</f>
        <v>24</v>
      </c>
      <c r="L206" s="265" t="str">
        <f>IF(OR(E206=121,E206=88,E206=2682,E206=2703,E206=2687,E206=2689,E206=2681,E206=2685)=FALSE,"",IF('General Information'!$C$19="HTML5","FUNÇÃO DISPONÍVEL APENAS PARA BRASIL",IF(J207&lt;&gt;0,VLOOKUP(E207,Questions!$E$5:$L$568,5,0),"")))</f>
        <v/>
      </c>
      <c r="M206" s="164" t="s">
        <v>2396</v>
      </c>
      <c r="N206" s="369" t="s">
        <v>2377</v>
      </c>
    </row>
    <row r="207" spans="1:14" ht="14.5" customHeight="1" outlineLevel="1">
      <c r="A207" s="59"/>
      <c r="B207" s="72">
        <f>VLOOKUP('Hours Detail'!E207,'BASE_FUNCOES (hide)'!A:W,5,FALSE)</f>
        <v>18</v>
      </c>
      <c r="C207" s="72" t="s">
        <v>5929</v>
      </c>
      <c r="D207" s="73" t="str">
        <f>IF('General Information'!$C$6="Português",VLOOKUP(B207,'ESTRUTURA_MODULO(hide)'!A:D,2,0),IF('General Information'!$C$6="English",VLOOKUP(B207,'ESTRUTURA_MODULO(hide)'!A:D,3,0),IF('General Information'!$C$6="Español",VLOOKUP(B207,'ESTRUTURA_MODULO(hide)'!A:D,4,0))))</f>
        <v>Manutenção</v>
      </c>
      <c r="E207" s="254">
        <v>294</v>
      </c>
      <c r="F207" s="73" t="str">
        <f>IF('General Information'!$C$6="Português",VLOOKUP(E207,'BASE_FUNCOES (hide)'!A:H,2,0),IF('General Information'!$C$6="English",VLOOKUP(E207,'BASE_FUNCOES (hide)'!A:H,3,0),IF('General Information'!$C$6="Español",VLOOKUP(E207,'BASE_FUNCOES (hide)'!A:H,4,0))))</f>
        <v>Rota de inspeção</v>
      </c>
      <c r="G207" s="73" t="str">
        <f>IF(AND('General Information'!$D$16=1,VLOOKUP(B207,Modules!$B$5:$E$496,4,0)=1)=TRUE,VLOOKUP('Hours Detail'!E207,'BASE_FUNCOES (hide)'!$A:$V,10,0),IF(AND('General Information'!$D$16=2,VLOOKUP(B207,Modules!$B$5:$E$496,4,0)=1)=TRUE,VLOOKUP('Hours Detail'!E207,'BASE_FUNCOES (hide)'!$A:$V,11,0),IF(AND('General Information'!$D$16=3,VLOOKUP(B207,Modules!$B$5:$E$496,4,0)=1)=TRUE,VLOOKUP('Hours Detail'!E207,'BASE_FUNCOES (hide)'!$A:$V,12,0),IF(AND('General Information'!$D$16=4,VLOOKUP(B207,Modules!$B$5:$E$496,4,0)=1)=TRUE,VLOOKUP('Hours Detail'!E207,'BASE_FUNCOES (hide)'!$A:$V,13,0),IF(AND('General Information'!$D$16=5,VLOOKUP(B207,Modules!$B$5:$E$496,4,0)=1)=TRUE,VLOOKUP('Hours Detail'!E207,'BASE_FUNCOES (hide)'!$A:$V,14,0),  IF(AND('General Information'!$D$16=6,VLOOKUP(B207,Modules!$B$5:$E$496,4,0)=1)=TRUE,VLOOKUP('Hours Detail'!E207,'BASE_FUNCOES (hide)'!$A:$V,15,0),"No"))))))</f>
        <v>No</v>
      </c>
      <c r="H207" s="22" t="str">
        <f t="shared" si="4"/>
        <v>No</v>
      </c>
      <c r="I207" s="75">
        <f>IF('General Information'!$C$4="Mexico",(ROUNDUP(VLOOKUP(E207,'BASE_FUNCOES (hide)'!A:X,21,0),0)),(ROUNDUP(VLOOKUP(E207,'BASE_FUNCOES (hide)'!A:L,9,0),0)))</f>
        <v>16</v>
      </c>
      <c r="J207" s="75">
        <f>ROUNDUP(SUMIF(Questions!$E$5:$E$558,'Hours Detail'!E207,Questions!$F$5:$F$558),0)</f>
        <v>0</v>
      </c>
      <c r="K207" s="76">
        <f>IF(H207="Yes",ROUNDUP(IF(VLOOKUP(E207,'BASE_FUNCOES (hide)'!A:T,16,FALSE)&lt;&gt;"No",IF('General Information'!$C$19="HTML5",(I207+J207)*'BASE_FUNCOES (hide)'!$T$2,I207+J207),I207+J207),I207+J207),I207+J207)</f>
        <v>16</v>
      </c>
      <c r="L207" s="265" t="str">
        <f>IF(OR(E207=121,E207=88,E207=2682,E207=2703,E207=2687,E207=2689,E207=2681,E207=2685)=FALSE,"",IF('General Information'!$C$19="HTML5","FUNÇÃO DISPONÍVEL APENAS PARA BRASIL",IF(J208&lt;&gt;0,VLOOKUP(E208,Questions!$E$5:$L$568,5,0),"")))</f>
        <v/>
      </c>
      <c r="M207" s="164" t="s">
        <v>2396</v>
      </c>
      <c r="N207" s="369" t="s">
        <v>2377</v>
      </c>
    </row>
    <row r="208" spans="1:14" ht="14.5" customHeight="1" outlineLevel="1">
      <c r="A208" s="59"/>
      <c r="B208" s="72">
        <f>VLOOKUP('Hours Detail'!E208,'BASE_FUNCOES (hide)'!A:W,5,FALSE)</f>
        <v>182</v>
      </c>
      <c r="C208" s="72" t="s">
        <v>5929</v>
      </c>
      <c r="D208" s="73" t="str">
        <f>IF('General Information'!$C$6="Português",VLOOKUP(B208,'ESTRUTURA_MODULO(hide)'!A:D,2,0),IF('General Information'!$C$6="English",VLOOKUP(B208,'ESTRUTURA_MODULO(hide)'!A:D,3,0),IF('General Information'!$C$6="Español",VLOOKUP(B208,'ESTRUTURA_MODULO(hide)'!A:D,4,0))))</f>
        <v>Comunicação</v>
      </c>
      <c r="E208" s="254">
        <v>87</v>
      </c>
      <c r="F208" s="73" t="str">
        <f>IF('General Information'!$C$6="Português",VLOOKUP(E208,'BASE_FUNCOES (hide)'!A:H,2,0),IF('General Information'!$C$6="English",VLOOKUP(E208,'BASE_FUNCOES (hide)'!A:H,3,0),IF('General Information'!$C$6="Español",VLOOKUP(E208,'BASE_FUNCOES (hide)'!A:H,4,0))))</f>
        <v>Comunicação interna</v>
      </c>
      <c r="G208" s="73" t="str">
        <f>IF(AND('General Information'!$D$16=1,VLOOKUP(B208,Modules!$B$5:$E$496,4,0)=1)=TRUE,VLOOKUP('Hours Detail'!E208,'BASE_FUNCOES (hide)'!$A:$V,10,0),IF(AND('General Information'!$D$16=2,VLOOKUP(B208,Modules!$B$5:$E$496,4,0)=1)=TRUE,VLOOKUP('Hours Detail'!E208,'BASE_FUNCOES (hide)'!$A:$V,11,0),IF(AND('General Information'!$D$16=3,VLOOKUP(B208,Modules!$B$5:$E$496,4,0)=1)=TRUE,VLOOKUP('Hours Detail'!E208,'BASE_FUNCOES (hide)'!$A:$V,12,0),IF(AND('General Information'!$D$16=4,VLOOKUP(B208,Modules!$B$5:$E$496,4,0)=1)=TRUE,VLOOKUP('Hours Detail'!E208,'BASE_FUNCOES (hide)'!$A:$V,13,0),IF(AND('General Information'!$D$16=5,VLOOKUP(B208,Modules!$B$5:$E$496,4,0)=1)=TRUE,VLOOKUP('Hours Detail'!E208,'BASE_FUNCOES (hide)'!$A:$V,14,0),  IF(AND('General Information'!$D$16=6,VLOOKUP(B208,Modules!$B$5:$E$496,4,0)=1)=TRUE,VLOOKUP('Hours Detail'!E208,'BASE_FUNCOES (hide)'!$A:$V,15,0),"No"))))))</f>
        <v>No</v>
      </c>
      <c r="H208" s="22" t="str">
        <f t="shared" si="4"/>
        <v>No</v>
      </c>
      <c r="I208" s="75">
        <f>IF('General Information'!$C$4="Mexico",(ROUNDUP(VLOOKUP(E208,'BASE_FUNCOES (hide)'!A:X,21,0),0)),(ROUNDUP(VLOOKUP(E208,'BASE_FUNCOES (hide)'!A:L,9,0),0)))</f>
        <v>2</v>
      </c>
      <c r="J208" s="75">
        <f>ROUNDUP(SUMIF(Questions!$E$5:$E$558,'Hours Detail'!E208,Questions!$F$5:$F$558),0)</f>
        <v>0</v>
      </c>
      <c r="K208" s="76">
        <f>IF(H208="Yes",ROUNDUP(IF(VLOOKUP(E208,'BASE_FUNCOES (hide)'!A:T,16,FALSE)&lt;&gt;"No",IF('General Information'!$C$19="HTML5",(I208+J208)*'BASE_FUNCOES (hide)'!$T$2,I208+J208),I208+J208),I208+J208),I208+J208)</f>
        <v>2</v>
      </c>
      <c r="L208" s="265" t="str">
        <f>IF(OR(E208=121,E208=88,E208=2682,E208=2703,E208=2687,E208=2689,E208=2681,E208=2685)=FALSE,"",IF('General Information'!$C$19="HTML5","FUNÇÃO DISPONÍVEL APENAS PARA BRASIL",IF(J209&lt;&gt;0,VLOOKUP(E209,Questions!$E$5:$L$568,5,0),"")))</f>
        <v/>
      </c>
      <c r="M208" s="164" t="s">
        <v>2396</v>
      </c>
      <c r="N208" s="369" t="s">
        <v>2377</v>
      </c>
    </row>
    <row r="209" spans="1:14" ht="14.5" customHeight="1" outlineLevel="1">
      <c r="A209" s="59"/>
      <c r="B209" s="72">
        <f>VLOOKUP('Hours Detail'!E209,'BASE_FUNCOES (hide)'!A:W,5,FALSE)</f>
        <v>182</v>
      </c>
      <c r="C209" s="72" t="s">
        <v>5929</v>
      </c>
      <c r="D209" s="73" t="str">
        <f>IF('General Information'!$C$6="Português",VLOOKUP(B209,'ESTRUTURA_MODULO(hide)'!A:D,2,0),IF('General Information'!$C$6="English",VLOOKUP(B209,'ESTRUTURA_MODULO(hide)'!A:D,3,0),IF('General Information'!$C$6="Español",VLOOKUP(B209,'ESTRUTURA_MODULO(hide)'!A:D,4,0))))</f>
        <v>Comunicação</v>
      </c>
      <c r="E209" s="254">
        <v>791</v>
      </c>
      <c r="F209" s="73" t="str">
        <f>IF('General Information'!$C$6="Português",VLOOKUP(E209,'BASE_FUNCOES (hide)'!A:H,2,0),IF('General Information'!$C$6="English",VLOOKUP(E209,'BASE_FUNCOES (hide)'!A:H,3,0),IF('General Information'!$C$6="Español",VLOOKUP(E209,'BASE_FUNCOES (hide)'!A:H,4,0))))</f>
        <v>Particular</v>
      </c>
      <c r="G209" s="73" t="str">
        <f>IF(AND('General Information'!$D$16=1,VLOOKUP(B209,Modules!$B$5:$E$496,4,0)=1)=TRUE,VLOOKUP('Hours Detail'!E209,'BASE_FUNCOES (hide)'!$A:$V,10,0),IF(AND('General Information'!$D$16=2,VLOOKUP(B209,Modules!$B$5:$E$496,4,0)=1)=TRUE,VLOOKUP('Hours Detail'!E209,'BASE_FUNCOES (hide)'!$A:$V,11,0),IF(AND('General Information'!$D$16=3,VLOOKUP(B209,Modules!$B$5:$E$496,4,0)=1)=TRUE,VLOOKUP('Hours Detail'!E209,'BASE_FUNCOES (hide)'!$A:$V,12,0),IF(AND('General Information'!$D$16=4,VLOOKUP(B209,Modules!$B$5:$E$496,4,0)=1)=TRUE,VLOOKUP('Hours Detail'!E209,'BASE_FUNCOES (hide)'!$A:$V,13,0),IF(AND('General Information'!$D$16=5,VLOOKUP(B209,Modules!$B$5:$E$496,4,0)=1)=TRUE,VLOOKUP('Hours Detail'!E209,'BASE_FUNCOES (hide)'!$A:$V,14,0),  IF(AND('General Information'!$D$16=6,VLOOKUP(B209,Modules!$B$5:$E$496,4,0)=1)=TRUE,VLOOKUP('Hours Detail'!E209,'BASE_FUNCOES (hide)'!$A:$V,15,0),"No"))))))</f>
        <v>No</v>
      </c>
      <c r="H209" s="22" t="str">
        <f t="shared" si="4"/>
        <v>No</v>
      </c>
      <c r="I209" s="75">
        <f>IF('General Information'!$C$4="Mexico",(ROUNDUP(VLOOKUP(E209,'BASE_FUNCOES (hide)'!A:X,21,0),0)),(ROUNDUP(VLOOKUP(E209,'BASE_FUNCOES (hide)'!A:L,9,0),0)))</f>
        <v>4</v>
      </c>
      <c r="J209" s="75">
        <f>ROUNDUP(SUMIF(Questions!$E$5:$E$558,'Hours Detail'!E209,Questions!$F$5:$F$558),0)</f>
        <v>0</v>
      </c>
      <c r="K209" s="76">
        <f>IF(H209="Yes",ROUNDUP(IF(VLOOKUP(E209,'BASE_FUNCOES (hide)'!A:T,16,FALSE)&lt;&gt;"No",IF('General Information'!$C$19="HTML5",(I209+J209)*'BASE_FUNCOES (hide)'!$T$2,I209+J209),I209+J209),I209+J209),I209+J209)</f>
        <v>4</v>
      </c>
      <c r="L209" s="265" t="str">
        <f>IF(OR(E209=121,E209=88,E209=2682,E209=2703,E209=2687,E209=2689,E209=2681,E209=2685)=FALSE,"",IF('General Information'!$C$19="HTML5","FUNÇÃO DISPONÍVEL APENAS PARA BRASIL",IF(J210&lt;&gt;0,VLOOKUP(E210,Questions!$E$5:$L$568,5,0),"")))</f>
        <v/>
      </c>
      <c r="M209" s="164" t="s">
        <v>2396</v>
      </c>
      <c r="N209" s="369" t="s">
        <v>2377</v>
      </c>
    </row>
    <row r="210" spans="1:14" ht="14.5" customHeight="1" outlineLevel="1">
      <c r="A210" s="59"/>
      <c r="B210" s="72">
        <f>VLOOKUP('Hours Detail'!E210,'BASE_FUNCOES (hide)'!A:W,5,FALSE)</f>
        <v>7</v>
      </c>
      <c r="C210" s="72" t="s">
        <v>5929</v>
      </c>
      <c r="D210" s="73" t="str">
        <f>IF('General Information'!$C$6="Português",VLOOKUP(B210,'ESTRUTURA_MODULO(hide)'!A:D,2,0),IF('General Information'!$C$6="English",VLOOKUP(B210,'ESTRUTURA_MODULO(hide)'!A:D,3,0),IF('General Information'!$C$6="Español",VLOOKUP(B210,'ESTRUTURA_MODULO(hide)'!A:D,4,0))))</f>
        <v>Compras</v>
      </c>
      <c r="E210" s="254">
        <v>267</v>
      </c>
      <c r="F210" s="73" t="str">
        <f>IF('General Information'!$C$6="Português",VLOOKUP(E210,'BASE_FUNCOES (hide)'!A:H,2,0),IF('General Information'!$C$6="English",VLOOKUP(E210,'BASE_FUNCOES (hide)'!A:H,3,0),IF('General Information'!$C$6="Español",VLOOKUP(E210,'BASE_FUNCOES (hide)'!A:H,4,0))))</f>
        <v>Aprovações Pendentes</v>
      </c>
      <c r="G210" s="73" t="str">
        <f>IF(AND('General Information'!$D$16=1,VLOOKUP(B210,Modules!$B$5:$E$496,4,0)=1)=TRUE,VLOOKUP('Hours Detail'!E210,'BASE_FUNCOES (hide)'!$A:$V,10,0),IF(AND('General Information'!$D$16=2,VLOOKUP(B210,Modules!$B$5:$E$496,4,0)=1)=TRUE,VLOOKUP('Hours Detail'!E210,'BASE_FUNCOES (hide)'!$A:$V,11,0),IF(AND('General Information'!$D$16=3,VLOOKUP(B210,Modules!$B$5:$E$496,4,0)=1)=TRUE,VLOOKUP('Hours Detail'!E210,'BASE_FUNCOES (hide)'!$A:$V,12,0),IF(AND('General Information'!$D$16=4,VLOOKUP(B210,Modules!$B$5:$E$496,4,0)=1)=TRUE,VLOOKUP('Hours Detail'!E210,'BASE_FUNCOES (hide)'!$A:$V,13,0),IF(AND('General Information'!$D$16=5,VLOOKUP(B210,Modules!$B$5:$E$496,4,0)=1)=TRUE,VLOOKUP('Hours Detail'!E210,'BASE_FUNCOES (hide)'!$A:$V,14,0),  IF(AND('General Information'!$D$16=6,VLOOKUP(B210,Modules!$B$5:$E$496,4,0)=1)=TRUE,VLOOKUP('Hours Detail'!E210,'BASE_FUNCOES (hide)'!$A:$V,15,0),"No"))))))</f>
        <v>No</v>
      </c>
      <c r="H210" s="22" t="str">
        <f t="shared" ref="H210:H273" si="5">G210</f>
        <v>No</v>
      </c>
      <c r="I210" s="75">
        <f>IF('General Information'!$C$4="Mexico",(ROUNDUP(VLOOKUP(E210,'BASE_FUNCOES (hide)'!A:X,21,0),0)),(ROUNDUP(VLOOKUP(E210,'BASE_FUNCOES (hide)'!A:L,9,0),0)))</f>
        <v>12</v>
      </c>
      <c r="J210" s="75">
        <f>ROUNDUP(SUMIF(Questions!$E$5:$E$558,'Hours Detail'!E210,Questions!$F$5:$F$558),0)</f>
        <v>0</v>
      </c>
      <c r="K210" s="76">
        <f>IF(H210="Yes",ROUNDUP(IF(VLOOKUP(E210,'BASE_FUNCOES (hide)'!A:T,16,FALSE)&lt;&gt;"No",IF('General Information'!$C$19="HTML5",(I210+J210)*'BASE_FUNCOES (hide)'!$T$2,I210+J210),I210+J210),I210+J210),I210+J210)</f>
        <v>12</v>
      </c>
      <c r="L210" s="265" t="str">
        <f>IF(OR(E210=121,E210=88,E210=2682,E210=2703,E210=2687,E210=2689,E210=2681,E210=2685)=FALSE,"",IF('General Information'!$C$19="HTML5","FUNÇÃO DISPONÍVEL APENAS PARA BRASIL",IF(J211&lt;&gt;0,VLOOKUP(E211,Questions!$E$5:$L$568,5,0),"")))</f>
        <v/>
      </c>
      <c r="M210" s="164" t="s">
        <v>2396</v>
      </c>
      <c r="N210" s="369" t="s">
        <v>2377</v>
      </c>
    </row>
    <row r="211" spans="1:14" ht="14.5" customHeight="1" outlineLevel="1">
      <c r="A211" s="59"/>
      <c r="B211" s="72">
        <f>VLOOKUP('Hours Detail'!E211,'BASE_FUNCOES (hide)'!A:W,5,FALSE)</f>
        <v>7</v>
      </c>
      <c r="C211" s="72" t="s">
        <v>5929</v>
      </c>
      <c r="D211" s="73" t="str">
        <f>IF('General Information'!$C$6="Português",VLOOKUP(B211,'ESTRUTURA_MODULO(hide)'!A:D,2,0),IF('General Information'!$C$6="English",VLOOKUP(B211,'ESTRUTURA_MODULO(hide)'!A:D,3,0),IF('General Information'!$C$6="Español",VLOOKUP(B211,'ESTRUTURA_MODULO(hide)'!A:D,4,0))))</f>
        <v>Compras</v>
      </c>
      <c r="E211" s="254">
        <v>1200</v>
      </c>
      <c r="F211" s="73" t="str">
        <f>IF('General Information'!$C$6="Português",VLOOKUP(E211,'BASE_FUNCOES (hide)'!A:H,2,0),IF('General Information'!$C$6="English",VLOOKUP(E211,'BASE_FUNCOES (hide)'!A:H,3,0),IF('General Information'!$C$6="Español",VLOOKUP(E211,'BASE_FUNCOES (hide)'!A:H,4,0))))</f>
        <v>Controle de Contratos</v>
      </c>
      <c r="G211" s="73" t="str">
        <f>IF(AND('General Information'!$D$16=1,VLOOKUP(B211,Modules!$B$5:$E$496,4,0)=1)=TRUE,VLOOKUP('Hours Detail'!E211,'BASE_FUNCOES (hide)'!$A:$V,10,0),IF(AND('General Information'!$D$16=2,VLOOKUP(B211,Modules!$B$5:$E$496,4,0)=1)=TRUE,VLOOKUP('Hours Detail'!E211,'BASE_FUNCOES (hide)'!$A:$V,11,0),IF(AND('General Information'!$D$16=3,VLOOKUP(B211,Modules!$B$5:$E$496,4,0)=1)=TRUE,VLOOKUP('Hours Detail'!E211,'BASE_FUNCOES (hide)'!$A:$V,12,0),IF(AND('General Information'!$D$16=4,VLOOKUP(B211,Modules!$B$5:$E$496,4,0)=1)=TRUE,VLOOKUP('Hours Detail'!E211,'BASE_FUNCOES (hide)'!$A:$V,13,0),IF(AND('General Information'!$D$16=5,VLOOKUP(B211,Modules!$B$5:$E$496,4,0)=1)=TRUE,VLOOKUP('Hours Detail'!E211,'BASE_FUNCOES (hide)'!$A:$V,14,0),  IF(AND('General Information'!$D$16=6,VLOOKUP(B211,Modules!$B$5:$E$496,4,0)=1)=TRUE,VLOOKUP('Hours Detail'!E211,'BASE_FUNCOES (hide)'!$A:$V,15,0),"No"))))))</f>
        <v>No</v>
      </c>
      <c r="H211" s="22" t="str">
        <f t="shared" si="5"/>
        <v>No</v>
      </c>
      <c r="I211" s="75">
        <f>IF('General Information'!$C$4="Mexico",(ROUNDUP(VLOOKUP(E211,'BASE_FUNCOES (hide)'!A:X,21,0),0)),(ROUNDUP(VLOOKUP(E211,'BASE_FUNCOES (hide)'!A:L,9,0),0)))</f>
        <v>16</v>
      </c>
      <c r="J211" s="75">
        <f>ROUNDUP(SUMIF(Questions!$E$5:$E$558,'Hours Detail'!E211,Questions!$F$5:$F$558),0)</f>
        <v>0</v>
      </c>
      <c r="K211" s="76">
        <f>IF(H211="Yes",ROUNDUP(IF(VLOOKUP(E211,'BASE_FUNCOES (hide)'!A:T,16,FALSE)&lt;&gt;"No",IF('General Information'!$C$19="HTML5",(I211+J211)*'BASE_FUNCOES (hide)'!$T$2,I211+J211),I211+J211),I211+J211),I211+J211)</f>
        <v>16</v>
      </c>
      <c r="L211" s="265" t="str">
        <f>IF(OR(E211=121,E211=88,E211=2682,E211=2703,E211=2687,E211=2689,E211=2681,E211=2685)=FALSE,"",IF('General Information'!$C$19="HTML5","FUNÇÃO DISPONÍVEL APENAS PARA BRASIL",IF(J212&lt;&gt;0,VLOOKUP(E212,Questions!$E$5:$L$568,5,0),"")))</f>
        <v/>
      </c>
      <c r="M211" s="164" t="s">
        <v>2396</v>
      </c>
      <c r="N211" s="369" t="s">
        <v>2377</v>
      </c>
    </row>
    <row r="212" spans="1:14" ht="14.5" customHeight="1" outlineLevel="1">
      <c r="A212" s="59"/>
      <c r="B212" s="72">
        <f>VLOOKUP('Hours Detail'!E212,'BASE_FUNCOES (hide)'!A:W,5,FALSE)</f>
        <v>7</v>
      </c>
      <c r="C212" s="72" t="s">
        <v>5929</v>
      </c>
      <c r="D212" s="73" t="str">
        <f>IF('General Information'!$C$6="Português",VLOOKUP(B212,'ESTRUTURA_MODULO(hide)'!A:D,2,0),IF('General Information'!$C$6="English",VLOOKUP(B212,'ESTRUTURA_MODULO(hide)'!A:D,3,0),IF('General Information'!$C$6="Español",VLOOKUP(B212,'ESTRUTURA_MODULO(hide)'!A:D,4,0))))</f>
        <v>Compras</v>
      </c>
      <c r="E212" s="254">
        <v>915</v>
      </c>
      <c r="F212" s="73" t="str">
        <f>IF('General Information'!$C$6="Português",VLOOKUP(E212,'BASE_FUNCOES (hide)'!A:H,2,0),IF('General Information'!$C$6="English",VLOOKUP(E212,'BASE_FUNCOES (hide)'!A:H,3,0),IF('General Information'!$C$6="Español",VLOOKUP(E212,'BASE_FUNCOES (hide)'!A:H,4,0))))</f>
        <v>Cotação de Compra</v>
      </c>
      <c r="G212" s="73" t="str">
        <f>IF(AND('General Information'!$D$16=1,VLOOKUP(B212,Modules!$B$5:$E$496,4,0)=1)=TRUE,VLOOKUP('Hours Detail'!E212,'BASE_FUNCOES (hide)'!$A:$V,10,0),IF(AND('General Information'!$D$16=2,VLOOKUP(B212,Modules!$B$5:$E$496,4,0)=1)=TRUE,VLOOKUP('Hours Detail'!E212,'BASE_FUNCOES (hide)'!$A:$V,11,0),IF(AND('General Information'!$D$16=3,VLOOKUP(B212,Modules!$B$5:$E$496,4,0)=1)=TRUE,VLOOKUP('Hours Detail'!E212,'BASE_FUNCOES (hide)'!$A:$V,12,0),IF(AND('General Information'!$D$16=4,VLOOKUP(B212,Modules!$B$5:$E$496,4,0)=1)=TRUE,VLOOKUP('Hours Detail'!E212,'BASE_FUNCOES (hide)'!$A:$V,13,0),IF(AND('General Information'!$D$16=5,VLOOKUP(B212,Modules!$B$5:$E$496,4,0)=1)=TRUE,VLOOKUP('Hours Detail'!E212,'BASE_FUNCOES (hide)'!$A:$V,14,0),  IF(AND('General Information'!$D$16=6,VLOOKUP(B212,Modules!$B$5:$E$496,4,0)=1)=TRUE,VLOOKUP('Hours Detail'!E212,'BASE_FUNCOES (hide)'!$A:$V,15,0),"No"))))))</f>
        <v>No</v>
      </c>
      <c r="H212" s="22" t="str">
        <f t="shared" si="5"/>
        <v>No</v>
      </c>
      <c r="I212" s="75">
        <f>IF('General Information'!$C$4="Mexico",(ROUNDUP(VLOOKUP(E212,'BASE_FUNCOES (hide)'!A:X,21,0),0)),(ROUNDUP(VLOOKUP(E212,'BASE_FUNCOES (hide)'!A:L,9,0),0)))</f>
        <v>12</v>
      </c>
      <c r="J212" s="75">
        <f>ROUNDUP(SUMIF(Questions!$E$5:$E$558,'Hours Detail'!E212,Questions!$F$5:$F$558),0)</f>
        <v>0</v>
      </c>
      <c r="K212" s="76">
        <f>IF(H212="Yes",ROUNDUP(IF(VLOOKUP(E212,'BASE_FUNCOES (hide)'!A:T,16,FALSE)&lt;&gt;"No",IF('General Information'!$C$19="HTML5",(I212+J212)*'BASE_FUNCOES (hide)'!$T$2,I212+J212),I212+J212),I212+J212),I212+J212)</f>
        <v>12</v>
      </c>
      <c r="L212" s="265" t="str">
        <f>IF(OR(E212=121,E212=88,E212=2682,E212=2703,E212=2687,E212=2689,E212=2681,E212=2685)=FALSE,"",IF('General Information'!$C$19="HTML5","FUNÇÃO DISPONÍVEL APENAS PARA BRASIL",IF(J213&lt;&gt;0,VLOOKUP(E213,Questions!$E$5:$L$568,5,0),"")))</f>
        <v/>
      </c>
      <c r="M212" s="164" t="s">
        <v>2396</v>
      </c>
      <c r="N212" s="369" t="s">
        <v>2377</v>
      </c>
    </row>
    <row r="213" spans="1:14" ht="14.5" customHeight="1" outlineLevel="1">
      <c r="A213" s="59"/>
      <c r="B213" s="72">
        <f>VLOOKUP('Hours Detail'!E213,'BASE_FUNCOES (hide)'!A:W,5,FALSE)</f>
        <v>7</v>
      </c>
      <c r="C213" s="72" t="s">
        <v>5929</v>
      </c>
      <c r="D213" s="73" t="str">
        <f>IF('General Information'!$C$6="Português",VLOOKUP(B213,'ESTRUTURA_MODULO(hide)'!A:D,2,0),IF('General Information'!$C$6="English",VLOOKUP(B213,'ESTRUTURA_MODULO(hide)'!A:D,3,0),IF('General Information'!$C$6="Español",VLOOKUP(B213,'ESTRUTURA_MODULO(hide)'!A:D,4,0))))</f>
        <v>Compras</v>
      </c>
      <c r="E213" s="254">
        <v>124</v>
      </c>
      <c r="F213" s="73" t="str">
        <f>IF('General Information'!$C$6="Português",VLOOKUP(E213,'BASE_FUNCOES (hide)'!A:H,2,0),IF('General Information'!$C$6="English",VLOOKUP(E213,'BASE_FUNCOES (hide)'!A:H,3,0),IF('General Information'!$C$6="Español",VLOOKUP(E213,'BASE_FUNCOES (hide)'!A:H,4,0))))</f>
        <v>Emissão da Solicitação de Compra</v>
      </c>
      <c r="G213" s="73" t="str">
        <f>IF(AND('General Information'!$D$16=1,VLOOKUP(B213,Modules!$B$5:$E$496,4,0)=1)=TRUE,VLOOKUP('Hours Detail'!E213,'BASE_FUNCOES (hide)'!$A:$V,10,0),IF(AND('General Information'!$D$16=2,VLOOKUP(B213,Modules!$B$5:$E$496,4,0)=1)=TRUE,VLOOKUP('Hours Detail'!E213,'BASE_FUNCOES (hide)'!$A:$V,11,0),IF(AND('General Information'!$D$16=3,VLOOKUP(B213,Modules!$B$5:$E$496,4,0)=1)=TRUE,VLOOKUP('Hours Detail'!E213,'BASE_FUNCOES (hide)'!$A:$V,12,0),IF(AND('General Information'!$D$16=4,VLOOKUP(B213,Modules!$B$5:$E$496,4,0)=1)=TRUE,VLOOKUP('Hours Detail'!E213,'BASE_FUNCOES (hide)'!$A:$V,13,0),IF(AND('General Information'!$D$16=5,VLOOKUP(B213,Modules!$B$5:$E$496,4,0)=1)=TRUE,VLOOKUP('Hours Detail'!E213,'BASE_FUNCOES (hide)'!$A:$V,14,0),  IF(AND('General Information'!$D$16=6,VLOOKUP(B213,Modules!$B$5:$E$496,4,0)=1)=TRUE,VLOOKUP('Hours Detail'!E213,'BASE_FUNCOES (hide)'!$A:$V,15,0),"No"))))))</f>
        <v>No</v>
      </c>
      <c r="H213" s="22" t="str">
        <f t="shared" si="5"/>
        <v>No</v>
      </c>
      <c r="I213" s="75">
        <f>IF('General Information'!$C$4="Mexico",(ROUNDUP(VLOOKUP(E213,'BASE_FUNCOES (hide)'!A:X,21,0),0)),(ROUNDUP(VLOOKUP(E213,'BASE_FUNCOES (hide)'!A:L,9,0),0)))</f>
        <v>1</v>
      </c>
      <c r="J213" s="75">
        <f>ROUNDUP(SUMIF(Questions!$E$5:$E$558,'Hours Detail'!E213,Questions!$F$5:$F$558),0)</f>
        <v>0</v>
      </c>
      <c r="K213" s="76">
        <f>IF(H213="Yes",ROUNDUP(IF(VLOOKUP(E213,'BASE_FUNCOES (hide)'!A:T,16,FALSE)&lt;&gt;"No",IF('General Information'!$C$19="HTML5",(I213+J213)*'BASE_FUNCOES (hide)'!$T$2,I213+J213),I213+J213),I213+J213),I213+J213)</f>
        <v>1</v>
      </c>
      <c r="L213" s="265" t="str">
        <f>IF(OR(E213=121,E213=88,E213=2682,E213=2703,E213=2687,E213=2689,E213=2681,E213=2685)=FALSE,"",IF('General Information'!$C$19="HTML5","FUNÇÃO DISPONÍVEL APENAS PARA BRASIL",IF(J214&lt;&gt;0,VLOOKUP(E214,Questions!$E$5:$L$568,5,0),"")))</f>
        <v/>
      </c>
      <c r="M213" s="164" t="s">
        <v>2396</v>
      </c>
      <c r="N213" s="369" t="s">
        <v>2377</v>
      </c>
    </row>
    <row r="214" spans="1:14" ht="14.5" customHeight="1" outlineLevel="1">
      <c r="A214" s="59"/>
      <c r="B214" s="72">
        <f>VLOOKUP('Hours Detail'!E214,'BASE_FUNCOES (hide)'!A:W,5,FALSE)</f>
        <v>7</v>
      </c>
      <c r="C214" s="72" t="s">
        <v>5929</v>
      </c>
      <c r="D214" s="73" t="str">
        <f>IF('General Information'!$C$6="Português",VLOOKUP(B214,'ESTRUTURA_MODULO(hide)'!A:D,2,0),IF('General Information'!$C$6="English",VLOOKUP(B214,'ESTRUTURA_MODULO(hide)'!A:D,3,0),IF('General Information'!$C$6="Español",VLOOKUP(B214,'ESTRUTURA_MODULO(hide)'!A:D,4,0))))</f>
        <v>Compras</v>
      </c>
      <c r="E214" s="254">
        <v>126</v>
      </c>
      <c r="F214" s="73" t="str">
        <f>IF('General Information'!$C$6="Português",VLOOKUP(E214,'BASE_FUNCOES (hide)'!A:H,2,0),IF('General Information'!$C$6="English",VLOOKUP(E214,'BASE_FUNCOES (hide)'!A:H,3,0),IF('General Information'!$C$6="Español",VLOOKUP(E214,'BASE_FUNCOES (hide)'!A:H,4,0))))</f>
        <v>Emissão Solicitações/Ordem/Autorizações</v>
      </c>
      <c r="G214" s="73" t="str">
        <f>IF(AND('General Information'!$D$16=1,VLOOKUP(B214,Modules!$B$5:$E$496,4,0)=1)=TRUE,VLOOKUP('Hours Detail'!E214,'BASE_FUNCOES (hide)'!$A:$V,10,0),IF(AND('General Information'!$D$16=2,VLOOKUP(B214,Modules!$B$5:$E$496,4,0)=1)=TRUE,VLOOKUP('Hours Detail'!E214,'BASE_FUNCOES (hide)'!$A:$V,11,0),IF(AND('General Information'!$D$16=3,VLOOKUP(B214,Modules!$B$5:$E$496,4,0)=1)=TRUE,VLOOKUP('Hours Detail'!E214,'BASE_FUNCOES (hide)'!$A:$V,12,0),IF(AND('General Information'!$D$16=4,VLOOKUP(B214,Modules!$B$5:$E$496,4,0)=1)=TRUE,VLOOKUP('Hours Detail'!E214,'BASE_FUNCOES (hide)'!$A:$V,13,0),IF(AND('General Information'!$D$16=5,VLOOKUP(B214,Modules!$B$5:$E$496,4,0)=1)=TRUE,VLOOKUP('Hours Detail'!E214,'BASE_FUNCOES (hide)'!$A:$V,14,0),  IF(AND('General Information'!$D$16=6,VLOOKUP(B214,Modules!$B$5:$E$496,4,0)=1)=TRUE,VLOOKUP('Hours Detail'!E214,'BASE_FUNCOES (hide)'!$A:$V,15,0),"No"))))))</f>
        <v>No</v>
      </c>
      <c r="H214" s="22" t="str">
        <f t="shared" si="5"/>
        <v>No</v>
      </c>
      <c r="I214" s="75">
        <f>IF('General Information'!$C$4="Mexico",(ROUNDUP(VLOOKUP(E214,'BASE_FUNCOES (hide)'!A:X,21,0),0)),(ROUNDUP(VLOOKUP(E214,'BASE_FUNCOES (hide)'!A:L,9,0),0)))</f>
        <v>1</v>
      </c>
      <c r="J214" s="75">
        <f>ROUNDUP(SUMIF(Questions!$E$5:$E$558,'Hours Detail'!E214,Questions!$F$5:$F$558),0)</f>
        <v>0</v>
      </c>
      <c r="K214" s="76">
        <f>IF(H214="Yes",ROUNDUP(IF(VLOOKUP(E214,'BASE_FUNCOES (hide)'!A:T,16,FALSE)&lt;&gt;"No",IF('General Information'!$C$19="HTML5",(I214+J214)*'BASE_FUNCOES (hide)'!$T$2,I214+J214),I214+J214),I214+J214),I214+J214)</f>
        <v>1</v>
      </c>
      <c r="L214" s="265" t="str">
        <f>IF(OR(E214=121,E214=88,E214=2682,E214=2703,E214=2687,E214=2689,E214=2681,E214=2685)=FALSE,"",IF('General Information'!$C$19="HTML5","FUNÇÃO DISPONÍVEL APENAS PARA BRASIL",IF(J215&lt;&gt;0,VLOOKUP(E215,Questions!$E$5:$L$568,5,0),"")))</f>
        <v/>
      </c>
      <c r="M214" s="164" t="s">
        <v>2396</v>
      </c>
      <c r="N214" s="369" t="s">
        <v>2377</v>
      </c>
    </row>
    <row r="215" spans="1:14" ht="14.5" customHeight="1" outlineLevel="1">
      <c r="A215" s="59"/>
      <c r="B215" s="72">
        <f>VLOOKUP('Hours Detail'!E215,'BASE_FUNCOES (hide)'!A:W,5,FALSE)</f>
        <v>7</v>
      </c>
      <c r="C215" s="72" t="s">
        <v>5929</v>
      </c>
      <c r="D215" s="73" t="str">
        <f>IF('General Information'!$C$6="Português",VLOOKUP(B215,'ESTRUTURA_MODULO(hide)'!A:D,2,0),IF('General Information'!$C$6="English",VLOOKUP(B215,'ESTRUTURA_MODULO(hide)'!A:D,3,0),IF('General Information'!$C$6="Español",VLOOKUP(B215,'ESTRUTURA_MODULO(hide)'!A:D,4,0))))</f>
        <v>Compras</v>
      </c>
      <c r="E215" s="254">
        <v>4100</v>
      </c>
      <c r="F215" s="73" t="str">
        <f>IF('General Information'!$C$6="Português",VLOOKUP(E215,'BASE_FUNCOES (hide)'!A:H,2,0),IF('General Information'!$C$6="English",VLOOKUP(E215,'BASE_FUNCOES (hide)'!A:H,3,0),IF('General Information'!$C$6="Español",VLOOKUP(E215,'BASE_FUNCOES (hide)'!A:H,4,0))))</f>
        <v>Gestão da Avaliação de Produtos</v>
      </c>
      <c r="G215" s="73" t="str">
        <f>IF(AND('General Information'!$D$16=1,VLOOKUP(B215,Modules!$B$5:$E$496,4,0)=1)=TRUE,VLOOKUP('Hours Detail'!E215,'BASE_FUNCOES (hide)'!$A:$V,10,0),IF(AND('General Information'!$D$16=2,VLOOKUP(B215,Modules!$B$5:$E$496,4,0)=1)=TRUE,VLOOKUP('Hours Detail'!E215,'BASE_FUNCOES (hide)'!$A:$V,11,0),IF(AND('General Information'!$D$16=3,VLOOKUP(B215,Modules!$B$5:$E$496,4,0)=1)=TRUE,VLOOKUP('Hours Detail'!E215,'BASE_FUNCOES (hide)'!$A:$V,12,0),IF(AND('General Information'!$D$16=4,VLOOKUP(B215,Modules!$B$5:$E$496,4,0)=1)=TRUE,VLOOKUP('Hours Detail'!E215,'BASE_FUNCOES (hide)'!$A:$V,13,0),IF(AND('General Information'!$D$16=5,VLOOKUP(B215,Modules!$B$5:$E$496,4,0)=1)=TRUE,VLOOKUP('Hours Detail'!E215,'BASE_FUNCOES (hide)'!$A:$V,14,0),  IF(AND('General Information'!$D$16=6,VLOOKUP(B215,Modules!$B$5:$E$496,4,0)=1)=TRUE,VLOOKUP('Hours Detail'!E215,'BASE_FUNCOES (hide)'!$A:$V,15,0),"No"))))))</f>
        <v>No</v>
      </c>
      <c r="H215" s="22" t="str">
        <f t="shared" si="5"/>
        <v>No</v>
      </c>
      <c r="I215" s="75">
        <f>IF('General Information'!$C$4="Mexico",(ROUNDUP(VLOOKUP(E215,'BASE_FUNCOES (hide)'!A:X,21,0),0)),(ROUNDUP(VLOOKUP(E215,'BASE_FUNCOES (hide)'!A:L,9,0),0)))</f>
        <v>4</v>
      </c>
      <c r="J215" s="75">
        <f>ROUNDUP(SUMIF(Questions!$E$5:$E$558,'Hours Detail'!E215,Questions!$F$5:$F$558),0)</f>
        <v>0</v>
      </c>
      <c r="K215" s="76">
        <f>IF(H215="Yes",ROUNDUP(IF(VLOOKUP(E215,'BASE_FUNCOES (hide)'!A:T,16,FALSE)&lt;&gt;"No",IF('General Information'!$C$19="HTML5",(I215+J215)*'BASE_FUNCOES (hide)'!$T$2,I215+J215),I215+J215),I215+J215),I215+J215)</f>
        <v>4</v>
      </c>
      <c r="L215" s="265" t="str">
        <f>IF(OR(E215=121,E215=88,E215=2682,E215=2703,E215=2687,E215=2689,E215=2681,E215=2685)=FALSE,"",IF('General Information'!$C$19="HTML5","FUNÇÃO DISPONÍVEL APENAS PARA BRASIL",IF(J216&lt;&gt;0,VLOOKUP(E216,Questions!$E$5:$L$568,5,0),"")))</f>
        <v/>
      </c>
      <c r="M215" s="164" t="s">
        <v>2396</v>
      </c>
      <c r="N215" s="369" t="s">
        <v>2377</v>
      </c>
    </row>
    <row r="216" spans="1:14" ht="14.5" customHeight="1" outlineLevel="1">
      <c r="A216" s="59"/>
      <c r="B216" s="72">
        <f>VLOOKUP('Hours Detail'!E216,'BASE_FUNCOES (hide)'!A:W,5,FALSE)</f>
        <v>7</v>
      </c>
      <c r="C216" s="72" t="s">
        <v>5929</v>
      </c>
      <c r="D216" s="73" t="str">
        <f>IF('General Information'!$C$6="Português",VLOOKUP(B216,'ESTRUTURA_MODULO(hide)'!A:D,2,0),IF('General Information'!$C$6="English",VLOOKUP(B216,'ESTRUTURA_MODULO(hide)'!A:D,3,0),IF('General Information'!$C$6="Español",VLOOKUP(B216,'ESTRUTURA_MODULO(hide)'!A:D,4,0))))</f>
        <v>Compras</v>
      </c>
      <c r="E216" s="254">
        <v>920</v>
      </c>
      <c r="F216" s="73" t="str">
        <f>IF('General Information'!$C$6="Português",VLOOKUP(E216,'BASE_FUNCOES (hide)'!A:H,2,0),IF('General Information'!$C$6="English",VLOOKUP(E216,'BASE_FUNCOES (hide)'!A:H,3,0),IF('General Information'!$C$6="Español",VLOOKUP(E216,'BASE_FUNCOES (hide)'!A:H,4,0))))</f>
        <v>Gestão de Fornecimento</v>
      </c>
      <c r="G216" s="73" t="str">
        <f>IF(AND('General Information'!$D$16=1,VLOOKUP(B216,Modules!$B$5:$E$496,4,0)=1)=TRUE,VLOOKUP('Hours Detail'!E216,'BASE_FUNCOES (hide)'!$A:$V,10,0),IF(AND('General Information'!$D$16=2,VLOOKUP(B216,Modules!$B$5:$E$496,4,0)=1)=TRUE,VLOOKUP('Hours Detail'!E216,'BASE_FUNCOES (hide)'!$A:$V,11,0),IF(AND('General Information'!$D$16=3,VLOOKUP(B216,Modules!$B$5:$E$496,4,0)=1)=TRUE,VLOOKUP('Hours Detail'!E216,'BASE_FUNCOES (hide)'!$A:$V,12,0),IF(AND('General Information'!$D$16=4,VLOOKUP(B216,Modules!$B$5:$E$496,4,0)=1)=TRUE,VLOOKUP('Hours Detail'!E216,'BASE_FUNCOES (hide)'!$A:$V,13,0),IF(AND('General Information'!$D$16=5,VLOOKUP(B216,Modules!$B$5:$E$496,4,0)=1)=TRUE,VLOOKUP('Hours Detail'!E216,'BASE_FUNCOES (hide)'!$A:$V,14,0),  IF(AND('General Information'!$D$16=6,VLOOKUP(B216,Modules!$B$5:$E$496,4,0)=1)=TRUE,VLOOKUP('Hours Detail'!E216,'BASE_FUNCOES (hide)'!$A:$V,15,0),"No"))))))</f>
        <v>No</v>
      </c>
      <c r="H216" s="22" t="str">
        <f t="shared" si="5"/>
        <v>No</v>
      </c>
      <c r="I216" s="75">
        <f>IF('General Information'!$C$4="Mexico",(ROUNDUP(VLOOKUP(E216,'BASE_FUNCOES (hide)'!A:X,21,0),0)),(ROUNDUP(VLOOKUP(E216,'BASE_FUNCOES (hide)'!A:L,9,0),0)))</f>
        <v>4</v>
      </c>
      <c r="J216" s="75">
        <f>ROUNDUP(SUMIF(Questions!$E$5:$E$558,'Hours Detail'!E216,Questions!$F$5:$F$558),0)</f>
        <v>0</v>
      </c>
      <c r="K216" s="76">
        <f>IF(H216="Yes",ROUNDUP(IF(VLOOKUP(E216,'BASE_FUNCOES (hide)'!A:T,16,FALSE)&lt;&gt;"No",IF('General Information'!$C$19="HTML5",(I216+J216)*'BASE_FUNCOES (hide)'!$T$2,I216+J216),I216+J216),I216+J216),I216+J216)</f>
        <v>4</v>
      </c>
      <c r="L216" s="265" t="str">
        <f>IF(OR(E216=121,E216=88,E216=2682,E216=2703,E216=2687,E216=2689,E216=2681,E216=2685)=FALSE,"",IF('General Information'!$C$19="HTML5","FUNÇÃO DISPONÍVEL APENAS PARA BRASIL",IF(J217&lt;&gt;0,VLOOKUP(E217,Questions!$E$5:$L$568,5,0),"")))</f>
        <v/>
      </c>
      <c r="M216" s="164" t="s">
        <v>2396</v>
      </c>
      <c r="N216" s="369" t="s">
        <v>2377</v>
      </c>
    </row>
    <row r="217" spans="1:14" ht="14.5" customHeight="1" outlineLevel="1">
      <c r="A217" s="59"/>
      <c r="B217" s="72">
        <f>VLOOKUP('Hours Detail'!E217,'BASE_FUNCOES (hide)'!A:W,5,FALSE)</f>
        <v>7</v>
      </c>
      <c r="C217" s="72" t="s">
        <v>5929</v>
      </c>
      <c r="D217" s="73" t="str">
        <f>IF('General Information'!$C$6="Português",VLOOKUP(B217,'ESTRUTURA_MODULO(hide)'!A:D,2,0),IF('General Information'!$C$6="English",VLOOKUP(B217,'ESTRUTURA_MODULO(hide)'!A:D,3,0),IF('General Information'!$C$6="Español",VLOOKUP(B217,'ESTRUTURA_MODULO(hide)'!A:D,4,0))))</f>
        <v>Compras</v>
      </c>
      <c r="E217" s="254">
        <v>917</v>
      </c>
      <c r="F217" s="73" t="str">
        <f>IF('General Information'!$C$6="Português",VLOOKUP(E217,'BASE_FUNCOES (hide)'!A:H,2,0),IF('General Information'!$C$6="English",VLOOKUP(E217,'BASE_FUNCOES (hide)'!A:H,3,0),IF('General Information'!$C$6="Español",VLOOKUP(E217,'BASE_FUNCOES (hide)'!A:H,4,0))))</f>
        <v>Ordem compra</v>
      </c>
      <c r="G217" s="73" t="str">
        <f>IF(AND('General Information'!$D$16=1,VLOOKUP(B217,Modules!$B$5:$E$496,4,0)=1)=TRUE,VLOOKUP('Hours Detail'!E217,'BASE_FUNCOES (hide)'!$A:$V,10,0),IF(AND('General Information'!$D$16=2,VLOOKUP(B217,Modules!$B$5:$E$496,4,0)=1)=TRUE,VLOOKUP('Hours Detail'!E217,'BASE_FUNCOES (hide)'!$A:$V,11,0),IF(AND('General Information'!$D$16=3,VLOOKUP(B217,Modules!$B$5:$E$496,4,0)=1)=TRUE,VLOOKUP('Hours Detail'!E217,'BASE_FUNCOES (hide)'!$A:$V,12,0),IF(AND('General Information'!$D$16=4,VLOOKUP(B217,Modules!$B$5:$E$496,4,0)=1)=TRUE,VLOOKUP('Hours Detail'!E217,'BASE_FUNCOES (hide)'!$A:$V,13,0),IF(AND('General Information'!$D$16=5,VLOOKUP(B217,Modules!$B$5:$E$496,4,0)=1)=TRUE,VLOOKUP('Hours Detail'!E217,'BASE_FUNCOES (hide)'!$A:$V,14,0),  IF(AND('General Information'!$D$16=6,VLOOKUP(B217,Modules!$B$5:$E$496,4,0)=1)=TRUE,VLOOKUP('Hours Detail'!E217,'BASE_FUNCOES (hide)'!$A:$V,15,0),"No"))))))</f>
        <v>No</v>
      </c>
      <c r="H217" s="22" t="str">
        <f t="shared" si="5"/>
        <v>No</v>
      </c>
      <c r="I217" s="75">
        <f>IF('General Information'!$C$4="Mexico",(ROUNDUP(VLOOKUP(E217,'BASE_FUNCOES (hide)'!A:X,21,0),0)),(ROUNDUP(VLOOKUP(E217,'BASE_FUNCOES (hide)'!A:L,9,0),0)))</f>
        <v>12</v>
      </c>
      <c r="J217" s="75">
        <f>ROUNDUP(SUMIF(Questions!$E$5:$E$558,'Hours Detail'!E217,Questions!$F$5:$F$558),0)</f>
        <v>0</v>
      </c>
      <c r="K217" s="76">
        <f>IF(H217="Yes",ROUNDUP(IF(VLOOKUP(E217,'BASE_FUNCOES (hide)'!A:T,16,FALSE)&lt;&gt;"No",IF('General Information'!$C$19="HTML5",(I217+J217)*'BASE_FUNCOES (hide)'!$T$2,I217+J217),I217+J217),I217+J217),I217+J217)</f>
        <v>12</v>
      </c>
      <c r="L217" s="265" t="str">
        <f>IF(OR(E217=121,E217=88,E217=2682,E217=2703,E217=2687,E217=2689,E217=2681,E217=2685)=FALSE,"",IF('General Information'!$C$19="HTML5","FUNÇÃO DISPONÍVEL APENAS PARA BRASIL",IF(J218&lt;&gt;0,VLOOKUP(E218,Questions!$E$5:$L$568,5,0),"")))</f>
        <v/>
      </c>
      <c r="M217" s="164" t="s">
        <v>2396</v>
      </c>
      <c r="N217" s="369" t="s">
        <v>2377</v>
      </c>
    </row>
    <row r="218" spans="1:14" ht="14.5" customHeight="1" outlineLevel="1">
      <c r="A218" s="59"/>
      <c r="B218" s="72">
        <f>VLOOKUP('Hours Detail'!E218,'BASE_FUNCOES (hide)'!A:W,5,FALSE)</f>
        <v>7</v>
      </c>
      <c r="C218" s="72" t="s">
        <v>5929</v>
      </c>
      <c r="D218" s="73" t="str">
        <f>IF('General Information'!$C$6="Português",VLOOKUP(B218,'ESTRUTURA_MODULO(hide)'!A:D,2,0),IF('General Information'!$C$6="English",VLOOKUP(B218,'ESTRUTURA_MODULO(hide)'!A:D,3,0),IF('General Information'!$C$6="Español",VLOOKUP(B218,'ESTRUTURA_MODULO(hide)'!A:D,4,0))))</f>
        <v>Compras</v>
      </c>
      <c r="E218" s="254">
        <v>913</v>
      </c>
      <c r="F218" s="73" t="str">
        <f>IF('General Information'!$C$6="Português",VLOOKUP(E218,'BASE_FUNCOES (hide)'!A:H,2,0),IF('General Information'!$C$6="English",VLOOKUP(E218,'BASE_FUNCOES (hide)'!A:H,3,0),IF('General Information'!$C$6="Español",VLOOKUP(E218,'BASE_FUNCOES (hide)'!A:H,4,0))))</f>
        <v>Solicitação de Compra</v>
      </c>
      <c r="G218" s="73" t="str">
        <f>IF(AND('General Information'!$D$16=1,VLOOKUP(B218,Modules!$B$5:$E$496,4,0)=1)=TRUE,VLOOKUP('Hours Detail'!E218,'BASE_FUNCOES (hide)'!$A:$V,10,0),IF(AND('General Information'!$D$16=2,VLOOKUP(B218,Modules!$B$5:$E$496,4,0)=1)=TRUE,VLOOKUP('Hours Detail'!E218,'BASE_FUNCOES (hide)'!$A:$V,11,0),IF(AND('General Information'!$D$16=3,VLOOKUP(B218,Modules!$B$5:$E$496,4,0)=1)=TRUE,VLOOKUP('Hours Detail'!E218,'BASE_FUNCOES (hide)'!$A:$V,12,0),IF(AND('General Information'!$D$16=4,VLOOKUP(B218,Modules!$B$5:$E$496,4,0)=1)=TRUE,VLOOKUP('Hours Detail'!E218,'BASE_FUNCOES (hide)'!$A:$V,13,0),IF(AND('General Information'!$D$16=5,VLOOKUP(B218,Modules!$B$5:$E$496,4,0)=1)=TRUE,VLOOKUP('Hours Detail'!E218,'BASE_FUNCOES (hide)'!$A:$V,14,0),  IF(AND('General Information'!$D$16=6,VLOOKUP(B218,Modules!$B$5:$E$496,4,0)=1)=TRUE,VLOOKUP('Hours Detail'!E218,'BASE_FUNCOES (hide)'!$A:$V,15,0),"No"))))))</f>
        <v>No</v>
      </c>
      <c r="H218" s="22" t="str">
        <f t="shared" si="5"/>
        <v>No</v>
      </c>
      <c r="I218" s="75">
        <f>IF('General Information'!$C$4="Mexico",(ROUNDUP(VLOOKUP(E218,'BASE_FUNCOES (hide)'!A:X,21,0),0)),(ROUNDUP(VLOOKUP(E218,'BASE_FUNCOES (hide)'!A:L,9,0),0)))</f>
        <v>12</v>
      </c>
      <c r="J218" s="75">
        <f>ROUNDUP(SUMIF(Questions!$E$5:$E$558,'Hours Detail'!E218,Questions!$F$5:$F$558),0)</f>
        <v>0</v>
      </c>
      <c r="K218" s="76">
        <f>IF(H218="Yes",ROUNDUP(IF(VLOOKUP(E218,'BASE_FUNCOES (hide)'!A:T,16,FALSE)&lt;&gt;"No",IF('General Information'!$C$19="HTML5",(I218+J218)*'BASE_FUNCOES (hide)'!$T$2,I218+J218),I218+J218),I218+J218),I218+J218)</f>
        <v>12</v>
      </c>
      <c r="L218" s="265" t="str">
        <f>IF(OR(E218=121,E218=88,E218=2682,E218=2703,E218=2687,E218=2689,E218=2681,E218=2685)=FALSE,"",IF('General Information'!$C$19="HTML5","FUNÇÃO DISPONÍVEL APENAS PARA BRASIL",IF(J219&lt;&gt;0,VLOOKUP(E219,Questions!$E$5:$L$568,5,0),"")))</f>
        <v/>
      </c>
      <c r="M218" s="164" t="s">
        <v>2396</v>
      </c>
      <c r="N218" s="369" t="s">
        <v>2377</v>
      </c>
    </row>
    <row r="219" spans="1:14" ht="14.5" customHeight="1" outlineLevel="1">
      <c r="A219" s="59"/>
      <c r="B219" s="72">
        <f>VLOOKUP('Hours Detail'!E219,'BASE_FUNCOES (hide)'!A:W,5,FALSE)</f>
        <v>100</v>
      </c>
      <c r="C219" s="72" t="s">
        <v>5929</v>
      </c>
      <c r="D219" s="73" t="str">
        <f>IF('General Information'!$C$6="Português",VLOOKUP(B219,'ESTRUTURA_MODULO(hide)'!A:D,2,0),IF('General Information'!$C$6="English",VLOOKUP(B219,'ESTRUTURA_MODULO(hide)'!A:D,3,0),IF('General Information'!$C$6="Español",VLOOKUP(B219,'ESTRUTURA_MODULO(hide)'!A:D,4,0))))</f>
        <v>Licitação</v>
      </c>
      <c r="E219" s="254">
        <v>952</v>
      </c>
      <c r="F219" s="73" t="str">
        <f>IF('General Information'!$C$6="Português",VLOOKUP(E219,'BASE_FUNCOES (hide)'!A:H,2,0),IF('General Information'!$C$6="English",VLOOKUP(E219,'BASE_FUNCOES (hide)'!A:H,3,0),IF('General Information'!$C$6="Español",VLOOKUP(E219,'BASE_FUNCOES (hide)'!A:H,4,0))))</f>
        <v>Registro de Licitação</v>
      </c>
      <c r="G219" s="73" t="str">
        <f>IF(AND('General Information'!$D$16=1,VLOOKUP(B219,Modules!$B$5:$E$496,4,0)=1)=TRUE,VLOOKUP('Hours Detail'!E219,'BASE_FUNCOES (hide)'!$A:$V,10,0),IF(AND('General Information'!$D$16=2,VLOOKUP(B219,Modules!$B$5:$E$496,4,0)=1)=TRUE,VLOOKUP('Hours Detail'!E219,'BASE_FUNCOES (hide)'!$A:$V,11,0),IF(AND('General Information'!$D$16=3,VLOOKUP(B219,Modules!$B$5:$E$496,4,0)=1)=TRUE,VLOOKUP('Hours Detail'!E219,'BASE_FUNCOES (hide)'!$A:$V,12,0),IF(AND('General Information'!$D$16=4,VLOOKUP(B219,Modules!$B$5:$E$496,4,0)=1)=TRUE,VLOOKUP('Hours Detail'!E219,'BASE_FUNCOES (hide)'!$A:$V,13,0),IF(AND('General Information'!$D$16=5,VLOOKUP(B219,Modules!$B$5:$E$496,4,0)=1)=TRUE,VLOOKUP('Hours Detail'!E219,'BASE_FUNCOES (hide)'!$A:$V,14,0),  IF(AND('General Information'!$D$16=6,VLOOKUP(B219,Modules!$B$5:$E$496,4,0)=1)=TRUE,VLOOKUP('Hours Detail'!E219,'BASE_FUNCOES (hide)'!$A:$V,15,0),"No"))))))</f>
        <v>No</v>
      </c>
      <c r="H219" s="22" t="str">
        <f t="shared" si="5"/>
        <v>No</v>
      </c>
      <c r="I219" s="75">
        <f>IF('General Information'!$C$4="Mexico",(ROUNDUP(VLOOKUP(E219,'BASE_FUNCOES (hide)'!A:X,21,0),0)),(ROUNDUP(VLOOKUP(E219,'BASE_FUNCOES (hide)'!A:L,9,0),0)))</f>
        <v>40</v>
      </c>
      <c r="J219" s="75">
        <f>ROUNDUP(SUMIF(Questions!$E$5:$E$558,'Hours Detail'!E219,Questions!$F$5:$F$558),0)</f>
        <v>0</v>
      </c>
      <c r="K219" s="76">
        <f>IF(H219="Yes",ROUNDUP(IF(VLOOKUP(E219,'BASE_FUNCOES (hide)'!A:T,16,FALSE)&lt;&gt;"No",IF('General Information'!$C$19="HTML5",(I219+J219)*'BASE_FUNCOES (hide)'!$T$2,I219+J219),I219+J219),I219+J219),I219+J219)</f>
        <v>40</v>
      </c>
      <c r="L219" s="265" t="str">
        <f>IF(OR(E219=121,E219=88,E219=2682,E219=2703,E219=2687,E219=2689,E219=2681,E219=2685)=FALSE,"",IF('General Information'!$C$19="HTML5","FUNÇÃO DISPONÍVEL APENAS PARA BRASIL",IF(J220&lt;&gt;0,VLOOKUP(E220,Questions!$E$5:$L$568,5,0),"")))</f>
        <v/>
      </c>
      <c r="M219" s="164" t="s">
        <v>2396</v>
      </c>
      <c r="N219" s="369" t="s">
        <v>2377</v>
      </c>
    </row>
    <row r="220" spans="1:14" ht="14.5" customHeight="1" outlineLevel="1">
      <c r="A220" s="59"/>
      <c r="B220" s="72">
        <f>VLOOKUP('Hours Detail'!E220,'BASE_FUNCOES (hide)'!A:W,5,FALSE)</f>
        <v>8</v>
      </c>
      <c r="C220" s="72" t="s">
        <v>5929</v>
      </c>
      <c r="D220" s="73" t="str">
        <f>IF('General Information'!$C$6="Português",VLOOKUP(B220,'ESTRUTURA_MODULO(hide)'!A:D,2,0),IF('General Information'!$C$6="English",VLOOKUP(B220,'ESTRUTURA_MODULO(hide)'!A:D,3,0),IF('General Information'!$C$6="Español",VLOOKUP(B220,'ESTRUTURA_MODULO(hide)'!A:D,4,0))))</f>
        <v>Farmácia</v>
      </c>
      <c r="E220" s="254">
        <v>36</v>
      </c>
      <c r="F220" s="73" t="str">
        <f>IF('General Information'!$C$6="Português",VLOOKUP(E220,'BASE_FUNCOES (hide)'!A:H,2,0),IF('General Information'!$C$6="English",VLOOKUP(E220,'BASE_FUNCOES (hide)'!A:H,3,0),IF('General Information'!$C$6="Español",VLOOKUP(E220,'BASE_FUNCOES (hide)'!A:H,4,0))))</f>
        <v>Atendimento da Prescrição</v>
      </c>
      <c r="G220" s="73" t="str">
        <f>IF(AND('General Information'!$D$16=1,VLOOKUP(B220,Modules!$B$5:$E$496,4,0)=1)=TRUE,VLOOKUP('Hours Detail'!E220,'BASE_FUNCOES (hide)'!$A:$V,10,0),IF(AND('General Information'!$D$16=2,VLOOKUP(B220,Modules!$B$5:$E$496,4,0)=1)=TRUE,VLOOKUP('Hours Detail'!E220,'BASE_FUNCOES (hide)'!$A:$V,11,0),IF(AND('General Information'!$D$16=3,VLOOKUP(B220,Modules!$B$5:$E$496,4,0)=1)=TRUE,VLOOKUP('Hours Detail'!E220,'BASE_FUNCOES (hide)'!$A:$V,12,0),IF(AND('General Information'!$D$16=4,VLOOKUP(B220,Modules!$B$5:$E$496,4,0)=1)=TRUE,VLOOKUP('Hours Detail'!E220,'BASE_FUNCOES (hide)'!$A:$V,13,0),IF(AND('General Information'!$D$16=5,VLOOKUP(B220,Modules!$B$5:$E$496,4,0)=1)=TRUE,VLOOKUP('Hours Detail'!E220,'BASE_FUNCOES (hide)'!$A:$V,14,0),  IF(AND('General Information'!$D$16=6,VLOOKUP(B220,Modules!$B$5:$E$496,4,0)=1)=TRUE,VLOOKUP('Hours Detail'!E220,'BASE_FUNCOES (hide)'!$A:$V,15,0),"No"))))))</f>
        <v>No</v>
      </c>
      <c r="H220" s="22" t="str">
        <f t="shared" si="5"/>
        <v>No</v>
      </c>
      <c r="I220" s="75">
        <f>IF('General Information'!$C$4="Mexico",(ROUNDUP(VLOOKUP(E220,'BASE_FUNCOES (hide)'!A:X,21,0),0)),(ROUNDUP(VLOOKUP(E220,'BASE_FUNCOES (hide)'!A:L,9,0),0)))</f>
        <v>8</v>
      </c>
      <c r="J220" s="75">
        <f>ROUNDUP(SUMIF(Questions!$E$5:$E$558,'Hours Detail'!E220,Questions!$F$5:$F$558),0)</f>
        <v>0</v>
      </c>
      <c r="K220" s="76">
        <f>IF(H220="Yes",ROUNDUP(IF(VLOOKUP(E220,'BASE_FUNCOES (hide)'!A:T,16,FALSE)&lt;&gt;"No",IF('General Information'!$C$19="HTML5",(I220+J220)*'BASE_FUNCOES (hide)'!$T$2,I220+J220),I220+J220),I220+J220),I220+J220)</f>
        <v>8</v>
      </c>
      <c r="L220" s="265" t="str">
        <f>IF(OR(E220=121,E220=88,E220=2682,E220=2703,E220=2687,E220=2689,E220=2681,E220=2685)=FALSE,"",IF('General Information'!$C$19="HTML5","FUNÇÃO DISPONÍVEL APENAS PARA BRASIL",IF(J221&lt;&gt;0,VLOOKUP(E221,Questions!$E$5:$L$568,5,0),"")))</f>
        <v/>
      </c>
      <c r="M220" s="164" t="s">
        <v>2396</v>
      </c>
      <c r="N220" s="369" t="s">
        <v>2377</v>
      </c>
    </row>
    <row r="221" spans="1:14" ht="14.5" customHeight="1" outlineLevel="1">
      <c r="A221" s="59"/>
      <c r="B221" s="72">
        <f>VLOOKUP('Hours Detail'!E221,'BASE_FUNCOES (hide)'!A:W,5,FALSE)</f>
        <v>8</v>
      </c>
      <c r="C221" s="72" t="s">
        <v>5929</v>
      </c>
      <c r="D221" s="73" t="str">
        <f>IF('General Information'!$C$6="Português",VLOOKUP(B221,'ESTRUTURA_MODULO(hide)'!A:D,2,0),IF('General Information'!$C$6="English",VLOOKUP(B221,'ESTRUTURA_MODULO(hide)'!A:D,3,0),IF('General Information'!$C$6="Español",VLOOKUP(B221,'ESTRUTURA_MODULO(hide)'!A:D,4,0))))</f>
        <v>Farmácia</v>
      </c>
      <c r="E221" s="254">
        <v>7029</v>
      </c>
      <c r="F221" s="73" t="str">
        <f>IF('General Information'!$C$6="Português",VLOOKUP(E221,'BASE_FUNCOES (hide)'!A:H,2,0),IF('General Information'!$C$6="English",VLOOKUP(E221,'BASE_FUNCOES (hide)'!A:H,3,0),IF('General Information'!$C$6="Español",VLOOKUP(E221,'BASE_FUNCOES (hide)'!A:H,4,0))))</f>
        <v>Atendimento do Lote da Prescrição</v>
      </c>
      <c r="G221" s="73" t="str">
        <f>IF(AND('General Information'!$D$16=1,VLOOKUP(B221,Modules!$B$5:$E$496,4,0)=1)=TRUE,VLOOKUP('Hours Detail'!E221,'BASE_FUNCOES (hide)'!$A:$V,10,0),IF(AND('General Information'!$D$16=2,VLOOKUP(B221,Modules!$B$5:$E$496,4,0)=1)=TRUE,VLOOKUP('Hours Detail'!E221,'BASE_FUNCOES (hide)'!$A:$V,11,0),IF(AND('General Information'!$D$16=3,VLOOKUP(B221,Modules!$B$5:$E$496,4,0)=1)=TRUE,VLOOKUP('Hours Detail'!E221,'BASE_FUNCOES (hide)'!$A:$V,12,0),IF(AND('General Information'!$D$16=4,VLOOKUP(B221,Modules!$B$5:$E$496,4,0)=1)=TRUE,VLOOKUP('Hours Detail'!E221,'BASE_FUNCOES (hide)'!$A:$V,13,0),IF(AND('General Information'!$D$16=5,VLOOKUP(B221,Modules!$B$5:$E$496,4,0)=1)=TRUE,VLOOKUP('Hours Detail'!E221,'BASE_FUNCOES (hide)'!$A:$V,14,0),  IF(AND('General Information'!$D$16=6,VLOOKUP(B221,Modules!$B$5:$E$496,4,0)=1)=TRUE,VLOOKUP('Hours Detail'!E221,'BASE_FUNCOES (hide)'!$A:$V,15,0),"No"))))))</f>
        <v>No</v>
      </c>
      <c r="H221" s="22" t="str">
        <f t="shared" si="5"/>
        <v>No</v>
      </c>
      <c r="I221" s="75">
        <f>IF('General Information'!$C$4="Mexico",(ROUNDUP(VLOOKUP(E221,'BASE_FUNCOES (hide)'!A:X,21,0),0)),(ROUNDUP(VLOOKUP(E221,'BASE_FUNCOES (hide)'!A:L,9,0),0)))</f>
        <v>24</v>
      </c>
      <c r="J221" s="75">
        <f>ROUNDUP(SUMIF(Questions!$E$5:$E$558,'Hours Detail'!E221,Questions!$F$5:$F$558),0)</f>
        <v>0</v>
      </c>
      <c r="K221" s="76">
        <f>IF(H221="Yes",ROUNDUP(IF(VLOOKUP(E221,'BASE_FUNCOES (hide)'!A:T,16,FALSE)&lt;&gt;"No",IF('General Information'!$C$19="HTML5",(I221+J221)*'BASE_FUNCOES (hide)'!$T$2,I221+J221),I221+J221),I221+J221),I221+J221)</f>
        <v>24</v>
      </c>
      <c r="L221" s="265" t="str">
        <f>IF(OR(E221=121,E221=88,E221=2682,E221=2703,E221=2687,E221=2689,E221=2681,E221=2685)=FALSE,"",IF('General Information'!$C$19="HTML5","FUNÇÃO DISPONÍVEL APENAS PARA BRASIL",IF(J222&lt;&gt;0,VLOOKUP(E222,Questions!$E$5:$L$568,5,0),"")))</f>
        <v/>
      </c>
      <c r="M221" s="164" t="s">
        <v>2396</v>
      </c>
      <c r="N221" s="369" t="s">
        <v>2377</v>
      </c>
    </row>
    <row r="222" spans="1:14" ht="14.5" customHeight="1" outlineLevel="1">
      <c r="A222" s="59"/>
      <c r="B222" s="72">
        <f>VLOOKUP('Hours Detail'!E222,'BASE_FUNCOES (hide)'!A:W,5,FALSE)</f>
        <v>8</v>
      </c>
      <c r="C222" s="72" t="s">
        <v>5929</v>
      </c>
      <c r="D222" s="73" t="str">
        <f>IF('General Information'!$C$6="Português",VLOOKUP(B222,'ESTRUTURA_MODULO(hide)'!A:D,2,0),IF('General Information'!$C$6="English",VLOOKUP(B222,'ESTRUTURA_MODULO(hide)'!A:D,3,0),IF('General Information'!$C$6="Español",VLOOKUP(B222,'ESTRUTURA_MODULO(hide)'!A:D,4,0))))</f>
        <v>Farmácia</v>
      </c>
      <c r="E222" s="254">
        <v>42</v>
      </c>
      <c r="F222" s="73" t="str">
        <f>IF('General Information'!$C$6="Português",VLOOKUP(E222,'BASE_FUNCOES (hide)'!A:H,2,0),IF('General Information'!$C$6="English",VLOOKUP(E222,'BASE_FUNCOES (hide)'!A:H,3,0),IF('General Information'!$C$6="Español",VLOOKUP(E222,'BASE_FUNCOES (hide)'!A:H,4,0))))</f>
        <v>Devolução Material Paciente</v>
      </c>
      <c r="G222" s="73" t="str">
        <f>IF(AND('General Information'!$D$16=1,VLOOKUP(B222,Modules!$B$5:$E$496,4,0)=1)=TRUE,VLOOKUP('Hours Detail'!E222,'BASE_FUNCOES (hide)'!$A:$V,10,0),IF(AND('General Information'!$D$16=2,VLOOKUP(B222,Modules!$B$5:$E$496,4,0)=1)=TRUE,VLOOKUP('Hours Detail'!E222,'BASE_FUNCOES (hide)'!$A:$V,11,0),IF(AND('General Information'!$D$16=3,VLOOKUP(B222,Modules!$B$5:$E$496,4,0)=1)=TRUE,VLOOKUP('Hours Detail'!E222,'BASE_FUNCOES (hide)'!$A:$V,12,0),IF(AND('General Information'!$D$16=4,VLOOKUP(B222,Modules!$B$5:$E$496,4,0)=1)=TRUE,VLOOKUP('Hours Detail'!E222,'BASE_FUNCOES (hide)'!$A:$V,13,0),IF(AND('General Information'!$D$16=5,VLOOKUP(B222,Modules!$B$5:$E$496,4,0)=1)=TRUE,VLOOKUP('Hours Detail'!E222,'BASE_FUNCOES (hide)'!$A:$V,14,0),  IF(AND('General Information'!$D$16=6,VLOOKUP(B222,Modules!$B$5:$E$496,4,0)=1)=TRUE,VLOOKUP('Hours Detail'!E222,'BASE_FUNCOES (hide)'!$A:$V,15,0),"No"))))))</f>
        <v>No</v>
      </c>
      <c r="H222" s="22" t="str">
        <f t="shared" si="5"/>
        <v>No</v>
      </c>
      <c r="I222" s="75">
        <f>IF('General Information'!$C$4="Mexico",(ROUNDUP(VLOOKUP(E222,'BASE_FUNCOES (hide)'!A:X,21,0),0)),(ROUNDUP(VLOOKUP(E222,'BASE_FUNCOES (hide)'!A:L,9,0),0)))</f>
        <v>8</v>
      </c>
      <c r="J222" s="75">
        <f>ROUNDUP(SUMIF(Questions!$E$5:$E$558,'Hours Detail'!E222,Questions!$F$5:$F$558),0)</f>
        <v>0</v>
      </c>
      <c r="K222" s="76">
        <f>IF(H222="Yes",ROUNDUP(IF(VLOOKUP(E222,'BASE_FUNCOES (hide)'!A:T,16,FALSE)&lt;&gt;"No",IF('General Information'!$C$19="HTML5",(I222+J222)*'BASE_FUNCOES (hide)'!$T$2,I222+J222),I222+J222),I222+J222),I222+J222)</f>
        <v>8</v>
      </c>
      <c r="L222" s="265" t="str">
        <f>IF(OR(E222=121,E222=88,E222=2682,E222=2703,E222=2687,E222=2689,E222=2681,E222=2685)=FALSE,"",IF('General Information'!$C$19="HTML5","FUNÇÃO DISPONÍVEL APENAS PARA BRASIL",IF(J223&lt;&gt;0,VLOOKUP(E223,Questions!$E$5:$L$568,5,0),"")))</f>
        <v/>
      </c>
      <c r="M222" s="164" t="s">
        <v>2396</v>
      </c>
      <c r="N222" s="369" t="s">
        <v>2377</v>
      </c>
    </row>
    <row r="223" spans="1:14" ht="14.5" customHeight="1" outlineLevel="1">
      <c r="A223" s="59"/>
      <c r="B223" s="72">
        <f>VLOOKUP('Hours Detail'!E223,'BASE_FUNCOES (hide)'!A:W,5,FALSE)</f>
        <v>8</v>
      </c>
      <c r="C223" s="72" t="s">
        <v>5929</v>
      </c>
      <c r="D223" s="73" t="str">
        <f>IF('General Information'!$C$6="Português",VLOOKUP(B223,'ESTRUTURA_MODULO(hide)'!A:D,2,0),IF('General Information'!$C$6="English",VLOOKUP(B223,'ESTRUTURA_MODULO(hide)'!A:D,3,0),IF('General Information'!$C$6="Español",VLOOKUP(B223,'ESTRUTURA_MODULO(hide)'!A:D,4,0))))</f>
        <v>Farmácia</v>
      </c>
      <c r="E223" s="254">
        <v>7031</v>
      </c>
      <c r="F223" s="73" t="str">
        <f>IF('General Information'!$C$6="Português",VLOOKUP(E223,'BASE_FUNCOES (hide)'!A:H,2,0),IF('General Information'!$C$6="English",VLOOKUP(E223,'BASE_FUNCOES (hide)'!A:H,3,0),IF('General Information'!$C$6="Español",VLOOKUP(E223,'BASE_FUNCOES (hide)'!A:H,4,0))))</f>
        <v>Emissão do Lote da Prescrição</v>
      </c>
      <c r="G223" s="73" t="str">
        <f>IF(AND('General Information'!$D$16=1,VLOOKUP(B223,Modules!$B$5:$E$496,4,0)=1)=TRUE,VLOOKUP('Hours Detail'!E223,'BASE_FUNCOES (hide)'!$A:$V,10,0),IF(AND('General Information'!$D$16=2,VLOOKUP(B223,Modules!$B$5:$E$496,4,0)=1)=TRUE,VLOOKUP('Hours Detail'!E223,'BASE_FUNCOES (hide)'!$A:$V,11,0),IF(AND('General Information'!$D$16=3,VLOOKUP(B223,Modules!$B$5:$E$496,4,0)=1)=TRUE,VLOOKUP('Hours Detail'!E223,'BASE_FUNCOES (hide)'!$A:$V,12,0),IF(AND('General Information'!$D$16=4,VLOOKUP(B223,Modules!$B$5:$E$496,4,0)=1)=TRUE,VLOOKUP('Hours Detail'!E223,'BASE_FUNCOES (hide)'!$A:$V,13,0),IF(AND('General Information'!$D$16=5,VLOOKUP(B223,Modules!$B$5:$E$496,4,0)=1)=TRUE,VLOOKUP('Hours Detail'!E223,'BASE_FUNCOES (hide)'!$A:$V,14,0),  IF(AND('General Information'!$D$16=6,VLOOKUP(B223,Modules!$B$5:$E$496,4,0)=1)=TRUE,VLOOKUP('Hours Detail'!E223,'BASE_FUNCOES (hide)'!$A:$V,15,0),"No"))))))</f>
        <v>No</v>
      </c>
      <c r="H223" s="22" t="str">
        <f t="shared" si="5"/>
        <v>No</v>
      </c>
      <c r="I223" s="75">
        <f>IF('General Information'!$C$4="Mexico",(ROUNDUP(VLOOKUP(E223,'BASE_FUNCOES (hide)'!A:X,21,0),0)),(ROUNDUP(VLOOKUP(E223,'BASE_FUNCOES (hide)'!A:L,9,0),0)))</f>
        <v>2</v>
      </c>
      <c r="J223" s="75">
        <f>ROUNDUP(SUMIF(Questions!$E$5:$E$558,'Hours Detail'!E223,Questions!$F$5:$F$558),0)</f>
        <v>0</v>
      </c>
      <c r="K223" s="76">
        <f>IF(H223="Yes",ROUNDUP(IF(VLOOKUP(E223,'BASE_FUNCOES (hide)'!A:T,16,FALSE)&lt;&gt;"No",IF('General Information'!$C$19="HTML5",(I223+J223)*'BASE_FUNCOES (hide)'!$T$2,I223+J223),I223+J223),I223+J223),I223+J223)</f>
        <v>2</v>
      </c>
      <c r="L223" s="265" t="str">
        <f>IF(OR(E223=121,E223=88,E223=2682,E223=2703,E223=2687,E223=2689,E223=2681,E223=2685)=FALSE,"",IF('General Information'!$C$19="HTML5","FUNÇÃO DISPONÍVEL APENAS PARA BRASIL",IF(J224&lt;&gt;0,VLOOKUP(E224,Questions!$E$5:$L$568,5,0),"")))</f>
        <v/>
      </c>
      <c r="M223" s="164" t="s">
        <v>2396</v>
      </c>
      <c r="N223" s="369" t="s">
        <v>2377</v>
      </c>
    </row>
    <row r="224" spans="1:14" ht="14.5" customHeight="1" outlineLevel="1">
      <c r="A224" s="59"/>
      <c r="B224" s="72">
        <f>VLOOKUP('Hours Detail'!E224,'BASE_FUNCOES (hide)'!A:W,5,FALSE)</f>
        <v>8</v>
      </c>
      <c r="C224" s="72" t="s">
        <v>5929</v>
      </c>
      <c r="D224" s="73" t="str">
        <f>IF('General Information'!$C$6="Português",VLOOKUP(B224,'ESTRUTURA_MODULO(hide)'!A:D,2,0),IF('General Information'!$C$6="English",VLOOKUP(B224,'ESTRUTURA_MODULO(hide)'!A:D,3,0),IF('General Information'!$C$6="Español",VLOOKUP(B224,'ESTRUTURA_MODULO(hide)'!A:D,4,0))))</f>
        <v>Farmácia</v>
      </c>
      <c r="E224" s="254">
        <v>122</v>
      </c>
      <c r="F224" s="73" t="str">
        <f>IF('General Information'!$C$6="Português",VLOOKUP(E224,'BASE_FUNCOES (hide)'!A:H,2,0),IF('General Information'!$C$6="English",VLOOKUP(E224,'BASE_FUNCOES (hide)'!A:H,3,0),IF('General Information'!$C$6="Español",VLOOKUP(E224,'BASE_FUNCOES (hide)'!A:H,4,0))))</f>
        <v>Emissão dos Atendimentos (Req/Presc)</v>
      </c>
      <c r="G224" s="73" t="str">
        <f>IF(AND('General Information'!$D$16=1,VLOOKUP(B224,Modules!$B$5:$E$496,4,0)=1)=TRUE,VLOOKUP('Hours Detail'!E224,'BASE_FUNCOES (hide)'!$A:$V,10,0),IF(AND('General Information'!$D$16=2,VLOOKUP(B224,Modules!$B$5:$E$496,4,0)=1)=TRUE,VLOOKUP('Hours Detail'!E224,'BASE_FUNCOES (hide)'!$A:$V,11,0),IF(AND('General Information'!$D$16=3,VLOOKUP(B224,Modules!$B$5:$E$496,4,0)=1)=TRUE,VLOOKUP('Hours Detail'!E224,'BASE_FUNCOES (hide)'!$A:$V,12,0),IF(AND('General Information'!$D$16=4,VLOOKUP(B224,Modules!$B$5:$E$496,4,0)=1)=TRUE,VLOOKUP('Hours Detail'!E224,'BASE_FUNCOES (hide)'!$A:$V,13,0),IF(AND('General Information'!$D$16=5,VLOOKUP(B224,Modules!$B$5:$E$496,4,0)=1)=TRUE,VLOOKUP('Hours Detail'!E224,'BASE_FUNCOES (hide)'!$A:$V,14,0),  IF(AND('General Information'!$D$16=6,VLOOKUP(B224,Modules!$B$5:$E$496,4,0)=1)=TRUE,VLOOKUP('Hours Detail'!E224,'BASE_FUNCOES (hide)'!$A:$V,15,0),"No"))))))</f>
        <v>No</v>
      </c>
      <c r="H224" s="22" t="str">
        <f t="shared" si="5"/>
        <v>No</v>
      </c>
      <c r="I224" s="75">
        <f>IF('General Information'!$C$4="Mexico",(ROUNDUP(VLOOKUP(E224,'BASE_FUNCOES (hide)'!A:X,21,0),0)),(ROUNDUP(VLOOKUP(E224,'BASE_FUNCOES (hide)'!A:L,9,0),0)))</f>
        <v>1</v>
      </c>
      <c r="J224" s="75">
        <f>ROUNDUP(SUMIF(Questions!$E$5:$E$558,'Hours Detail'!E224,Questions!$F$5:$F$558),0)</f>
        <v>0</v>
      </c>
      <c r="K224" s="76">
        <f>IF(H224="Yes",ROUNDUP(IF(VLOOKUP(E224,'BASE_FUNCOES (hide)'!A:T,16,FALSE)&lt;&gt;"No",IF('General Information'!$C$19="HTML5",(I224+J224)*'BASE_FUNCOES (hide)'!$T$2,I224+J224),I224+J224),I224+J224),I224+J224)</f>
        <v>1</v>
      </c>
      <c r="L224" s="265" t="str">
        <f>IF(OR(E224=121,E224=88,E224=2682,E224=2703,E224=2687,E224=2689,E224=2681,E224=2685)=FALSE,"",IF('General Information'!$C$19="HTML5","FUNÇÃO DISPONÍVEL APENAS PARA BRASIL",IF(J225&lt;&gt;0,VLOOKUP(E225,Questions!$E$5:$L$568,5,0),"")))</f>
        <v/>
      </c>
      <c r="M224" s="164" t="s">
        <v>2396</v>
      </c>
      <c r="N224" s="369" t="s">
        <v>2377</v>
      </c>
    </row>
    <row r="225" spans="1:14" ht="14.5" customHeight="1" outlineLevel="1">
      <c r="A225" s="59"/>
      <c r="B225" s="72">
        <f>VLOOKUP('Hours Detail'!E225,'BASE_FUNCOES (hide)'!A:W,5,FALSE)</f>
        <v>8</v>
      </c>
      <c r="C225" s="72" t="s">
        <v>5929</v>
      </c>
      <c r="D225" s="73" t="str">
        <f>IF('General Information'!$C$6="Português",VLOOKUP(B225,'ESTRUTURA_MODULO(hide)'!A:D,2,0),IF('General Information'!$C$6="English",VLOOKUP(B225,'ESTRUTURA_MODULO(hide)'!A:D,3,0),IF('General Information'!$C$6="Español",VLOOKUP(B225,'ESTRUTURA_MODULO(hide)'!A:D,4,0))))</f>
        <v>Farmácia</v>
      </c>
      <c r="E225" s="254">
        <v>24</v>
      </c>
      <c r="F225" s="73" t="str">
        <f>IF('General Information'!$C$6="Português",VLOOKUP(E225,'BASE_FUNCOES (hide)'!A:H,2,0),IF('General Information'!$C$6="English",VLOOKUP(E225,'BASE_FUNCOES (hide)'!A:H,3,0),IF('General Information'!$C$6="Español",VLOOKUP(E225,'BASE_FUNCOES (hide)'!A:H,4,0))))</f>
        <v>Execução Prescrição</v>
      </c>
      <c r="G225" s="73" t="str">
        <f>IF(AND('General Information'!$D$16=1,VLOOKUP(B225,Modules!$B$5:$E$496,4,0)=1)=TRUE,VLOOKUP('Hours Detail'!E225,'BASE_FUNCOES (hide)'!$A:$V,10,0),IF(AND('General Information'!$D$16=2,VLOOKUP(B225,Modules!$B$5:$E$496,4,0)=1)=TRUE,VLOOKUP('Hours Detail'!E225,'BASE_FUNCOES (hide)'!$A:$V,11,0),IF(AND('General Information'!$D$16=3,VLOOKUP(B225,Modules!$B$5:$E$496,4,0)=1)=TRUE,VLOOKUP('Hours Detail'!E225,'BASE_FUNCOES (hide)'!$A:$V,12,0),IF(AND('General Information'!$D$16=4,VLOOKUP(B225,Modules!$B$5:$E$496,4,0)=1)=TRUE,VLOOKUP('Hours Detail'!E225,'BASE_FUNCOES (hide)'!$A:$V,13,0),IF(AND('General Information'!$D$16=5,VLOOKUP(B225,Modules!$B$5:$E$496,4,0)=1)=TRUE,VLOOKUP('Hours Detail'!E225,'BASE_FUNCOES (hide)'!$A:$V,14,0),  IF(AND('General Information'!$D$16=6,VLOOKUP(B225,Modules!$B$5:$E$496,4,0)=1)=TRUE,VLOOKUP('Hours Detail'!E225,'BASE_FUNCOES (hide)'!$A:$V,15,0),"No"))))))</f>
        <v>No</v>
      </c>
      <c r="H225" s="22" t="str">
        <f t="shared" si="5"/>
        <v>No</v>
      </c>
      <c r="I225" s="75">
        <f>IF('General Information'!$C$4="Mexico",(ROUNDUP(VLOOKUP(E225,'BASE_FUNCOES (hide)'!A:X,21,0),0)),(ROUNDUP(VLOOKUP(E225,'BASE_FUNCOES (hide)'!A:L,9,0),0)))</f>
        <v>8</v>
      </c>
      <c r="J225" s="75">
        <f>ROUNDUP(SUMIF(Questions!$E$5:$E$558,'Hours Detail'!E225,Questions!$F$5:$F$558),0)</f>
        <v>0</v>
      </c>
      <c r="K225" s="76">
        <f>IF(H225="Yes",ROUNDUP(IF(VLOOKUP(E225,'BASE_FUNCOES (hide)'!A:T,16,FALSE)&lt;&gt;"No",IF('General Information'!$C$19="HTML5",(I225+J225)*'BASE_FUNCOES (hide)'!$T$2,I225+J225),I225+J225),I225+J225),I225+J225)</f>
        <v>8</v>
      </c>
      <c r="L225" s="265" t="str">
        <f>IF(OR(E225=121,E225=88,E225=2682,E225=2703,E225=2687,E225=2689,E225=2681,E225=2685)=FALSE,"",IF('General Information'!$C$19="HTML5","FUNÇÃO DISPONÍVEL APENAS PARA BRASIL",IF(J226&lt;&gt;0,VLOOKUP(E226,Questions!$E$5:$L$568,5,0),"")))</f>
        <v/>
      </c>
      <c r="M225" s="164" t="s">
        <v>2396</v>
      </c>
      <c r="N225" s="369" t="s">
        <v>2377</v>
      </c>
    </row>
    <row r="226" spans="1:14" ht="14.5" customHeight="1" outlineLevel="1">
      <c r="A226" s="59"/>
      <c r="B226" s="72">
        <f>VLOOKUP('Hours Detail'!E226,'BASE_FUNCOES (hide)'!A:W,5,FALSE)</f>
        <v>8</v>
      </c>
      <c r="C226" s="72" t="s">
        <v>5929</v>
      </c>
      <c r="D226" s="73" t="str">
        <f>IF('General Information'!$C$6="Português",VLOOKUP(B226,'ESTRUTURA_MODULO(hide)'!A:D,2,0),IF('General Information'!$C$6="English",VLOOKUP(B226,'ESTRUTURA_MODULO(hide)'!A:D,3,0),IF('General Information'!$C$6="Español",VLOOKUP(B226,'ESTRUTURA_MODULO(hide)'!A:D,4,0))))</f>
        <v>Farmácia</v>
      </c>
      <c r="E226" s="254">
        <v>10015</v>
      </c>
      <c r="F226" s="73" t="str">
        <f>IF('General Information'!$C$6="Português",VLOOKUP(E226,'BASE_FUNCOES (hide)'!A:H,2,0),IF('General Information'!$C$6="English",VLOOKUP(E226,'BASE_FUNCOES (hide)'!A:H,3,0),IF('General Information'!$C$6="Español",VLOOKUP(E226,'BASE_FUNCOES (hide)'!A:H,4,0))))</f>
        <v>Farmácia Ambulatorial</v>
      </c>
      <c r="G226" s="73" t="str">
        <f>IF(AND('General Information'!$D$16=1,VLOOKUP(B226,Modules!$B$5:$E$496,4,0)=1)=TRUE,VLOOKUP('Hours Detail'!E226,'BASE_FUNCOES (hide)'!$A:$V,10,0),IF(AND('General Information'!$D$16=2,VLOOKUP(B226,Modules!$B$5:$E$496,4,0)=1)=TRUE,VLOOKUP('Hours Detail'!E226,'BASE_FUNCOES (hide)'!$A:$V,11,0),IF(AND('General Information'!$D$16=3,VLOOKUP(B226,Modules!$B$5:$E$496,4,0)=1)=TRUE,VLOOKUP('Hours Detail'!E226,'BASE_FUNCOES (hide)'!$A:$V,12,0),IF(AND('General Information'!$D$16=4,VLOOKUP(B226,Modules!$B$5:$E$496,4,0)=1)=TRUE,VLOOKUP('Hours Detail'!E226,'BASE_FUNCOES (hide)'!$A:$V,13,0),IF(AND('General Information'!$D$16=5,VLOOKUP(B226,Modules!$B$5:$E$496,4,0)=1)=TRUE,VLOOKUP('Hours Detail'!E226,'BASE_FUNCOES (hide)'!$A:$V,14,0),  IF(AND('General Information'!$D$16=6,VLOOKUP(B226,Modules!$B$5:$E$496,4,0)=1)=TRUE,VLOOKUP('Hours Detail'!E226,'BASE_FUNCOES (hide)'!$A:$V,15,0),"No"))))))</f>
        <v>No</v>
      </c>
      <c r="H226" s="22" t="str">
        <f t="shared" si="5"/>
        <v>No</v>
      </c>
      <c r="I226" s="75">
        <f>IF('General Information'!$C$4="Mexico",(ROUNDUP(VLOOKUP(E226,'BASE_FUNCOES (hide)'!A:X,21,0),0)),(ROUNDUP(VLOOKUP(E226,'BASE_FUNCOES (hide)'!A:L,9,0),0)))</f>
        <v>24</v>
      </c>
      <c r="J226" s="75">
        <f>ROUNDUP(SUMIF(Questions!$E$5:$E$558,'Hours Detail'!E226,Questions!$F$5:$F$558),0)</f>
        <v>0</v>
      </c>
      <c r="K226" s="76">
        <f>IF(H226="Yes",ROUNDUP(IF(VLOOKUP(E226,'BASE_FUNCOES (hide)'!A:T,16,FALSE)&lt;&gt;"No",IF('General Information'!$C$19="HTML5",(I226+J226)*'BASE_FUNCOES (hide)'!$T$2,I226+J226),I226+J226),I226+J226),I226+J226)</f>
        <v>24</v>
      </c>
      <c r="L226" s="265" t="str">
        <f>IF(OR(E226=121,E226=88,E226=2682,E226=2703,E226=2687,E226=2689,E226=2681,E226=2685)=FALSE,"",IF('General Information'!$C$19="HTML5","FUNÇÃO DISPONÍVEL APENAS PARA BRASIL",IF(J227&lt;&gt;0,VLOOKUP(E227,Questions!$E$5:$L$568,5,0),"")))</f>
        <v/>
      </c>
      <c r="M226" s="164" t="s">
        <v>2396</v>
      </c>
      <c r="N226" s="369" t="s">
        <v>2377</v>
      </c>
    </row>
    <row r="227" spans="1:14" ht="14.5" customHeight="1" outlineLevel="1">
      <c r="A227" s="59"/>
      <c r="B227" s="72">
        <f>VLOOKUP('Hours Detail'!E227,'BASE_FUNCOES (hide)'!A:W,5,FALSE)</f>
        <v>8</v>
      </c>
      <c r="C227" s="72" t="s">
        <v>5929</v>
      </c>
      <c r="D227" s="73" t="str">
        <f>IF('General Information'!$C$6="Português",VLOOKUP(B227,'ESTRUTURA_MODULO(hide)'!A:D,2,0),IF('General Information'!$C$6="English",VLOOKUP(B227,'ESTRUTURA_MODULO(hide)'!A:D,3,0),IF('General Information'!$C$6="Español",VLOOKUP(B227,'ESTRUTURA_MODULO(hide)'!A:D,4,0))))</f>
        <v>Farmácia</v>
      </c>
      <c r="E227" s="254">
        <v>7010</v>
      </c>
      <c r="F227" s="73" t="str">
        <f>IF('General Information'!$C$6="Português",VLOOKUP(E227,'BASE_FUNCOES (hide)'!A:H,2,0),IF('General Information'!$C$6="English",VLOOKUP(E227,'BASE_FUNCOES (hide)'!A:H,3,0),IF('General Information'!$C$6="Español",VLOOKUP(E227,'BASE_FUNCOES (hide)'!A:H,4,0))))</f>
        <v>Gestão das Prescrições pela Farmácia Clínica</v>
      </c>
      <c r="G227" s="73" t="str">
        <f>IF(AND('General Information'!$D$16=1,VLOOKUP(B227,Modules!$B$5:$E$496,4,0)=1)=TRUE,VLOOKUP('Hours Detail'!E227,'BASE_FUNCOES (hide)'!$A:$V,10,0),IF(AND('General Information'!$D$16=2,VLOOKUP(B227,Modules!$B$5:$E$496,4,0)=1)=TRUE,VLOOKUP('Hours Detail'!E227,'BASE_FUNCOES (hide)'!$A:$V,11,0),IF(AND('General Information'!$D$16=3,VLOOKUP(B227,Modules!$B$5:$E$496,4,0)=1)=TRUE,VLOOKUP('Hours Detail'!E227,'BASE_FUNCOES (hide)'!$A:$V,12,0),IF(AND('General Information'!$D$16=4,VLOOKUP(B227,Modules!$B$5:$E$496,4,0)=1)=TRUE,VLOOKUP('Hours Detail'!E227,'BASE_FUNCOES (hide)'!$A:$V,13,0),IF(AND('General Information'!$D$16=5,VLOOKUP(B227,Modules!$B$5:$E$496,4,0)=1)=TRUE,VLOOKUP('Hours Detail'!E227,'BASE_FUNCOES (hide)'!$A:$V,14,0),  IF(AND('General Information'!$D$16=6,VLOOKUP(B227,Modules!$B$5:$E$496,4,0)=1)=TRUE,VLOOKUP('Hours Detail'!E227,'BASE_FUNCOES (hide)'!$A:$V,15,0),"No"))))))</f>
        <v>No</v>
      </c>
      <c r="H227" s="22" t="str">
        <f t="shared" si="5"/>
        <v>No</v>
      </c>
      <c r="I227" s="75">
        <f>IF('General Information'!$C$4="Mexico",(ROUNDUP(VLOOKUP(E227,'BASE_FUNCOES (hide)'!A:X,21,0),0)),(ROUNDUP(VLOOKUP(E227,'BASE_FUNCOES (hide)'!A:L,9,0),0)))</f>
        <v>16</v>
      </c>
      <c r="J227" s="75">
        <f>ROUNDUP(SUMIF(Questions!$E$5:$E$558,'Hours Detail'!E227,Questions!$F$5:$F$558),0)</f>
        <v>0</v>
      </c>
      <c r="K227" s="76">
        <f>IF(H227="Yes",ROUNDUP(IF(VLOOKUP(E227,'BASE_FUNCOES (hide)'!A:T,16,FALSE)&lt;&gt;"No",IF('General Information'!$C$19="HTML5",(I227+J227)*'BASE_FUNCOES (hide)'!$T$2,I227+J227),I227+J227),I227+J227),I227+J227)</f>
        <v>16</v>
      </c>
      <c r="L227" s="265" t="str">
        <f>IF(OR(E227=121,E227=88,E227=2682,E227=2703,E227=2687,E227=2689,E227=2681,E227=2685)=FALSE,"",IF('General Information'!$C$19="HTML5","FUNÇÃO DISPONÍVEL APENAS PARA BRASIL",IF(J228&lt;&gt;0,VLOOKUP(E228,Questions!$E$5:$L$568,5,0),"")))</f>
        <v/>
      </c>
      <c r="M227" s="164" t="s">
        <v>2396</v>
      </c>
      <c r="N227" s="369" t="s">
        <v>2377</v>
      </c>
    </row>
    <row r="228" spans="1:14" ht="14.5" customHeight="1" outlineLevel="1">
      <c r="A228" s="59"/>
      <c r="B228" s="72">
        <f>VLOOKUP('Hours Detail'!E228,'BASE_FUNCOES (hide)'!A:W,5,FALSE)</f>
        <v>8</v>
      </c>
      <c r="C228" s="72" t="s">
        <v>5929</v>
      </c>
      <c r="D228" s="73" t="str">
        <f>IF('General Information'!$C$6="Português",VLOOKUP(B228,'ESTRUTURA_MODULO(hide)'!A:D,2,0),IF('General Information'!$C$6="English",VLOOKUP(B228,'ESTRUTURA_MODULO(hide)'!A:D,3,0),IF('General Information'!$C$6="Español",VLOOKUP(B228,'ESTRUTURA_MODULO(hide)'!A:D,4,0))))</f>
        <v>Farmácia</v>
      </c>
      <c r="E228" s="254">
        <v>3112</v>
      </c>
      <c r="F228" s="73" t="str">
        <f>IF('General Information'!$C$6="Português",VLOOKUP(E228,'BASE_FUNCOES (hide)'!A:H,2,0),IF('General Information'!$C$6="English",VLOOKUP(E228,'BASE_FUNCOES (hide)'!A:H,3,0),IF('General Information'!$C$6="Español",VLOOKUP(E228,'BASE_FUNCOES (hide)'!A:H,4,0))))</f>
        <v>Gestão de Dispensação dos Processos ADEP - GEDIPA</v>
      </c>
      <c r="G228" s="73" t="str">
        <f>IF(AND('General Information'!$D$16=1,VLOOKUP(B228,Modules!$B$5:$E$496,4,0)=1)=TRUE,VLOOKUP('Hours Detail'!E228,'BASE_FUNCOES (hide)'!$A:$V,10,0),IF(AND('General Information'!$D$16=2,VLOOKUP(B228,Modules!$B$5:$E$496,4,0)=1)=TRUE,VLOOKUP('Hours Detail'!E228,'BASE_FUNCOES (hide)'!$A:$V,11,0),IF(AND('General Information'!$D$16=3,VLOOKUP(B228,Modules!$B$5:$E$496,4,0)=1)=TRUE,VLOOKUP('Hours Detail'!E228,'BASE_FUNCOES (hide)'!$A:$V,12,0),IF(AND('General Information'!$D$16=4,VLOOKUP(B228,Modules!$B$5:$E$496,4,0)=1)=TRUE,VLOOKUP('Hours Detail'!E228,'BASE_FUNCOES (hide)'!$A:$V,13,0),IF(AND('General Information'!$D$16=5,VLOOKUP(B228,Modules!$B$5:$E$496,4,0)=1)=TRUE,VLOOKUP('Hours Detail'!E228,'BASE_FUNCOES (hide)'!$A:$V,14,0),  IF(AND('General Information'!$D$16=6,VLOOKUP(B228,Modules!$B$5:$E$496,4,0)=1)=TRUE,VLOOKUP('Hours Detail'!E228,'BASE_FUNCOES (hide)'!$A:$V,15,0),"No"))))))</f>
        <v>No</v>
      </c>
      <c r="H228" s="22" t="str">
        <f t="shared" si="5"/>
        <v>No</v>
      </c>
      <c r="I228" s="75">
        <f>IF('General Information'!$C$4="Mexico",(ROUNDUP(VLOOKUP(E228,'BASE_FUNCOES (hide)'!A:X,21,0),0)),(ROUNDUP(VLOOKUP(E228,'BASE_FUNCOES (hide)'!A:L,9,0),0)))</f>
        <v>16</v>
      </c>
      <c r="J228" s="75">
        <f>ROUNDUP(SUMIF(Questions!$E$5:$E$558,'Hours Detail'!E228,Questions!$F$5:$F$558),0)</f>
        <v>0</v>
      </c>
      <c r="K228" s="76">
        <f>IF(H228="Yes",ROUNDUP(IF(VLOOKUP(E228,'BASE_FUNCOES (hide)'!A:T,16,FALSE)&lt;&gt;"No",IF('General Information'!$C$19="HTML5",(I228+J228)*'BASE_FUNCOES (hide)'!$T$2,I228+J228),I228+J228),I228+J228),I228+J228)</f>
        <v>16</v>
      </c>
      <c r="L228" s="265" t="str">
        <f>IF(OR(E228=121,E228=88,E228=2682,E228=2703,E228=2687,E228=2689,E228=2681,E228=2685)=FALSE,"",IF('General Information'!$C$19="HTML5","FUNÇÃO DISPONÍVEL APENAS PARA BRASIL",IF(J229&lt;&gt;0,VLOOKUP(E229,Questions!$E$5:$L$568,5,0),"")))</f>
        <v/>
      </c>
      <c r="M228" s="164" t="s">
        <v>2396</v>
      </c>
      <c r="N228" s="369" t="s">
        <v>2377</v>
      </c>
    </row>
    <row r="229" spans="1:14" ht="14.5" customHeight="1" outlineLevel="1">
      <c r="A229" s="59"/>
      <c r="B229" s="72">
        <f>VLOOKUP('Hours Detail'!E229,'BASE_FUNCOES (hide)'!A:W,5,FALSE)</f>
        <v>8</v>
      </c>
      <c r="C229" s="72" t="s">
        <v>5929</v>
      </c>
      <c r="D229" s="73" t="str">
        <f>IF('General Information'!$C$6="Português",VLOOKUP(B229,'ESTRUTURA_MODULO(hide)'!A:D,2,0),IF('General Information'!$C$6="English",VLOOKUP(B229,'ESTRUTURA_MODULO(hide)'!A:D,3,0),IF('General Information'!$C$6="Español",VLOOKUP(B229,'ESTRUTURA_MODULO(hide)'!A:D,4,0))))</f>
        <v>Farmácia</v>
      </c>
      <c r="E229" s="254">
        <v>7030</v>
      </c>
      <c r="F229" s="73" t="str">
        <f>IF('General Information'!$C$6="Português",VLOOKUP(E229,'BASE_FUNCOES (hide)'!A:H,2,0),IF('General Information'!$C$6="English",VLOOKUP(E229,'BASE_FUNCOES (hide)'!A:H,3,0),IF('General Information'!$C$6="Español",VLOOKUP(E229,'BASE_FUNCOES (hide)'!A:H,4,0))))</f>
        <v>Gestão dos Lotes da Dispensação</v>
      </c>
      <c r="G229" s="73" t="str">
        <f>IF(AND('General Information'!$D$16=1,VLOOKUP(B229,Modules!$B$5:$E$496,4,0)=1)=TRUE,VLOOKUP('Hours Detail'!E229,'BASE_FUNCOES (hide)'!$A:$V,10,0),IF(AND('General Information'!$D$16=2,VLOOKUP(B229,Modules!$B$5:$E$496,4,0)=1)=TRUE,VLOOKUP('Hours Detail'!E229,'BASE_FUNCOES (hide)'!$A:$V,11,0),IF(AND('General Information'!$D$16=3,VLOOKUP(B229,Modules!$B$5:$E$496,4,0)=1)=TRUE,VLOOKUP('Hours Detail'!E229,'BASE_FUNCOES (hide)'!$A:$V,12,0),IF(AND('General Information'!$D$16=4,VLOOKUP(B229,Modules!$B$5:$E$496,4,0)=1)=TRUE,VLOOKUP('Hours Detail'!E229,'BASE_FUNCOES (hide)'!$A:$V,13,0),IF(AND('General Information'!$D$16=5,VLOOKUP(B229,Modules!$B$5:$E$496,4,0)=1)=TRUE,VLOOKUP('Hours Detail'!E229,'BASE_FUNCOES (hide)'!$A:$V,14,0),  IF(AND('General Information'!$D$16=6,VLOOKUP(B229,Modules!$B$5:$E$496,4,0)=1)=TRUE,VLOOKUP('Hours Detail'!E229,'BASE_FUNCOES (hide)'!$A:$V,15,0),"No"))))))</f>
        <v>No</v>
      </c>
      <c r="H229" s="22" t="str">
        <f t="shared" si="5"/>
        <v>No</v>
      </c>
      <c r="I229" s="75">
        <f>IF('General Information'!$C$4="Mexico",(ROUNDUP(VLOOKUP(E229,'BASE_FUNCOES (hide)'!A:X,21,0),0)),(ROUNDUP(VLOOKUP(E229,'BASE_FUNCOES (hide)'!A:L,9,0),0)))</f>
        <v>8</v>
      </c>
      <c r="J229" s="75">
        <f>ROUNDUP(SUMIF(Questions!$E$5:$E$558,'Hours Detail'!E229,Questions!$F$5:$F$558),0)</f>
        <v>0</v>
      </c>
      <c r="K229" s="76">
        <f>IF(H229="Yes",ROUNDUP(IF(VLOOKUP(E229,'BASE_FUNCOES (hide)'!A:T,16,FALSE)&lt;&gt;"No",IF('General Information'!$C$19="HTML5",(I229+J229)*'BASE_FUNCOES (hide)'!$T$2,I229+J229),I229+J229),I229+J229),I229+J229)</f>
        <v>8</v>
      </c>
      <c r="L229" s="265" t="str">
        <f>IF(OR(E229=121,E229=88,E229=2682,E229=2703,E229=2687,E229=2689,E229=2681,E229=2685)=FALSE,"",IF('General Information'!$C$19="HTML5","FUNÇÃO DISPONÍVEL APENAS PARA BRASIL",IF(J230&lt;&gt;0,VLOOKUP(E230,Questions!$E$5:$L$568,5,0),"")))</f>
        <v/>
      </c>
      <c r="M229" s="164" t="s">
        <v>2396</v>
      </c>
      <c r="N229" s="369" t="s">
        <v>2377</v>
      </c>
    </row>
    <row r="230" spans="1:14" ht="14.5" customHeight="1" outlineLevel="1">
      <c r="A230" s="59"/>
      <c r="B230" s="72">
        <f>VLOOKUP('Hours Detail'!E230,'BASE_FUNCOES (hide)'!A:W,5,FALSE)</f>
        <v>8</v>
      </c>
      <c r="C230" s="72" t="s">
        <v>5929</v>
      </c>
      <c r="D230" s="73" t="str">
        <f>IF('General Information'!$C$6="Português",VLOOKUP(B230,'ESTRUTURA_MODULO(hide)'!A:D,2,0),IF('General Information'!$C$6="English",VLOOKUP(B230,'ESTRUTURA_MODULO(hide)'!A:D,3,0),IF('General Information'!$C$6="Español",VLOOKUP(B230,'ESTRUTURA_MODULO(hide)'!A:D,4,0))))</f>
        <v>Farmácia</v>
      </c>
      <c r="E230" s="254">
        <v>47</v>
      </c>
      <c r="F230" s="73" t="str">
        <f>IF('General Information'!$C$6="Português",VLOOKUP(E230,'BASE_FUNCOES (hide)'!A:H,2,0),IF('General Information'!$C$6="English",VLOOKUP(E230,'BASE_FUNCOES (hide)'!A:H,3,0),IF('General Information'!$C$6="Español",VLOOKUP(E230,'BASE_FUNCOES (hide)'!A:H,4,0))))</f>
        <v>Liberação Medicamentos No Padronizados</v>
      </c>
      <c r="G230" s="73" t="str">
        <f>IF(AND('General Information'!$D$16=1,VLOOKUP(B230,Modules!$B$5:$E$496,4,0)=1)=TRUE,VLOOKUP('Hours Detail'!E230,'BASE_FUNCOES (hide)'!$A:$V,10,0),IF(AND('General Information'!$D$16=2,VLOOKUP(B230,Modules!$B$5:$E$496,4,0)=1)=TRUE,VLOOKUP('Hours Detail'!E230,'BASE_FUNCOES (hide)'!$A:$V,11,0),IF(AND('General Information'!$D$16=3,VLOOKUP(B230,Modules!$B$5:$E$496,4,0)=1)=TRUE,VLOOKUP('Hours Detail'!E230,'BASE_FUNCOES (hide)'!$A:$V,12,0),IF(AND('General Information'!$D$16=4,VLOOKUP(B230,Modules!$B$5:$E$496,4,0)=1)=TRUE,VLOOKUP('Hours Detail'!E230,'BASE_FUNCOES (hide)'!$A:$V,13,0),IF(AND('General Information'!$D$16=5,VLOOKUP(B230,Modules!$B$5:$E$496,4,0)=1)=TRUE,VLOOKUP('Hours Detail'!E230,'BASE_FUNCOES (hide)'!$A:$V,14,0),  IF(AND('General Information'!$D$16=6,VLOOKUP(B230,Modules!$B$5:$E$496,4,0)=1)=TRUE,VLOOKUP('Hours Detail'!E230,'BASE_FUNCOES (hide)'!$A:$V,15,0),"No"))))))</f>
        <v>No</v>
      </c>
      <c r="H230" s="22" t="str">
        <f t="shared" si="5"/>
        <v>No</v>
      </c>
      <c r="I230" s="75">
        <f>IF('General Information'!$C$4="Mexico",(ROUNDUP(VLOOKUP(E230,'BASE_FUNCOES (hide)'!A:X,21,0),0)),(ROUNDUP(VLOOKUP(E230,'BASE_FUNCOES (hide)'!A:L,9,0),0)))</f>
        <v>2</v>
      </c>
      <c r="J230" s="75">
        <f>ROUNDUP(SUMIF(Questions!$E$5:$E$558,'Hours Detail'!E230,Questions!$F$5:$F$558),0)</f>
        <v>0</v>
      </c>
      <c r="K230" s="76">
        <f>IF(H230="Yes",ROUNDUP(IF(VLOOKUP(E230,'BASE_FUNCOES (hide)'!A:T,16,FALSE)&lt;&gt;"No",IF('General Information'!$C$19="HTML5",(I230+J230)*'BASE_FUNCOES (hide)'!$T$2,I230+J230),I230+J230),I230+J230),I230+J230)</f>
        <v>2</v>
      </c>
      <c r="L230" s="265" t="str">
        <f>IF(OR(E230=121,E230=88,E230=2682,E230=2703,E230=2687,E230=2689,E230=2681,E230=2685)=FALSE,"",IF('General Information'!$C$19="HTML5","FUNÇÃO DISPONÍVEL APENAS PARA BRASIL",IF(J231&lt;&gt;0,VLOOKUP(E231,Questions!$E$5:$L$568,5,0),"")))</f>
        <v/>
      </c>
      <c r="M230" s="164" t="s">
        <v>2396</v>
      </c>
      <c r="N230" s="369" t="s">
        <v>2377</v>
      </c>
    </row>
    <row r="231" spans="1:14" ht="14.5" customHeight="1" outlineLevel="1">
      <c r="A231" s="59"/>
      <c r="B231" s="72">
        <f>VLOOKUP('Hours Detail'!E231,'BASE_FUNCOES (hide)'!A:W,5,FALSE)</f>
        <v>8</v>
      </c>
      <c r="C231" s="72" t="s">
        <v>5929</v>
      </c>
      <c r="D231" s="73" t="str">
        <f>IF('General Information'!$C$6="Português",VLOOKUP(B231,'ESTRUTURA_MODULO(hide)'!A:D,2,0),IF('General Information'!$C$6="English",VLOOKUP(B231,'ESTRUTURA_MODULO(hide)'!A:D,3,0),IF('General Information'!$C$6="Español",VLOOKUP(B231,'ESTRUTURA_MODULO(hide)'!A:D,4,0))))</f>
        <v>Farmácia</v>
      </c>
      <c r="E231" s="254">
        <v>998</v>
      </c>
      <c r="F231" s="73" t="str">
        <f>IF('General Information'!$C$6="Português",VLOOKUP(E231,'BASE_FUNCOES (hide)'!A:H,2,0),IF('General Information'!$C$6="English",VLOOKUP(E231,'BASE_FUNCOES (hide)'!A:H,3,0),IF('General Information'!$C$6="Español",VLOOKUP(E231,'BASE_FUNCOES (hide)'!A:H,4,0))))</f>
        <v>Prescrição de Emergência</v>
      </c>
      <c r="G231" s="73" t="str">
        <f>IF(AND('General Information'!$D$16=1,VLOOKUP(B231,Modules!$B$5:$E$496,4,0)=1)=TRUE,VLOOKUP('Hours Detail'!E231,'BASE_FUNCOES (hide)'!$A:$V,10,0),IF(AND('General Information'!$D$16=2,VLOOKUP(B231,Modules!$B$5:$E$496,4,0)=1)=TRUE,VLOOKUP('Hours Detail'!E231,'BASE_FUNCOES (hide)'!$A:$V,11,0),IF(AND('General Information'!$D$16=3,VLOOKUP(B231,Modules!$B$5:$E$496,4,0)=1)=TRUE,VLOOKUP('Hours Detail'!E231,'BASE_FUNCOES (hide)'!$A:$V,12,0),IF(AND('General Information'!$D$16=4,VLOOKUP(B231,Modules!$B$5:$E$496,4,0)=1)=TRUE,VLOOKUP('Hours Detail'!E231,'BASE_FUNCOES (hide)'!$A:$V,13,0),IF(AND('General Information'!$D$16=5,VLOOKUP(B231,Modules!$B$5:$E$496,4,0)=1)=TRUE,VLOOKUP('Hours Detail'!E231,'BASE_FUNCOES (hide)'!$A:$V,14,0),  IF(AND('General Information'!$D$16=6,VLOOKUP(B231,Modules!$B$5:$E$496,4,0)=1)=TRUE,VLOOKUP('Hours Detail'!E231,'BASE_FUNCOES (hide)'!$A:$V,15,0),"No"))))))</f>
        <v>No</v>
      </c>
      <c r="H231" s="22" t="str">
        <f t="shared" si="5"/>
        <v>No</v>
      </c>
      <c r="I231" s="75">
        <f>IF('General Information'!$C$4="Mexico",(ROUNDUP(VLOOKUP(E231,'BASE_FUNCOES (hide)'!A:X,21,0),0)),(ROUNDUP(VLOOKUP(E231,'BASE_FUNCOES (hide)'!A:L,9,0),0)))</f>
        <v>6</v>
      </c>
      <c r="J231" s="75">
        <f>ROUNDUP(SUMIF(Questions!$E$5:$E$558,'Hours Detail'!E231,Questions!$F$5:$F$558),0)</f>
        <v>0</v>
      </c>
      <c r="K231" s="76">
        <f>IF(H231="Yes",ROUNDUP(IF(VLOOKUP(E231,'BASE_FUNCOES (hide)'!A:T,16,FALSE)&lt;&gt;"No",IF('General Information'!$C$19="HTML5",(I231+J231)*'BASE_FUNCOES (hide)'!$T$2,I231+J231),I231+J231),I231+J231),I231+J231)</f>
        <v>6</v>
      </c>
      <c r="L231" s="265" t="str">
        <f>IF(OR(E231=121,E231=88,E231=2682,E231=2703,E231=2687,E231=2689,E231=2681,E231=2685)=FALSE,"",IF('General Information'!$C$19="HTML5","FUNÇÃO DISPONÍVEL APENAS PARA BRASIL",IF(J232&lt;&gt;0,VLOOKUP(E232,Questions!$E$5:$L$568,5,0),"")))</f>
        <v/>
      </c>
      <c r="M231" s="164" t="s">
        <v>2396</v>
      </c>
      <c r="N231" s="369" t="s">
        <v>2377</v>
      </c>
    </row>
    <row r="232" spans="1:14" ht="14.5" customHeight="1" outlineLevel="1">
      <c r="A232" s="59"/>
      <c r="B232" s="72">
        <f>VLOOKUP('Hours Detail'!E232,'BASE_FUNCOES (hide)'!A:W,5,FALSE)</f>
        <v>8</v>
      </c>
      <c r="C232" s="72" t="s">
        <v>5929</v>
      </c>
      <c r="D232" s="73" t="str">
        <f>IF('General Information'!$C$6="Português",VLOOKUP(B232,'ESTRUTURA_MODULO(hide)'!A:D,2,0),IF('General Information'!$C$6="English",VLOOKUP(B232,'ESTRUTURA_MODULO(hide)'!A:D,3,0),IF('General Information'!$C$6="Español",VLOOKUP(B232,'ESTRUTURA_MODULO(hide)'!A:D,4,0))))</f>
        <v>Farmácia</v>
      </c>
      <c r="E232" s="254">
        <v>9044</v>
      </c>
      <c r="F232" s="73" t="str">
        <f>IF('General Information'!$C$6="Português",VLOOKUP(E232,'BASE_FUNCOES (hide)'!A:H,2,0),IF('General Information'!$C$6="English",VLOOKUP(E232,'BASE_FUNCOES (hide)'!A:H,3,0),IF('General Information'!$C$6="Español",VLOOKUP(E232,'BASE_FUNCOES (hide)'!A:H,4,0))))</f>
        <v>Produção de Medicamentos</v>
      </c>
      <c r="G232" s="73" t="str">
        <f>IF(AND('General Information'!$D$16=1,VLOOKUP(B232,Modules!$B$5:$E$496,4,0)=1)=TRUE,VLOOKUP('Hours Detail'!E232,'BASE_FUNCOES (hide)'!$A:$V,10,0),IF(AND('General Information'!$D$16=2,VLOOKUP(B232,Modules!$B$5:$E$496,4,0)=1)=TRUE,VLOOKUP('Hours Detail'!E232,'BASE_FUNCOES (hide)'!$A:$V,11,0),IF(AND('General Information'!$D$16=3,VLOOKUP(B232,Modules!$B$5:$E$496,4,0)=1)=TRUE,VLOOKUP('Hours Detail'!E232,'BASE_FUNCOES (hide)'!$A:$V,12,0),IF(AND('General Information'!$D$16=4,VLOOKUP(B232,Modules!$B$5:$E$496,4,0)=1)=TRUE,VLOOKUP('Hours Detail'!E232,'BASE_FUNCOES (hide)'!$A:$V,13,0),IF(AND('General Information'!$D$16=5,VLOOKUP(B232,Modules!$B$5:$E$496,4,0)=1)=TRUE,VLOOKUP('Hours Detail'!E232,'BASE_FUNCOES (hide)'!$A:$V,14,0),  IF(AND('General Information'!$D$16=6,VLOOKUP(B232,Modules!$B$5:$E$496,4,0)=1)=TRUE,VLOOKUP('Hours Detail'!E232,'BASE_FUNCOES (hide)'!$A:$V,15,0),"No"))))))</f>
        <v>No</v>
      </c>
      <c r="H232" s="22" t="str">
        <f t="shared" si="5"/>
        <v>No</v>
      </c>
      <c r="I232" s="75">
        <f>IF('General Information'!$C$4="Mexico",(ROUNDUP(VLOOKUP(E232,'BASE_FUNCOES (hide)'!A:X,21,0),0)),(ROUNDUP(VLOOKUP(E232,'BASE_FUNCOES (hide)'!A:L,9,0),0)))</f>
        <v>4</v>
      </c>
      <c r="J232" s="75">
        <f>ROUNDUP(SUMIF(Questions!$E$5:$E$558,'Hours Detail'!E232,Questions!$F$5:$F$558),0)</f>
        <v>0</v>
      </c>
      <c r="K232" s="76">
        <f>IF(H232="Yes",ROUNDUP(IF(VLOOKUP(E232,'BASE_FUNCOES (hide)'!A:T,16,FALSE)&lt;&gt;"No",IF('General Information'!$C$19="HTML5",(I232+J232)*'BASE_FUNCOES (hide)'!$T$2,I232+J232),I232+J232),I232+J232),I232+J232)</f>
        <v>4</v>
      </c>
      <c r="L232" s="265" t="str">
        <f>IF(OR(E232=121,E232=88,E232=2682,E232=2703,E232=2687,E232=2689,E232=2681,E232=2685)=FALSE,"",IF('General Information'!$C$19="HTML5","FUNÇÃO DISPONÍVEL APENAS PARA BRASIL",IF(J233&lt;&gt;0,VLOOKUP(E233,Questions!$E$5:$L$568,5,0),"")))</f>
        <v/>
      </c>
      <c r="M232" s="164" t="s">
        <v>2396</v>
      </c>
      <c r="N232" s="369" t="s">
        <v>2377</v>
      </c>
    </row>
    <row r="233" spans="1:14" ht="14.5" customHeight="1" outlineLevel="1">
      <c r="A233" s="59"/>
      <c r="B233" s="72">
        <f>VLOOKUP('Hours Detail'!E233,'BASE_FUNCOES (hide)'!A:W,5,FALSE)</f>
        <v>31</v>
      </c>
      <c r="C233" s="72" t="s">
        <v>5929</v>
      </c>
      <c r="D233" s="73" t="str">
        <f>IF('General Information'!$C$6="Português",VLOOKUP(B233,'ESTRUTURA_MODULO(hide)'!A:D,2,0),IF('General Information'!$C$6="English",VLOOKUP(B233,'ESTRUTURA_MODULO(hide)'!A:D,3,0),IF('General Information'!$C$6="Español",VLOOKUP(B233,'ESTRUTURA_MODULO(hide)'!A:D,4,0))))</f>
        <v>SUS AIH</v>
      </c>
      <c r="E233" s="254">
        <v>1126</v>
      </c>
      <c r="F233" s="73" t="str">
        <f>IF('General Information'!$C$6="Português",VLOOKUP(E233,'BASE_FUNCOES (hide)'!A:H,2,0),IF('General Information'!$C$6="English",VLOOKUP(E233,'BASE_FUNCOES (hide)'!A:H,3,0),IF('General Information'!$C$6="Español",VLOOKUP(E233,'BASE_FUNCOES (hide)'!A:H,4,0))))</f>
        <v>Gestão SUS Unificado - GSU</v>
      </c>
      <c r="G233" s="73" t="str">
        <f>IF(AND('General Information'!$D$16=1,VLOOKUP(B233,Modules!$B$5:$E$496,4,0)=1)=TRUE,VLOOKUP('Hours Detail'!E233,'BASE_FUNCOES (hide)'!$A:$V,10,0),IF(AND('General Information'!$D$16=2,VLOOKUP(B233,Modules!$B$5:$E$496,4,0)=1)=TRUE,VLOOKUP('Hours Detail'!E233,'BASE_FUNCOES (hide)'!$A:$V,11,0),IF(AND('General Information'!$D$16=3,VLOOKUP(B233,Modules!$B$5:$E$496,4,0)=1)=TRUE,VLOOKUP('Hours Detail'!E233,'BASE_FUNCOES (hide)'!$A:$V,12,0),IF(AND('General Information'!$D$16=4,VLOOKUP(B233,Modules!$B$5:$E$496,4,0)=1)=TRUE,VLOOKUP('Hours Detail'!E233,'BASE_FUNCOES (hide)'!$A:$V,13,0),IF(AND('General Information'!$D$16=5,VLOOKUP(B233,Modules!$B$5:$E$496,4,0)=1)=TRUE,VLOOKUP('Hours Detail'!E233,'BASE_FUNCOES (hide)'!$A:$V,14,0),  IF(AND('General Information'!$D$16=6,VLOOKUP(B233,Modules!$B$5:$E$496,4,0)=1)=TRUE,VLOOKUP('Hours Detail'!E233,'BASE_FUNCOES (hide)'!$A:$V,15,0),"No"))))))</f>
        <v>No</v>
      </c>
      <c r="H233" s="22" t="str">
        <f t="shared" si="5"/>
        <v>No</v>
      </c>
      <c r="I233" s="75">
        <f>IF('General Information'!$C$4="Mexico",(ROUNDUP(VLOOKUP(E233,'BASE_FUNCOES (hide)'!A:X,21,0),0)),(ROUNDUP(VLOOKUP(E233,'BASE_FUNCOES (hide)'!A:L,9,0),0)))</f>
        <v>16</v>
      </c>
      <c r="J233" s="75">
        <f>ROUNDUP(SUMIF(Questions!$E$5:$E$558,'Hours Detail'!E233,Questions!$F$5:$F$558),0)</f>
        <v>0</v>
      </c>
      <c r="K233" s="76">
        <f>IF(H233="Yes",ROUNDUP(IF(VLOOKUP(E233,'BASE_FUNCOES (hide)'!A:T,16,FALSE)&lt;&gt;"No",IF('General Information'!$C$19="HTML5",(I233+J233)*'BASE_FUNCOES (hide)'!$T$2,I233+J233),I233+J233),I233+J233),I233+J233)</f>
        <v>16</v>
      </c>
      <c r="L233" s="265" t="str">
        <f>IF(OR(E233=121,E233=88,E233=2682,E233=2703,E233=2687,E233=2689,E233=2681,E233=2685)=FALSE,"",IF('General Information'!$C$19="HTML5","FUNÇÃO DISPONÍVEL APENAS PARA BRASIL",IF(J234&lt;&gt;0,VLOOKUP(E234,Questions!$E$5:$L$568,5,0),"")))</f>
        <v/>
      </c>
      <c r="M233" s="164" t="s">
        <v>2396</v>
      </c>
      <c r="N233" s="369" t="s">
        <v>2377</v>
      </c>
    </row>
    <row r="234" spans="1:14" ht="14.5" customHeight="1" outlineLevel="1">
      <c r="A234" s="59"/>
      <c r="B234" s="72">
        <f>VLOOKUP('Hours Detail'!E234,'BASE_FUNCOES (hide)'!A:W,5,FALSE)</f>
        <v>31</v>
      </c>
      <c r="C234" s="72" t="s">
        <v>5929</v>
      </c>
      <c r="D234" s="73" t="str">
        <f>IF('General Information'!$C$6="Português",VLOOKUP(B234,'ESTRUTURA_MODULO(hide)'!A:D,2,0),IF('General Information'!$C$6="English",VLOOKUP(B234,'ESTRUTURA_MODULO(hide)'!A:D,3,0),IF('General Information'!$C$6="Español",VLOOKUP(B234,'ESTRUTURA_MODULO(hide)'!A:D,4,0))))</f>
        <v>SUS AIH</v>
      </c>
      <c r="E234" s="254">
        <v>1123</v>
      </c>
      <c r="F234" s="73" t="str">
        <f>IF('General Information'!$C$6="Português",VLOOKUP(E234,'BASE_FUNCOES (hide)'!A:H,2,0),IF('General Information'!$C$6="English",VLOOKUP(E234,'BASE_FUNCOES (hide)'!A:H,3,0),IF('General Information'!$C$6="Español",VLOOKUP(E234,'BASE_FUNCOES (hide)'!A:H,4,0))))</f>
        <v>SUS AIH</v>
      </c>
      <c r="G234" s="73" t="str">
        <f>IF(AND('General Information'!$D$16=1,VLOOKUP(B234,Modules!$B$5:$E$496,4,0)=1)=TRUE,VLOOKUP('Hours Detail'!E234,'BASE_FUNCOES (hide)'!$A:$V,10,0),IF(AND('General Information'!$D$16=2,VLOOKUP(B234,Modules!$B$5:$E$496,4,0)=1)=TRUE,VLOOKUP('Hours Detail'!E234,'BASE_FUNCOES (hide)'!$A:$V,11,0),IF(AND('General Information'!$D$16=3,VLOOKUP(B234,Modules!$B$5:$E$496,4,0)=1)=TRUE,VLOOKUP('Hours Detail'!E234,'BASE_FUNCOES (hide)'!$A:$V,12,0),IF(AND('General Information'!$D$16=4,VLOOKUP(B234,Modules!$B$5:$E$496,4,0)=1)=TRUE,VLOOKUP('Hours Detail'!E234,'BASE_FUNCOES (hide)'!$A:$V,13,0),IF(AND('General Information'!$D$16=5,VLOOKUP(B234,Modules!$B$5:$E$496,4,0)=1)=TRUE,VLOOKUP('Hours Detail'!E234,'BASE_FUNCOES (hide)'!$A:$V,14,0),  IF(AND('General Information'!$D$16=6,VLOOKUP(B234,Modules!$B$5:$E$496,4,0)=1)=TRUE,VLOOKUP('Hours Detail'!E234,'BASE_FUNCOES (hide)'!$A:$V,15,0),"No"))))))</f>
        <v>No</v>
      </c>
      <c r="H234" s="22" t="str">
        <f t="shared" si="5"/>
        <v>No</v>
      </c>
      <c r="I234" s="75">
        <f>IF('General Information'!$C$4="Mexico",(ROUNDUP(VLOOKUP(E234,'BASE_FUNCOES (hide)'!A:X,21,0),0)),(ROUNDUP(VLOOKUP(E234,'BASE_FUNCOES (hide)'!A:L,9,0),0)))</f>
        <v>40</v>
      </c>
      <c r="J234" s="75">
        <f>ROUNDUP(SUMIF(Questions!$E$5:$E$558,'Hours Detail'!E234,Questions!$F$5:$F$558),0)</f>
        <v>0</v>
      </c>
      <c r="K234" s="76">
        <f>IF(H234="Yes",ROUNDUP(IF(VLOOKUP(E234,'BASE_FUNCOES (hide)'!A:T,16,FALSE)&lt;&gt;"No",IF('General Information'!$C$19="HTML5",(I234+J234)*'BASE_FUNCOES (hide)'!$T$2,I234+J234),I234+J234),I234+J234),I234+J234)</f>
        <v>40</v>
      </c>
      <c r="L234" s="265" t="str">
        <f>IF(OR(E234=121,E234=88,E234=2682,E234=2703,E234=2687,E234=2689,E234=2681,E234=2685)=FALSE,"",IF('General Information'!$C$19="HTML5","FUNÇÃO DISPONÍVEL APENAS PARA BRASIL",IF(J235&lt;&gt;0,VLOOKUP(E235,Questions!$E$5:$L$568,5,0),"")))</f>
        <v/>
      </c>
      <c r="M234" s="164" t="s">
        <v>2396</v>
      </c>
      <c r="N234" s="369" t="s">
        <v>2377</v>
      </c>
    </row>
    <row r="235" spans="1:14" ht="14.5" customHeight="1" outlineLevel="1">
      <c r="A235" s="59"/>
      <c r="B235" s="72">
        <f>VLOOKUP('Hours Detail'!E235,'BASE_FUNCOES (hide)'!A:W,5,FALSE)</f>
        <v>82</v>
      </c>
      <c r="C235" s="72" t="s">
        <v>5929</v>
      </c>
      <c r="D235" s="73" t="str">
        <f>IF('General Information'!$C$6="Português",VLOOKUP(B235,'ESTRUTURA_MODULO(hide)'!A:D,2,0),IF('General Information'!$C$6="English",VLOOKUP(B235,'ESTRUTURA_MODULO(hide)'!A:D,3,0),IF('General Information'!$C$6="Español",VLOOKUP(B235,'ESTRUTURA_MODULO(hide)'!A:D,4,0))))</f>
        <v>SUS APAC</v>
      </c>
      <c r="E235" s="254">
        <v>1124</v>
      </c>
      <c r="F235" s="73" t="str">
        <f>IF('General Information'!$C$6="Português",VLOOKUP(E235,'BASE_FUNCOES (hide)'!A:H,2,0),IF('General Information'!$C$6="English",VLOOKUP(E235,'BASE_FUNCOES (hide)'!A:H,3,0),IF('General Information'!$C$6="Español",VLOOKUP(E235,'BASE_FUNCOES (hide)'!A:H,4,0))))</f>
        <v>SUS APAC</v>
      </c>
      <c r="G235" s="73" t="str">
        <f>IF(AND('General Information'!$D$16=1,VLOOKUP(B235,Modules!$B$5:$E$496,4,0)=1)=TRUE,VLOOKUP('Hours Detail'!E235,'BASE_FUNCOES (hide)'!$A:$V,10,0),IF(AND('General Information'!$D$16=2,VLOOKUP(B235,Modules!$B$5:$E$496,4,0)=1)=TRUE,VLOOKUP('Hours Detail'!E235,'BASE_FUNCOES (hide)'!$A:$V,11,0),IF(AND('General Information'!$D$16=3,VLOOKUP(B235,Modules!$B$5:$E$496,4,0)=1)=TRUE,VLOOKUP('Hours Detail'!E235,'BASE_FUNCOES (hide)'!$A:$V,12,0),IF(AND('General Information'!$D$16=4,VLOOKUP(B235,Modules!$B$5:$E$496,4,0)=1)=TRUE,VLOOKUP('Hours Detail'!E235,'BASE_FUNCOES (hide)'!$A:$V,13,0),IF(AND('General Information'!$D$16=5,VLOOKUP(B235,Modules!$B$5:$E$496,4,0)=1)=TRUE,VLOOKUP('Hours Detail'!E235,'BASE_FUNCOES (hide)'!$A:$V,14,0),  IF(AND('General Information'!$D$16=6,VLOOKUP(B235,Modules!$B$5:$E$496,4,0)=1)=TRUE,VLOOKUP('Hours Detail'!E235,'BASE_FUNCOES (hide)'!$A:$V,15,0),"No"))))))</f>
        <v>No</v>
      </c>
      <c r="H235" s="22" t="str">
        <f t="shared" si="5"/>
        <v>No</v>
      </c>
      <c r="I235" s="75">
        <f>IF('General Information'!$C$4="Mexico",(ROUNDUP(VLOOKUP(E235,'BASE_FUNCOES (hide)'!A:X,21,0),0)),(ROUNDUP(VLOOKUP(E235,'BASE_FUNCOES (hide)'!A:L,9,0),0)))</f>
        <v>24</v>
      </c>
      <c r="J235" s="75">
        <f>ROUNDUP(SUMIF(Questions!$E$5:$E$558,'Hours Detail'!E235,Questions!$F$5:$F$558),0)</f>
        <v>0</v>
      </c>
      <c r="K235" s="76">
        <f>IF(H235="Yes",ROUNDUP(IF(VLOOKUP(E235,'BASE_FUNCOES (hide)'!A:T,16,FALSE)&lt;&gt;"No",IF('General Information'!$C$19="HTML5",(I235+J235)*'BASE_FUNCOES (hide)'!$T$2,I235+J235),I235+J235),I235+J235),I235+J235)</f>
        <v>24</v>
      </c>
      <c r="L235" s="265" t="str">
        <f>IF(OR(E235=121,E235=88,E235=2682,E235=2703,E235=2687,E235=2689,E235=2681,E235=2685)=FALSE,"",IF('General Information'!$C$19="HTML5","FUNÇÃO DISPONÍVEL APENAS PARA BRASIL",IF(J236&lt;&gt;0,VLOOKUP(E236,Questions!$E$5:$L$568,5,0),"")))</f>
        <v/>
      </c>
      <c r="M235" s="164" t="s">
        <v>2396</v>
      </c>
      <c r="N235" s="369" t="s">
        <v>2377</v>
      </c>
    </row>
    <row r="236" spans="1:14" ht="14.5" customHeight="1" outlineLevel="1">
      <c r="A236" s="59"/>
      <c r="B236" s="72">
        <f>VLOOKUP('Hours Detail'!E236,'BASE_FUNCOES (hide)'!A:W,5,FALSE)</f>
        <v>32</v>
      </c>
      <c r="C236" s="72" t="s">
        <v>5929</v>
      </c>
      <c r="D236" s="73" t="str">
        <f>IF('General Information'!$C$6="Português",VLOOKUP(B236,'ESTRUTURA_MODULO(hide)'!A:D,2,0),IF('General Information'!$C$6="English",VLOOKUP(B236,'ESTRUTURA_MODULO(hide)'!A:D,3,0),IF('General Information'!$C$6="Español",VLOOKUP(B236,'ESTRUTURA_MODULO(hide)'!A:D,4,0))))</f>
        <v>SUS BPA</v>
      </c>
      <c r="E236" s="254">
        <v>1125</v>
      </c>
      <c r="F236" s="73" t="str">
        <f>IF('General Information'!$C$6="Português",VLOOKUP(E236,'BASE_FUNCOES (hide)'!A:H,2,0),IF('General Information'!$C$6="English",VLOOKUP(E236,'BASE_FUNCOES (hide)'!A:H,3,0),IF('General Information'!$C$6="Español",VLOOKUP(E236,'BASE_FUNCOES (hide)'!A:H,4,0))))</f>
        <v>SUS BPA</v>
      </c>
      <c r="G236" s="73" t="str">
        <f>IF(AND('General Information'!$D$16=1,VLOOKUP(B236,Modules!$B$5:$E$496,4,0)=1)=TRUE,VLOOKUP('Hours Detail'!E236,'BASE_FUNCOES (hide)'!$A:$V,10,0),IF(AND('General Information'!$D$16=2,VLOOKUP(B236,Modules!$B$5:$E$496,4,0)=1)=TRUE,VLOOKUP('Hours Detail'!E236,'BASE_FUNCOES (hide)'!$A:$V,11,0),IF(AND('General Information'!$D$16=3,VLOOKUP(B236,Modules!$B$5:$E$496,4,0)=1)=TRUE,VLOOKUP('Hours Detail'!E236,'BASE_FUNCOES (hide)'!$A:$V,12,0),IF(AND('General Information'!$D$16=4,VLOOKUP(B236,Modules!$B$5:$E$496,4,0)=1)=TRUE,VLOOKUP('Hours Detail'!E236,'BASE_FUNCOES (hide)'!$A:$V,13,0),IF(AND('General Information'!$D$16=5,VLOOKUP(B236,Modules!$B$5:$E$496,4,0)=1)=TRUE,VLOOKUP('Hours Detail'!E236,'BASE_FUNCOES (hide)'!$A:$V,14,0),  IF(AND('General Information'!$D$16=6,VLOOKUP(B236,Modules!$B$5:$E$496,4,0)=1)=TRUE,VLOOKUP('Hours Detail'!E236,'BASE_FUNCOES (hide)'!$A:$V,15,0),"No"))))))</f>
        <v>No</v>
      </c>
      <c r="H236" s="22" t="str">
        <f t="shared" si="5"/>
        <v>No</v>
      </c>
      <c r="I236" s="75">
        <f>IF('General Information'!$C$4="Mexico",(ROUNDUP(VLOOKUP(E236,'BASE_FUNCOES (hide)'!A:X,21,0),0)),(ROUNDUP(VLOOKUP(E236,'BASE_FUNCOES (hide)'!A:L,9,0),0)))</f>
        <v>16</v>
      </c>
      <c r="J236" s="75">
        <f>ROUNDUP(SUMIF(Questions!$E$5:$E$558,'Hours Detail'!E236,Questions!$F$5:$F$558),0)</f>
        <v>0</v>
      </c>
      <c r="K236" s="76">
        <f>IF(H236="Yes",ROUNDUP(IF(VLOOKUP(E236,'BASE_FUNCOES (hide)'!A:T,16,FALSE)&lt;&gt;"No",IF('General Information'!$C$19="HTML5",(I236+J236)*'BASE_FUNCOES (hide)'!$T$2,I236+J236),I236+J236),I236+J236),I236+J236)</f>
        <v>16</v>
      </c>
      <c r="L236" s="265" t="str">
        <f>IF(OR(E236=121,E236=88,E236=2682,E236=2703,E236=2687,E236=2689,E236=2681,E236=2685)=FALSE,"",IF('General Information'!$C$19="HTML5","FUNÇÃO DISPONÍVEL APENAS PARA BRASIL",IF(J237&lt;&gt;0,VLOOKUP(E237,Questions!$E$5:$L$568,5,0),"")))</f>
        <v/>
      </c>
      <c r="M236" s="164" t="s">
        <v>2396</v>
      </c>
      <c r="N236" s="369" t="s">
        <v>2377</v>
      </c>
    </row>
    <row r="237" spans="1:14" ht="14.5" customHeight="1" outlineLevel="1">
      <c r="A237" s="59"/>
      <c r="B237" s="72">
        <f>VLOOKUP('Hours Detail'!E237,'BASE_FUNCOES (hide)'!A:W,5,FALSE)</f>
        <v>32</v>
      </c>
      <c r="C237" s="72" t="s">
        <v>5929</v>
      </c>
      <c r="D237" s="73" t="str">
        <f>IF('General Information'!$C$6="Português",VLOOKUP(B237,'ESTRUTURA_MODULO(hide)'!A:D,2,0),IF('General Information'!$C$6="English",VLOOKUP(B237,'ESTRUTURA_MODULO(hide)'!A:D,3,0),IF('General Information'!$C$6="Español",VLOOKUP(B237,'ESTRUTURA_MODULO(hide)'!A:D,4,0))))</f>
        <v>SUS BPA</v>
      </c>
      <c r="E237" s="254">
        <v>1131</v>
      </c>
      <c r="F237" s="73" t="str">
        <f>IF('General Information'!$C$6="Português",VLOOKUP(E237,'BASE_FUNCOES (hide)'!A:H,2,0),IF('General Information'!$C$6="English",VLOOKUP(E237,'BASE_FUNCOES (hide)'!A:H,3,0),IF('General Information'!$C$6="Español",VLOOKUP(E237,'BASE_FUNCOES (hide)'!A:H,4,0))))</f>
        <v>SUS FPO</v>
      </c>
      <c r="G237" s="73" t="str">
        <f>IF(AND('General Information'!$D$16=1,VLOOKUP(B237,Modules!$B$5:$E$496,4,0)=1)=TRUE,VLOOKUP('Hours Detail'!E237,'BASE_FUNCOES (hide)'!$A:$V,10,0),IF(AND('General Information'!$D$16=2,VLOOKUP(B237,Modules!$B$5:$E$496,4,0)=1)=TRUE,VLOOKUP('Hours Detail'!E237,'BASE_FUNCOES (hide)'!$A:$V,11,0),IF(AND('General Information'!$D$16=3,VLOOKUP(B237,Modules!$B$5:$E$496,4,0)=1)=TRUE,VLOOKUP('Hours Detail'!E237,'BASE_FUNCOES (hide)'!$A:$V,12,0),IF(AND('General Information'!$D$16=4,VLOOKUP(B237,Modules!$B$5:$E$496,4,0)=1)=TRUE,VLOOKUP('Hours Detail'!E237,'BASE_FUNCOES (hide)'!$A:$V,13,0),IF(AND('General Information'!$D$16=5,VLOOKUP(B237,Modules!$B$5:$E$496,4,0)=1)=TRUE,VLOOKUP('Hours Detail'!E237,'BASE_FUNCOES (hide)'!$A:$V,14,0),  IF(AND('General Information'!$D$16=6,VLOOKUP(B237,Modules!$B$5:$E$496,4,0)=1)=TRUE,VLOOKUP('Hours Detail'!E237,'BASE_FUNCOES (hide)'!$A:$V,15,0),"No"))))))</f>
        <v>No</v>
      </c>
      <c r="H237" s="22" t="str">
        <f t="shared" si="5"/>
        <v>No</v>
      </c>
      <c r="I237" s="75">
        <f>IF('General Information'!$C$4="Mexico",(ROUNDUP(VLOOKUP(E237,'BASE_FUNCOES (hide)'!A:X,21,0),0)),(ROUNDUP(VLOOKUP(E237,'BASE_FUNCOES (hide)'!A:L,9,0),0)))</f>
        <v>8</v>
      </c>
      <c r="J237" s="75">
        <f>ROUNDUP(SUMIF(Questions!$E$5:$E$558,'Hours Detail'!E237,Questions!$F$5:$F$558),0)</f>
        <v>0</v>
      </c>
      <c r="K237" s="76">
        <f>IF(H237="Yes",ROUNDUP(IF(VLOOKUP(E237,'BASE_FUNCOES (hide)'!A:T,16,FALSE)&lt;&gt;"No",IF('General Information'!$C$19="HTML5",(I237+J237)*'BASE_FUNCOES (hide)'!$T$2,I237+J237),I237+J237),I237+J237),I237+J237)</f>
        <v>8</v>
      </c>
      <c r="L237" s="265" t="str">
        <f>IF(OR(E237=121,E237=88,E237=2682,E237=2703,E237=2687,E237=2689,E237=2681,E237=2685)=FALSE,"",IF('General Information'!$C$19="HTML5","FUNÇÃO DISPONÍVEL APENAS PARA BRASIL",IF(J238&lt;&gt;0,VLOOKUP(E238,Questions!$E$5:$L$568,5,0),"")))</f>
        <v/>
      </c>
      <c r="M237" s="164" t="s">
        <v>2396</v>
      </c>
      <c r="N237" s="369" t="s">
        <v>2377</v>
      </c>
    </row>
    <row r="238" spans="1:14" ht="14.5" customHeight="1" outlineLevel="1">
      <c r="A238" s="59"/>
      <c r="B238" s="72">
        <f>VLOOKUP('Hours Detail'!E238,'BASE_FUNCOES (hide)'!A:W,5,FALSE)</f>
        <v>101</v>
      </c>
      <c r="C238" s="72" t="s">
        <v>5929</v>
      </c>
      <c r="D238" s="73" t="str">
        <f>IF('General Information'!$C$6="Português",VLOOKUP(B238,'ESTRUTURA_MODULO(hide)'!A:D,2,0),IF('General Information'!$C$6="English",VLOOKUP(B238,'ESTRUTURA_MODULO(hide)'!A:D,3,0),IF('General Information'!$C$6="Español",VLOOKUP(B238,'ESTRUTURA_MODULO(hide)'!A:D,4,0))))</f>
        <v>Auditoria</v>
      </c>
      <c r="E238" s="254">
        <v>1116</v>
      </c>
      <c r="F238" s="73" t="str">
        <f>IF('General Information'!$C$6="Português",VLOOKUP(E238,'BASE_FUNCOES (hide)'!A:H,2,0),IF('General Information'!$C$6="English",VLOOKUP(E238,'BASE_FUNCOES (hide)'!A:H,3,0),IF('General Information'!$C$6="Español",VLOOKUP(E238,'BASE_FUNCOES (hide)'!A:H,4,0))))</f>
        <v>Auditoria Conta Paciente</v>
      </c>
      <c r="G238" s="73" t="str">
        <f>IF(AND('General Information'!$D$16=1,VLOOKUP(B238,Modules!$B$5:$E$496,4,0)=1)=TRUE,VLOOKUP('Hours Detail'!E238,'BASE_FUNCOES (hide)'!$A:$V,10,0),IF(AND('General Information'!$D$16=2,VLOOKUP(B238,Modules!$B$5:$E$496,4,0)=1)=TRUE,VLOOKUP('Hours Detail'!E238,'BASE_FUNCOES (hide)'!$A:$V,11,0),IF(AND('General Information'!$D$16=3,VLOOKUP(B238,Modules!$B$5:$E$496,4,0)=1)=TRUE,VLOOKUP('Hours Detail'!E238,'BASE_FUNCOES (hide)'!$A:$V,12,0),IF(AND('General Information'!$D$16=4,VLOOKUP(B238,Modules!$B$5:$E$496,4,0)=1)=TRUE,VLOOKUP('Hours Detail'!E238,'BASE_FUNCOES (hide)'!$A:$V,13,0),IF(AND('General Information'!$D$16=5,VLOOKUP(B238,Modules!$B$5:$E$496,4,0)=1)=TRUE,VLOOKUP('Hours Detail'!E238,'BASE_FUNCOES (hide)'!$A:$V,14,0),  IF(AND('General Information'!$D$16=6,VLOOKUP(B238,Modules!$B$5:$E$496,4,0)=1)=TRUE,VLOOKUP('Hours Detail'!E238,'BASE_FUNCOES (hide)'!$A:$V,15,0),"No"))))))</f>
        <v>No</v>
      </c>
      <c r="H238" s="22" t="str">
        <f t="shared" si="5"/>
        <v>No</v>
      </c>
      <c r="I238" s="75">
        <f>IF('General Information'!$C$4="Mexico",(ROUNDUP(VLOOKUP(E238,'BASE_FUNCOES (hide)'!A:X,21,0),0)),(ROUNDUP(VLOOKUP(E238,'BASE_FUNCOES (hide)'!A:L,9,0),0)))</f>
        <v>32</v>
      </c>
      <c r="J238" s="75">
        <f>ROUNDUP(SUMIF(Questions!$E$5:$E$558,'Hours Detail'!E238,Questions!$F$5:$F$558),0)</f>
        <v>0</v>
      </c>
      <c r="K238" s="76">
        <f>IF(H238="Yes",ROUNDUP(IF(VLOOKUP(E238,'BASE_FUNCOES (hide)'!A:T,16,FALSE)&lt;&gt;"No",IF('General Information'!$C$19="HTML5",(I238+J238)*'BASE_FUNCOES (hide)'!$T$2,I238+J238),I238+J238),I238+J238),I238+J238)</f>
        <v>32</v>
      </c>
      <c r="L238" s="265" t="str">
        <f>IF(OR(E238=121,E238=88,E238=2682,E238=2703,E238=2687,E238=2689,E238=2681,E238=2685)=FALSE,"",IF('General Information'!$C$19="HTML5","FUNÇÃO DISPONÍVEL APENAS PARA BRASIL",IF(J239&lt;&gt;0,VLOOKUP(E239,Questions!$E$5:$L$568,5,0),"")))</f>
        <v/>
      </c>
      <c r="M238" s="164" t="s">
        <v>2396</v>
      </c>
      <c r="N238" s="369" t="s">
        <v>2377</v>
      </c>
    </row>
    <row r="239" spans="1:14" ht="14.5" customHeight="1" outlineLevel="1">
      <c r="A239" s="59"/>
      <c r="B239" s="72">
        <f>VLOOKUP('Hours Detail'!E239,'BASE_FUNCOES (hide)'!A:W,5,FALSE)</f>
        <v>102</v>
      </c>
      <c r="C239" s="72" t="s">
        <v>5929</v>
      </c>
      <c r="D239" s="73" t="str">
        <f>IF('General Information'!$C$6="Português",VLOOKUP(B239,'ESTRUTURA_MODULO(hide)'!A:D,2,0),IF('General Information'!$C$6="English",VLOOKUP(B239,'ESTRUTURA_MODULO(hide)'!A:D,3,0),IF('General Information'!$C$6="Español",VLOOKUP(B239,'ESTRUTURA_MODULO(hide)'!A:D,4,0))))</f>
        <v>Gestão de Autorizações</v>
      </c>
      <c r="E239" s="254">
        <v>3004</v>
      </c>
      <c r="F239" s="73" t="str">
        <f>IF('General Information'!$C$6="Português",VLOOKUP(E239,'BASE_FUNCOES (hide)'!A:H,2,0),IF('General Information'!$C$6="English",VLOOKUP(E239,'BASE_FUNCOES (hide)'!A:H,3,0),IF('General Information'!$C$6="Español",VLOOKUP(E239,'BASE_FUNCOES (hide)'!A:H,4,0))))</f>
        <v>Autorização Convênio</v>
      </c>
      <c r="G239" s="73" t="str">
        <f>IF(AND('General Information'!$D$16=1,VLOOKUP(B239,Modules!$B$5:$E$496,4,0)=1)=TRUE,VLOOKUP('Hours Detail'!E239,'BASE_FUNCOES (hide)'!$A:$V,10,0),IF(AND('General Information'!$D$16=2,VLOOKUP(B239,Modules!$B$5:$E$496,4,0)=1)=TRUE,VLOOKUP('Hours Detail'!E239,'BASE_FUNCOES (hide)'!$A:$V,11,0),IF(AND('General Information'!$D$16=3,VLOOKUP(B239,Modules!$B$5:$E$496,4,0)=1)=TRUE,VLOOKUP('Hours Detail'!E239,'BASE_FUNCOES (hide)'!$A:$V,12,0),IF(AND('General Information'!$D$16=4,VLOOKUP(B239,Modules!$B$5:$E$496,4,0)=1)=TRUE,VLOOKUP('Hours Detail'!E239,'BASE_FUNCOES (hide)'!$A:$V,13,0),IF(AND('General Information'!$D$16=5,VLOOKUP(B239,Modules!$B$5:$E$496,4,0)=1)=TRUE,VLOOKUP('Hours Detail'!E239,'BASE_FUNCOES (hide)'!$A:$V,14,0),  IF(AND('General Information'!$D$16=6,VLOOKUP(B239,Modules!$B$5:$E$496,4,0)=1)=TRUE,VLOOKUP('Hours Detail'!E239,'BASE_FUNCOES (hide)'!$A:$V,15,0),"No"))))))</f>
        <v>No</v>
      </c>
      <c r="H239" s="22" t="str">
        <f t="shared" si="5"/>
        <v>No</v>
      </c>
      <c r="I239" s="75">
        <f>IF('General Information'!$C$4="Mexico",(ROUNDUP(VLOOKUP(E239,'BASE_FUNCOES (hide)'!A:X,21,0),0)),(ROUNDUP(VLOOKUP(E239,'BASE_FUNCOES (hide)'!A:L,9,0),0)))</f>
        <v>16</v>
      </c>
      <c r="J239" s="75">
        <f>ROUNDUP(SUMIF(Questions!$E$5:$E$558,'Hours Detail'!E239,Questions!$F$5:$F$558),0)</f>
        <v>0</v>
      </c>
      <c r="K239" s="76">
        <f>IF(H239="Yes",ROUNDUP(IF(VLOOKUP(E239,'BASE_FUNCOES (hide)'!A:T,16,FALSE)&lt;&gt;"No",IF('General Information'!$C$19="HTML5",(I239+J239)*'BASE_FUNCOES (hide)'!$T$2,I239+J239),I239+J239),I239+J239),I239+J239)</f>
        <v>16</v>
      </c>
      <c r="L239" s="265" t="str">
        <f>IF(OR(E239=121,E239=88,E239=2682,E239=2703,E239=2687,E239=2689,E239=2681,E239=2685)=FALSE,"",IF('General Information'!$C$19="HTML5","FUNÇÃO DISPONÍVEL APENAS PARA BRASIL",IF(J240&lt;&gt;0,VLOOKUP(E240,Questions!$E$5:$L$568,5,0),"")))</f>
        <v/>
      </c>
      <c r="M239" s="164" t="s">
        <v>2396</v>
      </c>
      <c r="N239" s="369" t="s">
        <v>2377</v>
      </c>
    </row>
    <row r="240" spans="1:14" ht="14.5" customHeight="1" outlineLevel="1">
      <c r="A240" s="59"/>
      <c r="B240" s="72">
        <f>VLOOKUP('Hours Detail'!E240,'BASE_FUNCOES (hide)'!A:W,5,FALSE)</f>
        <v>102</v>
      </c>
      <c r="C240" s="72" t="s">
        <v>5929</v>
      </c>
      <c r="D240" s="73" t="str">
        <f>IF('General Information'!$C$6="Português",VLOOKUP(B240,'ESTRUTURA_MODULO(hide)'!A:D,2,0),IF('General Information'!$C$6="English",VLOOKUP(B240,'ESTRUTURA_MODULO(hide)'!A:D,3,0),IF('General Information'!$C$6="Español",VLOOKUP(B240,'ESTRUTURA_MODULO(hide)'!A:D,4,0))))</f>
        <v>Gestão de Autorizações</v>
      </c>
      <c r="E240" s="254">
        <v>3006</v>
      </c>
      <c r="F240" s="73" t="str">
        <f>IF('General Information'!$C$6="Português",VLOOKUP(E240,'BASE_FUNCOES (hide)'!A:H,2,0),IF('General Information'!$C$6="English",VLOOKUP(E240,'BASE_FUNCOES (hide)'!A:H,3,0),IF('General Information'!$C$6="Español",VLOOKUP(E240,'BASE_FUNCOES (hide)'!A:H,4,0))))</f>
        <v>Autorização de materiais especiais</v>
      </c>
      <c r="G240" s="73" t="str">
        <f>IF(AND('General Information'!$D$16=1,VLOOKUP(B240,Modules!$B$5:$E$496,4,0)=1)=TRUE,VLOOKUP('Hours Detail'!E240,'BASE_FUNCOES (hide)'!$A:$V,10,0),IF(AND('General Information'!$D$16=2,VLOOKUP(B240,Modules!$B$5:$E$496,4,0)=1)=TRUE,VLOOKUP('Hours Detail'!E240,'BASE_FUNCOES (hide)'!$A:$V,11,0),IF(AND('General Information'!$D$16=3,VLOOKUP(B240,Modules!$B$5:$E$496,4,0)=1)=TRUE,VLOOKUP('Hours Detail'!E240,'BASE_FUNCOES (hide)'!$A:$V,12,0),IF(AND('General Information'!$D$16=4,VLOOKUP(B240,Modules!$B$5:$E$496,4,0)=1)=TRUE,VLOOKUP('Hours Detail'!E240,'BASE_FUNCOES (hide)'!$A:$V,13,0),IF(AND('General Information'!$D$16=5,VLOOKUP(B240,Modules!$B$5:$E$496,4,0)=1)=TRUE,VLOOKUP('Hours Detail'!E240,'BASE_FUNCOES (hide)'!$A:$V,14,0),  IF(AND('General Information'!$D$16=6,VLOOKUP(B240,Modules!$B$5:$E$496,4,0)=1)=TRUE,VLOOKUP('Hours Detail'!E240,'BASE_FUNCOES (hide)'!$A:$V,15,0),"No"))))))</f>
        <v>No</v>
      </c>
      <c r="H240" s="22" t="str">
        <f t="shared" si="5"/>
        <v>No</v>
      </c>
      <c r="I240" s="75">
        <f>IF('General Information'!$C$4="Mexico",(ROUNDUP(VLOOKUP(E240,'BASE_FUNCOES (hide)'!A:X,21,0),0)),(ROUNDUP(VLOOKUP(E240,'BASE_FUNCOES (hide)'!A:L,9,0),0)))</f>
        <v>16</v>
      </c>
      <c r="J240" s="75">
        <f>ROUNDUP(SUMIF(Questions!$E$5:$E$558,'Hours Detail'!E240,Questions!$F$5:$F$558),0)</f>
        <v>0</v>
      </c>
      <c r="K240" s="76">
        <f>IF(H240="Yes",ROUNDUP(IF(VLOOKUP(E240,'BASE_FUNCOES (hide)'!A:T,16,FALSE)&lt;&gt;"No",IF('General Information'!$C$19="HTML5",(I240+J240)*'BASE_FUNCOES (hide)'!$T$2,I240+J240),I240+J240),I240+J240),I240+J240)</f>
        <v>16</v>
      </c>
      <c r="L240" s="265" t="str">
        <f>IF(OR(E240=121,E240=88,E240=2682,E240=2703,E240=2687,E240=2689,E240=2681,E240=2685)=FALSE,"",IF('General Information'!$C$19="HTML5","FUNÇÃO DISPONÍVEL APENAS PARA BRASIL",IF(J241&lt;&gt;0,VLOOKUP(E241,Questions!$E$5:$L$568,5,0),"")))</f>
        <v/>
      </c>
      <c r="M240" s="164" t="s">
        <v>2396</v>
      </c>
      <c r="N240" s="369" t="s">
        <v>2377</v>
      </c>
    </row>
    <row r="241" spans="1:14" ht="14.5" customHeight="1" outlineLevel="1">
      <c r="A241" s="59"/>
      <c r="B241" s="72">
        <f>VLOOKUP('Hours Detail'!E241,'BASE_FUNCOES (hide)'!A:W,5,FALSE)</f>
        <v>102</v>
      </c>
      <c r="C241" s="72" t="s">
        <v>5929</v>
      </c>
      <c r="D241" s="73" t="str">
        <f>IF('General Information'!$C$6="Português",VLOOKUP(B241,'ESTRUTURA_MODULO(hide)'!A:D,2,0),IF('General Information'!$C$6="English",VLOOKUP(B241,'ESTRUTURA_MODULO(hide)'!A:D,3,0),IF('General Information'!$C$6="Español",VLOOKUP(B241,'ESTRUTURA_MODULO(hide)'!A:D,4,0))))</f>
        <v>Gestão de Autorizações</v>
      </c>
      <c r="E241" s="254">
        <v>988</v>
      </c>
      <c r="F241" s="73" t="str">
        <f>IF('General Information'!$C$6="Português",VLOOKUP(E241,'BASE_FUNCOES (hide)'!A:H,2,0),IF('General Information'!$C$6="English",VLOOKUP(E241,'BASE_FUNCOES (hide)'!A:H,3,0),IF('General Information'!$C$6="Español",VLOOKUP(E241,'BASE_FUNCOES (hide)'!A:H,4,0))))</f>
        <v>Gerenciamento de Autorizações</v>
      </c>
      <c r="G241" s="73" t="str">
        <f>IF(AND('General Information'!$D$16=1,VLOOKUP(B241,Modules!$B$5:$E$496,4,0)=1)=TRUE,VLOOKUP('Hours Detail'!E241,'BASE_FUNCOES (hide)'!$A:$V,10,0),IF(AND('General Information'!$D$16=2,VLOOKUP(B241,Modules!$B$5:$E$496,4,0)=1)=TRUE,VLOOKUP('Hours Detail'!E241,'BASE_FUNCOES (hide)'!$A:$V,11,0),IF(AND('General Information'!$D$16=3,VLOOKUP(B241,Modules!$B$5:$E$496,4,0)=1)=TRUE,VLOOKUP('Hours Detail'!E241,'BASE_FUNCOES (hide)'!$A:$V,12,0),IF(AND('General Information'!$D$16=4,VLOOKUP(B241,Modules!$B$5:$E$496,4,0)=1)=TRUE,VLOOKUP('Hours Detail'!E241,'BASE_FUNCOES (hide)'!$A:$V,13,0),IF(AND('General Information'!$D$16=5,VLOOKUP(B241,Modules!$B$5:$E$496,4,0)=1)=TRUE,VLOOKUP('Hours Detail'!E241,'BASE_FUNCOES (hide)'!$A:$V,14,0),  IF(AND('General Information'!$D$16=6,VLOOKUP(B241,Modules!$B$5:$E$496,4,0)=1)=TRUE,VLOOKUP('Hours Detail'!E241,'BASE_FUNCOES (hide)'!$A:$V,15,0),"No"))))))</f>
        <v>No</v>
      </c>
      <c r="H241" s="22" t="str">
        <f t="shared" si="5"/>
        <v>No</v>
      </c>
      <c r="I241" s="75">
        <f>IF('General Information'!$C$4="Mexico",(ROUNDUP(VLOOKUP(E241,'BASE_FUNCOES (hide)'!A:X,21,0),0)),(ROUNDUP(VLOOKUP(E241,'BASE_FUNCOES (hide)'!A:L,9,0),0)))</f>
        <v>8</v>
      </c>
      <c r="J241" s="75">
        <f>ROUNDUP(SUMIF(Questions!$E$5:$E$558,'Hours Detail'!E241,Questions!$F$5:$F$558),0)</f>
        <v>0</v>
      </c>
      <c r="K241" s="76">
        <f>IF(H241="Yes",ROUNDUP(IF(VLOOKUP(E241,'BASE_FUNCOES (hide)'!A:T,16,FALSE)&lt;&gt;"No",IF('General Information'!$C$19="HTML5",(I241+J241)*'BASE_FUNCOES (hide)'!$T$2,I241+J241),I241+J241),I241+J241),I241+J241)</f>
        <v>8</v>
      </c>
      <c r="L241" s="265" t="str">
        <f>IF(OR(E241=121,E241=88,E241=2682,E241=2703,E241=2687,E241=2689,E241=2681,E241=2685)=FALSE,"",IF('General Information'!$C$19="HTML5","FUNÇÃO DISPONÍVEL APENAS PARA BRASIL",IF(J242&lt;&gt;0,VLOOKUP(E242,Questions!$E$5:$L$568,5,0),"")))</f>
        <v/>
      </c>
      <c r="M241" s="164" t="s">
        <v>2396</v>
      </c>
      <c r="N241" s="369" t="s">
        <v>2377</v>
      </c>
    </row>
    <row r="242" spans="1:14" ht="14.5" customHeight="1" outlineLevel="1">
      <c r="A242" s="59"/>
      <c r="B242" s="72">
        <f>VLOOKUP('Hours Detail'!E242,'BASE_FUNCOES (hide)'!A:W,5,FALSE)</f>
        <v>102</v>
      </c>
      <c r="C242" s="72" t="s">
        <v>5929</v>
      </c>
      <c r="D242" s="73" t="str">
        <f>IF('General Information'!$C$6="Português",VLOOKUP(B242,'ESTRUTURA_MODULO(hide)'!A:D,2,0),IF('General Information'!$C$6="English",VLOOKUP(B242,'ESTRUTURA_MODULO(hide)'!A:D,3,0),IF('General Information'!$C$6="Español",VLOOKUP(B242,'ESTRUTURA_MODULO(hide)'!A:D,4,0))))</f>
        <v>Gestão de Autorizações</v>
      </c>
      <c r="E242" s="254">
        <v>1006</v>
      </c>
      <c r="F242" s="73" t="str">
        <f>IF('General Information'!$C$6="Português",VLOOKUP(E242,'BASE_FUNCOES (hide)'!A:H,2,0),IF('General Information'!$C$6="English",VLOOKUP(E242,'BASE_FUNCOES (hide)'!A:H,3,0),IF('General Information'!$C$6="Español",VLOOKUP(E242,'BASE_FUNCOES (hide)'!A:H,4,0))))</f>
        <v>Gestão de Autorizações SUS</v>
      </c>
      <c r="G242" s="73" t="str">
        <f>IF(AND('General Information'!$D$16=1,VLOOKUP(B242,Modules!$B$5:$E$496,4,0)=1)=TRUE,VLOOKUP('Hours Detail'!E242,'BASE_FUNCOES (hide)'!$A:$V,10,0),IF(AND('General Information'!$D$16=2,VLOOKUP(B242,Modules!$B$5:$E$496,4,0)=1)=TRUE,VLOOKUP('Hours Detail'!E242,'BASE_FUNCOES (hide)'!$A:$V,11,0),IF(AND('General Information'!$D$16=3,VLOOKUP(B242,Modules!$B$5:$E$496,4,0)=1)=TRUE,VLOOKUP('Hours Detail'!E242,'BASE_FUNCOES (hide)'!$A:$V,12,0),IF(AND('General Information'!$D$16=4,VLOOKUP(B242,Modules!$B$5:$E$496,4,0)=1)=TRUE,VLOOKUP('Hours Detail'!E242,'BASE_FUNCOES (hide)'!$A:$V,13,0),IF(AND('General Information'!$D$16=5,VLOOKUP(B242,Modules!$B$5:$E$496,4,0)=1)=TRUE,VLOOKUP('Hours Detail'!E242,'BASE_FUNCOES (hide)'!$A:$V,14,0),  IF(AND('General Information'!$D$16=6,VLOOKUP(B242,Modules!$B$5:$E$496,4,0)=1)=TRUE,VLOOKUP('Hours Detail'!E242,'BASE_FUNCOES (hide)'!$A:$V,15,0),"No"))))))</f>
        <v>No</v>
      </c>
      <c r="H242" s="22" t="str">
        <f t="shared" si="5"/>
        <v>No</v>
      </c>
      <c r="I242" s="75">
        <f>IF('General Information'!$C$4="Mexico",(ROUNDUP(VLOOKUP(E242,'BASE_FUNCOES (hide)'!A:X,21,0),0)),(ROUNDUP(VLOOKUP(E242,'BASE_FUNCOES (hide)'!A:L,9,0),0)))</f>
        <v>8</v>
      </c>
      <c r="J242" s="75">
        <f>ROUNDUP(SUMIF(Questions!$E$5:$E$558,'Hours Detail'!E242,Questions!$F$5:$F$558),0)</f>
        <v>0</v>
      </c>
      <c r="K242" s="76">
        <f>IF(H242="Yes",ROUNDUP(IF(VLOOKUP(E242,'BASE_FUNCOES (hide)'!A:T,16,FALSE)&lt;&gt;"No",IF('General Information'!$C$19="HTML5",(I242+J242)*'BASE_FUNCOES (hide)'!$T$2,I242+J242),I242+J242),I242+J242),I242+J242)</f>
        <v>8</v>
      </c>
      <c r="L242" s="265" t="str">
        <f>IF(OR(E242=121,E242=88,E242=2682,E242=2703,E242=2687,E242=2689,E242=2681,E242=2685)=FALSE,"",IF('General Information'!$C$19="HTML5","FUNÇÃO DISPONÍVEL APENAS PARA BRASIL",IF(J243&lt;&gt;0,VLOOKUP(E243,Questions!$E$5:$L$568,5,0),"")))</f>
        <v/>
      </c>
      <c r="M242" s="164" t="s">
        <v>2396</v>
      </c>
      <c r="N242" s="369" t="s">
        <v>2377</v>
      </c>
    </row>
    <row r="243" spans="1:14" ht="14.5" customHeight="1" outlineLevel="1">
      <c r="A243" s="59"/>
      <c r="B243" s="72">
        <f>VLOOKUP('Hours Detail'!E243,'BASE_FUNCOES (hide)'!A:W,5,FALSE)</f>
        <v>12</v>
      </c>
      <c r="C243" s="72" t="s">
        <v>5929</v>
      </c>
      <c r="D243" s="73" t="str">
        <f>IF('General Information'!$C$6="Português",VLOOKUP(B243,'ESTRUTURA_MODULO(hide)'!A:D,2,0),IF('General Information'!$C$6="English",VLOOKUP(B243,'ESTRUTURA_MODULO(hide)'!A:D,3,0),IF('General Information'!$C$6="Español",VLOOKUP(B243,'ESTRUTURA_MODULO(hide)'!A:D,4,0))))</f>
        <v>Contas a Pagar</v>
      </c>
      <c r="E243" s="254">
        <v>858</v>
      </c>
      <c r="F243" s="73" t="str">
        <f>IF('General Information'!$C$6="Português",VLOOKUP(E243,'BASE_FUNCOES (hide)'!A:H,2,0),IF('General Information'!$C$6="English",VLOOKUP(E243,'BASE_FUNCOES (hide)'!A:H,3,0),IF('General Information'!$C$6="Español",VLOOKUP(E243,'BASE_FUNCOES (hide)'!A:H,4,0))))</f>
        <v>Adiantamento Pago</v>
      </c>
      <c r="G243" s="73" t="str">
        <f>IF(AND('General Information'!$D$16=1,VLOOKUP(B243,Modules!$B$5:$E$496,4,0)=1)=TRUE,VLOOKUP('Hours Detail'!E243,'BASE_FUNCOES (hide)'!$A:$V,10,0),IF(AND('General Information'!$D$16=2,VLOOKUP(B243,Modules!$B$5:$E$496,4,0)=1)=TRUE,VLOOKUP('Hours Detail'!E243,'BASE_FUNCOES (hide)'!$A:$V,11,0),IF(AND('General Information'!$D$16=3,VLOOKUP(B243,Modules!$B$5:$E$496,4,0)=1)=TRUE,VLOOKUP('Hours Detail'!E243,'BASE_FUNCOES (hide)'!$A:$V,12,0),IF(AND('General Information'!$D$16=4,VLOOKUP(B243,Modules!$B$5:$E$496,4,0)=1)=TRUE,VLOOKUP('Hours Detail'!E243,'BASE_FUNCOES (hide)'!$A:$V,13,0),IF(AND('General Information'!$D$16=5,VLOOKUP(B243,Modules!$B$5:$E$496,4,0)=1)=TRUE,VLOOKUP('Hours Detail'!E243,'BASE_FUNCOES (hide)'!$A:$V,14,0),  IF(AND('General Information'!$D$16=6,VLOOKUP(B243,Modules!$B$5:$E$496,4,0)=1)=TRUE,VLOOKUP('Hours Detail'!E243,'BASE_FUNCOES (hide)'!$A:$V,15,0),"No"))))))</f>
        <v>No</v>
      </c>
      <c r="H243" s="22" t="str">
        <f t="shared" si="5"/>
        <v>No</v>
      </c>
      <c r="I243" s="75">
        <f>IF('General Information'!$C$4="Mexico",(ROUNDUP(VLOOKUP(E243,'BASE_FUNCOES (hide)'!A:X,21,0),0)),(ROUNDUP(VLOOKUP(E243,'BASE_FUNCOES (hide)'!A:L,9,0),0)))</f>
        <v>8</v>
      </c>
      <c r="J243" s="75">
        <f>ROUNDUP(SUMIF(Questions!$E$5:$E$558,'Hours Detail'!E243,Questions!$F$5:$F$558),0)</f>
        <v>0</v>
      </c>
      <c r="K243" s="76">
        <f>IF(H243="Yes",ROUNDUP(IF(VLOOKUP(E243,'BASE_FUNCOES (hide)'!A:T,16,FALSE)&lt;&gt;"No",IF('General Information'!$C$19="HTML5",(I243+J243)*'BASE_FUNCOES (hide)'!$T$2,I243+J243),I243+J243),I243+J243),I243+J243)</f>
        <v>8</v>
      </c>
      <c r="L243" s="265" t="str">
        <f>IF(OR(E243=121,E243=88,E243=2682,E243=2703,E243=2687,E243=2689,E243=2681,E243=2685)=FALSE,"",IF('General Information'!$C$19="HTML5","FUNÇÃO DISPONÍVEL APENAS PARA BRASIL",IF(J244&lt;&gt;0,VLOOKUP(E244,Questions!$E$5:$L$568,5,0),"")))</f>
        <v/>
      </c>
      <c r="M243" s="164" t="s">
        <v>2396</v>
      </c>
      <c r="N243" s="369" t="s">
        <v>2377</v>
      </c>
    </row>
    <row r="244" spans="1:14" ht="14.5" customHeight="1" outlineLevel="1">
      <c r="A244" s="59"/>
      <c r="B244" s="72">
        <f>VLOOKUP('Hours Detail'!E244,'BASE_FUNCOES (hide)'!A:W,5,FALSE)</f>
        <v>12</v>
      </c>
      <c r="C244" s="72" t="s">
        <v>5929</v>
      </c>
      <c r="D244" s="73" t="str">
        <f>IF('General Information'!$C$6="Português",VLOOKUP(B244,'ESTRUTURA_MODULO(hide)'!A:D,2,0),IF('General Information'!$C$6="English",VLOOKUP(B244,'ESTRUTURA_MODULO(hide)'!A:D,3,0),IF('General Information'!$C$6="Español",VLOOKUP(B244,'ESTRUTURA_MODULO(hide)'!A:D,4,0))))</f>
        <v>Contas a Pagar</v>
      </c>
      <c r="E244" s="254">
        <v>8559</v>
      </c>
      <c r="F244" s="73" t="str">
        <f>IF('General Information'!$C$6="Português",VLOOKUP(E244,'BASE_FUNCOES (hide)'!A:H,2,0),IF('General Information'!$C$6="English",VLOOKUP(E244,'BASE_FUNCOES (hide)'!A:H,3,0),IF('General Information'!$C$6="Español",VLOOKUP(E244,'BASE_FUNCOES (hide)'!A:H,4,0))))</f>
        <v>Aprovação de Pagamentos</v>
      </c>
      <c r="G244" s="73" t="str">
        <f>IF(AND('General Information'!$D$16=1,VLOOKUP(B244,Modules!$B$5:$E$496,4,0)=1)=TRUE,VLOOKUP('Hours Detail'!E244,'BASE_FUNCOES (hide)'!$A:$V,10,0),IF(AND('General Information'!$D$16=2,VLOOKUP(B244,Modules!$B$5:$E$496,4,0)=1)=TRUE,VLOOKUP('Hours Detail'!E244,'BASE_FUNCOES (hide)'!$A:$V,11,0),IF(AND('General Information'!$D$16=3,VLOOKUP(B244,Modules!$B$5:$E$496,4,0)=1)=TRUE,VLOOKUP('Hours Detail'!E244,'BASE_FUNCOES (hide)'!$A:$V,12,0),IF(AND('General Information'!$D$16=4,VLOOKUP(B244,Modules!$B$5:$E$496,4,0)=1)=TRUE,VLOOKUP('Hours Detail'!E244,'BASE_FUNCOES (hide)'!$A:$V,13,0),IF(AND('General Information'!$D$16=5,VLOOKUP(B244,Modules!$B$5:$E$496,4,0)=1)=TRUE,VLOOKUP('Hours Detail'!E244,'BASE_FUNCOES (hide)'!$A:$V,14,0),  IF(AND('General Information'!$D$16=6,VLOOKUP(B244,Modules!$B$5:$E$496,4,0)=1)=TRUE,VLOOKUP('Hours Detail'!E244,'BASE_FUNCOES (hide)'!$A:$V,15,0),"No"))))))</f>
        <v>No</v>
      </c>
      <c r="H244" s="22" t="str">
        <f t="shared" si="5"/>
        <v>No</v>
      </c>
      <c r="I244" s="75">
        <f>IF('General Information'!$C$4="Mexico",(ROUNDUP(VLOOKUP(E244,'BASE_FUNCOES (hide)'!A:X,21,0),0)),(ROUNDUP(VLOOKUP(E244,'BASE_FUNCOES (hide)'!A:L,9,0),0)))</f>
        <v>8</v>
      </c>
      <c r="J244" s="75">
        <f>ROUNDUP(SUMIF(Questions!$E$5:$E$558,'Hours Detail'!E244,Questions!$F$5:$F$558),0)</f>
        <v>0</v>
      </c>
      <c r="K244" s="76">
        <f>IF(H244="Yes",ROUNDUP(IF(VLOOKUP(E244,'BASE_FUNCOES (hide)'!A:T,16,FALSE)&lt;&gt;"No",IF('General Information'!$C$19="HTML5",(I244+J244)*'BASE_FUNCOES (hide)'!$T$2,I244+J244),I244+J244),I244+J244),I244+J244)</f>
        <v>8</v>
      </c>
      <c r="L244" s="265" t="str">
        <f>IF(OR(E244=121,E244=88,E244=2682,E244=2703,E244=2687,E244=2689,E244=2681,E244=2685)=FALSE,"",IF('General Information'!$C$19="HTML5","FUNÇÃO DISPONÍVEL APENAS PARA BRASIL",IF(J245&lt;&gt;0,VLOOKUP(E245,Questions!$E$5:$L$568,5,0),"")))</f>
        <v/>
      </c>
      <c r="M244" s="164" t="s">
        <v>2396</v>
      </c>
      <c r="N244" s="369" t="s">
        <v>2377</v>
      </c>
    </row>
    <row r="245" spans="1:14" ht="14.5" customHeight="1" outlineLevel="1">
      <c r="A245" s="59"/>
      <c r="B245" s="72">
        <f>VLOOKUP('Hours Detail'!E245,'BASE_FUNCOES (hide)'!A:W,5,FALSE)</f>
        <v>12</v>
      </c>
      <c r="C245" s="72" t="s">
        <v>5929</v>
      </c>
      <c r="D245" s="73" t="str">
        <f>IF('General Information'!$C$6="Português",VLOOKUP(B245,'ESTRUTURA_MODULO(hide)'!A:D,2,0),IF('General Information'!$C$6="English",VLOOKUP(B245,'ESTRUTURA_MODULO(hide)'!A:D,3,0),IF('General Information'!$C$6="Español",VLOOKUP(B245,'ESTRUTURA_MODULO(hide)'!A:D,4,0))))</f>
        <v>Contas a Pagar</v>
      </c>
      <c r="E245" s="254">
        <v>855</v>
      </c>
      <c r="F245" s="73" t="str">
        <f>IF('General Information'!$C$6="Português",VLOOKUP(E245,'BASE_FUNCOES (hide)'!A:H,2,0),IF('General Information'!$C$6="English",VLOOKUP(E245,'BASE_FUNCOES (hide)'!A:H,3,0),IF('General Information'!$C$6="Español",VLOOKUP(E245,'BASE_FUNCOES (hide)'!A:H,4,0))))</f>
        <v>Borderô a Pagar</v>
      </c>
      <c r="G245" s="73" t="str">
        <f>IF(AND('General Information'!$D$16=1,VLOOKUP(B245,Modules!$B$5:$E$496,4,0)=1)=TRUE,VLOOKUP('Hours Detail'!E245,'BASE_FUNCOES (hide)'!$A:$V,10,0),IF(AND('General Information'!$D$16=2,VLOOKUP(B245,Modules!$B$5:$E$496,4,0)=1)=TRUE,VLOOKUP('Hours Detail'!E245,'BASE_FUNCOES (hide)'!$A:$V,11,0),IF(AND('General Information'!$D$16=3,VLOOKUP(B245,Modules!$B$5:$E$496,4,0)=1)=TRUE,VLOOKUP('Hours Detail'!E245,'BASE_FUNCOES (hide)'!$A:$V,12,0),IF(AND('General Information'!$D$16=4,VLOOKUP(B245,Modules!$B$5:$E$496,4,0)=1)=TRUE,VLOOKUP('Hours Detail'!E245,'BASE_FUNCOES (hide)'!$A:$V,13,0),IF(AND('General Information'!$D$16=5,VLOOKUP(B245,Modules!$B$5:$E$496,4,0)=1)=TRUE,VLOOKUP('Hours Detail'!E245,'BASE_FUNCOES (hide)'!$A:$V,14,0),  IF(AND('General Information'!$D$16=6,VLOOKUP(B245,Modules!$B$5:$E$496,4,0)=1)=TRUE,VLOOKUP('Hours Detail'!E245,'BASE_FUNCOES (hide)'!$A:$V,15,0),"No"))))))</f>
        <v>No</v>
      </c>
      <c r="H245" s="22" t="str">
        <f t="shared" si="5"/>
        <v>No</v>
      </c>
      <c r="I245" s="75">
        <f>IF('General Information'!$C$4="Mexico",(ROUNDUP(VLOOKUP(E245,'BASE_FUNCOES (hide)'!A:X,21,0),0)),(ROUNDUP(VLOOKUP(E245,'BASE_FUNCOES (hide)'!A:L,9,0),0)))</f>
        <v>8</v>
      </c>
      <c r="J245" s="75">
        <f>ROUNDUP(SUMIF(Questions!$E$5:$E$558,'Hours Detail'!E245,Questions!$F$5:$F$558),0)</f>
        <v>0</v>
      </c>
      <c r="K245" s="76">
        <f>IF(H245="Yes",ROUNDUP(IF(VLOOKUP(E245,'BASE_FUNCOES (hide)'!A:T,16,FALSE)&lt;&gt;"No",IF('General Information'!$C$19="HTML5",(I245+J245)*'BASE_FUNCOES (hide)'!$T$2,I245+J245),I245+J245),I245+J245),I245+J245)</f>
        <v>8</v>
      </c>
      <c r="L245" s="265" t="str">
        <f>IF(OR(E245=121,E245=88,E245=2682,E245=2703,E245=2687,E245=2689,E245=2681,E245=2685)=FALSE,"",IF('General Information'!$C$19="HTML5","FUNÇÃO DISPONÍVEL APENAS PARA BRASIL",IF(J246&lt;&gt;0,VLOOKUP(E246,Questions!$E$5:$L$568,5,0),"")))</f>
        <v/>
      </c>
      <c r="M245" s="164" t="s">
        <v>2396</v>
      </c>
      <c r="N245" s="369" t="s">
        <v>2377</v>
      </c>
    </row>
    <row r="246" spans="1:14" ht="14.5" customHeight="1" outlineLevel="1">
      <c r="A246" s="59"/>
      <c r="B246" s="72">
        <f>VLOOKUP('Hours Detail'!E246,'BASE_FUNCOES (hide)'!A:W,5,FALSE)</f>
        <v>12</v>
      </c>
      <c r="C246" s="72" t="s">
        <v>5929</v>
      </c>
      <c r="D246" s="73" t="str">
        <f>IF('General Information'!$C$6="Português",VLOOKUP(B246,'ESTRUTURA_MODULO(hide)'!A:D,2,0),IF('General Information'!$C$6="English",VLOOKUP(B246,'ESTRUTURA_MODULO(hide)'!A:D,3,0),IF('General Information'!$C$6="Español",VLOOKUP(B246,'ESTRUTURA_MODULO(hide)'!A:D,4,0))))</f>
        <v>Contas a Pagar</v>
      </c>
      <c r="E246" s="254">
        <v>9051</v>
      </c>
      <c r="F246" s="73" t="str">
        <f>IF('General Information'!$C$6="Português",VLOOKUP(E246,'BASE_FUNCOES (hide)'!A:H,2,0),IF('General Information'!$C$6="English",VLOOKUP(E246,'BASE_FUNCOES (hide)'!A:H,3,0),IF('General Information'!$C$6="Español",VLOOKUP(E246,'BASE_FUNCOES (hide)'!A:H,4,0))))</f>
        <v>Controle de Notas de Crédito (a pagar)</v>
      </c>
      <c r="G246" s="73" t="str">
        <f>IF(AND('General Information'!$D$16=1,VLOOKUP(B246,Modules!$B$5:$E$496,4,0)=1)=TRUE,VLOOKUP('Hours Detail'!E246,'BASE_FUNCOES (hide)'!$A:$V,10,0),IF(AND('General Information'!$D$16=2,VLOOKUP(B246,Modules!$B$5:$E$496,4,0)=1)=TRUE,VLOOKUP('Hours Detail'!E246,'BASE_FUNCOES (hide)'!$A:$V,11,0),IF(AND('General Information'!$D$16=3,VLOOKUP(B246,Modules!$B$5:$E$496,4,0)=1)=TRUE,VLOOKUP('Hours Detail'!E246,'BASE_FUNCOES (hide)'!$A:$V,12,0),IF(AND('General Information'!$D$16=4,VLOOKUP(B246,Modules!$B$5:$E$496,4,0)=1)=TRUE,VLOOKUP('Hours Detail'!E246,'BASE_FUNCOES (hide)'!$A:$V,13,0),IF(AND('General Information'!$D$16=5,VLOOKUP(B246,Modules!$B$5:$E$496,4,0)=1)=TRUE,VLOOKUP('Hours Detail'!E246,'BASE_FUNCOES (hide)'!$A:$V,14,0),  IF(AND('General Information'!$D$16=6,VLOOKUP(B246,Modules!$B$5:$E$496,4,0)=1)=TRUE,VLOOKUP('Hours Detail'!E246,'BASE_FUNCOES (hide)'!$A:$V,15,0),"No"))))))</f>
        <v>No</v>
      </c>
      <c r="H246" s="22" t="str">
        <f t="shared" si="5"/>
        <v>No</v>
      </c>
      <c r="I246" s="75">
        <f>IF('General Information'!$C$4="Mexico",(ROUNDUP(VLOOKUP(E246,'BASE_FUNCOES (hide)'!A:X,21,0),0)),(ROUNDUP(VLOOKUP(E246,'BASE_FUNCOES (hide)'!A:L,9,0),0)))</f>
        <v>4</v>
      </c>
      <c r="J246" s="75">
        <f>ROUNDUP(SUMIF(Questions!$E$5:$E$558,'Hours Detail'!E246,Questions!$F$5:$F$558),0)</f>
        <v>0</v>
      </c>
      <c r="K246" s="76">
        <f>IF(H246="Yes",ROUNDUP(IF(VLOOKUP(E246,'BASE_FUNCOES (hide)'!A:T,16,FALSE)&lt;&gt;"No",IF('General Information'!$C$19="HTML5",(I246+J246)*'BASE_FUNCOES (hide)'!$T$2,I246+J246),I246+J246),I246+J246),I246+J246)</f>
        <v>4</v>
      </c>
      <c r="L246" s="265" t="str">
        <f>IF(OR(E246=121,E246=88,E246=2682,E246=2703,E246=2687,E246=2689,E246=2681,E246=2685)=FALSE,"",IF('General Information'!$C$19="HTML5","FUNÇÃO DISPONÍVEL APENAS PARA BRASIL",IF(J247&lt;&gt;0,VLOOKUP(E247,Questions!$E$5:$L$568,5,0),"")))</f>
        <v/>
      </c>
      <c r="M246" s="164" t="s">
        <v>2396</v>
      </c>
      <c r="N246" s="369" t="s">
        <v>2377</v>
      </c>
    </row>
    <row r="247" spans="1:14" ht="14.5" customHeight="1" outlineLevel="1">
      <c r="A247" s="59"/>
      <c r="B247" s="72">
        <f>VLOOKUP('Hours Detail'!E247,'BASE_FUNCOES (hide)'!A:W,5,FALSE)</f>
        <v>12</v>
      </c>
      <c r="C247" s="72" t="s">
        <v>5929</v>
      </c>
      <c r="D247" s="73" t="str">
        <f>IF('General Information'!$C$6="Português",VLOOKUP(B247,'ESTRUTURA_MODULO(hide)'!A:D,2,0),IF('General Information'!$C$6="English",VLOOKUP(B247,'ESTRUTURA_MODULO(hide)'!A:D,3,0),IF('General Information'!$C$6="Español",VLOOKUP(B247,'ESTRUTURA_MODULO(hide)'!A:D,4,0))))</f>
        <v>Contas a Pagar</v>
      </c>
      <c r="E247" s="254">
        <v>127</v>
      </c>
      <c r="F247" s="73" t="str">
        <f>IF('General Information'!$C$6="Português",VLOOKUP(E247,'BASE_FUNCOES (hide)'!A:H,2,0),IF('General Information'!$C$6="English",VLOOKUP(E247,'BASE_FUNCOES (hide)'!A:H,3,0),IF('General Information'!$C$6="Español",VLOOKUP(E247,'BASE_FUNCOES (hide)'!A:H,4,0))))</f>
        <v>Digitação de Cheques</v>
      </c>
      <c r="G247" s="73" t="str">
        <f>IF(AND('General Information'!$D$16=1,VLOOKUP(B247,Modules!$B$5:$E$496,4,0)=1)=TRUE,VLOOKUP('Hours Detail'!E247,'BASE_FUNCOES (hide)'!$A:$V,10,0),IF(AND('General Information'!$D$16=2,VLOOKUP(B247,Modules!$B$5:$E$496,4,0)=1)=TRUE,VLOOKUP('Hours Detail'!E247,'BASE_FUNCOES (hide)'!$A:$V,11,0),IF(AND('General Information'!$D$16=3,VLOOKUP(B247,Modules!$B$5:$E$496,4,0)=1)=TRUE,VLOOKUP('Hours Detail'!E247,'BASE_FUNCOES (hide)'!$A:$V,12,0),IF(AND('General Information'!$D$16=4,VLOOKUP(B247,Modules!$B$5:$E$496,4,0)=1)=TRUE,VLOOKUP('Hours Detail'!E247,'BASE_FUNCOES (hide)'!$A:$V,13,0),IF(AND('General Information'!$D$16=5,VLOOKUP(B247,Modules!$B$5:$E$496,4,0)=1)=TRUE,VLOOKUP('Hours Detail'!E247,'BASE_FUNCOES (hide)'!$A:$V,14,0),  IF(AND('General Information'!$D$16=6,VLOOKUP(B247,Modules!$B$5:$E$496,4,0)=1)=TRUE,VLOOKUP('Hours Detail'!E247,'BASE_FUNCOES (hide)'!$A:$V,15,0),"No"))))))</f>
        <v>No</v>
      </c>
      <c r="H247" s="22" t="str">
        <f t="shared" si="5"/>
        <v>No</v>
      </c>
      <c r="I247" s="75">
        <f>IF('General Information'!$C$4="Mexico",(ROUNDUP(VLOOKUP(E247,'BASE_FUNCOES (hide)'!A:X,21,0),0)),(ROUNDUP(VLOOKUP(E247,'BASE_FUNCOES (hide)'!A:L,9,0),0)))</f>
        <v>4</v>
      </c>
      <c r="J247" s="75">
        <f>ROUNDUP(SUMIF(Questions!$E$5:$E$558,'Hours Detail'!E247,Questions!$F$5:$F$558),0)</f>
        <v>0</v>
      </c>
      <c r="K247" s="76">
        <f>IF(H247="Yes",ROUNDUP(IF(VLOOKUP(E247,'BASE_FUNCOES (hide)'!A:T,16,FALSE)&lt;&gt;"No",IF('General Information'!$C$19="HTML5",(I247+J247)*'BASE_FUNCOES (hide)'!$T$2,I247+J247),I247+J247),I247+J247),I247+J247)</f>
        <v>4</v>
      </c>
      <c r="L247" s="265" t="str">
        <f>IF(OR(E247=121,E247=88,E247=2682,E247=2703,E247=2687,E247=2689,E247=2681,E247=2685)=FALSE,"",IF('General Information'!$C$19="HTML5","FUNÇÃO DISPONÍVEL APENAS PARA BRASIL",IF(J248&lt;&gt;0,VLOOKUP(E248,Questions!$E$5:$L$568,5,0),"")))</f>
        <v/>
      </c>
      <c r="M247" s="164" t="s">
        <v>2396</v>
      </c>
      <c r="N247" s="369" t="s">
        <v>2377</v>
      </c>
    </row>
    <row r="248" spans="1:14" ht="14.5" customHeight="1" outlineLevel="1">
      <c r="A248" s="59"/>
      <c r="B248" s="72">
        <f>VLOOKUP('Hours Detail'!E248,'BASE_FUNCOES (hide)'!A:W,5,FALSE)</f>
        <v>12</v>
      </c>
      <c r="C248" s="72" t="s">
        <v>5929</v>
      </c>
      <c r="D248" s="73" t="str">
        <f>IF('General Information'!$C$6="Português",VLOOKUP(B248,'ESTRUTURA_MODULO(hide)'!A:D,2,0),IF('General Information'!$C$6="English",VLOOKUP(B248,'ESTRUTURA_MODULO(hide)'!A:D,3,0),IF('General Information'!$C$6="Español",VLOOKUP(B248,'ESTRUTURA_MODULO(hide)'!A:D,4,0))))</f>
        <v>Contas a Pagar</v>
      </c>
      <c r="E248" s="254">
        <v>857</v>
      </c>
      <c r="F248" s="73" t="str">
        <f>IF('General Information'!$C$6="Português",VLOOKUP(E248,'BASE_FUNCOES (hide)'!A:H,2,0),IF('General Information'!$C$6="English",VLOOKUP(E248,'BASE_FUNCOES (hide)'!A:H,3,0),IF('General Information'!$C$6="Español",VLOOKUP(E248,'BASE_FUNCOES (hide)'!A:H,4,0))))</f>
        <v>Pagamento Escritural</v>
      </c>
      <c r="G248" s="73" t="str">
        <f>IF(AND('General Information'!$D$16=1,VLOOKUP(B248,Modules!$B$5:$E$496,4,0)=1)=TRUE,VLOOKUP('Hours Detail'!E248,'BASE_FUNCOES (hide)'!$A:$V,10,0),IF(AND('General Information'!$D$16=2,VLOOKUP(B248,Modules!$B$5:$E$496,4,0)=1)=TRUE,VLOOKUP('Hours Detail'!E248,'BASE_FUNCOES (hide)'!$A:$V,11,0),IF(AND('General Information'!$D$16=3,VLOOKUP(B248,Modules!$B$5:$E$496,4,0)=1)=TRUE,VLOOKUP('Hours Detail'!E248,'BASE_FUNCOES (hide)'!$A:$V,12,0),IF(AND('General Information'!$D$16=4,VLOOKUP(B248,Modules!$B$5:$E$496,4,0)=1)=TRUE,VLOOKUP('Hours Detail'!E248,'BASE_FUNCOES (hide)'!$A:$V,13,0),IF(AND('General Information'!$D$16=5,VLOOKUP(B248,Modules!$B$5:$E$496,4,0)=1)=TRUE,VLOOKUP('Hours Detail'!E248,'BASE_FUNCOES (hide)'!$A:$V,14,0),  IF(AND('General Information'!$D$16=6,VLOOKUP(B248,Modules!$B$5:$E$496,4,0)=1)=TRUE,VLOOKUP('Hours Detail'!E248,'BASE_FUNCOES (hide)'!$A:$V,15,0),"No"))))))</f>
        <v>No</v>
      </c>
      <c r="H248" s="22" t="str">
        <f t="shared" si="5"/>
        <v>No</v>
      </c>
      <c r="I248" s="75">
        <f>IF('General Information'!$C$4="Mexico",(ROUNDUP(VLOOKUP(E248,'BASE_FUNCOES (hide)'!A:X,21,0),0)),(ROUNDUP(VLOOKUP(E248,'BASE_FUNCOES (hide)'!A:L,9,0),0)))</f>
        <v>24</v>
      </c>
      <c r="J248" s="75">
        <f>ROUNDUP(SUMIF(Questions!$E$5:$E$558,'Hours Detail'!E248,Questions!$F$5:$F$558),0)</f>
        <v>0</v>
      </c>
      <c r="K248" s="76">
        <f>IF(H248="Yes",ROUNDUP(IF(VLOOKUP(E248,'BASE_FUNCOES (hide)'!A:T,16,FALSE)&lt;&gt;"No",IF('General Information'!$C$19="HTML5",(I248+J248)*'BASE_FUNCOES (hide)'!$T$2,I248+J248),I248+J248),I248+J248),I248+J248)</f>
        <v>24</v>
      </c>
      <c r="L248" s="265" t="str">
        <f>IF(OR(E248=121,E248=88,E248=2682,E248=2703,E248=2687,E248=2689,E248=2681,E248=2685)=FALSE,"",IF('General Information'!$C$19="HTML5","FUNÇÃO DISPONÍVEL APENAS PARA BRASIL",IF(J249&lt;&gt;0,VLOOKUP(E249,Questions!$E$5:$L$568,5,0),"")))</f>
        <v/>
      </c>
      <c r="M248" s="164" t="s">
        <v>2396</v>
      </c>
      <c r="N248" s="369" t="s">
        <v>2377</v>
      </c>
    </row>
    <row r="249" spans="1:14" ht="14.5" customHeight="1" outlineLevel="1">
      <c r="A249" s="59"/>
      <c r="B249" s="72">
        <f>VLOOKUP('Hours Detail'!E249,'BASE_FUNCOES (hide)'!A:W,5,FALSE)</f>
        <v>12</v>
      </c>
      <c r="C249" s="72" t="s">
        <v>5929</v>
      </c>
      <c r="D249" s="73" t="str">
        <f>IF('General Information'!$C$6="Português",VLOOKUP(B249,'ESTRUTURA_MODULO(hide)'!A:D,2,0),IF('General Information'!$C$6="English",VLOOKUP(B249,'ESTRUTURA_MODULO(hide)'!A:D,3,0),IF('General Information'!$C$6="Español",VLOOKUP(B249,'ESTRUTURA_MODULO(hide)'!A:D,4,0))))</f>
        <v>Contas a Pagar</v>
      </c>
      <c r="E249" s="254">
        <v>851</v>
      </c>
      <c r="F249" s="73" t="str">
        <f>IF('General Information'!$C$6="Português",VLOOKUP(E249,'BASE_FUNCOES (hide)'!A:H,2,0),IF('General Information'!$C$6="English",VLOOKUP(E249,'BASE_FUNCOES (hide)'!A:H,3,0),IF('General Information'!$C$6="Español",VLOOKUP(E249,'BASE_FUNCOES (hide)'!A:H,4,0))))</f>
        <v>Títulos a Pagar</v>
      </c>
      <c r="G249" s="73" t="str">
        <f>IF(AND('General Information'!$D$16=1,VLOOKUP(B249,Modules!$B$5:$E$496,4,0)=1)=TRUE,VLOOKUP('Hours Detail'!E249,'BASE_FUNCOES (hide)'!$A:$V,10,0),IF(AND('General Information'!$D$16=2,VLOOKUP(B249,Modules!$B$5:$E$496,4,0)=1)=TRUE,VLOOKUP('Hours Detail'!E249,'BASE_FUNCOES (hide)'!$A:$V,11,0),IF(AND('General Information'!$D$16=3,VLOOKUP(B249,Modules!$B$5:$E$496,4,0)=1)=TRUE,VLOOKUP('Hours Detail'!E249,'BASE_FUNCOES (hide)'!$A:$V,12,0),IF(AND('General Information'!$D$16=4,VLOOKUP(B249,Modules!$B$5:$E$496,4,0)=1)=TRUE,VLOOKUP('Hours Detail'!E249,'BASE_FUNCOES (hide)'!$A:$V,13,0),IF(AND('General Information'!$D$16=5,VLOOKUP(B249,Modules!$B$5:$E$496,4,0)=1)=TRUE,VLOOKUP('Hours Detail'!E249,'BASE_FUNCOES (hide)'!$A:$V,14,0),  IF(AND('General Information'!$D$16=6,VLOOKUP(B249,Modules!$B$5:$E$496,4,0)=1)=TRUE,VLOOKUP('Hours Detail'!E249,'BASE_FUNCOES (hide)'!$A:$V,15,0),"No"))))))</f>
        <v>No</v>
      </c>
      <c r="H249" s="22" t="str">
        <f t="shared" si="5"/>
        <v>No</v>
      </c>
      <c r="I249" s="75">
        <f>IF('General Information'!$C$4="Mexico",(ROUNDUP(VLOOKUP(E249,'BASE_FUNCOES (hide)'!A:X,21,0),0)),(ROUNDUP(VLOOKUP(E249,'BASE_FUNCOES (hide)'!A:L,9,0),0)))</f>
        <v>16</v>
      </c>
      <c r="J249" s="75">
        <f>ROUNDUP(SUMIF(Questions!$E$5:$E$558,'Hours Detail'!E249,Questions!$F$5:$F$558),0)</f>
        <v>0</v>
      </c>
      <c r="K249" s="76">
        <f>IF(H249="Yes",ROUNDUP(IF(VLOOKUP(E249,'BASE_FUNCOES (hide)'!A:T,16,FALSE)&lt;&gt;"No",IF('General Information'!$C$19="HTML5",(I249+J249)*'BASE_FUNCOES (hide)'!$T$2,I249+J249),I249+J249),I249+J249),I249+J249)</f>
        <v>16</v>
      </c>
      <c r="L249" s="265" t="str">
        <f>IF(OR(E249=121,E249=88,E249=2682,E249=2703,E249=2687,E249=2689,E249=2681,E249=2685)=FALSE,"",IF('General Information'!$C$19="HTML5","FUNÇÃO DISPONÍVEL APENAS PARA BRASIL",IF(J250&lt;&gt;0,VLOOKUP(E250,Questions!$E$5:$L$568,5,0),"")))</f>
        <v/>
      </c>
      <c r="M249" s="164" t="s">
        <v>2396</v>
      </c>
      <c r="N249" s="369" t="s">
        <v>2377</v>
      </c>
    </row>
    <row r="250" spans="1:14" ht="14.5" customHeight="1" outlineLevel="1">
      <c r="A250" s="59"/>
      <c r="B250" s="72">
        <f>VLOOKUP('Hours Detail'!E250,'BASE_FUNCOES (hide)'!A:W,5,FALSE)</f>
        <v>28</v>
      </c>
      <c r="C250" s="72" t="s">
        <v>5929</v>
      </c>
      <c r="D250" s="73" t="str">
        <f>IF('General Information'!$C$6="Português",VLOOKUP(B250,'ESTRUTURA_MODULO(hide)'!A:D,2,0),IF('General Information'!$C$6="English",VLOOKUP(B250,'ESTRUTURA_MODULO(hide)'!A:D,3,0),IF('General Information'!$C$6="Español",VLOOKUP(B250,'ESTRUTURA_MODULO(hide)'!A:D,4,0))))</f>
        <v>Contas a Receber</v>
      </c>
      <c r="E250" s="254">
        <v>810</v>
      </c>
      <c r="F250" s="73" t="str">
        <f>IF('General Information'!$C$6="Português",VLOOKUP(E250,'BASE_FUNCOES (hide)'!A:H,2,0),IF('General Information'!$C$6="English",VLOOKUP(E250,'BASE_FUNCOES (hide)'!A:H,3,0),IF('General Information'!$C$6="Español",VLOOKUP(E250,'BASE_FUNCOES (hide)'!A:H,4,0))))</f>
        <v>Administração de Cheques</v>
      </c>
      <c r="G250" s="73" t="str">
        <f>IF(AND('General Information'!$D$16=1,VLOOKUP(B250,Modules!$B$5:$E$496,4,0)=1)=TRUE,VLOOKUP('Hours Detail'!E250,'BASE_FUNCOES (hide)'!$A:$V,10,0),IF(AND('General Information'!$D$16=2,VLOOKUP(B250,Modules!$B$5:$E$496,4,0)=1)=TRUE,VLOOKUP('Hours Detail'!E250,'BASE_FUNCOES (hide)'!$A:$V,11,0),IF(AND('General Information'!$D$16=3,VLOOKUP(B250,Modules!$B$5:$E$496,4,0)=1)=TRUE,VLOOKUP('Hours Detail'!E250,'BASE_FUNCOES (hide)'!$A:$V,12,0),IF(AND('General Information'!$D$16=4,VLOOKUP(B250,Modules!$B$5:$E$496,4,0)=1)=TRUE,VLOOKUP('Hours Detail'!E250,'BASE_FUNCOES (hide)'!$A:$V,13,0),IF(AND('General Information'!$D$16=5,VLOOKUP(B250,Modules!$B$5:$E$496,4,0)=1)=TRUE,VLOOKUP('Hours Detail'!E250,'BASE_FUNCOES (hide)'!$A:$V,14,0),  IF(AND('General Information'!$D$16=6,VLOOKUP(B250,Modules!$B$5:$E$496,4,0)=1)=TRUE,VLOOKUP('Hours Detail'!E250,'BASE_FUNCOES (hide)'!$A:$V,15,0),"No"))))))</f>
        <v>No</v>
      </c>
      <c r="H250" s="22" t="str">
        <f t="shared" si="5"/>
        <v>No</v>
      </c>
      <c r="I250" s="75">
        <f>IF('General Information'!$C$4="Mexico",(ROUNDUP(VLOOKUP(E250,'BASE_FUNCOES (hide)'!A:X,21,0),0)),(ROUNDUP(VLOOKUP(E250,'BASE_FUNCOES (hide)'!A:L,9,0),0)))</f>
        <v>8</v>
      </c>
      <c r="J250" s="75">
        <f>ROUNDUP(SUMIF(Questions!$E$5:$E$558,'Hours Detail'!E250,Questions!$F$5:$F$558),0)</f>
        <v>0</v>
      </c>
      <c r="K250" s="76">
        <f>IF(H250="Yes",ROUNDUP(IF(VLOOKUP(E250,'BASE_FUNCOES (hide)'!A:T,16,FALSE)&lt;&gt;"No",IF('General Information'!$C$19="HTML5",(I250+J250)*'BASE_FUNCOES (hide)'!$T$2,I250+J250),I250+J250),I250+J250),I250+J250)</f>
        <v>8</v>
      </c>
      <c r="L250" s="265" t="str">
        <f>IF(OR(E250=121,E250=88,E250=2682,E250=2703,E250=2687,E250=2689,E250=2681,E250=2685)=FALSE,"",IF('General Information'!$C$19="HTML5","FUNÇÃO DISPONÍVEL APENAS PARA BRASIL",IF(J251&lt;&gt;0,VLOOKUP(E251,Questions!$E$5:$L$568,5,0),"")))</f>
        <v/>
      </c>
      <c r="M250" s="164" t="s">
        <v>2396</v>
      </c>
      <c r="N250" s="369" t="s">
        <v>2377</v>
      </c>
    </row>
    <row r="251" spans="1:14" ht="14.5" customHeight="1" outlineLevel="1">
      <c r="A251" s="59"/>
      <c r="B251" s="72">
        <f>VLOOKUP('Hours Detail'!E251,'BASE_FUNCOES (hide)'!A:W,5,FALSE)</f>
        <v>28</v>
      </c>
      <c r="C251" s="72" t="s">
        <v>5929</v>
      </c>
      <c r="D251" s="73" t="str">
        <f>IF('General Information'!$C$6="Português",VLOOKUP(B251,'ESTRUTURA_MODULO(hide)'!A:D,2,0),IF('General Information'!$C$6="English",VLOOKUP(B251,'ESTRUTURA_MODULO(hide)'!A:D,3,0),IF('General Information'!$C$6="Español",VLOOKUP(B251,'ESTRUTURA_MODULO(hide)'!A:D,4,0))))</f>
        <v>Contas a Receber</v>
      </c>
      <c r="E251" s="254">
        <v>809</v>
      </c>
      <c r="F251" s="73" t="str">
        <f>IF('General Information'!$C$6="Português",VLOOKUP(E251,'BASE_FUNCOES (hide)'!A:H,2,0),IF('General Information'!$C$6="English",VLOOKUP(E251,'BASE_FUNCOES (hide)'!A:H,3,0),IF('General Information'!$C$6="Español",VLOOKUP(E251,'BASE_FUNCOES (hide)'!A:H,4,0))))</f>
        <v>Borderô recebimento</v>
      </c>
      <c r="G251" s="73" t="str">
        <f>IF(AND('General Information'!$D$16=1,VLOOKUP(B251,Modules!$B$5:$E$496,4,0)=1)=TRUE,VLOOKUP('Hours Detail'!E251,'BASE_FUNCOES (hide)'!$A:$V,10,0),IF(AND('General Information'!$D$16=2,VLOOKUP(B251,Modules!$B$5:$E$496,4,0)=1)=TRUE,VLOOKUP('Hours Detail'!E251,'BASE_FUNCOES (hide)'!$A:$V,11,0),IF(AND('General Information'!$D$16=3,VLOOKUP(B251,Modules!$B$5:$E$496,4,0)=1)=TRUE,VLOOKUP('Hours Detail'!E251,'BASE_FUNCOES (hide)'!$A:$V,12,0),IF(AND('General Information'!$D$16=4,VLOOKUP(B251,Modules!$B$5:$E$496,4,0)=1)=TRUE,VLOOKUP('Hours Detail'!E251,'BASE_FUNCOES (hide)'!$A:$V,13,0),IF(AND('General Information'!$D$16=5,VLOOKUP(B251,Modules!$B$5:$E$496,4,0)=1)=TRUE,VLOOKUP('Hours Detail'!E251,'BASE_FUNCOES (hide)'!$A:$V,14,0),  IF(AND('General Information'!$D$16=6,VLOOKUP(B251,Modules!$B$5:$E$496,4,0)=1)=TRUE,VLOOKUP('Hours Detail'!E251,'BASE_FUNCOES (hide)'!$A:$V,15,0),"No"))))))</f>
        <v>No</v>
      </c>
      <c r="H251" s="22" t="str">
        <f t="shared" si="5"/>
        <v>No</v>
      </c>
      <c r="I251" s="75">
        <f>IF('General Information'!$C$4="Mexico",(ROUNDUP(VLOOKUP(E251,'BASE_FUNCOES (hide)'!A:X,21,0),0)),(ROUNDUP(VLOOKUP(E251,'BASE_FUNCOES (hide)'!A:L,9,0),0)))</f>
        <v>4</v>
      </c>
      <c r="J251" s="75">
        <f>ROUNDUP(SUMIF(Questions!$E$5:$E$558,'Hours Detail'!E251,Questions!$F$5:$F$558),0)</f>
        <v>0</v>
      </c>
      <c r="K251" s="76">
        <f>IF(H251="Yes",ROUNDUP(IF(VLOOKUP(E251,'BASE_FUNCOES (hide)'!A:T,16,FALSE)&lt;&gt;"No",IF('General Information'!$C$19="HTML5",(I251+J251)*'BASE_FUNCOES (hide)'!$T$2,I251+J251),I251+J251),I251+J251),I251+J251)</f>
        <v>4</v>
      </c>
      <c r="L251" s="265" t="str">
        <f>IF(OR(E251=121,E251=88,E251=2682,E251=2703,E251=2687,E251=2689,E251=2681,E251=2685)=FALSE,"",IF('General Information'!$C$19="HTML5","FUNÇÃO DISPONÍVEL APENAS PARA BRASIL",IF(J252&lt;&gt;0,VLOOKUP(E252,Questions!$E$5:$L$568,5,0),"")))</f>
        <v/>
      </c>
      <c r="M251" s="164" t="s">
        <v>2396</v>
      </c>
      <c r="N251" s="369" t="s">
        <v>2377</v>
      </c>
    </row>
    <row r="252" spans="1:14" ht="14.5" customHeight="1" outlineLevel="1">
      <c r="A252" s="59"/>
      <c r="B252" s="72">
        <f>VLOOKUP('Hours Detail'!E252,'BASE_FUNCOES (hide)'!A:W,5,FALSE)</f>
        <v>28</v>
      </c>
      <c r="C252" s="72" t="s">
        <v>5929</v>
      </c>
      <c r="D252" s="73" t="str">
        <f>IF('General Information'!$C$6="Português",VLOOKUP(B252,'ESTRUTURA_MODULO(hide)'!A:D,2,0),IF('General Information'!$C$6="English",VLOOKUP(B252,'ESTRUTURA_MODULO(hide)'!A:D,3,0),IF('General Information'!$C$6="Español",VLOOKUP(B252,'ESTRUTURA_MODULO(hide)'!A:D,4,0))))</f>
        <v>Contas a Receber</v>
      </c>
      <c r="E252" s="254">
        <v>860</v>
      </c>
      <c r="F252" s="73" t="str">
        <f>IF('General Information'!$C$6="Português",VLOOKUP(E252,'BASE_FUNCOES (hide)'!A:H,2,0),IF('General Information'!$C$6="English",VLOOKUP(E252,'BASE_FUNCOES (hide)'!A:H,3,0),IF('General Information'!$C$6="Español",VLOOKUP(E252,'BASE_FUNCOES (hide)'!A:H,4,0))))</f>
        <v>Cobrança</v>
      </c>
      <c r="G252" s="73" t="str">
        <f>IF(AND('General Information'!$D$16=1,VLOOKUP(B252,Modules!$B$5:$E$496,4,0)=1)=TRUE,VLOOKUP('Hours Detail'!E252,'BASE_FUNCOES (hide)'!$A:$V,10,0),IF(AND('General Information'!$D$16=2,VLOOKUP(B252,Modules!$B$5:$E$496,4,0)=1)=TRUE,VLOOKUP('Hours Detail'!E252,'BASE_FUNCOES (hide)'!$A:$V,11,0),IF(AND('General Information'!$D$16=3,VLOOKUP(B252,Modules!$B$5:$E$496,4,0)=1)=TRUE,VLOOKUP('Hours Detail'!E252,'BASE_FUNCOES (hide)'!$A:$V,12,0),IF(AND('General Information'!$D$16=4,VLOOKUP(B252,Modules!$B$5:$E$496,4,0)=1)=TRUE,VLOOKUP('Hours Detail'!E252,'BASE_FUNCOES (hide)'!$A:$V,13,0),IF(AND('General Information'!$D$16=5,VLOOKUP(B252,Modules!$B$5:$E$496,4,0)=1)=TRUE,VLOOKUP('Hours Detail'!E252,'BASE_FUNCOES (hide)'!$A:$V,14,0),  IF(AND('General Information'!$D$16=6,VLOOKUP(B252,Modules!$B$5:$E$496,4,0)=1)=TRUE,VLOOKUP('Hours Detail'!E252,'BASE_FUNCOES (hide)'!$A:$V,15,0),"No"))))))</f>
        <v>No</v>
      </c>
      <c r="H252" s="22" t="str">
        <f t="shared" si="5"/>
        <v>No</v>
      </c>
      <c r="I252" s="75">
        <f>IF('General Information'!$C$4="Mexico",(ROUNDUP(VLOOKUP(E252,'BASE_FUNCOES (hide)'!A:X,21,0),0)),(ROUNDUP(VLOOKUP(E252,'BASE_FUNCOES (hide)'!A:L,9,0),0)))</f>
        <v>16</v>
      </c>
      <c r="J252" s="75">
        <f>ROUNDUP(SUMIF(Questions!$E$5:$E$558,'Hours Detail'!E252,Questions!$F$5:$F$558),0)</f>
        <v>0</v>
      </c>
      <c r="K252" s="76">
        <f>IF(H252="Yes",ROUNDUP(IF(VLOOKUP(E252,'BASE_FUNCOES (hide)'!A:T,16,FALSE)&lt;&gt;"No",IF('General Information'!$C$19="HTML5",(I252+J252)*'BASE_FUNCOES (hide)'!$T$2,I252+J252),I252+J252),I252+J252),I252+J252)</f>
        <v>16</v>
      </c>
      <c r="L252" s="265" t="str">
        <f>IF(OR(E252=121,E252=88,E252=2682,E252=2703,E252=2687,E252=2689,E252=2681,E252=2685)=FALSE,"",IF('General Information'!$C$19="HTML5","FUNÇÃO DISPONÍVEL APENAS PARA BRASIL",IF(J253&lt;&gt;0,VLOOKUP(E253,Questions!$E$5:$L$568,5,0),"")))</f>
        <v/>
      </c>
      <c r="M252" s="164" t="s">
        <v>2396</v>
      </c>
      <c r="N252" s="369" t="s">
        <v>2377</v>
      </c>
    </row>
    <row r="253" spans="1:14" ht="14.5" customHeight="1" outlineLevel="1">
      <c r="A253" s="59"/>
      <c r="B253" s="72">
        <f>VLOOKUP('Hours Detail'!E253,'BASE_FUNCOES (hide)'!A:W,5,FALSE)</f>
        <v>28</v>
      </c>
      <c r="C253" s="72" t="s">
        <v>5929</v>
      </c>
      <c r="D253" s="73" t="str">
        <f>IF('General Information'!$C$6="Português",VLOOKUP(B253,'ESTRUTURA_MODULO(hide)'!A:D,2,0),IF('General Information'!$C$6="English",VLOOKUP(B253,'ESTRUTURA_MODULO(hide)'!A:D,3,0),IF('General Information'!$C$6="Español",VLOOKUP(B253,'ESTRUTURA_MODULO(hide)'!A:D,4,0))))</f>
        <v>Contas a Receber</v>
      </c>
      <c r="E253" s="254">
        <v>815</v>
      </c>
      <c r="F253" s="73" t="str">
        <f>IF('General Information'!$C$6="Português",VLOOKUP(E253,'BASE_FUNCOES (hide)'!A:H,2,0),IF('General Information'!$C$6="English",VLOOKUP(E253,'BASE_FUNCOES (hide)'!A:H,3,0),IF('General Information'!$C$6="Español",VLOOKUP(E253,'BASE_FUNCOES (hide)'!A:H,4,0))))</f>
        <v>Cobrança Escritural</v>
      </c>
      <c r="G253" s="73" t="str">
        <f>IF(AND('General Information'!$D$16=1,VLOOKUP(B253,Modules!$B$5:$E$496,4,0)=1)=TRUE,VLOOKUP('Hours Detail'!E253,'BASE_FUNCOES (hide)'!$A:$V,10,0),IF(AND('General Information'!$D$16=2,VLOOKUP(B253,Modules!$B$5:$E$496,4,0)=1)=TRUE,VLOOKUP('Hours Detail'!E253,'BASE_FUNCOES (hide)'!$A:$V,11,0),IF(AND('General Information'!$D$16=3,VLOOKUP(B253,Modules!$B$5:$E$496,4,0)=1)=TRUE,VLOOKUP('Hours Detail'!E253,'BASE_FUNCOES (hide)'!$A:$V,12,0),IF(AND('General Information'!$D$16=4,VLOOKUP(B253,Modules!$B$5:$E$496,4,0)=1)=TRUE,VLOOKUP('Hours Detail'!E253,'BASE_FUNCOES (hide)'!$A:$V,13,0),IF(AND('General Information'!$D$16=5,VLOOKUP(B253,Modules!$B$5:$E$496,4,0)=1)=TRUE,VLOOKUP('Hours Detail'!E253,'BASE_FUNCOES (hide)'!$A:$V,14,0),  IF(AND('General Information'!$D$16=6,VLOOKUP(B253,Modules!$B$5:$E$496,4,0)=1)=TRUE,VLOOKUP('Hours Detail'!E253,'BASE_FUNCOES (hide)'!$A:$V,15,0),"No"))))))</f>
        <v>No</v>
      </c>
      <c r="H253" s="22" t="str">
        <f t="shared" si="5"/>
        <v>No</v>
      </c>
      <c r="I253" s="75">
        <f>IF('General Information'!$C$4="Mexico",(ROUNDUP(VLOOKUP(E253,'BASE_FUNCOES (hide)'!A:X,21,0),0)),(ROUNDUP(VLOOKUP(E253,'BASE_FUNCOES (hide)'!A:L,9,0),0)))</f>
        <v>24</v>
      </c>
      <c r="J253" s="75">
        <f>ROUNDUP(SUMIF(Questions!$E$5:$E$558,'Hours Detail'!E253,Questions!$F$5:$F$558),0)</f>
        <v>0</v>
      </c>
      <c r="K253" s="76">
        <f>IF(H253="Yes",ROUNDUP(IF(VLOOKUP(E253,'BASE_FUNCOES (hide)'!A:T,16,FALSE)&lt;&gt;"No",IF('General Information'!$C$19="HTML5",(I253+J253)*'BASE_FUNCOES (hide)'!$T$2,I253+J253),I253+J253),I253+J253),I253+J253)</f>
        <v>24</v>
      </c>
      <c r="L253" s="265" t="str">
        <f>IF(OR(E253=121,E253=88,E253=2682,E253=2703,E253=2687,E253=2689,E253=2681,E253=2685)=FALSE,"",IF('General Information'!$C$19="HTML5","FUNÇÃO DISPONÍVEL APENAS PARA BRASIL",IF(J254&lt;&gt;0,VLOOKUP(E254,Questions!$E$5:$L$568,5,0),"")))</f>
        <v/>
      </c>
      <c r="M253" s="164" t="s">
        <v>2396</v>
      </c>
      <c r="N253" s="369" t="s">
        <v>2377</v>
      </c>
    </row>
    <row r="254" spans="1:14" ht="14.5" customHeight="1" outlineLevel="1">
      <c r="A254" s="59"/>
      <c r="B254" s="72">
        <f>VLOOKUP('Hours Detail'!E254,'BASE_FUNCOES (hide)'!A:W,5,FALSE)</f>
        <v>28</v>
      </c>
      <c r="C254" s="72" t="s">
        <v>5929</v>
      </c>
      <c r="D254" s="73" t="str">
        <f>IF('General Information'!$C$6="Português",VLOOKUP(B254,'ESTRUTURA_MODULO(hide)'!A:D,2,0),IF('General Information'!$C$6="English",VLOOKUP(B254,'ESTRUTURA_MODULO(hide)'!A:D,3,0),IF('General Information'!$C$6="Español",VLOOKUP(B254,'ESTRUTURA_MODULO(hide)'!A:D,4,0))))</f>
        <v>Contas a Receber</v>
      </c>
      <c r="E254" s="254">
        <v>861</v>
      </c>
      <c r="F254" s="73" t="str">
        <f>IF('General Information'!$C$6="Português",VLOOKUP(E254,'BASE_FUNCOES (hide)'!A:H,2,0),IF('General Information'!$C$6="English",VLOOKUP(E254,'BASE_FUNCOES (hide)'!A:H,3,0),IF('General Information'!$C$6="Español",VLOOKUP(E254,'BASE_FUNCOES (hide)'!A:H,4,0))))</f>
        <v>Comunicação de Cobrança ao Paciente</v>
      </c>
      <c r="G254" s="73" t="str">
        <f>IF(AND('General Information'!$D$16=1,VLOOKUP(B254,Modules!$B$5:$E$496,4,0)=1)=TRUE,VLOOKUP('Hours Detail'!E254,'BASE_FUNCOES (hide)'!$A:$V,10,0),IF(AND('General Information'!$D$16=2,VLOOKUP(B254,Modules!$B$5:$E$496,4,0)=1)=TRUE,VLOOKUP('Hours Detail'!E254,'BASE_FUNCOES (hide)'!$A:$V,11,0),IF(AND('General Information'!$D$16=3,VLOOKUP(B254,Modules!$B$5:$E$496,4,0)=1)=TRUE,VLOOKUP('Hours Detail'!E254,'BASE_FUNCOES (hide)'!$A:$V,12,0),IF(AND('General Information'!$D$16=4,VLOOKUP(B254,Modules!$B$5:$E$496,4,0)=1)=TRUE,VLOOKUP('Hours Detail'!E254,'BASE_FUNCOES (hide)'!$A:$V,13,0),IF(AND('General Information'!$D$16=5,VLOOKUP(B254,Modules!$B$5:$E$496,4,0)=1)=TRUE,VLOOKUP('Hours Detail'!E254,'BASE_FUNCOES (hide)'!$A:$V,14,0),  IF(AND('General Information'!$D$16=6,VLOOKUP(B254,Modules!$B$5:$E$496,4,0)=1)=TRUE,VLOOKUP('Hours Detail'!E254,'BASE_FUNCOES (hide)'!$A:$V,15,0),"No"))))))</f>
        <v>No</v>
      </c>
      <c r="H254" s="22" t="str">
        <f t="shared" si="5"/>
        <v>No</v>
      </c>
      <c r="I254" s="75">
        <f>IF('General Information'!$C$4="Mexico",(ROUNDUP(VLOOKUP(E254,'BASE_FUNCOES (hide)'!A:X,21,0),0)),(ROUNDUP(VLOOKUP(E254,'BASE_FUNCOES (hide)'!A:L,9,0),0)))</f>
        <v>4</v>
      </c>
      <c r="J254" s="75">
        <f>ROUNDUP(SUMIF(Questions!$E$5:$E$558,'Hours Detail'!E254,Questions!$F$5:$F$558),0)</f>
        <v>0</v>
      </c>
      <c r="K254" s="76">
        <f>IF(H254="Yes",ROUNDUP(IF(VLOOKUP(E254,'BASE_FUNCOES (hide)'!A:T,16,FALSE)&lt;&gt;"No",IF('General Information'!$C$19="HTML5",(I254+J254)*'BASE_FUNCOES (hide)'!$T$2,I254+J254),I254+J254),I254+J254),I254+J254)</f>
        <v>4</v>
      </c>
      <c r="L254" s="265" t="str">
        <f>IF(OR(E254=121,E254=88,E254=2682,E254=2703,E254=2687,E254=2689,E254=2681,E254=2685)=FALSE,"",IF('General Information'!$C$19="HTML5","FUNÇÃO DISPONÍVEL APENAS PARA BRASIL",IF(J255&lt;&gt;0,VLOOKUP(E255,Questions!$E$5:$L$568,5,0),"")))</f>
        <v/>
      </c>
      <c r="M254" s="164" t="s">
        <v>2396</v>
      </c>
      <c r="N254" s="369" t="s">
        <v>2377</v>
      </c>
    </row>
    <row r="255" spans="1:14" ht="14.5" customHeight="1" outlineLevel="1">
      <c r="B255" s="72">
        <f>VLOOKUP('Hours Detail'!E255,'BASE_FUNCOES (hide)'!A:W,5,FALSE)</f>
        <v>28</v>
      </c>
      <c r="C255" s="72" t="s">
        <v>5929</v>
      </c>
      <c r="D255" s="73" t="str">
        <f>IF('General Information'!$C$6="Português",VLOOKUP(B255,'ESTRUTURA_MODULO(hide)'!A:D,2,0),IF('General Information'!$C$6="English",VLOOKUP(B255,'ESTRUTURA_MODULO(hide)'!A:D,3,0),IF('General Information'!$C$6="Español",VLOOKUP(B255,'ESTRUTURA_MODULO(hide)'!A:D,4,0))))</f>
        <v>Contas a Receber</v>
      </c>
      <c r="E255" s="254">
        <v>880</v>
      </c>
      <c r="F255" s="73" t="str">
        <f>IF('General Information'!$C$6="Português",VLOOKUP(E255,'BASE_FUNCOES (hide)'!A:H,2,0),IF('General Information'!$C$6="English",VLOOKUP(E255,'BASE_FUNCOES (hide)'!A:H,3,0),IF('General Information'!$C$6="Español",VLOOKUP(E255,'BASE_FUNCOES (hide)'!A:H,4,0))))</f>
        <v>Controle de Perdas do Contas a Receber</v>
      </c>
      <c r="G255" s="73" t="str">
        <f>IF(AND('General Information'!$D$16=1,VLOOKUP(B255,Modules!$B$5:$E$496,4,0)=1)=TRUE,VLOOKUP('Hours Detail'!E255,'BASE_FUNCOES (hide)'!$A:$V,10,0),IF(AND('General Information'!$D$16=2,VLOOKUP(B255,Modules!$B$5:$E$496,4,0)=1)=TRUE,VLOOKUP('Hours Detail'!E255,'BASE_FUNCOES (hide)'!$A:$V,11,0),IF(AND('General Information'!$D$16=3,VLOOKUP(B255,Modules!$B$5:$E$496,4,0)=1)=TRUE,VLOOKUP('Hours Detail'!E255,'BASE_FUNCOES (hide)'!$A:$V,12,0),IF(AND('General Information'!$D$16=4,VLOOKUP(B255,Modules!$B$5:$E$496,4,0)=1)=TRUE,VLOOKUP('Hours Detail'!E255,'BASE_FUNCOES (hide)'!$A:$V,13,0),IF(AND('General Information'!$D$16=5,VLOOKUP(B255,Modules!$B$5:$E$496,4,0)=1)=TRUE,VLOOKUP('Hours Detail'!E255,'BASE_FUNCOES (hide)'!$A:$V,14,0),  IF(AND('General Information'!$D$16=6,VLOOKUP(B255,Modules!$B$5:$E$496,4,0)=1)=TRUE,VLOOKUP('Hours Detail'!E255,'BASE_FUNCOES (hide)'!$A:$V,15,0),"No"))))))</f>
        <v>No</v>
      </c>
      <c r="H255" s="22" t="str">
        <f t="shared" si="5"/>
        <v>No</v>
      </c>
      <c r="I255" s="75">
        <f>IF('General Information'!$C$4="Mexico",(ROUNDUP(VLOOKUP(E255,'BASE_FUNCOES (hide)'!A:X,21,0),0)),(ROUNDUP(VLOOKUP(E255,'BASE_FUNCOES (hide)'!A:L,9,0),0)))</f>
        <v>4</v>
      </c>
      <c r="J255" s="75">
        <f>ROUNDUP(SUMIF(Questions!$E$5:$E$558,'Hours Detail'!E255,Questions!$F$5:$F$558),0)</f>
        <v>0</v>
      </c>
      <c r="K255" s="76">
        <f>IF(H255="Yes",ROUNDUP(IF(VLOOKUP(E255,'BASE_FUNCOES (hide)'!A:T,16,FALSE)&lt;&gt;"No",IF('General Information'!$C$19="HTML5",(I255+J255)*'BASE_FUNCOES (hide)'!$T$2,I255+J255),I255+J255),I255+J255),I255+J255)</f>
        <v>4</v>
      </c>
      <c r="L255" s="265" t="str">
        <f>IF(OR(E255=121,E255=88,E255=2682,E255=2703,E255=2687,E255=2689,E255=2681,E255=2685)=FALSE,"",IF('General Information'!$C$19="HTML5","FUNÇÃO DISPONÍVEL APENAS PARA BRASIL",IF(J256&lt;&gt;0,VLOOKUP(E256,Questions!$E$5:$L$568,5,0),"")))</f>
        <v/>
      </c>
      <c r="M255" s="164" t="s">
        <v>2396</v>
      </c>
      <c r="N255" s="369" t="s">
        <v>2377</v>
      </c>
    </row>
    <row r="256" spans="1:14" ht="14.5" customHeight="1" outlineLevel="1">
      <c r="A256" s="59"/>
      <c r="B256" s="72">
        <f>VLOOKUP('Hours Detail'!E256,'BASE_FUNCOES (hide)'!A:W,5,FALSE)</f>
        <v>28</v>
      </c>
      <c r="C256" s="72" t="s">
        <v>5929</v>
      </c>
      <c r="D256" s="73" t="str">
        <f>IF('General Information'!$C$6="Português",VLOOKUP(B256,'ESTRUTURA_MODULO(hide)'!A:D,2,0),IF('General Information'!$C$6="English",VLOOKUP(B256,'ESTRUTURA_MODULO(hide)'!A:D,3,0),IF('General Information'!$C$6="Español",VLOOKUP(B256,'ESTRUTURA_MODULO(hide)'!A:D,4,0))))</f>
        <v>Contas a Receber</v>
      </c>
      <c r="E256" s="254">
        <v>802</v>
      </c>
      <c r="F256" s="73" t="str">
        <f>IF('General Information'!$C$6="Português",VLOOKUP(E256,'BASE_FUNCOES (hide)'!A:H,2,0),IF('General Information'!$C$6="English",VLOOKUP(E256,'BASE_FUNCOES (hide)'!A:H,3,0),IF('General Information'!$C$6="Español",VLOOKUP(E256,'BASE_FUNCOES (hide)'!A:H,4,0))))</f>
        <v>Digitação de Adiantamentos</v>
      </c>
      <c r="G256" s="73" t="str">
        <f>IF(AND('General Information'!$D$16=1,VLOOKUP(B256,Modules!$B$5:$E$496,4,0)=1)=TRUE,VLOOKUP('Hours Detail'!E256,'BASE_FUNCOES (hide)'!$A:$V,10,0),IF(AND('General Information'!$D$16=2,VLOOKUP(B256,Modules!$B$5:$E$496,4,0)=1)=TRUE,VLOOKUP('Hours Detail'!E256,'BASE_FUNCOES (hide)'!$A:$V,11,0),IF(AND('General Information'!$D$16=3,VLOOKUP(B256,Modules!$B$5:$E$496,4,0)=1)=TRUE,VLOOKUP('Hours Detail'!E256,'BASE_FUNCOES (hide)'!$A:$V,12,0),IF(AND('General Information'!$D$16=4,VLOOKUP(B256,Modules!$B$5:$E$496,4,0)=1)=TRUE,VLOOKUP('Hours Detail'!E256,'BASE_FUNCOES (hide)'!$A:$V,13,0),IF(AND('General Information'!$D$16=5,VLOOKUP(B256,Modules!$B$5:$E$496,4,0)=1)=TRUE,VLOOKUP('Hours Detail'!E256,'BASE_FUNCOES (hide)'!$A:$V,14,0),  IF(AND('General Information'!$D$16=6,VLOOKUP(B256,Modules!$B$5:$E$496,4,0)=1)=TRUE,VLOOKUP('Hours Detail'!E256,'BASE_FUNCOES (hide)'!$A:$V,15,0),"No"))))))</f>
        <v>No</v>
      </c>
      <c r="H256" s="22" t="str">
        <f t="shared" si="5"/>
        <v>No</v>
      </c>
      <c r="I256" s="75">
        <f>IF('General Information'!$C$4="Mexico",(ROUNDUP(VLOOKUP(E256,'BASE_FUNCOES (hide)'!A:X,21,0),0)),(ROUNDUP(VLOOKUP(E256,'BASE_FUNCOES (hide)'!A:L,9,0),0)))</f>
        <v>8</v>
      </c>
      <c r="J256" s="75">
        <f>ROUNDUP(SUMIF(Questions!$E$5:$E$558,'Hours Detail'!E256,Questions!$F$5:$F$558),0)</f>
        <v>0</v>
      </c>
      <c r="K256" s="76">
        <f>IF(H256="Yes",ROUNDUP(IF(VLOOKUP(E256,'BASE_FUNCOES (hide)'!A:T,16,FALSE)&lt;&gt;"No",IF('General Information'!$C$19="HTML5",(I256+J256)*'BASE_FUNCOES (hide)'!$T$2,I256+J256),I256+J256),I256+J256),I256+J256)</f>
        <v>8</v>
      </c>
      <c r="L256" s="265" t="str">
        <f>IF(OR(E256=121,E256=88,E256=2682,E256=2703,E256=2687,E256=2689,E256=2681,E256=2685)=FALSE,"",IF('General Information'!$C$19="HTML5","FUNÇÃO DISPONÍVEL APENAS PARA BRASIL",IF(J257&lt;&gt;0,VLOOKUP(E257,Questions!$E$5:$L$568,5,0),"")))</f>
        <v/>
      </c>
      <c r="M256" s="164" t="s">
        <v>2396</v>
      </c>
      <c r="N256" s="369" t="s">
        <v>2377</v>
      </c>
    </row>
    <row r="257" spans="1:14" ht="14.5" customHeight="1" outlineLevel="1">
      <c r="A257" s="59"/>
      <c r="B257" s="72">
        <f>VLOOKUP('Hours Detail'!E257,'BASE_FUNCOES (hide)'!A:W,5,FALSE)</f>
        <v>28</v>
      </c>
      <c r="C257" s="72" t="s">
        <v>5929</v>
      </c>
      <c r="D257" s="73" t="str">
        <f>IF('General Information'!$C$6="Português",VLOOKUP(B257,'ESTRUTURA_MODULO(hide)'!A:D,2,0),IF('General Information'!$C$6="English",VLOOKUP(B257,'ESTRUTURA_MODULO(hide)'!A:D,3,0),IF('General Information'!$C$6="Español",VLOOKUP(B257,'ESTRUTURA_MODULO(hide)'!A:D,4,0))))</f>
        <v>Contas a Receber</v>
      </c>
      <c r="E257" s="254">
        <v>5512</v>
      </c>
      <c r="F257" s="73" t="str">
        <f>IF('General Information'!$C$6="Português",VLOOKUP(E257,'BASE_FUNCOES (hide)'!A:H,2,0),IF('General Information'!$C$6="English",VLOOKUP(E257,'BASE_FUNCOES (hide)'!A:H,3,0),IF('General Information'!$C$6="Español",VLOOKUP(E257,'BASE_FUNCOES (hide)'!A:H,4,0))))</f>
        <v>Ficha Financeira</v>
      </c>
      <c r="G257" s="73" t="str">
        <f>IF(AND('General Information'!$D$16=1,VLOOKUP(B257,Modules!$B$5:$E$496,4,0)=1)=TRUE,VLOOKUP('Hours Detail'!E257,'BASE_FUNCOES (hide)'!$A:$V,10,0),IF(AND('General Information'!$D$16=2,VLOOKUP(B257,Modules!$B$5:$E$496,4,0)=1)=TRUE,VLOOKUP('Hours Detail'!E257,'BASE_FUNCOES (hide)'!$A:$V,11,0),IF(AND('General Information'!$D$16=3,VLOOKUP(B257,Modules!$B$5:$E$496,4,0)=1)=TRUE,VLOOKUP('Hours Detail'!E257,'BASE_FUNCOES (hide)'!$A:$V,12,0),IF(AND('General Information'!$D$16=4,VLOOKUP(B257,Modules!$B$5:$E$496,4,0)=1)=TRUE,VLOOKUP('Hours Detail'!E257,'BASE_FUNCOES (hide)'!$A:$V,13,0),IF(AND('General Information'!$D$16=5,VLOOKUP(B257,Modules!$B$5:$E$496,4,0)=1)=TRUE,VLOOKUP('Hours Detail'!E257,'BASE_FUNCOES (hide)'!$A:$V,14,0),  IF(AND('General Information'!$D$16=6,VLOOKUP(B257,Modules!$B$5:$E$496,4,0)=1)=TRUE,VLOOKUP('Hours Detail'!E257,'BASE_FUNCOES (hide)'!$A:$V,15,0),"No"))))))</f>
        <v>No</v>
      </c>
      <c r="H257" s="22" t="str">
        <f t="shared" si="5"/>
        <v>No</v>
      </c>
      <c r="I257" s="75">
        <f>IF('General Information'!$C$4="Mexico",(ROUNDUP(VLOOKUP(E257,'BASE_FUNCOES (hide)'!A:X,21,0),0)),(ROUNDUP(VLOOKUP(E257,'BASE_FUNCOES (hide)'!A:L,9,0),0)))</f>
        <v>4</v>
      </c>
      <c r="J257" s="75">
        <f>ROUNDUP(SUMIF(Questions!$E$5:$E$558,'Hours Detail'!E257,Questions!$F$5:$F$558),0)</f>
        <v>0</v>
      </c>
      <c r="K257" s="76">
        <f>IF(H257="Yes",ROUNDUP(IF(VLOOKUP(E257,'BASE_FUNCOES (hide)'!A:T,16,FALSE)&lt;&gt;"No",IF('General Information'!$C$19="HTML5",(I257+J257)*'BASE_FUNCOES (hide)'!$T$2,I257+J257),I257+J257),I257+J257),I257+J257)</f>
        <v>4</v>
      </c>
      <c r="L257" s="265" t="str">
        <f>IF(OR(E257=121,E257=88,E257=2682,E257=2703,E257=2687,E257=2689,E257=2681,E257=2685)=FALSE,"",IF('General Information'!$C$19="HTML5","FUNÇÃO DISPONÍVEL APENAS PARA BRASIL",IF(J258&lt;&gt;0,VLOOKUP(E258,Questions!$E$5:$L$568,5,0),"")))</f>
        <v/>
      </c>
      <c r="M257" s="164" t="s">
        <v>2396</v>
      </c>
      <c r="N257" s="369" t="s">
        <v>2377</v>
      </c>
    </row>
    <row r="258" spans="1:14" ht="14.5" customHeight="1" outlineLevel="1">
      <c r="A258" s="59"/>
      <c r="B258" s="72">
        <f>VLOOKUP('Hours Detail'!E258,'BASE_FUNCOES (hide)'!A:W,5,FALSE)</f>
        <v>28</v>
      </c>
      <c r="C258" s="72" t="s">
        <v>5929</v>
      </c>
      <c r="D258" s="73" t="str">
        <f>IF('General Information'!$C$6="Português",VLOOKUP(B258,'ESTRUTURA_MODULO(hide)'!A:D,2,0),IF('General Information'!$C$6="English",VLOOKUP(B258,'ESTRUTURA_MODULO(hide)'!A:D,3,0),IF('General Information'!$C$6="Español",VLOOKUP(B258,'ESTRUTURA_MODULO(hide)'!A:D,4,0))))</f>
        <v>Contas a Receber</v>
      </c>
      <c r="E258" s="254">
        <v>835</v>
      </c>
      <c r="F258" s="73" t="str">
        <f>IF('General Information'!$C$6="Português",VLOOKUP(E258,'BASE_FUNCOES (hide)'!A:H,2,0),IF('General Information'!$C$6="English",VLOOKUP(E258,'BASE_FUNCOES (hide)'!A:H,3,0),IF('General Information'!$C$6="Español",VLOOKUP(E258,'BASE_FUNCOES (hide)'!A:H,4,0))))</f>
        <v>Gestão de Envio ao Órgão de Cobrança</v>
      </c>
      <c r="G258" s="73" t="str">
        <f>IF(AND('General Information'!$D$16=1,VLOOKUP(B258,Modules!$B$5:$E$496,4,0)=1)=TRUE,VLOOKUP('Hours Detail'!E258,'BASE_FUNCOES (hide)'!$A:$V,10,0),IF(AND('General Information'!$D$16=2,VLOOKUP(B258,Modules!$B$5:$E$496,4,0)=1)=TRUE,VLOOKUP('Hours Detail'!E258,'BASE_FUNCOES (hide)'!$A:$V,11,0),IF(AND('General Information'!$D$16=3,VLOOKUP(B258,Modules!$B$5:$E$496,4,0)=1)=TRUE,VLOOKUP('Hours Detail'!E258,'BASE_FUNCOES (hide)'!$A:$V,12,0),IF(AND('General Information'!$D$16=4,VLOOKUP(B258,Modules!$B$5:$E$496,4,0)=1)=TRUE,VLOOKUP('Hours Detail'!E258,'BASE_FUNCOES (hide)'!$A:$V,13,0),IF(AND('General Information'!$D$16=5,VLOOKUP(B258,Modules!$B$5:$E$496,4,0)=1)=TRUE,VLOOKUP('Hours Detail'!E258,'BASE_FUNCOES (hide)'!$A:$V,14,0),  IF(AND('General Information'!$D$16=6,VLOOKUP(B258,Modules!$B$5:$E$496,4,0)=1)=TRUE,VLOOKUP('Hours Detail'!E258,'BASE_FUNCOES (hide)'!$A:$V,15,0),"No"))))))</f>
        <v>No</v>
      </c>
      <c r="H258" s="22" t="str">
        <f t="shared" si="5"/>
        <v>No</v>
      </c>
      <c r="I258" s="75">
        <f>IF('General Information'!$C$4="Mexico",(ROUNDUP(VLOOKUP(E258,'BASE_FUNCOES (hide)'!A:X,21,0),0)),(ROUNDUP(VLOOKUP(E258,'BASE_FUNCOES (hide)'!A:L,9,0),0)))</f>
        <v>4</v>
      </c>
      <c r="J258" s="75">
        <f>ROUNDUP(SUMIF(Questions!$E$5:$E$558,'Hours Detail'!E258,Questions!$F$5:$F$558),0)</f>
        <v>0</v>
      </c>
      <c r="K258" s="76">
        <f>IF(H258="Yes",ROUNDUP(IF(VLOOKUP(E258,'BASE_FUNCOES (hide)'!A:T,16,FALSE)&lt;&gt;"No",IF('General Information'!$C$19="HTML5",(I258+J258)*'BASE_FUNCOES (hide)'!$T$2,I258+J258),I258+J258),I258+J258),I258+J258)</f>
        <v>4</v>
      </c>
      <c r="L258" s="265" t="str">
        <f>IF(OR(E258=121,E258=88,E258=2682,E258=2703,E258=2687,E258=2689,E258=2681,E258=2685)=FALSE,"",IF('General Information'!$C$19="HTML5","FUNÇÃO DISPONÍVEL APENAS PARA BRASIL",IF(J259&lt;&gt;0,VLOOKUP(E259,Questions!$E$5:$L$568,5,0),"")))</f>
        <v/>
      </c>
      <c r="M258" s="164" t="s">
        <v>2396</v>
      </c>
      <c r="N258" s="369" t="s">
        <v>2377</v>
      </c>
    </row>
    <row r="259" spans="1:14" ht="14.5" customHeight="1" outlineLevel="1">
      <c r="A259" s="59"/>
      <c r="B259" s="72">
        <f>VLOOKUP('Hours Detail'!E259,'BASE_FUNCOES (hide)'!A:W,5,FALSE)</f>
        <v>28</v>
      </c>
      <c r="C259" s="72" t="s">
        <v>5929</v>
      </c>
      <c r="D259" s="73" t="str">
        <f>IF('General Information'!$C$6="Português",VLOOKUP(B259,'ESTRUTURA_MODULO(hide)'!A:D,2,0),IF('General Information'!$C$6="English",VLOOKUP(B259,'ESTRUTURA_MODULO(hide)'!A:D,3,0),IF('General Information'!$C$6="Español",VLOOKUP(B259,'ESTRUTURA_MODULO(hide)'!A:D,4,0))))</f>
        <v>Contas a Receber</v>
      </c>
      <c r="E259" s="254">
        <v>7053</v>
      </c>
      <c r="F259" s="73" t="str">
        <f>IF('General Information'!$C$6="Português",VLOOKUP(E259,'BASE_FUNCOES (hide)'!A:H,2,0),IF('General Information'!$C$6="English",VLOOKUP(E259,'BASE_FUNCOES (hide)'!A:H,3,0),IF('General Information'!$C$6="Español",VLOOKUP(E259,'BASE_FUNCOES (hide)'!A:H,4,0))))</f>
        <v>Gestão de SPA (Solicitação de Providência Administrativa)</v>
      </c>
      <c r="G259" s="73" t="str">
        <f>IF(AND('General Information'!$D$16=1,VLOOKUP(B259,Modules!$B$5:$E$496,4,0)=1)=TRUE,VLOOKUP('Hours Detail'!E259,'BASE_FUNCOES (hide)'!$A:$V,10,0),IF(AND('General Information'!$D$16=2,VLOOKUP(B259,Modules!$B$5:$E$496,4,0)=1)=TRUE,VLOOKUP('Hours Detail'!E259,'BASE_FUNCOES (hide)'!$A:$V,11,0),IF(AND('General Information'!$D$16=3,VLOOKUP(B259,Modules!$B$5:$E$496,4,0)=1)=TRUE,VLOOKUP('Hours Detail'!E259,'BASE_FUNCOES (hide)'!$A:$V,12,0),IF(AND('General Information'!$D$16=4,VLOOKUP(B259,Modules!$B$5:$E$496,4,0)=1)=TRUE,VLOOKUP('Hours Detail'!E259,'BASE_FUNCOES (hide)'!$A:$V,13,0),IF(AND('General Information'!$D$16=5,VLOOKUP(B259,Modules!$B$5:$E$496,4,0)=1)=TRUE,VLOOKUP('Hours Detail'!E259,'BASE_FUNCOES (hide)'!$A:$V,14,0),  IF(AND('General Information'!$D$16=6,VLOOKUP(B259,Modules!$B$5:$E$496,4,0)=1)=TRUE,VLOOKUP('Hours Detail'!E259,'BASE_FUNCOES (hide)'!$A:$V,15,0),"No"))))))</f>
        <v>No</v>
      </c>
      <c r="H259" s="22" t="str">
        <f t="shared" si="5"/>
        <v>No</v>
      </c>
      <c r="I259" s="75">
        <f>IF('General Information'!$C$4="Mexico",(ROUNDUP(VLOOKUP(E259,'BASE_FUNCOES (hide)'!A:X,21,0),0)),(ROUNDUP(VLOOKUP(E259,'BASE_FUNCOES (hide)'!A:L,9,0),0)))</f>
        <v>4</v>
      </c>
      <c r="J259" s="75">
        <f>ROUNDUP(SUMIF(Questions!$E$5:$E$558,'Hours Detail'!E259,Questions!$F$5:$F$558),0)</f>
        <v>0</v>
      </c>
      <c r="K259" s="76">
        <f>IF(H259="Yes",ROUNDUP(IF(VLOOKUP(E259,'BASE_FUNCOES (hide)'!A:T,16,FALSE)&lt;&gt;"No",IF('General Information'!$C$19="HTML5",(I259+J259)*'BASE_FUNCOES (hide)'!$T$2,I259+J259),I259+J259),I259+J259),I259+J259)</f>
        <v>4</v>
      </c>
      <c r="L259" s="265" t="str">
        <f>IF(OR(E259=121,E259=88,E259=2682,E259=2703,E259=2687,E259=2689,E259=2681,E259=2685)=FALSE,"",IF('General Information'!$C$19="HTML5","FUNÇÃO DISPONÍVEL APENAS PARA BRASIL",IF(J260&lt;&gt;0,VLOOKUP(E260,Questions!$E$5:$L$568,5,0),"")))</f>
        <v/>
      </c>
      <c r="M259" s="164" t="s">
        <v>2396</v>
      </c>
      <c r="N259" s="369" t="s">
        <v>2377</v>
      </c>
    </row>
    <row r="260" spans="1:14" ht="14.5" customHeight="1" outlineLevel="1">
      <c r="A260" s="59"/>
      <c r="B260" s="72">
        <f>VLOOKUP('Hours Detail'!E260,'BASE_FUNCOES (hide)'!A:W,5,FALSE)</f>
        <v>28</v>
      </c>
      <c r="C260" s="72" t="s">
        <v>5929</v>
      </c>
      <c r="D260" s="73" t="str">
        <f>IF('General Information'!$C$6="Português",VLOOKUP(B260,'ESTRUTURA_MODULO(hide)'!A:D,2,0),IF('General Information'!$C$6="English",VLOOKUP(B260,'ESTRUTURA_MODULO(hide)'!A:D,3,0),IF('General Information'!$C$6="Español",VLOOKUP(B260,'ESTRUTURA_MODULO(hide)'!A:D,4,0))))</f>
        <v>Contas a Receber</v>
      </c>
      <c r="E260" s="254">
        <v>801</v>
      </c>
      <c r="F260" s="73" t="str">
        <f>IF('General Information'!$C$6="Português",VLOOKUP(E260,'BASE_FUNCOES (hide)'!A:H,2,0),IF('General Information'!$C$6="English",VLOOKUP(E260,'BASE_FUNCOES (hide)'!A:H,3,0),IF('General Information'!$C$6="Español",VLOOKUP(E260,'BASE_FUNCOES (hide)'!A:H,4,0))))</f>
        <v>Manutenção de Títulos a Receber</v>
      </c>
      <c r="G260" s="73" t="str">
        <f>IF(AND('General Information'!$D$16=1,VLOOKUP(B260,Modules!$B$5:$E$496,4,0)=1)=TRUE,VLOOKUP('Hours Detail'!E260,'BASE_FUNCOES (hide)'!$A:$V,10,0),IF(AND('General Information'!$D$16=2,VLOOKUP(B260,Modules!$B$5:$E$496,4,0)=1)=TRUE,VLOOKUP('Hours Detail'!E260,'BASE_FUNCOES (hide)'!$A:$V,11,0),IF(AND('General Information'!$D$16=3,VLOOKUP(B260,Modules!$B$5:$E$496,4,0)=1)=TRUE,VLOOKUP('Hours Detail'!E260,'BASE_FUNCOES (hide)'!$A:$V,12,0),IF(AND('General Information'!$D$16=4,VLOOKUP(B260,Modules!$B$5:$E$496,4,0)=1)=TRUE,VLOOKUP('Hours Detail'!E260,'BASE_FUNCOES (hide)'!$A:$V,13,0),IF(AND('General Information'!$D$16=5,VLOOKUP(B260,Modules!$B$5:$E$496,4,0)=1)=TRUE,VLOOKUP('Hours Detail'!E260,'BASE_FUNCOES (hide)'!$A:$V,14,0),  IF(AND('General Information'!$D$16=6,VLOOKUP(B260,Modules!$B$5:$E$496,4,0)=1)=TRUE,VLOOKUP('Hours Detail'!E260,'BASE_FUNCOES (hide)'!$A:$V,15,0),"No"))))))</f>
        <v>No</v>
      </c>
      <c r="H260" s="22" t="str">
        <f t="shared" si="5"/>
        <v>No</v>
      </c>
      <c r="I260" s="75">
        <f>IF('General Information'!$C$4="Mexico",(ROUNDUP(VLOOKUP(E260,'BASE_FUNCOES (hide)'!A:X,21,0),0)),(ROUNDUP(VLOOKUP(E260,'BASE_FUNCOES (hide)'!A:L,9,0),0)))</f>
        <v>16</v>
      </c>
      <c r="J260" s="75">
        <f>ROUNDUP(SUMIF(Questions!$E$5:$E$558,'Hours Detail'!E260,Questions!$F$5:$F$558),0)</f>
        <v>0</v>
      </c>
      <c r="K260" s="76">
        <f>IF(H260="Yes",ROUNDUP(IF(VLOOKUP(E260,'BASE_FUNCOES (hide)'!A:T,16,FALSE)&lt;&gt;"No",IF('General Information'!$C$19="HTML5",(I260+J260)*'BASE_FUNCOES (hide)'!$T$2,I260+J260),I260+J260),I260+J260),I260+J260)</f>
        <v>16</v>
      </c>
      <c r="L260" s="265" t="str">
        <f>IF(OR(E260=121,E260=88,E260=2682,E260=2703,E260=2687,E260=2689,E260=2681,E260=2685)=FALSE,"",IF('General Information'!$C$19="HTML5","FUNÇÃO DISPONÍVEL APENAS PARA BRASIL",IF(J261&lt;&gt;0,VLOOKUP(E261,Questions!$E$5:$L$568,5,0),"")))</f>
        <v/>
      </c>
      <c r="M260" s="164" t="s">
        <v>2396</v>
      </c>
      <c r="N260" s="369" t="s">
        <v>2377</v>
      </c>
    </row>
    <row r="261" spans="1:14" ht="14.5" customHeight="1" outlineLevel="1">
      <c r="A261" s="59"/>
      <c r="B261" s="72">
        <f>VLOOKUP('Hours Detail'!E261,'BASE_FUNCOES (hide)'!A:W,5,FALSE)</f>
        <v>28</v>
      </c>
      <c r="C261" s="72" t="s">
        <v>5929</v>
      </c>
      <c r="D261" s="73" t="str">
        <f>IF('General Information'!$C$6="Português",VLOOKUP(B261,'ESTRUTURA_MODULO(hide)'!A:D,2,0),IF('General Information'!$C$6="English",VLOOKUP(B261,'ESTRUTURA_MODULO(hide)'!A:D,3,0),IF('General Information'!$C$6="Español",VLOOKUP(B261,'ESTRUTURA_MODULO(hide)'!A:D,4,0))))</f>
        <v>Contas a Receber</v>
      </c>
      <c r="E261" s="254">
        <v>5514</v>
      </c>
      <c r="F261" s="73" t="str">
        <f>IF('General Information'!$C$6="Português",VLOOKUP(E261,'BASE_FUNCOES (hide)'!A:H,2,0),IF('General Information'!$C$6="English",VLOOKUP(E261,'BASE_FUNCOES (hide)'!A:H,3,0),IF('General Information'!$C$6="Español",VLOOKUP(E261,'BASE_FUNCOES (hide)'!A:H,4,0))))</f>
        <v>Negociação de Contas a Receber</v>
      </c>
      <c r="G261" s="73" t="str">
        <f>IF(AND('General Information'!$D$16=1,VLOOKUP(B261,Modules!$B$5:$E$496,4,0)=1)=TRUE,VLOOKUP('Hours Detail'!E261,'BASE_FUNCOES (hide)'!$A:$V,10,0),IF(AND('General Information'!$D$16=2,VLOOKUP(B261,Modules!$B$5:$E$496,4,0)=1)=TRUE,VLOOKUP('Hours Detail'!E261,'BASE_FUNCOES (hide)'!$A:$V,11,0),IF(AND('General Information'!$D$16=3,VLOOKUP(B261,Modules!$B$5:$E$496,4,0)=1)=TRUE,VLOOKUP('Hours Detail'!E261,'BASE_FUNCOES (hide)'!$A:$V,12,0),IF(AND('General Information'!$D$16=4,VLOOKUP(B261,Modules!$B$5:$E$496,4,0)=1)=TRUE,VLOOKUP('Hours Detail'!E261,'BASE_FUNCOES (hide)'!$A:$V,13,0),IF(AND('General Information'!$D$16=5,VLOOKUP(B261,Modules!$B$5:$E$496,4,0)=1)=TRUE,VLOOKUP('Hours Detail'!E261,'BASE_FUNCOES (hide)'!$A:$V,14,0),  IF(AND('General Information'!$D$16=6,VLOOKUP(B261,Modules!$B$5:$E$496,4,0)=1)=TRUE,VLOOKUP('Hours Detail'!E261,'BASE_FUNCOES (hide)'!$A:$V,15,0),"No"))))))</f>
        <v>No</v>
      </c>
      <c r="H261" s="22" t="str">
        <f t="shared" si="5"/>
        <v>No</v>
      </c>
      <c r="I261" s="75">
        <f>IF('General Information'!$C$4="Mexico",(ROUNDUP(VLOOKUP(E261,'BASE_FUNCOES (hide)'!A:X,21,0),0)),(ROUNDUP(VLOOKUP(E261,'BASE_FUNCOES (hide)'!A:L,9,0),0)))</f>
        <v>4</v>
      </c>
      <c r="J261" s="75">
        <f>ROUNDUP(SUMIF(Questions!$E$5:$E$558,'Hours Detail'!E261,Questions!$F$5:$F$558),0)</f>
        <v>0</v>
      </c>
      <c r="K261" s="76">
        <f>IF(H261="Yes",ROUNDUP(IF(VLOOKUP(E261,'BASE_FUNCOES (hide)'!A:T,16,FALSE)&lt;&gt;"No",IF('General Information'!$C$19="HTML5",(I261+J261)*'BASE_FUNCOES (hide)'!$T$2,I261+J261),I261+J261),I261+J261),I261+J261)</f>
        <v>4</v>
      </c>
      <c r="L261" s="265" t="str">
        <f>IF(OR(E261=121,E261=88,E261=2682,E261=2703,E261=2687,E261=2689,E261=2681,E261=2685)=FALSE,"",IF('General Information'!$C$19="HTML5","FUNÇÃO DISPONÍVEL APENAS PARA BRASIL",IF(J262&lt;&gt;0,VLOOKUP(E262,Questions!$E$5:$L$568,5,0),"")))</f>
        <v/>
      </c>
      <c r="M261" s="164" t="s">
        <v>2396</v>
      </c>
      <c r="N261" s="369" t="s">
        <v>2377</v>
      </c>
    </row>
    <row r="262" spans="1:14" ht="14.5" customHeight="1" outlineLevel="1">
      <c r="A262" s="59"/>
      <c r="B262" s="72">
        <f>VLOOKUP('Hours Detail'!E262,'BASE_FUNCOES (hide)'!A:W,5,FALSE)</f>
        <v>28</v>
      </c>
      <c r="C262" s="72" t="s">
        <v>5929</v>
      </c>
      <c r="D262" s="73" t="str">
        <f>IF('General Information'!$C$6="Português",VLOOKUP(B262,'ESTRUTURA_MODULO(hide)'!A:D,2,0),IF('General Information'!$C$6="English",VLOOKUP(B262,'ESTRUTURA_MODULO(hide)'!A:D,3,0),IF('General Information'!$C$6="Español",VLOOKUP(B262,'ESTRUTURA_MODULO(hide)'!A:D,4,0))))</f>
        <v>Contas a Receber</v>
      </c>
      <c r="E262" s="254">
        <v>5516</v>
      </c>
      <c r="F262" s="73" t="str">
        <f>IF('General Information'!$C$6="Português",VLOOKUP(E262,'BASE_FUNCOES (hide)'!A:H,2,0),IF('General Information'!$C$6="English",VLOOKUP(E262,'BASE_FUNCOES (hide)'!A:H,3,0),IF('General Information'!$C$6="Español",VLOOKUP(E262,'BASE_FUNCOES (hide)'!A:H,4,0))))</f>
        <v>Parâmetros do Contas a Receber</v>
      </c>
      <c r="G262" s="73" t="str">
        <f>IF(AND('General Information'!$D$16=1,VLOOKUP(B262,Modules!$B$5:$E$496,4,0)=1)=TRUE,VLOOKUP('Hours Detail'!E262,'BASE_FUNCOES (hide)'!$A:$V,10,0),IF(AND('General Information'!$D$16=2,VLOOKUP(B262,Modules!$B$5:$E$496,4,0)=1)=TRUE,VLOOKUP('Hours Detail'!E262,'BASE_FUNCOES (hide)'!$A:$V,11,0),IF(AND('General Information'!$D$16=3,VLOOKUP(B262,Modules!$B$5:$E$496,4,0)=1)=TRUE,VLOOKUP('Hours Detail'!E262,'BASE_FUNCOES (hide)'!$A:$V,12,0),IF(AND('General Information'!$D$16=4,VLOOKUP(B262,Modules!$B$5:$E$496,4,0)=1)=TRUE,VLOOKUP('Hours Detail'!E262,'BASE_FUNCOES (hide)'!$A:$V,13,0),IF(AND('General Information'!$D$16=5,VLOOKUP(B262,Modules!$B$5:$E$496,4,0)=1)=TRUE,VLOOKUP('Hours Detail'!E262,'BASE_FUNCOES (hide)'!$A:$V,14,0),  IF(AND('General Information'!$D$16=6,VLOOKUP(B262,Modules!$B$5:$E$496,4,0)=1)=TRUE,VLOOKUP('Hours Detail'!E262,'BASE_FUNCOES (hide)'!$A:$V,15,0),"No"))))))</f>
        <v>No</v>
      </c>
      <c r="H262" s="22" t="str">
        <f t="shared" si="5"/>
        <v>No</v>
      </c>
      <c r="I262" s="75">
        <f>IF('General Information'!$C$4="Mexico",(ROUNDUP(VLOOKUP(E262,'BASE_FUNCOES (hide)'!A:X,21,0),0)),(ROUNDUP(VLOOKUP(E262,'BASE_FUNCOES (hide)'!A:L,9,0),0)))</f>
        <v>4</v>
      </c>
      <c r="J262" s="75">
        <f>ROUNDUP(SUMIF(Questions!$E$5:$E$558,'Hours Detail'!E262,Questions!$F$5:$F$558),0)</f>
        <v>0</v>
      </c>
      <c r="K262" s="76">
        <f>IF(H262="Yes",ROUNDUP(IF(VLOOKUP(E262,'BASE_FUNCOES (hide)'!A:T,16,FALSE)&lt;&gt;"No",IF('General Information'!$C$19="HTML5",(I262+J262)*'BASE_FUNCOES (hide)'!$T$2,I262+J262),I262+J262),I262+J262),I262+J262)</f>
        <v>4</v>
      </c>
      <c r="L262" s="265" t="str">
        <f>IF(OR(E262=121,E262=88,E262=2682,E262=2703,E262=2687,E262=2689,E262=2681,E262=2685)=FALSE,"",IF('General Information'!$C$19="HTML5","FUNÇÃO DISPONÍVEL APENAS PARA BRASIL",IF(J263&lt;&gt;0,VLOOKUP(E263,Questions!$E$5:$L$568,5,0),"")))</f>
        <v/>
      </c>
      <c r="M262" s="164" t="s">
        <v>2396</v>
      </c>
      <c r="N262" s="369" t="s">
        <v>2377</v>
      </c>
    </row>
    <row r="263" spans="1:14" ht="14.5" customHeight="1" outlineLevel="1">
      <c r="A263" s="59"/>
      <c r="B263" s="72">
        <f>VLOOKUP('Hours Detail'!E263,'BASE_FUNCOES (hide)'!A:W,5,FALSE)</f>
        <v>28</v>
      </c>
      <c r="C263" s="72" t="s">
        <v>5929</v>
      </c>
      <c r="D263" s="73" t="str">
        <f>IF('General Information'!$C$6="Português",VLOOKUP(B263,'ESTRUTURA_MODULO(hide)'!A:D,2,0),IF('General Information'!$C$6="English",VLOOKUP(B263,'ESTRUTURA_MODULO(hide)'!A:D,3,0),IF('General Information'!$C$6="Español",VLOOKUP(B263,'ESTRUTURA_MODULO(hide)'!A:D,4,0))))</f>
        <v>Contas a Receber</v>
      </c>
      <c r="E263" s="254">
        <v>9053</v>
      </c>
      <c r="F263" s="73" t="str">
        <f>IF('General Information'!$C$6="Português",VLOOKUP(E263,'BASE_FUNCOES (hide)'!A:H,2,0),IF('General Information'!$C$6="English",VLOOKUP(E263,'BASE_FUNCOES (hide)'!A:H,3,0),IF('General Information'!$C$6="Español",VLOOKUP(E263,'BASE_FUNCOES (hide)'!A:H,4,0))))</f>
        <v>Registro de Cobrança</v>
      </c>
      <c r="G263" s="73" t="str">
        <f>IF(AND('General Information'!$D$16=1,VLOOKUP(B263,Modules!$B$5:$E$496,4,0)=1)=TRUE,VLOOKUP('Hours Detail'!E263,'BASE_FUNCOES (hide)'!$A:$V,10,0),IF(AND('General Information'!$D$16=2,VLOOKUP(B263,Modules!$B$5:$E$496,4,0)=1)=TRUE,VLOOKUP('Hours Detail'!E263,'BASE_FUNCOES (hide)'!$A:$V,11,0),IF(AND('General Information'!$D$16=3,VLOOKUP(B263,Modules!$B$5:$E$496,4,0)=1)=TRUE,VLOOKUP('Hours Detail'!E263,'BASE_FUNCOES (hide)'!$A:$V,12,0),IF(AND('General Information'!$D$16=4,VLOOKUP(B263,Modules!$B$5:$E$496,4,0)=1)=TRUE,VLOOKUP('Hours Detail'!E263,'BASE_FUNCOES (hide)'!$A:$V,13,0),IF(AND('General Information'!$D$16=5,VLOOKUP(B263,Modules!$B$5:$E$496,4,0)=1)=TRUE,VLOOKUP('Hours Detail'!E263,'BASE_FUNCOES (hide)'!$A:$V,14,0),  IF(AND('General Information'!$D$16=6,VLOOKUP(B263,Modules!$B$5:$E$496,4,0)=1)=TRUE,VLOOKUP('Hours Detail'!E263,'BASE_FUNCOES (hide)'!$A:$V,15,0),"No"))))))</f>
        <v>No</v>
      </c>
      <c r="H263" s="22" t="str">
        <f t="shared" si="5"/>
        <v>No</v>
      </c>
      <c r="I263" s="75">
        <f>IF('General Information'!$C$4="Mexico",(ROUNDUP(VLOOKUP(E263,'BASE_FUNCOES (hide)'!A:X,21,0),0)),(ROUNDUP(VLOOKUP(E263,'BASE_FUNCOES (hide)'!A:L,9,0),0)))</f>
        <v>4</v>
      </c>
      <c r="J263" s="75">
        <f>ROUNDUP(SUMIF(Questions!$E$5:$E$558,'Hours Detail'!E263,Questions!$F$5:$F$558),0)</f>
        <v>0</v>
      </c>
      <c r="K263" s="76">
        <f>IF(H263="Yes",ROUNDUP(IF(VLOOKUP(E263,'BASE_FUNCOES (hide)'!A:T,16,FALSE)&lt;&gt;"No",IF('General Information'!$C$19="HTML5",(I263+J263)*'BASE_FUNCOES (hide)'!$T$2,I263+J263),I263+J263),I263+J263),I263+J263)</f>
        <v>4</v>
      </c>
      <c r="L263" s="265" t="str">
        <f>IF(OR(E263=121,E263=88,E263=2682,E263=2703,E263=2687,E263=2689,E263=2681,E263=2685)=FALSE,"",IF('General Information'!$C$19="HTML5","FUNÇÃO DISPONÍVEL APENAS PARA BRASIL",IF(J264&lt;&gt;0,VLOOKUP(E264,Questions!$E$5:$L$568,5,0),"")))</f>
        <v/>
      </c>
      <c r="M263" s="164" t="s">
        <v>2396</v>
      </c>
      <c r="N263" s="369" t="s">
        <v>2377</v>
      </c>
    </row>
    <row r="264" spans="1:14" ht="14.5" customHeight="1" outlineLevel="1">
      <c r="A264" s="59"/>
      <c r="B264" s="72">
        <f>VLOOKUP('Hours Detail'!E264,'BASE_FUNCOES (hide)'!A:W,5,FALSE)</f>
        <v>86</v>
      </c>
      <c r="C264" s="72" t="s">
        <v>5929</v>
      </c>
      <c r="D264" s="73" t="str">
        <f>IF('General Information'!$C$6="Português",VLOOKUP(B264,'ESTRUTURA_MODULO(hide)'!A:D,2,0),IF('General Information'!$C$6="English",VLOOKUP(B264,'ESTRUTURA_MODULO(hide)'!A:D,3,0),IF('General Information'!$C$6="Español",VLOOKUP(B264,'ESTRUTURA_MODULO(hide)'!A:D,4,0))))</f>
        <v>Controle Bancário</v>
      </c>
      <c r="E264" s="254">
        <v>814</v>
      </c>
      <c r="F264" s="73" t="str">
        <f>IF('General Information'!$C$6="Português",VLOOKUP(E264,'BASE_FUNCOES (hide)'!A:H,2,0),IF('General Information'!$C$6="English",VLOOKUP(E264,'BASE_FUNCOES (hide)'!A:H,3,0),IF('General Information'!$C$6="Español",VLOOKUP(E264,'BASE_FUNCOES (hide)'!A:H,4,0))))</f>
        <v>Controle Bancário</v>
      </c>
      <c r="G264" s="73" t="str">
        <f>IF(AND('General Information'!$D$16=1,VLOOKUP(B264,Modules!$B$5:$E$496,4,0)=1)=TRUE,VLOOKUP('Hours Detail'!E264,'BASE_FUNCOES (hide)'!$A:$V,10,0),IF(AND('General Information'!$D$16=2,VLOOKUP(B264,Modules!$B$5:$E$496,4,0)=1)=TRUE,VLOOKUP('Hours Detail'!E264,'BASE_FUNCOES (hide)'!$A:$V,11,0),IF(AND('General Information'!$D$16=3,VLOOKUP(B264,Modules!$B$5:$E$496,4,0)=1)=TRUE,VLOOKUP('Hours Detail'!E264,'BASE_FUNCOES (hide)'!$A:$V,12,0),IF(AND('General Information'!$D$16=4,VLOOKUP(B264,Modules!$B$5:$E$496,4,0)=1)=TRUE,VLOOKUP('Hours Detail'!E264,'BASE_FUNCOES (hide)'!$A:$V,13,0),IF(AND('General Information'!$D$16=5,VLOOKUP(B264,Modules!$B$5:$E$496,4,0)=1)=TRUE,VLOOKUP('Hours Detail'!E264,'BASE_FUNCOES (hide)'!$A:$V,14,0),  IF(AND('General Information'!$D$16=6,VLOOKUP(B264,Modules!$B$5:$E$496,4,0)=1)=TRUE,VLOOKUP('Hours Detail'!E264,'BASE_FUNCOES (hide)'!$A:$V,15,0),"No"))))))</f>
        <v>No</v>
      </c>
      <c r="H264" s="22" t="str">
        <f t="shared" si="5"/>
        <v>No</v>
      </c>
      <c r="I264" s="75">
        <f>IF('General Information'!$C$4="Mexico",(ROUNDUP(VLOOKUP(E264,'BASE_FUNCOES (hide)'!A:X,21,0),0)),(ROUNDUP(VLOOKUP(E264,'BASE_FUNCOES (hide)'!A:L,9,0),0)))</f>
        <v>40</v>
      </c>
      <c r="J264" s="75">
        <f>ROUNDUP(SUMIF(Questions!$E$5:$E$558,'Hours Detail'!E264,Questions!$F$5:$F$558),0)</f>
        <v>0</v>
      </c>
      <c r="K264" s="76">
        <f>IF(H264="Yes",ROUNDUP(IF(VLOOKUP(E264,'BASE_FUNCOES (hide)'!A:T,16,FALSE)&lt;&gt;"No",IF('General Information'!$C$19="HTML5",(I264+J264)*'BASE_FUNCOES (hide)'!$T$2,I264+J264),I264+J264),I264+J264),I264+J264)</f>
        <v>40</v>
      </c>
      <c r="L264" s="265" t="str">
        <f>IF(OR(E264=121,E264=88,E264=2682,E264=2703,E264=2687,E264=2689,E264=2681,E264=2685)=FALSE,"",IF('General Information'!$C$19="HTML5","FUNÇÃO DISPONÍVEL APENAS PARA BRASIL",IF(J265&lt;&gt;0,VLOOKUP(E265,Questions!$E$5:$L$568,5,0),"")))</f>
        <v/>
      </c>
      <c r="M264" s="164" t="s">
        <v>2396</v>
      </c>
      <c r="N264" s="369" t="s">
        <v>2377</v>
      </c>
    </row>
    <row r="265" spans="1:14" ht="14.5" customHeight="1" outlineLevel="1">
      <c r="A265" s="59"/>
      <c r="B265" s="72">
        <f>VLOOKUP('Hours Detail'!E265,'BASE_FUNCOES (hide)'!A:W,5,FALSE)</f>
        <v>86</v>
      </c>
      <c r="C265" s="72" t="s">
        <v>5929</v>
      </c>
      <c r="D265" s="73" t="str">
        <f>IF('General Information'!$C$6="Português",VLOOKUP(B265,'ESTRUTURA_MODULO(hide)'!A:D,2,0),IF('General Information'!$C$6="English",VLOOKUP(B265,'ESTRUTURA_MODULO(hide)'!A:D,3,0),IF('General Information'!$C$6="Español",VLOOKUP(B265,'ESTRUTURA_MODULO(hide)'!A:D,4,0))))</f>
        <v>Controle Bancário</v>
      </c>
      <c r="E265" s="254">
        <v>5515</v>
      </c>
      <c r="F265" s="73" t="str">
        <f>IF('General Information'!$C$6="Português",VLOOKUP(E265,'BASE_FUNCOES (hide)'!A:H,2,0),IF('General Information'!$C$6="English",VLOOKUP(E265,'BASE_FUNCOES (hide)'!A:H,3,0),IF('General Information'!$C$6="Español",VLOOKUP(E265,'BASE_FUNCOES (hide)'!A:H,4,0))))</f>
        <v>Controle de Créditos No Identificados</v>
      </c>
      <c r="G265" s="73" t="str">
        <f>IF(AND('General Information'!$D$16=1,VLOOKUP(B265,Modules!$B$5:$E$496,4,0)=1)=TRUE,VLOOKUP('Hours Detail'!E265,'BASE_FUNCOES (hide)'!$A:$V,10,0),IF(AND('General Information'!$D$16=2,VLOOKUP(B265,Modules!$B$5:$E$496,4,0)=1)=TRUE,VLOOKUP('Hours Detail'!E265,'BASE_FUNCOES (hide)'!$A:$V,11,0),IF(AND('General Information'!$D$16=3,VLOOKUP(B265,Modules!$B$5:$E$496,4,0)=1)=TRUE,VLOOKUP('Hours Detail'!E265,'BASE_FUNCOES (hide)'!$A:$V,12,0),IF(AND('General Information'!$D$16=4,VLOOKUP(B265,Modules!$B$5:$E$496,4,0)=1)=TRUE,VLOOKUP('Hours Detail'!E265,'BASE_FUNCOES (hide)'!$A:$V,13,0),IF(AND('General Information'!$D$16=5,VLOOKUP(B265,Modules!$B$5:$E$496,4,0)=1)=TRUE,VLOOKUP('Hours Detail'!E265,'BASE_FUNCOES (hide)'!$A:$V,14,0),  IF(AND('General Information'!$D$16=6,VLOOKUP(B265,Modules!$B$5:$E$496,4,0)=1)=TRUE,VLOOKUP('Hours Detail'!E265,'BASE_FUNCOES (hide)'!$A:$V,15,0),"No"))))))</f>
        <v>No</v>
      </c>
      <c r="H265" s="22" t="str">
        <f t="shared" si="5"/>
        <v>No</v>
      </c>
      <c r="I265" s="75">
        <f>IF('General Information'!$C$4="Mexico",(ROUNDUP(VLOOKUP(E265,'BASE_FUNCOES (hide)'!A:X,21,0),0)),(ROUNDUP(VLOOKUP(E265,'BASE_FUNCOES (hide)'!A:L,9,0),0)))</f>
        <v>4</v>
      </c>
      <c r="J265" s="75">
        <f>ROUNDUP(SUMIF(Questions!$E$5:$E$558,'Hours Detail'!E265,Questions!$F$5:$F$558),0)</f>
        <v>0</v>
      </c>
      <c r="K265" s="76">
        <f>IF(H265="Yes",ROUNDUP(IF(VLOOKUP(E265,'BASE_FUNCOES (hide)'!A:T,16,FALSE)&lt;&gt;"No",IF('General Information'!$C$19="HTML5",(I265+J265)*'BASE_FUNCOES (hide)'!$T$2,I265+J265),I265+J265),I265+J265),I265+J265)</f>
        <v>4</v>
      </c>
      <c r="L265" s="265" t="str">
        <f>IF(OR(E265=121,E265=88,E265=2682,E265=2703,E265=2687,E265=2689,E265=2681,E265=2685)=FALSE,"",IF('General Information'!$C$19="HTML5","FUNÇÃO DISPONÍVEL APENAS PARA BRASIL",IF(J266&lt;&gt;0,VLOOKUP(E266,Questions!$E$5:$L$568,5,0),"")))</f>
        <v/>
      </c>
      <c r="M265" s="164" t="s">
        <v>2396</v>
      </c>
      <c r="N265" s="369" t="s">
        <v>2377</v>
      </c>
    </row>
    <row r="266" spans="1:14" ht="14.5" customHeight="1" outlineLevel="1">
      <c r="A266" s="59"/>
      <c r="B266" s="72">
        <f>VLOOKUP('Hours Detail'!E266,'BASE_FUNCOES (hide)'!A:W,5,FALSE)</f>
        <v>86</v>
      </c>
      <c r="C266" s="72" t="s">
        <v>5929</v>
      </c>
      <c r="D266" s="73" t="str">
        <f>IF('General Information'!$C$6="Português",VLOOKUP(B266,'ESTRUTURA_MODULO(hide)'!A:D,2,0),IF('General Information'!$C$6="English",VLOOKUP(B266,'ESTRUTURA_MODULO(hide)'!A:D,3,0),IF('General Information'!$C$6="Español",VLOOKUP(B266,'ESTRUTURA_MODULO(hide)'!A:D,4,0))))</f>
        <v>Controle Bancário</v>
      </c>
      <c r="E266" s="254">
        <v>9054</v>
      </c>
      <c r="F266" s="73" t="str">
        <f>IF('General Information'!$C$6="Português",VLOOKUP(E266,'BASE_FUNCOES (hide)'!A:H,2,0),IF('General Information'!$C$6="English",VLOOKUP(E266,'BASE_FUNCOES (hide)'!A:H,3,0),IF('General Information'!$C$6="Español",VLOOKUP(E266,'BASE_FUNCOES (hide)'!A:H,4,0))))</f>
        <v>Controle de Depósitos Identificados</v>
      </c>
      <c r="G266" s="73" t="str">
        <f>IF(AND('General Information'!$D$16=1,VLOOKUP(B266,Modules!$B$5:$E$496,4,0)=1)=TRUE,VLOOKUP('Hours Detail'!E266,'BASE_FUNCOES (hide)'!$A:$V,10,0),IF(AND('General Information'!$D$16=2,VLOOKUP(B266,Modules!$B$5:$E$496,4,0)=1)=TRUE,VLOOKUP('Hours Detail'!E266,'BASE_FUNCOES (hide)'!$A:$V,11,0),IF(AND('General Information'!$D$16=3,VLOOKUP(B266,Modules!$B$5:$E$496,4,0)=1)=TRUE,VLOOKUP('Hours Detail'!E266,'BASE_FUNCOES (hide)'!$A:$V,12,0),IF(AND('General Information'!$D$16=4,VLOOKUP(B266,Modules!$B$5:$E$496,4,0)=1)=TRUE,VLOOKUP('Hours Detail'!E266,'BASE_FUNCOES (hide)'!$A:$V,13,0),IF(AND('General Information'!$D$16=5,VLOOKUP(B266,Modules!$B$5:$E$496,4,0)=1)=TRUE,VLOOKUP('Hours Detail'!E266,'BASE_FUNCOES (hide)'!$A:$V,14,0),  IF(AND('General Information'!$D$16=6,VLOOKUP(B266,Modules!$B$5:$E$496,4,0)=1)=TRUE,VLOOKUP('Hours Detail'!E266,'BASE_FUNCOES (hide)'!$A:$V,15,0),"No"))))))</f>
        <v>No</v>
      </c>
      <c r="H266" s="22" t="str">
        <f t="shared" si="5"/>
        <v>No</v>
      </c>
      <c r="I266" s="75">
        <f>IF('General Information'!$C$4="Mexico",(ROUNDUP(VLOOKUP(E266,'BASE_FUNCOES (hide)'!A:X,21,0),0)),(ROUNDUP(VLOOKUP(E266,'BASE_FUNCOES (hide)'!A:L,9,0),0)))</f>
        <v>4</v>
      </c>
      <c r="J266" s="75">
        <f>ROUNDUP(SUMIF(Questions!$E$5:$E$558,'Hours Detail'!E266,Questions!$F$5:$F$558),0)</f>
        <v>0</v>
      </c>
      <c r="K266" s="76">
        <f>IF(H266="Yes",ROUNDUP(IF(VLOOKUP(E266,'BASE_FUNCOES (hide)'!A:T,16,FALSE)&lt;&gt;"No",IF('General Information'!$C$19="HTML5",(I266+J266)*'BASE_FUNCOES (hide)'!$T$2,I266+J266),I266+J266),I266+J266),I266+J266)</f>
        <v>4</v>
      </c>
      <c r="L266" s="265" t="str">
        <f>IF(OR(E266=121,E266=88,E266=2682,E266=2703,E266=2687,E266=2689,E266=2681,E266=2685)=FALSE,"",IF('General Information'!$C$19="HTML5","FUNÇÃO DISPONÍVEL APENAS PARA BRASIL",IF(J267&lt;&gt;0,VLOOKUP(E267,Questions!$E$5:$L$568,5,0),"")))</f>
        <v/>
      </c>
      <c r="M266" s="164" t="s">
        <v>2396</v>
      </c>
      <c r="N266" s="369" t="s">
        <v>2377</v>
      </c>
    </row>
    <row r="267" spans="1:14" ht="14.5" customHeight="1" outlineLevel="1">
      <c r="A267" s="59"/>
      <c r="B267" s="72">
        <f>VLOOKUP('Hours Detail'!E267,'BASE_FUNCOES (hide)'!A:W,5,FALSE)</f>
        <v>29</v>
      </c>
      <c r="C267" s="72" t="s">
        <v>5929</v>
      </c>
      <c r="D267" s="73" t="str">
        <f>IF('General Information'!$C$6="Português",VLOOKUP(B267,'ESTRUTURA_MODULO(hide)'!A:D,2,0),IF('General Information'!$C$6="English",VLOOKUP(B267,'ESTRUTURA_MODULO(hide)'!A:D,3,0),IF('General Information'!$C$6="Español",VLOOKUP(B267,'ESTRUTURA_MODULO(hide)'!A:D,4,0))))</f>
        <v>Tesouraria</v>
      </c>
      <c r="E267" s="254">
        <v>3020</v>
      </c>
      <c r="F267" s="73" t="str">
        <f>IF('General Information'!$C$6="Português",VLOOKUP(E267,'BASE_FUNCOES (hide)'!A:H,2,0),IF('General Information'!$C$6="English",VLOOKUP(E267,'BASE_FUNCOES (hide)'!A:H,3,0),IF('General Information'!$C$6="Español",VLOOKUP(E267,'BASE_FUNCOES (hide)'!A:H,4,0))))</f>
        <v>Administração de Cartões</v>
      </c>
      <c r="G267" s="73" t="str">
        <f>IF(AND('General Information'!$D$16=1,VLOOKUP(B267,Modules!$B$5:$E$496,4,0)=1)=TRUE,VLOOKUP('Hours Detail'!E267,'BASE_FUNCOES (hide)'!$A:$V,10,0),IF(AND('General Information'!$D$16=2,VLOOKUP(B267,Modules!$B$5:$E$496,4,0)=1)=TRUE,VLOOKUP('Hours Detail'!E267,'BASE_FUNCOES (hide)'!$A:$V,11,0),IF(AND('General Information'!$D$16=3,VLOOKUP(B267,Modules!$B$5:$E$496,4,0)=1)=TRUE,VLOOKUP('Hours Detail'!E267,'BASE_FUNCOES (hide)'!$A:$V,12,0),IF(AND('General Information'!$D$16=4,VLOOKUP(B267,Modules!$B$5:$E$496,4,0)=1)=TRUE,VLOOKUP('Hours Detail'!E267,'BASE_FUNCOES (hide)'!$A:$V,13,0),IF(AND('General Information'!$D$16=5,VLOOKUP(B267,Modules!$B$5:$E$496,4,0)=1)=TRUE,VLOOKUP('Hours Detail'!E267,'BASE_FUNCOES (hide)'!$A:$V,14,0),  IF(AND('General Information'!$D$16=6,VLOOKUP(B267,Modules!$B$5:$E$496,4,0)=1)=TRUE,VLOOKUP('Hours Detail'!E267,'BASE_FUNCOES (hide)'!$A:$V,15,0),"No"))))))</f>
        <v>No</v>
      </c>
      <c r="H267" s="22" t="str">
        <f t="shared" si="5"/>
        <v>No</v>
      </c>
      <c r="I267" s="75">
        <f>IF('General Information'!$C$4="Mexico",(ROUNDUP(VLOOKUP(E267,'BASE_FUNCOES (hide)'!A:X,21,0),0)),(ROUNDUP(VLOOKUP(E267,'BASE_FUNCOES (hide)'!A:L,9,0),0)))</f>
        <v>16</v>
      </c>
      <c r="J267" s="75">
        <f>ROUNDUP(SUMIF(Questions!$E$5:$E$558,'Hours Detail'!E267,Questions!$F$5:$F$558),0)</f>
        <v>0</v>
      </c>
      <c r="K267" s="76">
        <f>IF(H267="Yes",ROUNDUP(IF(VLOOKUP(E267,'BASE_FUNCOES (hide)'!A:T,16,FALSE)&lt;&gt;"No",IF('General Information'!$C$19="HTML5",(I267+J267)*'BASE_FUNCOES (hide)'!$T$2,I267+J267),I267+J267),I267+J267),I267+J267)</f>
        <v>16</v>
      </c>
      <c r="L267" s="265" t="str">
        <f>IF(OR(E267=121,E267=88,E267=2682,E267=2703,E267=2687,E267=2689,E267=2681,E267=2685)=FALSE,"",IF('General Information'!$C$19="HTML5","FUNÇÃO DISPONÍVEL APENAS PARA BRASIL",IF(J268&lt;&gt;0,VLOOKUP(E268,Questions!$E$5:$L$568,5,0),"")))</f>
        <v/>
      </c>
      <c r="M267" s="164" t="s">
        <v>2396</v>
      </c>
      <c r="N267" s="369" t="s">
        <v>2377</v>
      </c>
    </row>
    <row r="268" spans="1:14" ht="14.5" customHeight="1" outlineLevel="1">
      <c r="A268" s="59"/>
      <c r="B268" s="72">
        <f>VLOOKUP('Hours Detail'!E268,'BASE_FUNCOES (hide)'!A:W,5,FALSE)</f>
        <v>29</v>
      </c>
      <c r="C268" s="72" t="s">
        <v>5929</v>
      </c>
      <c r="D268" s="73" t="str">
        <f>IF('General Information'!$C$6="Português",VLOOKUP(B268,'ESTRUTURA_MODULO(hide)'!A:D,2,0),IF('General Information'!$C$6="English",VLOOKUP(B268,'ESTRUTURA_MODULO(hide)'!A:D,3,0),IF('General Information'!$C$6="Español",VLOOKUP(B268,'ESTRUTURA_MODULO(hide)'!A:D,4,0))))</f>
        <v>Tesouraria</v>
      </c>
      <c r="E268" s="254">
        <v>813</v>
      </c>
      <c r="F268" s="73" t="str">
        <f>IF('General Information'!$C$6="Português",VLOOKUP(E268,'BASE_FUNCOES (hide)'!A:H,2,0),IF('General Information'!$C$6="English",VLOOKUP(E268,'BASE_FUNCOES (hide)'!A:H,3,0),IF('General Information'!$C$6="Español",VLOOKUP(E268,'BASE_FUNCOES (hide)'!A:H,4,0))))</f>
        <v>Tesouraria</v>
      </c>
      <c r="G268" s="73" t="str">
        <f>IF(AND('General Information'!$D$16=1,VLOOKUP(B268,Modules!$B$5:$E$496,4,0)=1)=TRUE,VLOOKUP('Hours Detail'!E268,'BASE_FUNCOES (hide)'!$A:$V,10,0),IF(AND('General Information'!$D$16=2,VLOOKUP(B268,Modules!$B$5:$E$496,4,0)=1)=TRUE,VLOOKUP('Hours Detail'!E268,'BASE_FUNCOES (hide)'!$A:$V,11,0),IF(AND('General Information'!$D$16=3,VLOOKUP(B268,Modules!$B$5:$E$496,4,0)=1)=TRUE,VLOOKUP('Hours Detail'!E268,'BASE_FUNCOES (hide)'!$A:$V,12,0),IF(AND('General Information'!$D$16=4,VLOOKUP(B268,Modules!$B$5:$E$496,4,0)=1)=TRUE,VLOOKUP('Hours Detail'!E268,'BASE_FUNCOES (hide)'!$A:$V,13,0),IF(AND('General Information'!$D$16=5,VLOOKUP(B268,Modules!$B$5:$E$496,4,0)=1)=TRUE,VLOOKUP('Hours Detail'!E268,'BASE_FUNCOES (hide)'!$A:$V,14,0),  IF(AND('General Information'!$D$16=6,VLOOKUP(B268,Modules!$B$5:$E$496,4,0)=1)=TRUE,VLOOKUP('Hours Detail'!E268,'BASE_FUNCOES (hide)'!$A:$V,15,0),"No"))))))</f>
        <v>No</v>
      </c>
      <c r="H268" s="22" t="str">
        <f t="shared" si="5"/>
        <v>No</v>
      </c>
      <c r="I268" s="75">
        <f>IF('General Information'!$C$4="Mexico",(ROUNDUP(VLOOKUP(E268,'BASE_FUNCOES (hide)'!A:X,21,0),0)),(ROUNDUP(VLOOKUP(E268,'BASE_FUNCOES (hide)'!A:L,9,0),0)))</f>
        <v>24</v>
      </c>
      <c r="J268" s="75">
        <f>ROUNDUP(SUMIF(Questions!$E$5:$E$558,'Hours Detail'!E268,Questions!$F$5:$F$558),0)</f>
        <v>0</v>
      </c>
      <c r="K268" s="76">
        <f>IF(H268="Yes",ROUNDUP(IF(VLOOKUP(E268,'BASE_FUNCOES (hide)'!A:T,16,FALSE)&lt;&gt;"No",IF('General Information'!$C$19="HTML5",(I268+J268)*'BASE_FUNCOES (hide)'!$T$2,I268+J268),I268+J268),I268+J268),I268+J268)</f>
        <v>24</v>
      </c>
      <c r="L268" s="265" t="str">
        <f>IF(OR(E268=121,E268=88,E268=2682,E268=2703,E268=2687,E268=2689,E268=2681,E268=2685)=FALSE,"",IF('General Information'!$C$19="HTML5","FUNÇÃO DISPONÍVEL APENAS PARA BRASIL",IF(J269&lt;&gt;0,VLOOKUP(E269,Questions!$E$5:$L$568,5,0),"")))</f>
        <v/>
      </c>
      <c r="M268" s="164" t="s">
        <v>2396</v>
      </c>
      <c r="N268" s="369" t="s">
        <v>2377</v>
      </c>
    </row>
    <row r="269" spans="1:14" ht="14.5" customHeight="1" outlineLevel="1">
      <c r="A269" s="59"/>
      <c r="B269" s="72">
        <f>VLOOKUP('Hours Detail'!E269,'BASE_FUNCOES (hide)'!A:W,5,FALSE)</f>
        <v>30</v>
      </c>
      <c r="C269" s="72" t="s">
        <v>5929</v>
      </c>
      <c r="D269" s="73" t="str">
        <f>IF('General Information'!$C$6="Português",VLOOKUP(B269,'ESTRUTURA_MODULO(hide)'!A:D,2,0),IF('General Information'!$C$6="English",VLOOKUP(B269,'ESTRUTURA_MODULO(hide)'!A:D,3,0),IF('General Information'!$C$6="Español",VLOOKUP(B269,'ESTRUTURA_MODULO(hide)'!A:D,4,0))))</f>
        <v>Fluxo de Caixa</v>
      </c>
      <c r="E269" s="254">
        <v>830</v>
      </c>
      <c r="F269" s="73" t="str">
        <f>IF('General Information'!$C$6="Português",VLOOKUP(E269,'BASE_FUNCOES (hide)'!A:H,2,0),IF('General Information'!$C$6="English",VLOOKUP(E269,'BASE_FUNCOES (hide)'!A:H,3,0),IF('General Information'!$C$6="Español",VLOOKUP(E269,'BASE_FUNCOES (hide)'!A:H,4,0))))</f>
        <v>Fluxo de Caixa</v>
      </c>
      <c r="G269" s="73" t="str">
        <f>IF(AND('General Information'!$D$16=1,VLOOKUP(B269,Modules!$B$5:$E$496,4,0)=1)=TRUE,VLOOKUP('Hours Detail'!E269,'BASE_FUNCOES (hide)'!$A:$V,10,0),IF(AND('General Information'!$D$16=2,VLOOKUP(B269,Modules!$B$5:$E$496,4,0)=1)=TRUE,VLOOKUP('Hours Detail'!E269,'BASE_FUNCOES (hide)'!$A:$V,11,0),IF(AND('General Information'!$D$16=3,VLOOKUP(B269,Modules!$B$5:$E$496,4,0)=1)=TRUE,VLOOKUP('Hours Detail'!E269,'BASE_FUNCOES (hide)'!$A:$V,12,0),IF(AND('General Information'!$D$16=4,VLOOKUP(B269,Modules!$B$5:$E$496,4,0)=1)=TRUE,VLOOKUP('Hours Detail'!E269,'BASE_FUNCOES (hide)'!$A:$V,13,0),IF(AND('General Information'!$D$16=5,VLOOKUP(B269,Modules!$B$5:$E$496,4,0)=1)=TRUE,VLOOKUP('Hours Detail'!E269,'BASE_FUNCOES (hide)'!$A:$V,14,0),  IF(AND('General Information'!$D$16=6,VLOOKUP(B269,Modules!$B$5:$E$496,4,0)=1)=TRUE,VLOOKUP('Hours Detail'!E269,'BASE_FUNCOES (hide)'!$A:$V,15,0),"No"))))))</f>
        <v>No</v>
      </c>
      <c r="H269" s="22" t="str">
        <f t="shared" si="5"/>
        <v>No</v>
      </c>
      <c r="I269" s="75">
        <f>IF('General Information'!$C$4="Mexico",(ROUNDUP(VLOOKUP(E269,'BASE_FUNCOES (hide)'!A:X,21,0),0)),(ROUNDUP(VLOOKUP(E269,'BASE_FUNCOES (hide)'!A:L,9,0),0)))</f>
        <v>40</v>
      </c>
      <c r="J269" s="75">
        <f>ROUNDUP(SUMIF(Questions!$E$5:$E$558,'Hours Detail'!E269,Questions!$F$5:$F$558),0)</f>
        <v>0</v>
      </c>
      <c r="K269" s="76">
        <f>IF(H269="Yes",ROUNDUP(IF(VLOOKUP(E269,'BASE_FUNCOES (hide)'!A:T,16,FALSE)&lt;&gt;"No",IF('General Information'!$C$19="HTML5",(I269+J269)*'BASE_FUNCOES (hide)'!$T$2,I269+J269),I269+J269),I269+J269),I269+J269)</f>
        <v>40</v>
      </c>
      <c r="L269" s="265" t="str">
        <f>IF(OR(E269=121,E269=88,E269=2682,E269=2703,E269=2687,E269=2689,E269=2681,E269=2685)=FALSE,"",IF('General Information'!$C$19="HTML5","FUNÇÃO DISPONÍVEL APENAS PARA BRASIL",IF(J270&lt;&gt;0,VLOOKUP(E270,Questions!$E$5:$L$568,5,0),"")))</f>
        <v/>
      </c>
      <c r="M269" s="164" t="s">
        <v>2396</v>
      </c>
      <c r="N269" s="369" t="s">
        <v>2377</v>
      </c>
    </row>
    <row r="270" spans="1:14" ht="14.5" customHeight="1" outlineLevel="1">
      <c r="A270" s="59"/>
      <c r="B270" s="72">
        <f>VLOOKUP('Hours Detail'!E270,'BASE_FUNCOES (hide)'!A:W,5,FALSE)</f>
        <v>103</v>
      </c>
      <c r="C270" s="72" t="s">
        <v>5929</v>
      </c>
      <c r="D270" s="73" t="str">
        <f>IF('General Information'!$C$6="Português",VLOOKUP(B270,'ESTRUTURA_MODULO(hide)'!A:D,2,0),IF('General Information'!$C$6="English",VLOOKUP(B270,'ESTRUTURA_MODULO(hide)'!A:D,3,0),IF('General Information'!$C$6="Español",VLOOKUP(B270,'ESTRUTURA_MODULO(hide)'!A:D,4,0))))</f>
        <v>Retorno de Convênios</v>
      </c>
      <c r="E270" s="254">
        <v>69</v>
      </c>
      <c r="F270" s="73" t="str">
        <f>IF('General Information'!$C$6="Português",VLOOKUP(E270,'BASE_FUNCOES (hide)'!A:H,2,0),IF('General Information'!$C$6="English",VLOOKUP(E270,'BASE_FUNCOES (hide)'!A:H,3,0),IF('General Information'!$C$6="Español",VLOOKUP(E270,'BASE_FUNCOES (hide)'!A:H,4,0))))</f>
        <v>Gestão de Recurso de Glosas</v>
      </c>
      <c r="G270" s="73" t="str">
        <f>IF(AND('General Information'!$D$16=1,VLOOKUP(B270,Modules!$B$5:$E$496,4,0)=1)=TRUE,VLOOKUP('Hours Detail'!E270,'BASE_FUNCOES (hide)'!$A:$V,10,0),IF(AND('General Information'!$D$16=2,VLOOKUP(B270,Modules!$B$5:$E$496,4,0)=1)=TRUE,VLOOKUP('Hours Detail'!E270,'BASE_FUNCOES (hide)'!$A:$V,11,0),IF(AND('General Information'!$D$16=3,VLOOKUP(B270,Modules!$B$5:$E$496,4,0)=1)=TRUE,VLOOKUP('Hours Detail'!E270,'BASE_FUNCOES (hide)'!$A:$V,12,0),IF(AND('General Information'!$D$16=4,VLOOKUP(B270,Modules!$B$5:$E$496,4,0)=1)=TRUE,VLOOKUP('Hours Detail'!E270,'BASE_FUNCOES (hide)'!$A:$V,13,0),IF(AND('General Information'!$D$16=5,VLOOKUP(B270,Modules!$B$5:$E$496,4,0)=1)=TRUE,VLOOKUP('Hours Detail'!E270,'BASE_FUNCOES (hide)'!$A:$V,14,0),  IF(AND('General Information'!$D$16=6,VLOOKUP(B270,Modules!$B$5:$E$496,4,0)=1)=TRUE,VLOOKUP('Hours Detail'!E270,'BASE_FUNCOES (hide)'!$A:$V,15,0),"No"))))))</f>
        <v>No</v>
      </c>
      <c r="H270" s="22" t="str">
        <f t="shared" si="5"/>
        <v>No</v>
      </c>
      <c r="I270" s="75">
        <f>IF('General Information'!$C$4="Mexico",(ROUNDUP(VLOOKUP(E270,'BASE_FUNCOES (hide)'!A:X,21,0),0)),(ROUNDUP(VLOOKUP(E270,'BASE_FUNCOES (hide)'!A:L,9,0),0)))</f>
        <v>24</v>
      </c>
      <c r="J270" s="75">
        <f>ROUNDUP(SUMIF(Questions!$E$5:$E$558,'Hours Detail'!E270,Questions!$F$5:$F$558),0)</f>
        <v>0</v>
      </c>
      <c r="K270" s="76">
        <f>IF(H270="Yes",ROUNDUP(IF(VLOOKUP(E270,'BASE_FUNCOES (hide)'!A:T,16,FALSE)&lt;&gt;"No",IF('General Information'!$C$19="HTML5",(I270+J270)*'BASE_FUNCOES (hide)'!$T$2,I270+J270),I270+J270),I270+J270),I270+J270)</f>
        <v>24</v>
      </c>
      <c r="L270" s="265" t="str">
        <f>IF(OR(E270=121,E270=88,E270=2682,E270=2703,E270=2687,E270=2689,E270=2681,E270=2685)=FALSE,"",IF('General Information'!$C$19="HTML5","FUNÇÃO DISPONÍVEL APENAS PARA BRASIL",IF(J271&lt;&gt;0,VLOOKUP(E271,Questions!$E$5:$L$568,5,0),"")))</f>
        <v/>
      </c>
      <c r="M270" s="164" t="s">
        <v>2396</v>
      </c>
      <c r="N270" s="369" t="s">
        <v>2377</v>
      </c>
    </row>
    <row r="271" spans="1:14" ht="14.5" customHeight="1" outlineLevel="1">
      <c r="A271" s="59"/>
      <c r="B271" s="72">
        <f>VLOOKUP('Hours Detail'!E271,'BASE_FUNCOES (hide)'!A:W,5,FALSE)</f>
        <v>103</v>
      </c>
      <c r="C271" s="72" t="s">
        <v>5929</v>
      </c>
      <c r="D271" s="73" t="str">
        <f>IF('General Information'!$C$6="Português",VLOOKUP(B271,'ESTRUTURA_MODULO(hide)'!A:D,2,0),IF('General Information'!$C$6="English",VLOOKUP(B271,'ESTRUTURA_MODULO(hide)'!A:D,3,0),IF('General Information'!$C$6="Español",VLOOKUP(B271,'ESTRUTURA_MODULO(hide)'!A:D,4,0))))</f>
        <v>Retorno de Convênios</v>
      </c>
      <c r="E271" s="254">
        <v>27</v>
      </c>
      <c r="F271" s="73" t="str">
        <f>IF('General Information'!$C$6="Português",VLOOKUP(E271,'BASE_FUNCOES (hide)'!A:H,2,0),IF('General Information'!$C$6="English",VLOOKUP(E271,'BASE_FUNCOES (hide)'!A:H,3,0),IF('General Information'!$C$6="Español",VLOOKUP(E271,'BASE_FUNCOES (hide)'!A:H,4,0))))</f>
        <v>Retorno Convênio</v>
      </c>
      <c r="G271" s="73" t="str">
        <f>IF(AND('General Information'!$D$16=1,VLOOKUP(B271,Modules!$B$5:$E$496,4,0)=1)=TRUE,VLOOKUP('Hours Detail'!E271,'BASE_FUNCOES (hide)'!$A:$V,10,0),IF(AND('General Information'!$D$16=2,VLOOKUP(B271,Modules!$B$5:$E$496,4,0)=1)=TRUE,VLOOKUP('Hours Detail'!E271,'BASE_FUNCOES (hide)'!$A:$V,11,0),IF(AND('General Information'!$D$16=3,VLOOKUP(B271,Modules!$B$5:$E$496,4,0)=1)=TRUE,VLOOKUP('Hours Detail'!E271,'BASE_FUNCOES (hide)'!$A:$V,12,0),IF(AND('General Information'!$D$16=4,VLOOKUP(B271,Modules!$B$5:$E$496,4,0)=1)=TRUE,VLOOKUP('Hours Detail'!E271,'BASE_FUNCOES (hide)'!$A:$V,13,0),IF(AND('General Information'!$D$16=5,VLOOKUP(B271,Modules!$B$5:$E$496,4,0)=1)=TRUE,VLOOKUP('Hours Detail'!E271,'BASE_FUNCOES (hide)'!$A:$V,14,0),  IF(AND('General Information'!$D$16=6,VLOOKUP(B271,Modules!$B$5:$E$496,4,0)=1)=TRUE,VLOOKUP('Hours Detail'!E271,'BASE_FUNCOES (hide)'!$A:$V,15,0),"No"))))))</f>
        <v>No</v>
      </c>
      <c r="H271" s="22" t="str">
        <f t="shared" si="5"/>
        <v>No</v>
      </c>
      <c r="I271" s="75">
        <f>IF('General Information'!$C$4="Mexico",(ROUNDUP(VLOOKUP(E271,'BASE_FUNCOES (hide)'!A:X,21,0),0)),(ROUNDUP(VLOOKUP(E271,'BASE_FUNCOES (hide)'!A:L,9,0),0)))</f>
        <v>24</v>
      </c>
      <c r="J271" s="75">
        <f>ROUNDUP(SUMIF(Questions!$E$5:$E$558,'Hours Detail'!E271,Questions!$F$5:$F$558),0)</f>
        <v>0</v>
      </c>
      <c r="K271" s="76">
        <f>IF(H271="Yes",ROUNDUP(IF(VLOOKUP(E271,'BASE_FUNCOES (hide)'!A:T,16,FALSE)&lt;&gt;"No",IF('General Information'!$C$19="HTML5",(I271+J271)*'BASE_FUNCOES (hide)'!$T$2,I271+J271),I271+J271),I271+J271),I271+J271)</f>
        <v>24</v>
      </c>
      <c r="L271" s="265" t="str">
        <f>IF(OR(E271=121,E271=88,E271=2682,E271=2703,E271=2687,E271=2689,E271=2681,E271=2685)=FALSE,"",IF('General Information'!$C$19="HTML5","FUNÇÃO DISPONÍVEL APENAS PARA BRASIL",IF(J272&lt;&gt;0,VLOOKUP(E272,Questions!$E$5:$L$568,5,0),"")))</f>
        <v/>
      </c>
      <c r="M271" s="164" t="s">
        <v>2396</v>
      </c>
      <c r="N271" s="369" t="s">
        <v>2377</v>
      </c>
    </row>
    <row r="272" spans="1:14" ht="14.5" customHeight="1" outlineLevel="1">
      <c r="A272" s="59"/>
      <c r="B272" s="72">
        <f>VLOOKUP('Hours Detail'!E272,'BASE_FUNCOES (hide)'!A:W,5,FALSE)</f>
        <v>104</v>
      </c>
      <c r="C272" s="72" t="s">
        <v>5929</v>
      </c>
      <c r="D272" s="73" t="str">
        <f>IF('General Information'!$C$6="Português",VLOOKUP(B272,'ESTRUTURA_MODULO(hide)'!A:D,2,0),IF('General Information'!$C$6="English",VLOOKUP(B272,'ESTRUTURA_MODULO(hide)'!A:D,3,0),IF('General Information'!$C$6="Español",VLOOKUP(B272,'ESTRUTURA_MODULO(hide)'!A:D,4,0))))</f>
        <v>Repasse a Terceiros</v>
      </c>
      <c r="E272" s="254">
        <v>1008</v>
      </c>
      <c r="F272" s="73" t="str">
        <f>IF('General Information'!$C$6="Português",VLOOKUP(E272,'BASE_FUNCOES (hide)'!A:H,2,0),IF('General Information'!$C$6="English",VLOOKUP(E272,'BASE_FUNCOES (hide)'!A:H,3,0),IF('General Information'!$C$6="Español",VLOOKUP(E272,'BASE_FUNCOES (hide)'!A:H,4,0))))</f>
        <v>Cadastro de Plantões Médicos</v>
      </c>
      <c r="G272" s="73" t="str">
        <f>IF(AND('General Information'!$D$16=1,VLOOKUP(B272,Modules!$B$5:$E$496,4,0)=1)=TRUE,VLOOKUP('Hours Detail'!E272,'BASE_FUNCOES (hide)'!$A:$V,10,0),IF(AND('General Information'!$D$16=2,VLOOKUP(B272,Modules!$B$5:$E$496,4,0)=1)=TRUE,VLOOKUP('Hours Detail'!E272,'BASE_FUNCOES (hide)'!$A:$V,11,0),IF(AND('General Information'!$D$16=3,VLOOKUP(B272,Modules!$B$5:$E$496,4,0)=1)=TRUE,VLOOKUP('Hours Detail'!E272,'BASE_FUNCOES (hide)'!$A:$V,12,0),IF(AND('General Information'!$D$16=4,VLOOKUP(B272,Modules!$B$5:$E$496,4,0)=1)=TRUE,VLOOKUP('Hours Detail'!E272,'BASE_FUNCOES (hide)'!$A:$V,13,0),IF(AND('General Information'!$D$16=5,VLOOKUP(B272,Modules!$B$5:$E$496,4,0)=1)=TRUE,VLOOKUP('Hours Detail'!E272,'BASE_FUNCOES (hide)'!$A:$V,14,0),  IF(AND('General Information'!$D$16=6,VLOOKUP(B272,Modules!$B$5:$E$496,4,0)=1)=TRUE,VLOOKUP('Hours Detail'!E272,'BASE_FUNCOES (hide)'!$A:$V,15,0),"No"))))))</f>
        <v>No</v>
      </c>
      <c r="H272" s="22" t="str">
        <f t="shared" si="5"/>
        <v>No</v>
      </c>
      <c r="I272" s="75">
        <f>IF('General Information'!$C$4="Mexico",(ROUNDUP(VLOOKUP(E272,'BASE_FUNCOES (hide)'!A:X,21,0),0)),(ROUNDUP(VLOOKUP(E272,'BASE_FUNCOES (hide)'!A:L,9,0),0)))</f>
        <v>8</v>
      </c>
      <c r="J272" s="75">
        <f>ROUNDUP(SUMIF(Questions!$E$5:$E$558,'Hours Detail'!E272,Questions!$F$5:$F$558),0)</f>
        <v>0</v>
      </c>
      <c r="K272" s="76">
        <f>IF(H272="Yes",ROUNDUP(IF(VLOOKUP(E272,'BASE_FUNCOES (hide)'!A:T,16,FALSE)&lt;&gt;"No",IF('General Information'!$C$19="HTML5",(I272+J272)*'BASE_FUNCOES (hide)'!$T$2,I272+J272),I272+J272),I272+J272),I272+J272)</f>
        <v>8</v>
      </c>
      <c r="L272" s="265" t="str">
        <f>IF(OR(E272=121,E272=88,E272=2682,E272=2703,E272=2687,E272=2689,E272=2681,E272=2685)=FALSE,"",IF('General Information'!$C$19="HTML5","FUNÇÃO DISPONÍVEL APENAS PARA BRASIL",IF(J273&lt;&gt;0,VLOOKUP(E273,Questions!$E$5:$L$568,5,0),"")))</f>
        <v/>
      </c>
      <c r="M272" s="164" t="s">
        <v>2396</v>
      </c>
      <c r="N272" s="369" t="s">
        <v>2377</v>
      </c>
    </row>
    <row r="273" spans="1:14" ht="14.5" customHeight="1" outlineLevel="1">
      <c r="A273" s="59"/>
      <c r="B273" s="72">
        <f>VLOOKUP('Hours Detail'!E273,'BASE_FUNCOES (hide)'!A:W,5,FALSE)</f>
        <v>104</v>
      </c>
      <c r="C273" s="72" t="s">
        <v>5929</v>
      </c>
      <c r="D273" s="73" t="str">
        <f>IF('General Information'!$C$6="Português",VLOOKUP(B273,'ESTRUTURA_MODULO(hide)'!A:D,2,0),IF('General Information'!$C$6="English",VLOOKUP(B273,'ESTRUTURA_MODULO(hide)'!A:D,3,0),IF('General Information'!$C$6="Español",VLOOKUP(B273,'ESTRUTURA_MODULO(hide)'!A:D,4,0))))</f>
        <v>Repasse a Terceiros</v>
      </c>
      <c r="E273" s="254">
        <v>907</v>
      </c>
      <c r="F273" s="73" t="str">
        <f>IF('General Information'!$C$6="Português",VLOOKUP(E273,'BASE_FUNCOES (hide)'!A:H,2,0),IF('General Information'!$C$6="English",VLOOKUP(E273,'BASE_FUNCOES (hide)'!A:H,3,0),IF('General Information'!$C$6="Español",VLOOKUP(E273,'BASE_FUNCOES (hide)'!A:H,4,0))))</f>
        <v>Controle de Terceiros</v>
      </c>
      <c r="G273" s="73" t="str">
        <f>IF(AND('General Information'!$D$16=1,VLOOKUP(B273,Modules!$B$5:$E$496,4,0)=1)=TRUE,VLOOKUP('Hours Detail'!E273,'BASE_FUNCOES (hide)'!$A:$V,10,0),IF(AND('General Information'!$D$16=2,VLOOKUP(B273,Modules!$B$5:$E$496,4,0)=1)=TRUE,VLOOKUP('Hours Detail'!E273,'BASE_FUNCOES (hide)'!$A:$V,11,0),IF(AND('General Information'!$D$16=3,VLOOKUP(B273,Modules!$B$5:$E$496,4,0)=1)=TRUE,VLOOKUP('Hours Detail'!E273,'BASE_FUNCOES (hide)'!$A:$V,12,0),IF(AND('General Information'!$D$16=4,VLOOKUP(B273,Modules!$B$5:$E$496,4,0)=1)=TRUE,VLOOKUP('Hours Detail'!E273,'BASE_FUNCOES (hide)'!$A:$V,13,0),IF(AND('General Information'!$D$16=5,VLOOKUP(B273,Modules!$B$5:$E$496,4,0)=1)=TRUE,VLOOKUP('Hours Detail'!E273,'BASE_FUNCOES (hide)'!$A:$V,14,0),  IF(AND('General Information'!$D$16=6,VLOOKUP(B273,Modules!$B$5:$E$496,4,0)=1)=TRUE,VLOOKUP('Hours Detail'!E273,'BASE_FUNCOES (hide)'!$A:$V,15,0),"No"))))))</f>
        <v>No</v>
      </c>
      <c r="H273" s="22" t="str">
        <f t="shared" si="5"/>
        <v>No</v>
      </c>
      <c r="I273" s="75">
        <f>IF('General Information'!$C$4="Mexico",(ROUNDUP(VLOOKUP(E273,'BASE_FUNCOES (hide)'!A:X,21,0),0)),(ROUNDUP(VLOOKUP(E273,'BASE_FUNCOES (hide)'!A:L,9,0),0)))</f>
        <v>8</v>
      </c>
      <c r="J273" s="75">
        <f>ROUNDUP(SUMIF(Questions!$E$5:$E$558,'Hours Detail'!E273,Questions!$F$5:$F$558),0)</f>
        <v>0</v>
      </c>
      <c r="K273" s="76">
        <f>IF(H273="Yes",ROUNDUP(IF(VLOOKUP(E273,'BASE_FUNCOES (hide)'!A:T,16,FALSE)&lt;&gt;"No",IF('General Information'!$C$19="HTML5",(I273+J273)*'BASE_FUNCOES (hide)'!$T$2,I273+J273),I273+J273),I273+J273),I273+J273)</f>
        <v>8</v>
      </c>
      <c r="L273" s="265" t="str">
        <f>IF(OR(E273=121,E273=88,E273=2682,E273=2703,E273=2687,E273=2689,E273=2681,E273=2685)=FALSE,"",IF('General Information'!$C$19="HTML5","FUNÇÃO DISPONÍVEL APENAS PARA BRASIL",IF(J274&lt;&gt;0,VLOOKUP(E274,Questions!$E$5:$L$568,5,0),"")))</f>
        <v/>
      </c>
      <c r="M273" s="164" t="s">
        <v>2396</v>
      </c>
      <c r="N273" s="369" t="s">
        <v>2377</v>
      </c>
    </row>
    <row r="274" spans="1:14" ht="14.5" customHeight="1" outlineLevel="1">
      <c r="A274" s="59"/>
      <c r="B274" s="72">
        <f>VLOOKUP('Hours Detail'!E274,'BASE_FUNCOES (hide)'!A:W,5,FALSE)</f>
        <v>104</v>
      </c>
      <c r="C274" s="72" t="s">
        <v>5929</v>
      </c>
      <c r="D274" s="73" t="str">
        <f>IF('General Information'!$C$6="Português",VLOOKUP(B274,'ESTRUTURA_MODULO(hide)'!A:D,2,0),IF('General Information'!$C$6="English",VLOOKUP(B274,'ESTRUTURA_MODULO(hide)'!A:D,3,0),IF('General Information'!$C$6="Español",VLOOKUP(B274,'ESTRUTURA_MODULO(hide)'!A:D,4,0))))</f>
        <v>Repasse a Terceiros</v>
      </c>
      <c r="E274" s="254">
        <v>9920</v>
      </c>
      <c r="F274" s="73" t="str">
        <f>IF('General Information'!$C$6="Português",VLOOKUP(E274,'BASE_FUNCOES (hide)'!A:H,2,0),IF('General Information'!$C$6="English",VLOOKUP(E274,'BASE_FUNCOES (hide)'!A:H,3,0),IF('General Information'!$C$6="Español",VLOOKUP(E274,'BASE_FUNCOES (hide)'!A:H,4,0))))</f>
        <v>Produção por Plantão Médico</v>
      </c>
      <c r="G274" s="73" t="str">
        <f>IF(AND('General Information'!$D$16=1,VLOOKUP(B274,Modules!$B$5:$E$496,4,0)=1)=TRUE,VLOOKUP('Hours Detail'!E274,'BASE_FUNCOES (hide)'!$A:$V,10,0),IF(AND('General Information'!$D$16=2,VLOOKUP(B274,Modules!$B$5:$E$496,4,0)=1)=TRUE,VLOOKUP('Hours Detail'!E274,'BASE_FUNCOES (hide)'!$A:$V,11,0),IF(AND('General Information'!$D$16=3,VLOOKUP(B274,Modules!$B$5:$E$496,4,0)=1)=TRUE,VLOOKUP('Hours Detail'!E274,'BASE_FUNCOES (hide)'!$A:$V,12,0),IF(AND('General Information'!$D$16=4,VLOOKUP(B274,Modules!$B$5:$E$496,4,0)=1)=TRUE,VLOOKUP('Hours Detail'!E274,'BASE_FUNCOES (hide)'!$A:$V,13,0),IF(AND('General Information'!$D$16=5,VLOOKUP(B274,Modules!$B$5:$E$496,4,0)=1)=TRUE,VLOOKUP('Hours Detail'!E274,'BASE_FUNCOES (hide)'!$A:$V,14,0),  IF(AND('General Information'!$D$16=6,VLOOKUP(B274,Modules!$B$5:$E$496,4,0)=1)=TRUE,VLOOKUP('Hours Detail'!E274,'BASE_FUNCOES (hide)'!$A:$V,15,0),"No"))))))</f>
        <v>No</v>
      </c>
      <c r="H274" s="22" t="str">
        <f t="shared" ref="H274:H337" si="6">G274</f>
        <v>No</v>
      </c>
      <c r="I274" s="75">
        <f>IF('General Information'!$C$4="Mexico",(ROUNDUP(VLOOKUP(E274,'BASE_FUNCOES (hide)'!A:X,21,0),0)),(ROUNDUP(VLOOKUP(E274,'BASE_FUNCOES (hide)'!A:L,9,0),0)))</f>
        <v>6</v>
      </c>
      <c r="J274" s="75">
        <f>ROUNDUP(SUMIF(Questions!$E$5:$E$558,'Hours Detail'!E274,Questions!$F$5:$F$558),0)</f>
        <v>0</v>
      </c>
      <c r="K274" s="76">
        <f>IF(H274="Yes",ROUNDUP(IF(VLOOKUP(E274,'BASE_FUNCOES (hide)'!A:T,16,FALSE)&lt;&gt;"No",IF('General Information'!$C$19="HTML5",(I274+J274)*'BASE_FUNCOES (hide)'!$T$2,I274+J274),I274+J274),I274+J274),I274+J274)</f>
        <v>6</v>
      </c>
      <c r="L274" s="265" t="str">
        <f>IF(OR(E274=121,E274=88,E274=2682,E274=2703,E274=2687,E274=2689,E274=2681,E274=2685)=FALSE,"",IF('General Information'!$C$19="HTML5","FUNÇÃO DISPONÍVEL APENAS PARA BRASIL",IF(J275&lt;&gt;0,VLOOKUP(E275,Questions!$E$5:$L$568,5,0),"")))</f>
        <v/>
      </c>
      <c r="M274" s="164" t="s">
        <v>2396</v>
      </c>
      <c r="N274" s="369" t="s">
        <v>2377</v>
      </c>
    </row>
    <row r="275" spans="1:14" ht="14.5" customHeight="1" outlineLevel="1">
      <c r="A275" s="59"/>
      <c r="B275" s="72">
        <f>VLOOKUP('Hours Detail'!E275,'BASE_FUNCOES (hide)'!A:W,5,FALSE)</f>
        <v>104</v>
      </c>
      <c r="C275" s="72" t="s">
        <v>5929</v>
      </c>
      <c r="D275" s="73" t="str">
        <f>IF('General Information'!$C$6="Português",VLOOKUP(B275,'ESTRUTURA_MODULO(hide)'!A:D,2,0),IF('General Information'!$C$6="English",VLOOKUP(B275,'ESTRUTURA_MODULO(hide)'!A:D,3,0),IF('General Information'!$C$6="Español",VLOOKUP(B275,'ESTRUTURA_MODULO(hide)'!A:D,4,0))))</f>
        <v>Repasse a Terceiros</v>
      </c>
      <c r="E275" s="254">
        <v>92</v>
      </c>
      <c r="F275" s="73" t="str">
        <f>IF('General Information'!$C$6="Português",VLOOKUP(E275,'BASE_FUNCOES (hide)'!A:H,2,0),IF('General Information'!$C$6="English",VLOOKUP(E275,'BASE_FUNCOES (hide)'!A:H,3,0),IF('General Information'!$C$6="Español",VLOOKUP(E275,'BASE_FUNCOES (hide)'!A:H,4,0))))</f>
        <v>Regras e Critérios de Repasse</v>
      </c>
      <c r="G275" s="73" t="str">
        <f>IF(AND('General Information'!$D$16=1,VLOOKUP(B275,Modules!$B$5:$E$496,4,0)=1)=TRUE,VLOOKUP('Hours Detail'!E275,'BASE_FUNCOES (hide)'!$A:$V,10,0),IF(AND('General Information'!$D$16=2,VLOOKUP(B275,Modules!$B$5:$E$496,4,0)=1)=TRUE,VLOOKUP('Hours Detail'!E275,'BASE_FUNCOES (hide)'!$A:$V,11,0),IF(AND('General Information'!$D$16=3,VLOOKUP(B275,Modules!$B$5:$E$496,4,0)=1)=TRUE,VLOOKUP('Hours Detail'!E275,'BASE_FUNCOES (hide)'!$A:$V,12,0),IF(AND('General Information'!$D$16=4,VLOOKUP(B275,Modules!$B$5:$E$496,4,0)=1)=TRUE,VLOOKUP('Hours Detail'!E275,'BASE_FUNCOES (hide)'!$A:$V,13,0),IF(AND('General Information'!$D$16=5,VLOOKUP(B275,Modules!$B$5:$E$496,4,0)=1)=TRUE,VLOOKUP('Hours Detail'!E275,'BASE_FUNCOES (hide)'!$A:$V,14,0),  IF(AND('General Information'!$D$16=6,VLOOKUP(B275,Modules!$B$5:$E$496,4,0)=1)=TRUE,VLOOKUP('Hours Detail'!E275,'BASE_FUNCOES (hide)'!$A:$V,15,0),"No"))))))</f>
        <v>No</v>
      </c>
      <c r="H275" s="22" t="str">
        <f t="shared" si="6"/>
        <v>No</v>
      </c>
      <c r="I275" s="75">
        <f>IF('General Information'!$C$4="Mexico",(ROUNDUP(VLOOKUP(E275,'BASE_FUNCOES (hide)'!A:X,21,0),0)),(ROUNDUP(VLOOKUP(E275,'BASE_FUNCOES (hide)'!A:L,9,0),0)))</f>
        <v>24</v>
      </c>
      <c r="J275" s="75">
        <f>ROUNDUP(SUMIF(Questions!$E$5:$E$558,'Hours Detail'!E275,Questions!$F$5:$F$558),0)</f>
        <v>0</v>
      </c>
      <c r="K275" s="76">
        <f>IF(H275="Yes",ROUNDUP(IF(VLOOKUP(E275,'BASE_FUNCOES (hide)'!A:T,16,FALSE)&lt;&gt;"No",IF('General Information'!$C$19="HTML5",(I275+J275)*'BASE_FUNCOES (hide)'!$T$2,I275+J275),I275+J275),I275+J275),I275+J275)</f>
        <v>24</v>
      </c>
      <c r="L275" s="265" t="str">
        <f>IF(OR(E275=121,E275=88,E275=2682,E275=2703,E275=2687,E275=2689,E275=2681,E275=2685)=FALSE,"",IF('General Information'!$C$19="HTML5","FUNÇÃO DISPONÍVEL APENAS PARA BRASIL",IF(J276&lt;&gt;0,VLOOKUP(E276,Questions!$E$5:$L$568,5,0),"")))</f>
        <v/>
      </c>
      <c r="M275" s="164" t="s">
        <v>2396</v>
      </c>
      <c r="N275" s="369" t="s">
        <v>2377</v>
      </c>
    </row>
    <row r="276" spans="1:14" ht="14.5" customHeight="1" outlineLevel="1">
      <c r="A276" s="59"/>
      <c r="B276" s="72">
        <f>VLOOKUP('Hours Detail'!E276,'BASE_FUNCOES (hide)'!A:W,5,FALSE)</f>
        <v>104</v>
      </c>
      <c r="C276" s="72" t="s">
        <v>5929</v>
      </c>
      <c r="D276" s="73" t="str">
        <f>IF('General Information'!$C$6="Português",VLOOKUP(B276,'ESTRUTURA_MODULO(hide)'!A:D,2,0),IF('General Information'!$C$6="English",VLOOKUP(B276,'ESTRUTURA_MODULO(hide)'!A:D,3,0),IF('General Information'!$C$6="Español",VLOOKUP(B276,'ESTRUTURA_MODULO(hide)'!A:D,4,0))))</f>
        <v>Repasse a Terceiros</v>
      </c>
      <c r="E276" s="254">
        <v>89</v>
      </c>
      <c r="F276" s="73" t="str">
        <f>IF('General Information'!$C$6="Português",VLOOKUP(E276,'BASE_FUNCOES (hide)'!A:H,2,0),IF('General Information'!$C$6="English",VLOOKUP(E276,'BASE_FUNCOES (hide)'!A:H,3,0),IF('General Information'!$C$6="Español",VLOOKUP(E276,'BASE_FUNCOES (hide)'!A:H,4,0))))</f>
        <v>Repasse para Terceiros</v>
      </c>
      <c r="G276" s="73" t="str">
        <f>IF(AND('General Information'!$D$16=1,VLOOKUP(B276,Modules!$B$5:$E$496,4,0)=1)=TRUE,VLOOKUP('Hours Detail'!E276,'BASE_FUNCOES (hide)'!$A:$V,10,0),IF(AND('General Information'!$D$16=2,VLOOKUP(B276,Modules!$B$5:$E$496,4,0)=1)=TRUE,VLOOKUP('Hours Detail'!E276,'BASE_FUNCOES (hide)'!$A:$V,11,0),IF(AND('General Information'!$D$16=3,VLOOKUP(B276,Modules!$B$5:$E$496,4,0)=1)=TRUE,VLOOKUP('Hours Detail'!E276,'BASE_FUNCOES (hide)'!$A:$V,12,0),IF(AND('General Information'!$D$16=4,VLOOKUP(B276,Modules!$B$5:$E$496,4,0)=1)=TRUE,VLOOKUP('Hours Detail'!E276,'BASE_FUNCOES (hide)'!$A:$V,13,0),IF(AND('General Information'!$D$16=5,VLOOKUP(B276,Modules!$B$5:$E$496,4,0)=1)=TRUE,VLOOKUP('Hours Detail'!E276,'BASE_FUNCOES (hide)'!$A:$V,14,0),  IF(AND('General Information'!$D$16=6,VLOOKUP(B276,Modules!$B$5:$E$496,4,0)=1)=TRUE,VLOOKUP('Hours Detail'!E276,'BASE_FUNCOES (hide)'!$A:$V,15,0),"No"))))))</f>
        <v>No</v>
      </c>
      <c r="H276" s="22" t="str">
        <f t="shared" si="6"/>
        <v>No</v>
      </c>
      <c r="I276" s="75">
        <f>IF('General Information'!$C$4="Mexico",(ROUNDUP(VLOOKUP(E276,'BASE_FUNCOES (hide)'!A:X,21,0),0)),(ROUNDUP(VLOOKUP(E276,'BASE_FUNCOES (hide)'!A:L,9,0),0)))</f>
        <v>24</v>
      </c>
      <c r="J276" s="75">
        <f>ROUNDUP(SUMIF(Questions!$E$5:$E$558,'Hours Detail'!E276,Questions!$F$5:$F$558),0)</f>
        <v>0</v>
      </c>
      <c r="K276" s="76">
        <f>IF(H276="Yes",ROUNDUP(IF(VLOOKUP(E276,'BASE_FUNCOES (hide)'!A:T,16,FALSE)&lt;&gt;"No",IF('General Information'!$C$19="HTML5",(I276+J276)*'BASE_FUNCOES (hide)'!$T$2,I276+J276),I276+J276),I276+J276),I276+J276)</f>
        <v>24</v>
      </c>
      <c r="L276" s="265" t="str">
        <f>IF(OR(E276=121,E276=88,E276=2682,E276=2703,E276=2687,E276=2689,E276=2681,E276=2685)=FALSE,"",IF('General Information'!$C$19="HTML5","FUNÇÃO DISPONÍVEL APENAS PARA BRASIL",IF(J277&lt;&gt;0,VLOOKUP(E277,Questions!$E$5:$L$568,5,0),"")))</f>
        <v/>
      </c>
      <c r="M276" s="164" t="s">
        <v>2396</v>
      </c>
      <c r="N276" s="369" t="s">
        <v>2377</v>
      </c>
    </row>
    <row r="277" spans="1:14" ht="14.5" customHeight="1" outlineLevel="1">
      <c r="A277" s="59"/>
      <c r="B277" s="72">
        <f>VLOOKUP('Hours Detail'!E277,'BASE_FUNCOES (hide)'!A:W,5,FALSE)</f>
        <v>84</v>
      </c>
      <c r="C277" s="72" t="s">
        <v>5929</v>
      </c>
      <c r="D277" s="73" t="str">
        <f>IF('General Information'!$C$6="Português",VLOOKUP(B277,'ESTRUTURA_MODULO(hide)'!A:D,2,0),IF('General Information'!$C$6="English",VLOOKUP(B277,'ESTRUTURA_MODULO(hide)'!A:D,3,0),IF('General Information'!$C$6="Español",VLOOKUP(B277,'ESTRUTURA_MODULO(hide)'!A:D,4,0))))</f>
        <v>Orçamento Contábil</v>
      </c>
      <c r="E277" s="254">
        <v>925</v>
      </c>
      <c r="F277" s="73" t="str">
        <f>IF('General Information'!$C$6="Português",VLOOKUP(E277,'BASE_FUNCOES (hide)'!A:H,2,0),IF('General Information'!$C$6="English",VLOOKUP(E277,'BASE_FUNCOES (hide)'!A:H,3,0),IF('General Information'!$C$6="Español",VLOOKUP(E277,'BASE_FUNCOES (hide)'!A:H,4,0))))</f>
        <v>Orçamento Contábil</v>
      </c>
      <c r="G277" s="73" t="str">
        <f>IF(AND('General Information'!$D$16=1,VLOOKUP(B277,Modules!$B$5:$E$496,4,0)=1)=TRUE,VLOOKUP('Hours Detail'!E277,'BASE_FUNCOES (hide)'!$A:$V,10,0),IF(AND('General Information'!$D$16=2,VLOOKUP(B277,Modules!$B$5:$E$496,4,0)=1)=TRUE,VLOOKUP('Hours Detail'!E277,'BASE_FUNCOES (hide)'!$A:$V,11,0),IF(AND('General Information'!$D$16=3,VLOOKUP(B277,Modules!$B$5:$E$496,4,0)=1)=TRUE,VLOOKUP('Hours Detail'!E277,'BASE_FUNCOES (hide)'!$A:$V,12,0),IF(AND('General Information'!$D$16=4,VLOOKUP(B277,Modules!$B$5:$E$496,4,0)=1)=TRUE,VLOOKUP('Hours Detail'!E277,'BASE_FUNCOES (hide)'!$A:$V,13,0),IF(AND('General Information'!$D$16=5,VLOOKUP(B277,Modules!$B$5:$E$496,4,0)=1)=TRUE,VLOOKUP('Hours Detail'!E277,'BASE_FUNCOES (hide)'!$A:$V,14,0),  IF(AND('General Information'!$D$16=6,VLOOKUP(B277,Modules!$B$5:$E$496,4,0)=1)=TRUE,VLOOKUP('Hours Detail'!E277,'BASE_FUNCOES (hide)'!$A:$V,15,0),"No"))))))</f>
        <v>No</v>
      </c>
      <c r="H277" s="22" t="str">
        <f t="shared" si="6"/>
        <v>No</v>
      </c>
      <c r="I277" s="75">
        <f>IF('General Information'!$C$4="Mexico",(ROUNDUP(VLOOKUP(E277,'BASE_FUNCOES (hide)'!A:X,21,0),0)),(ROUNDUP(VLOOKUP(E277,'BASE_FUNCOES (hide)'!A:L,9,0),0)))</f>
        <v>40</v>
      </c>
      <c r="J277" s="75">
        <f>ROUNDUP(SUMIF(Questions!$E$5:$E$558,'Hours Detail'!E277,Questions!$F$5:$F$558),0)</f>
        <v>0</v>
      </c>
      <c r="K277" s="76">
        <f>IF(H277="Yes",ROUNDUP(IF(VLOOKUP(E277,'BASE_FUNCOES (hide)'!A:T,16,FALSE)&lt;&gt;"No",IF('General Information'!$C$19="HTML5",(I277+J277)*'BASE_FUNCOES (hide)'!$T$2,I277+J277),I277+J277),I277+J277),I277+J277)</f>
        <v>40</v>
      </c>
      <c r="L277" s="265" t="str">
        <f>IF(OR(E277=121,E277=88,E277=2682,E277=2703,E277=2687,E277=2689,E277=2681,E277=2685)=FALSE,"",IF('General Information'!$C$19="HTML5","FUNÇÃO DISPONÍVEL APENAS PARA BRASIL",IF(J279&lt;&gt;0,VLOOKUP(E279,Questions!$E$5:$L$568,5,0),"")))</f>
        <v/>
      </c>
      <c r="M277" s="164" t="s">
        <v>2396</v>
      </c>
      <c r="N277" s="369" t="s">
        <v>2377</v>
      </c>
    </row>
    <row r="278" spans="1:14" ht="14.5" customHeight="1">
      <c r="A278" s="59"/>
      <c r="B278" s="72">
        <v>84</v>
      </c>
      <c r="C278" s="72" t="s">
        <v>5929</v>
      </c>
      <c r="D278" s="73" t="str">
        <f>IF('General Information'!$C$6="Português",VLOOKUP(B278,'ESTRUTURA_MODULO(hide)'!A:D,2,0),IF('General Information'!$C$6="English",VLOOKUP(B278,'ESTRUTURA_MODULO(hide)'!A:D,3,0),IF('General Information'!$C$6="Español",VLOOKUP(B278,'ESTRUTURA_MODULO(hide)'!A:D,4,0))))</f>
        <v>Orçamento Contábil</v>
      </c>
      <c r="E278" s="74">
        <v>8000</v>
      </c>
      <c r="F278" s="73" t="str">
        <f>IF('General Information'!$C$6="Português",VLOOKUP(E278,'BASE_FUNCOES (hide)'!A:H,2,0),IF('General Information'!$C$6="English",VLOOKUP(E278,'BASE_FUNCOES (hide)'!A:H,3,0),IF('General Information'!$C$6="Español",VLOOKUP(E278,'BASE_FUNCOES (hide)'!A:H,4,0))))</f>
        <v>Planejamento Orçamentário</v>
      </c>
      <c r="G278" s="73" t="str">
        <f>IF(AND('General Information'!$D$16=1,VLOOKUP(B278,Modules!$B$5:$E$496,4,0)=1)=TRUE,VLOOKUP('Hours Detail'!E278,'BASE_FUNCOES (hide)'!$A:$V,10,0),IF(AND('General Information'!$D$16=2,VLOOKUP(B278,Modules!$B$5:$E$496,4,0)=1)=TRUE,VLOOKUP('Hours Detail'!E278,'BASE_FUNCOES (hide)'!$A:$V,11,0),IF(AND('General Information'!$D$16=3,VLOOKUP(B278,Modules!$B$5:$E$496,4,0)=1)=TRUE,VLOOKUP('Hours Detail'!E278,'BASE_FUNCOES (hide)'!$A:$V,12,0),IF(AND('General Information'!$D$16=4,VLOOKUP(B278,Modules!$B$5:$E$496,4,0)=1)=TRUE,VLOOKUP('Hours Detail'!E278,'BASE_FUNCOES (hide)'!$A:$V,13,0),IF(AND('General Information'!$D$16=5,VLOOKUP(B278,Modules!$B$5:$E$496,4,0)=1)=TRUE,VLOOKUP('Hours Detail'!E278,'BASE_FUNCOES (hide)'!$A:$V,14,0),  IF(AND('General Information'!$D$16=6,VLOOKUP(B278,Modules!$B$5:$E$496,4,0)=1)=TRUE,VLOOKUP('Hours Detail'!E278,'BASE_FUNCOES (hide)'!$A:$V,15,0),"No"))))))</f>
        <v>No</v>
      </c>
      <c r="H278" s="22" t="str">
        <f>G278</f>
        <v>No</v>
      </c>
      <c r="I278" s="75">
        <f>IF('General Information'!$C$4="Mexico",(ROUNDUP(VLOOKUP(E278,'BASE_FUNCOES (hide)'!A:X,21,0),0)),(ROUNDUP(VLOOKUP(E278,'BASE_FUNCOES (hide)'!A:L,9,0),0)))</f>
        <v>4</v>
      </c>
      <c r="J278" s="75">
        <f>ROUNDUP(SUMIF(Questions!$E$5:$E$558,'Hours Detail'!E278,Questions!$F$5:$F$558),0)</f>
        <v>0</v>
      </c>
      <c r="K278" s="76">
        <f>IF(H278="Yes",ROUNDUP(IF(VLOOKUP(E278,'BASE_FUNCOES (hide)'!A:T,16,FALSE)&lt;&gt;"No",IF('General Information'!$C$19="HTML5",(I278+J278)*'BASE_FUNCOES (hide)'!$T$2,I278+J278),I278+J278),I278+J278),I278+J278)</f>
        <v>4</v>
      </c>
      <c r="L278" s="163" t="str">
        <f>IF(ISERROR(VLOOKUP(E278,Questions!$E$5:$L$568,6,0))=FALSE,VLOOKUP(E278,Questions!$E$5:$L$568,6,0),"")</f>
        <v>N/A</v>
      </c>
      <c r="M278" s="164" t="s">
        <v>2396</v>
      </c>
      <c r="N278" s="369" t="s">
        <v>2377</v>
      </c>
    </row>
    <row r="279" spans="1:14" ht="14.5" customHeight="1" outlineLevel="1">
      <c r="A279" s="59"/>
      <c r="B279" s="72">
        <f>VLOOKUP('Hours Detail'!E279,'BASE_FUNCOES (hide)'!A:W,5,FALSE)</f>
        <v>85</v>
      </c>
      <c r="C279" s="72" t="s">
        <v>5929</v>
      </c>
      <c r="D279" s="73" t="str">
        <f>IF('General Information'!$C$6="Português",VLOOKUP(B279,'ESTRUTURA_MODULO(hide)'!A:D,2,0),IF('General Information'!$C$6="English",VLOOKUP(B279,'ESTRUTURA_MODULO(hide)'!A:D,3,0),IF('General Information'!$C$6="Español",VLOOKUP(B279,'ESTRUTURA_MODULO(hide)'!A:D,4,0))))</f>
        <v>Patrimônio</v>
      </c>
      <c r="E279" s="254">
        <v>937</v>
      </c>
      <c r="F279" s="73" t="str">
        <f>IF('General Information'!$C$6="Português",VLOOKUP(E279,'BASE_FUNCOES (hide)'!A:H,2,0),IF('General Information'!$C$6="English",VLOOKUP(E279,'BASE_FUNCOES (hide)'!A:H,3,0),IF('General Information'!$C$6="Español",VLOOKUP(E279,'BASE_FUNCOES (hide)'!A:H,4,0))))</f>
        <v>Controle de Patrimônio</v>
      </c>
      <c r="G279" s="73" t="str">
        <f>IF(AND('General Information'!$D$16=1,VLOOKUP(B279,Modules!$B$5:$E$496,4,0)=1)=TRUE,VLOOKUP('Hours Detail'!E279,'BASE_FUNCOES (hide)'!$A:$V,10,0),IF(AND('General Information'!$D$16=2,VLOOKUP(B279,Modules!$B$5:$E$496,4,0)=1)=TRUE,VLOOKUP('Hours Detail'!E279,'BASE_FUNCOES (hide)'!$A:$V,11,0),IF(AND('General Information'!$D$16=3,VLOOKUP(B279,Modules!$B$5:$E$496,4,0)=1)=TRUE,VLOOKUP('Hours Detail'!E279,'BASE_FUNCOES (hide)'!$A:$V,12,0),IF(AND('General Information'!$D$16=4,VLOOKUP(B279,Modules!$B$5:$E$496,4,0)=1)=TRUE,VLOOKUP('Hours Detail'!E279,'BASE_FUNCOES (hide)'!$A:$V,13,0),IF(AND('General Information'!$D$16=5,VLOOKUP(B279,Modules!$B$5:$E$496,4,0)=1)=TRUE,VLOOKUP('Hours Detail'!E279,'BASE_FUNCOES (hide)'!$A:$V,14,0),  IF(AND('General Information'!$D$16=6,VLOOKUP(B279,Modules!$B$5:$E$496,4,0)=1)=TRUE,VLOOKUP('Hours Detail'!E279,'BASE_FUNCOES (hide)'!$A:$V,15,0),"No"))))))</f>
        <v>No</v>
      </c>
      <c r="H279" s="22" t="str">
        <f t="shared" si="6"/>
        <v>No</v>
      </c>
      <c r="I279" s="75">
        <f>IF('General Information'!$C$4="Mexico",(ROUNDUP(VLOOKUP(E279,'BASE_FUNCOES (hide)'!A:X,21,0),0)),(ROUNDUP(VLOOKUP(E279,'BASE_FUNCOES (hide)'!A:L,9,0),0)))</f>
        <v>40</v>
      </c>
      <c r="J279" s="75">
        <f>ROUNDUP(SUMIF(Questions!$E$5:$E$558,'Hours Detail'!E279,Questions!$F$5:$F$558),0)</f>
        <v>0</v>
      </c>
      <c r="K279" s="76">
        <f>IF(H279="Yes",ROUNDUP(IF(VLOOKUP(E279,'BASE_FUNCOES (hide)'!A:T,16,FALSE)&lt;&gt;"No",IF('General Information'!$C$19="HTML5",(I279+J279)*'BASE_FUNCOES (hide)'!$T$2,I279+J279),I279+J279),I279+J279),I279+J279)</f>
        <v>40</v>
      </c>
      <c r="L279" s="265" t="str">
        <f>IF(OR(E279=121,E279=88,E279=2682,E279=2703,E279=2687,E279=2689,E279=2681,E279=2685)=FALSE,"",IF('General Information'!$C$19="HTML5","FUNÇÃO DISPONÍVEL APENAS PARA BRASIL",IF(J280&lt;&gt;0,VLOOKUP(E280,Questions!$E$5:$L$568,5,0),"")))</f>
        <v/>
      </c>
      <c r="M279" s="164" t="s">
        <v>2396</v>
      </c>
      <c r="N279" s="369" t="s">
        <v>2377</v>
      </c>
    </row>
    <row r="280" spans="1:14" ht="14.5" customHeight="1" outlineLevel="1">
      <c r="A280" s="59"/>
      <c r="B280" s="72">
        <f>VLOOKUP('Hours Detail'!E280,'BASE_FUNCOES (hide)'!A:W,5,FALSE)</f>
        <v>685</v>
      </c>
      <c r="C280" s="72" t="s">
        <v>5929</v>
      </c>
      <c r="D280" s="73" t="str">
        <f>IF('General Information'!$C$6="Português",VLOOKUP(B280,'ESTRUTURA_MODULO(hide)'!A:D,2,0),IF('General Information'!$C$6="English",VLOOKUP(B280,'ESTRUTURA_MODULO(hide)'!A:D,3,0),IF('General Information'!$C$6="Español",VLOOKUP(B280,'ESTRUTURA_MODULO(hide)'!A:D,4,0))))</f>
        <v>Fiscal</v>
      </c>
      <c r="E280" s="254">
        <v>9909</v>
      </c>
      <c r="F280" s="73" t="str">
        <f>IF('General Information'!$C$6="Português",VLOOKUP(E280,'BASE_FUNCOES (hide)'!A:H,2,0),IF('General Information'!$C$6="English",VLOOKUP(E280,'BASE_FUNCOES (hide)'!A:H,3,0),IF('General Information'!$C$6="Español",VLOOKUP(E280,'BASE_FUNCOES (hide)'!A:H,4,0))))</f>
        <v>Acompanhamento de Nota Fiscal Eletrônica</v>
      </c>
      <c r="G280" s="73" t="str">
        <f>IF(AND('General Information'!$D$16=1,VLOOKUP(B280,Modules!$B$5:$E$496,4,0)=1)=TRUE,VLOOKUP('Hours Detail'!E280,'BASE_FUNCOES (hide)'!$A:$V,10,0),IF(AND('General Information'!$D$16=2,VLOOKUP(B280,Modules!$B$5:$E$496,4,0)=1)=TRUE,VLOOKUP('Hours Detail'!E280,'BASE_FUNCOES (hide)'!$A:$V,11,0),IF(AND('General Information'!$D$16=3,VLOOKUP(B280,Modules!$B$5:$E$496,4,0)=1)=TRUE,VLOOKUP('Hours Detail'!E280,'BASE_FUNCOES (hide)'!$A:$V,12,0),IF(AND('General Information'!$D$16=4,VLOOKUP(B280,Modules!$B$5:$E$496,4,0)=1)=TRUE,VLOOKUP('Hours Detail'!E280,'BASE_FUNCOES (hide)'!$A:$V,13,0),IF(AND('General Information'!$D$16=5,VLOOKUP(B280,Modules!$B$5:$E$496,4,0)=1)=TRUE,VLOOKUP('Hours Detail'!E280,'BASE_FUNCOES (hide)'!$A:$V,14,0),  IF(AND('General Information'!$D$16=6,VLOOKUP(B280,Modules!$B$5:$E$496,4,0)=1)=TRUE,VLOOKUP('Hours Detail'!E280,'BASE_FUNCOES (hide)'!$A:$V,15,0),"No"))))))</f>
        <v>No</v>
      </c>
      <c r="H280" s="22" t="str">
        <f t="shared" si="6"/>
        <v>No</v>
      </c>
      <c r="I280" s="75">
        <f>IF('General Information'!$C$4="Mexico",(ROUNDUP(VLOOKUP(E280,'BASE_FUNCOES (hide)'!A:X,21,0),0)),(ROUNDUP(VLOOKUP(E280,'BASE_FUNCOES (hide)'!A:L,9,0),0)))</f>
        <v>24</v>
      </c>
      <c r="J280" s="75">
        <f>ROUNDUP(SUMIF(Questions!$E$5:$E$558,'Hours Detail'!E280,Questions!$F$5:$F$558),0)</f>
        <v>0</v>
      </c>
      <c r="K280" s="76">
        <f>IF(H280="Yes",ROUNDUP(IF(VLOOKUP(E280,'BASE_FUNCOES (hide)'!A:T,16,FALSE)&lt;&gt;"No",IF('General Information'!$C$19="HTML5",(I280+J280)*'BASE_FUNCOES (hide)'!$T$2,I280+J280),I280+J280),I280+J280),I280+J280)</f>
        <v>24</v>
      </c>
      <c r="L280" s="265" t="str">
        <f>IF(OR(E280=121,E280=88,E280=2682,E280=2703,E280=2687,E280=2689,E280=2681,E280=2685)=FALSE,"",IF('General Information'!$C$19="HTML5","FUNÇÃO DISPONÍVEL APENAS PARA BRASIL",IF(J281&lt;&gt;0,VLOOKUP(E281,Questions!$E$5:$L$568,5,0),"")))</f>
        <v/>
      </c>
      <c r="M280" s="164" t="s">
        <v>2396</v>
      </c>
      <c r="N280" s="369" t="s">
        <v>2377</v>
      </c>
    </row>
    <row r="281" spans="1:14" ht="14.5" customHeight="1" outlineLevel="1">
      <c r="A281" s="59"/>
      <c r="B281" s="72">
        <f>VLOOKUP('Hours Detail'!E281,'BASE_FUNCOES (hide)'!A:W,5,FALSE)</f>
        <v>685</v>
      </c>
      <c r="C281" s="72" t="s">
        <v>5929</v>
      </c>
      <c r="D281" s="73" t="str">
        <f>IF('General Information'!$C$6="Português",VLOOKUP(B281,'ESTRUTURA_MODULO(hide)'!A:D,2,0),IF('General Information'!$C$6="English",VLOOKUP(B281,'ESTRUTURA_MODULO(hide)'!A:D,3,0),IF('General Information'!$C$6="Español",VLOOKUP(B281,'ESTRUTURA_MODULO(hide)'!A:D,4,0))))</f>
        <v>Fiscal</v>
      </c>
      <c r="E281" s="254">
        <v>3050</v>
      </c>
      <c r="F281" s="73" t="str">
        <f>IF('General Information'!$C$6="Português",VLOOKUP(E281,'BASE_FUNCOES (hide)'!A:H,2,0),IF('General Information'!$C$6="English",VLOOKUP(E281,'BASE_FUNCOES (hide)'!A:H,3,0),IF('General Information'!$C$6="Español",VLOOKUP(E281,'BASE_FUNCOES (hide)'!A:H,4,0))))</f>
        <v>Acompanhamento de Tributos</v>
      </c>
      <c r="G281" s="73" t="str">
        <f>IF(AND('General Information'!$D$16=1,VLOOKUP(B281,Modules!$B$5:$E$496,4,0)=1)=TRUE,VLOOKUP('Hours Detail'!E281,'BASE_FUNCOES (hide)'!$A:$V,10,0),IF(AND('General Information'!$D$16=2,VLOOKUP(B281,Modules!$B$5:$E$496,4,0)=1)=TRUE,VLOOKUP('Hours Detail'!E281,'BASE_FUNCOES (hide)'!$A:$V,11,0),IF(AND('General Information'!$D$16=3,VLOOKUP(B281,Modules!$B$5:$E$496,4,0)=1)=TRUE,VLOOKUP('Hours Detail'!E281,'BASE_FUNCOES (hide)'!$A:$V,12,0),IF(AND('General Information'!$D$16=4,VLOOKUP(B281,Modules!$B$5:$E$496,4,0)=1)=TRUE,VLOOKUP('Hours Detail'!E281,'BASE_FUNCOES (hide)'!$A:$V,13,0),IF(AND('General Information'!$D$16=5,VLOOKUP(B281,Modules!$B$5:$E$496,4,0)=1)=TRUE,VLOOKUP('Hours Detail'!E281,'BASE_FUNCOES (hide)'!$A:$V,14,0),  IF(AND('General Information'!$D$16=6,VLOOKUP(B281,Modules!$B$5:$E$496,4,0)=1)=TRUE,VLOOKUP('Hours Detail'!E281,'BASE_FUNCOES (hide)'!$A:$V,15,0),"No"))))))</f>
        <v>No</v>
      </c>
      <c r="H281" s="22" t="str">
        <f t="shared" si="6"/>
        <v>No</v>
      </c>
      <c r="I281" s="75">
        <f>IF('General Information'!$C$4="Mexico",(ROUNDUP(VLOOKUP(E281,'BASE_FUNCOES (hide)'!A:X,21,0),0)),(ROUNDUP(VLOOKUP(E281,'BASE_FUNCOES (hide)'!A:L,9,0),0)))</f>
        <v>12</v>
      </c>
      <c r="J281" s="75">
        <f>ROUNDUP(SUMIF(Questions!$E$5:$E$558,'Hours Detail'!E281,Questions!$F$5:$F$558),0)</f>
        <v>0</v>
      </c>
      <c r="K281" s="76">
        <f>IF(H281="Yes",ROUNDUP(IF(VLOOKUP(E281,'BASE_FUNCOES (hide)'!A:T,16,FALSE)&lt;&gt;"No",IF('General Information'!$C$19="HTML5",(I281+J281)*'BASE_FUNCOES (hide)'!$T$2,I281+J281),I281+J281),I281+J281),I281+J281)</f>
        <v>12</v>
      </c>
      <c r="L281" s="265" t="str">
        <f>IF(OR(E281=121,E281=88,E281=2682,E281=2703,E281=2687,E281=2689,E281=2681,E281=2685)=FALSE,"",IF('General Information'!$C$19="HTML5","FUNÇÃO DISPONÍVEL APENAS PARA BRASIL",IF(J282&lt;&gt;0,VLOOKUP(E282,Questions!$E$5:$L$568,5,0),"")))</f>
        <v/>
      </c>
      <c r="M281" s="164" t="s">
        <v>2396</v>
      </c>
      <c r="N281" s="369" t="s">
        <v>2377</v>
      </c>
    </row>
    <row r="282" spans="1:14" ht="14.5" customHeight="1" outlineLevel="1">
      <c r="A282" s="59"/>
      <c r="B282" s="72">
        <f>VLOOKUP('Hours Detail'!E282,'BASE_FUNCOES (hide)'!A:W,5,FALSE)</f>
        <v>685</v>
      </c>
      <c r="C282" s="72" t="s">
        <v>5929</v>
      </c>
      <c r="D282" s="73" t="str">
        <f>IF('General Information'!$C$6="Português",VLOOKUP(B282,'ESTRUTURA_MODULO(hide)'!A:D,2,0),IF('General Information'!$C$6="English",VLOOKUP(B282,'ESTRUTURA_MODULO(hide)'!A:D,3,0),IF('General Information'!$C$6="Español",VLOOKUP(B282,'ESTRUTURA_MODULO(hide)'!A:D,4,0))))</f>
        <v>Fiscal</v>
      </c>
      <c r="E282" s="254">
        <v>5500</v>
      </c>
      <c r="F282" s="73" t="str">
        <f>IF('General Information'!$C$6="Português",VLOOKUP(E282,'BASE_FUNCOES (hide)'!A:H,2,0),IF('General Information'!$C$6="English",VLOOKUP(E282,'BASE_FUNCOES (hide)'!A:H,3,0),IF('General Information'!$C$6="Español",VLOOKUP(E282,'BASE_FUNCOES (hide)'!A:H,4,0))))</f>
        <v>Controle de Arrecadações</v>
      </c>
      <c r="G282" s="73" t="str">
        <f>IF(AND('General Information'!$D$16=1,VLOOKUP(B282,Modules!$B$5:$E$496,4,0)=1)=TRUE,VLOOKUP('Hours Detail'!E282,'BASE_FUNCOES (hide)'!$A:$V,10,0),IF(AND('General Information'!$D$16=2,VLOOKUP(B282,Modules!$B$5:$E$496,4,0)=1)=TRUE,VLOOKUP('Hours Detail'!E282,'BASE_FUNCOES (hide)'!$A:$V,11,0),IF(AND('General Information'!$D$16=3,VLOOKUP(B282,Modules!$B$5:$E$496,4,0)=1)=TRUE,VLOOKUP('Hours Detail'!E282,'BASE_FUNCOES (hide)'!$A:$V,12,0),IF(AND('General Information'!$D$16=4,VLOOKUP(B282,Modules!$B$5:$E$496,4,0)=1)=TRUE,VLOOKUP('Hours Detail'!E282,'BASE_FUNCOES (hide)'!$A:$V,13,0),IF(AND('General Information'!$D$16=5,VLOOKUP(B282,Modules!$B$5:$E$496,4,0)=1)=TRUE,VLOOKUP('Hours Detail'!E282,'BASE_FUNCOES (hide)'!$A:$V,14,0),  IF(AND('General Information'!$D$16=6,VLOOKUP(B282,Modules!$B$5:$E$496,4,0)=1)=TRUE,VLOOKUP('Hours Detail'!E282,'BASE_FUNCOES (hide)'!$A:$V,15,0),"No"))))))</f>
        <v>No</v>
      </c>
      <c r="H282" s="22" t="str">
        <f t="shared" si="6"/>
        <v>No</v>
      </c>
      <c r="I282" s="75">
        <f>IF('General Information'!$C$4="Mexico",(ROUNDUP(VLOOKUP(E282,'BASE_FUNCOES (hide)'!A:X,21,0),0)),(ROUNDUP(VLOOKUP(E282,'BASE_FUNCOES (hide)'!A:L,9,0),0)))</f>
        <v>40</v>
      </c>
      <c r="J282" s="75">
        <f>ROUNDUP(SUMIF(Questions!$E$5:$E$558,'Hours Detail'!E282,Questions!$F$5:$F$558),0)</f>
        <v>0</v>
      </c>
      <c r="K282" s="76">
        <f>IF(H282="Yes",ROUNDUP(IF(VLOOKUP(E282,'BASE_FUNCOES (hide)'!A:T,16,FALSE)&lt;&gt;"No",IF('General Information'!$C$19="HTML5",(I282+J282)*'BASE_FUNCOES (hide)'!$T$2,I282+J282),I282+J282),I282+J282),I282+J282)</f>
        <v>40</v>
      </c>
      <c r="L282" s="265" t="str">
        <f>IF(OR(E282=121,E282=88,E282=2682,E282=2703,E282=2687,E282=2689,E282=2681,E282=2685)=FALSE,"",IF('General Information'!$C$19="HTML5","FUNÇÃO DISPONÍVEL APENAS PARA BRASIL",IF(J283&lt;&gt;0,VLOOKUP(E283,Questions!$E$5:$L$568,5,0),"")))</f>
        <v/>
      </c>
      <c r="M282" s="164" t="s">
        <v>2396</v>
      </c>
      <c r="N282" s="369" t="s">
        <v>2377</v>
      </c>
    </row>
    <row r="283" spans="1:14" ht="14.5" customHeight="1" outlineLevel="1">
      <c r="A283" s="59"/>
      <c r="B283" s="72">
        <f>VLOOKUP('Hours Detail'!E283,'BASE_FUNCOES (hide)'!A:W,5,FALSE)</f>
        <v>685</v>
      </c>
      <c r="C283" s="72" t="s">
        <v>5929</v>
      </c>
      <c r="D283" s="73" t="str">
        <f>IF('General Information'!$C$6="Português",VLOOKUP(B283,'ESTRUTURA_MODULO(hide)'!A:D,2,0),IF('General Information'!$C$6="English",VLOOKUP(B283,'ESTRUTURA_MODULO(hide)'!A:D,3,0),IF('General Information'!$C$6="Español",VLOOKUP(B283,'ESTRUTURA_MODULO(hide)'!A:D,4,0))))</f>
        <v>Fiscal</v>
      </c>
      <c r="E283" s="254">
        <v>9899</v>
      </c>
      <c r="F283" s="73" t="str">
        <f>IF('General Information'!$C$6="Português",VLOOKUP(E283,'BASE_FUNCOES (hide)'!A:H,2,0),IF('General Information'!$C$6="English",VLOOKUP(E283,'BASE_FUNCOES (hide)'!A:H,3,0),IF('General Information'!$C$6="Español",VLOOKUP(E283,'BASE_FUNCOES (hide)'!A:H,4,0))))</f>
        <v>Fiscal</v>
      </c>
      <c r="G283" s="73" t="str">
        <f>IF(AND('General Information'!$D$16=1,VLOOKUP(B283,Modules!$B$5:$E$496,4,0)=1)=TRUE,VLOOKUP('Hours Detail'!E283,'BASE_FUNCOES (hide)'!$A:$V,10,0),IF(AND('General Information'!$D$16=2,VLOOKUP(B283,Modules!$B$5:$E$496,4,0)=1)=TRUE,VLOOKUP('Hours Detail'!E283,'BASE_FUNCOES (hide)'!$A:$V,11,0),IF(AND('General Information'!$D$16=3,VLOOKUP(B283,Modules!$B$5:$E$496,4,0)=1)=TRUE,VLOOKUP('Hours Detail'!E283,'BASE_FUNCOES (hide)'!$A:$V,12,0),IF(AND('General Information'!$D$16=4,VLOOKUP(B283,Modules!$B$5:$E$496,4,0)=1)=TRUE,VLOOKUP('Hours Detail'!E283,'BASE_FUNCOES (hide)'!$A:$V,13,0),IF(AND('General Information'!$D$16=5,VLOOKUP(B283,Modules!$B$5:$E$496,4,0)=1)=TRUE,VLOOKUP('Hours Detail'!E283,'BASE_FUNCOES (hide)'!$A:$V,14,0),  IF(AND('General Information'!$D$16=6,VLOOKUP(B283,Modules!$B$5:$E$496,4,0)=1)=TRUE,VLOOKUP('Hours Detail'!E283,'BASE_FUNCOES (hide)'!$A:$V,15,0),"No"))))))</f>
        <v>No</v>
      </c>
      <c r="H283" s="22" t="str">
        <f t="shared" si="6"/>
        <v>No</v>
      </c>
      <c r="I283" s="75">
        <f>IF('General Information'!$C$4="Mexico",(ROUNDUP(VLOOKUP(E283,'BASE_FUNCOES (hide)'!A:X,21,0),0)),(ROUNDUP(VLOOKUP(E283,'BASE_FUNCOES (hide)'!A:L,9,0),0)))</f>
        <v>24</v>
      </c>
      <c r="J283" s="75">
        <f>ROUNDUP(SUMIF(Questions!$E$5:$E$558,'Hours Detail'!E283,Questions!$F$5:$F$558),0)</f>
        <v>0</v>
      </c>
      <c r="K283" s="76">
        <f>IF(H283="Yes",ROUNDUP(IF(VLOOKUP(E283,'BASE_FUNCOES (hide)'!A:T,16,FALSE)&lt;&gt;"No",IF('General Information'!$C$19="HTML5",(I283+J283)*'BASE_FUNCOES (hide)'!$T$2,I283+J283),I283+J283),I283+J283),I283+J283)</f>
        <v>24</v>
      </c>
      <c r="L283" s="265" t="str">
        <f>IF(OR(E283=121,E283=88,E283=2682,E283=2703,E283=2687,E283=2689,E283=2681,E283=2685)=FALSE,"",IF('General Information'!$C$19="HTML5","FUNÇÃO DISPONÍVEL APENAS PARA BRASIL",IF(J284&lt;&gt;0,VLOOKUP(E284,Questions!$E$5:$L$568,5,0),"")))</f>
        <v/>
      </c>
      <c r="M283" s="164" t="s">
        <v>2396</v>
      </c>
      <c r="N283" s="369" t="s">
        <v>2377</v>
      </c>
    </row>
    <row r="284" spans="1:14" ht="14.5" customHeight="1" outlineLevel="1">
      <c r="A284" s="59"/>
      <c r="B284" s="72">
        <f>VLOOKUP('Hours Detail'!E284,'BASE_FUNCOES (hide)'!A:W,5,FALSE)</f>
        <v>11</v>
      </c>
      <c r="C284" s="72" t="s">
        <v>5929</v>
      </c>
      <c r="D284" s="73" t="str">
        <f>IF('General Information'!$C$6="Português",VLOOKUP(B284,'ESTRUTURA_MODULO(hide)'!A:D,2,0),IF('General Information'!$C$6="English",VLOOKUP(B284,'ESTRUTURA_MODULO(hide)'!A:D,3,0),IF('General Information'!$C$6="Español",VLOOKUP(B284,'ESTRUTURA_MODULO(hide)'!A:D,4,0))))</f>
        <v>Contabilidade</v>
      </c>
      <c r="E284" s="254">
        <v>923</v>
      </c>
      <c r="F284" s="73" t="str">
        <f>IF('General Information'!$C$6="Português",VLOOKUP(E284,'BASE_FUNCOES (hide)'!A:H,2,0),IF('General Information'!$C$6="English",VLOOKUP(E284,'BASE_FUNCOES (hide)'!A:H,3,0),IF('General Information'!$C$6="Español",VLOOKUP(E284,'BASE_FUNCOES (hide)'!A:H,4,0))))</f>
        <v>Contabilidade</v>
      </c>
      <c r="G284" s="73" t="str">
        <f>IF(AND('General Information'!$D$16=1,VLOOKUP(B284,Modules!$B$5:$E$496,4,0)=1)=TRUE,VLOOKUP('Hours Detail'!E284,'BASE_FUNCOES (hide)'!$A:$V,10,0),IF(AND('General Information'!$D$16=2,VLOOKUP(B284,Modules!$B$5:$E$496,4,0)=1)=TRUE,VLOOKUP('Hours Detail'!E284,'BASE_FUNCOES (hide)'!$A:$V,11,0),IF(AND('General Information'!$D$16=3,VLOOKUP(B284,Modules!$B$5:$E$496,4,0)=1)=TRUE,VLOOKUP('Hours Detail'!E284,'BASE_FUNCOES (hide)'!$A:$V,12,0),IF(AND('General Information'!$D$16=4,VLOOKUP(B284,Modules!$B$5:$E$496,4,0)=1)=TRUE,VLOOKUP('Hours Detail'!E284,'BASE_FUNCOES (hide)'!$A:$V,13,0),IF(AND('General Information'!$D$16=5,VLOOKUP(B284,Modules!$B$5:$E$496,4,0)=1)=TRUE,VLOOKUP('Hours Detail'!E284,'BASE_FUNCOES (hide)'!$A:$V,14,0),  IF(AND('General Information'!$D$16=6,VLOOKUP(B284,Modules!$B$5:$E$496,4,0)=1)=TRUE,VLOOKUP('Hours Detail'!E284,'BASE_FUNCOES (hide)'!$A:$V,15,0),"No"))))))</f>
        <v>No</v>
      </c>
      <c r="H284" s="22" t="str">
        <f t="shared" si="6"/>
        <v>No</v>
      </c>
      <c r="I284" s="75">
        <f>IF('General Information'!$C$4="Mexico",(ROUNDUP(VLOOKUP(E284,'BASE_FUNCOES (hide)'!A:X,21,0),0)),(ROUNDUP(VLOOKUP(E284,'BASE_FUNCOES (hide)'!A:L,9,0),0)))</f>
        <v>80</v>
      </c>
      <c r="J284" s="75">
        <f>ROUNDUP(SUMIF(Questions!$E$5:$E$558,'Hours Detail'!E284,Questions!$F$5:$F$558),0)</f>
        <v>0</v>
      </c>
      <c r="K284" s="76">
        <f>IF(H284="Yes",ROUNDUP(IF(VLOOKUP(E284,'BASE_FUNCOES (hide)'!A:T,16,FALSE)&lt;&gt;"No",IF('General Information'!$C$19="HTML5",(I284+J284)*'BASE_FUNCOES (hide)'!$T$2,I284+J284),I284+J284),I284+J284),I284+J284)</f>
        <v>80</v>
      </c>
      <c r="L284" s="265" t="str">
        <f>IF(OR(E284=121,E284=88,E284=2682,E284=2703,E284=2687,E284=2689,E284=2681,E284=2685)=FALSE,"",IF('General Information'!$C$19="HTML5","FUNÇÃO DISPONÍVEL APENAS PARA BRASIL",IF(J285&lt;&gt;0,VLOOKUP(E285,Questions!$E$5:$L$568,5,0),"")))</f>
        <v/>
      </c>
      <c r="M284" s="164" t="s">
        <v>2396</v>
      </c>
      <c r="N284" s="369" t="s">
        <v>2377</v>
      </c>
    </row>
    <row r="285" spans="1:14" ht="14.5" customHeight="1" outlineLevel="1">
      <c r="A285" s="59"/>
      <c r="B285" s="72">
        <f>VLOOKUP('Hours Detail'!E285,'BASE_FUNCOES (hide)'!A:W,5,FALSE)</f>
        <v>11</v>
      </c>
      <c r="C285" s="72" t="s">
        <v>5929</v>
      </c>
      <c r="D285" s="73" t="str">
        <f>IF('General Information'!$C$6="Português",VLOOKUP(B285,'ESTRUTURA_MODULO(hide)'!A:D,2,0),IF('General Information'!$C$6="English",VLOOKUP(B285,'ESTRUTURA_MODULO(hide)'!A:D,3,0),IF('General Information'!$C$6="Español",VLOOKUP(B285,'ESTRUTURA_MODULO(hide)'!A:D,4,0))))</f>
        <v>Contabilidade</v>
      </c>
      <c r="E285" s="254">
        <v>9056</v>
      </c>
      <c r="F285" s="73" t="str">
        <f>IF('General Information'!$C$6="Português",VLOOKUP(E285,'BASE_FUNCOES (hide)'!A:H,2,0),IF('General Information'!$C$6="English",VLOOKUP(E285,'BASE_FUNCOES (hide)'!A:H,3,0),IF('General Information'!$C$6="Español",VLOOKUP(E285,'BASE_FUNCOES (hide)'!A:H,4,0))))</f>
        <v>Encontro de Contas</v>
      </c>
      <c r="G285" s="73" t="str">
        <f>IF(AND('General Information'!$D$16=1,VLOOKUP(B285,Modules!$B$5:$E$496,4,0)=1)=TRUE,VLOOKUP('Hours Detail'!E285,'BASE_FUNCOES (hide)'!$A:$V,10,0),IF(AND('General Information'!$D$16=2,VLOOKUP(B285,Modules!$B$5:$E$496,4,0)=1)=TRUE,VLOOKUP('Hours Detail'!E285,'BASE_FUNCOES (hide)'!$A:$V,11,0),IF(AND('General Information'!$D$16=3,VLOOKUP(B285,Modules!$B$5:$E$496,4,0)=1)=TRUE,VLOOKUP('Hours Detail'!E285,'BASE_FUNCOES (hide)'!$A:$V,12,0),IF(AND('General Information'!$D$16=4,VLOOKUP(B285,Modules!$B$5:$E$496,4,0)=1)=TRUE,VLOOKUP('Hours Detail'!E285,'BASE_FUNCOES (hide)'!$A:$V,13,0),IF(AND('General Information'!$D$16=5,VLOOKUP(B285,Modules!$B$5:$E$496,4,0)=1)=TRUE,VLOOKUP('Hours Detail'!E285,'BASE_FUNCOES (hide)'!$A:$V,14,0),  IF(AND('General Information'!$D$16=6,VLOOKUP(B285,Modules!$B$5:$E$496,4,0)=1)=TRUE,VLOOKUP('Hours Detail'!E285,'BASE_FUNCOES (hide)'!$A:$V,15,0),"No"))))))</f>
        <v>No</v>
      </c>
      <c r="H285" s="22" t="str">
        <f t="shared" si="6"/>
        <v>No</v>
      </c>
      <c r="I285" s="75">
        <f>IF('General Information'!$C$4="Mexico",(ROUNDUP(VLOOKUP(E285,'BASE_FUNCOES (hide)'!A:X,21,0),0)),(ROUNDUP(VLOOKUP(E285,'BASE_FUNCOES (hide)'!A:L,9,0),0)))</f>
        <v>8</v>
      </c>
      <c r="J285" s="75">
        <f>ROUNDUP(SUMIF(Questions!$E$5:$E$558,'Hours Detail'!E285,Questions!$F$5:$F$558),0)</f>
        <v>0</v>
      </c>
      <c r="K285" s="76">
        <f>IF(H285="Yes",ROUNDUP(IF(VLOOKUP(E285,'BASE_FUNCOES (hide)'!A:T,16,FALSE)&lt;&gt;"No",IF('General Information'!$C$19="HTML5",(I285+J285)*'BASE_FUNCOES (hide)'!$T$2,I285+J285),I285+J285),I285+J285),I285+J285)</f>
        <v>8</v>
      </c>
      <c r="L285" s="265" t="str">
        <f>IF(OR(E285=121,E285=88,E285=2682,E285=2703,E285=2687,E285=2689,E285=2681,E285=2685)=FALSE,"",IF('General Information'!$C$19="HTML5","FUNÇÃO DISPONÍVEL APENAS PARA BRASIL",IF(J286&lt;&gt;0,VLOOKUP(E286,Questions!$E$5:$L$568,5,0),"")))</f>
        <v/>
      </c>
      <c r="M285" s="164" t="s">
        <v>2396</v>
      </c>
      <c r="N285" s="369" t="s">
        <v>2377</v>
      </c>
    </row>
    <row r="286" spans="1:14" ht="14.5" customHeight="1" outlineLevel="1">
      <c r="A286" s="59"/>
      <c r="B286" s="72">
        <f>VLOOKUP('Hours Detail'!E286,'BASE_FUNCOES (hide)'!A:W,5,FALSE)</f>
        <v>11</v>
      </c>
      <c r="C286" s="72" t="s">
        <v>5929</v>
      </c>
      <c r="D286" s="73" t="str">
        <f>IF('General Information'!$C$6="Português",VLOOKUP(B286,'ESTRUTURA_MODULO(hide)'!A:D,2,0),IF('General Information'!$C$6="English",VLOOKUP(B286,'ESTRUTURA_MODULO(hide)'!A:D,3,0),IF('General Information'!$C$6="Español",VLOOKUP(B286,'ESTRUTURA_MODULO(hide)'!A:D,4,0))))</f>
        <v>Contabilidade</v>
      </c>
      <c r="E286" s="254">
        <v>135</v>
      </c>
      <c r="F286" s="73" t="str">
        <f>IF('General Information'!$C$6="Português",VLOOKUP(E286,'BASE_FUNCOES (hide)'!A:H,2,0),IF('General Information'!$C$6="English",VLOOKUP(E286,'BASE_FUNCOES (hide)'!A:H,3,0),IF('General Information'!$C$6="Español",VLOOKUP(E286,'BASE_FUNCOES (hide)'!A:H,4,0))))</f>
        <v>Geração do Lote Contábil</v>
      </c>
      <c r="G286" s="73" t="str">
        <f>IF(AND('General Information'!$D$16=1,VLOOKUP(B286,Modules!$B$5:$E$496,4,0)=1)=TRUE,VLOOKUP('Hours Detail'!E286,'BASE_FUNCOES (hide)'!$A:$V,10,0),IF(AND('General Information'!$D$16=2,VLOOKUP(B286,Modules!$B$5:$E$496,4,0)=1)=TRUE,VLOOKUP('Hours Detail'!E286,'BASE_FUNCOES (hide)'!$A:$V,11,0),IF(AND('General Information'!$D$16=3,VLOOKUP(B286,Modules!$B$5:$E$496,4,0)=1)=TRUE,VLOOKUP('Hours Detail'!E286,'BASE_FUNCOES (hide)'!$A:$V,12,0),IF(AND('General Information'!$D$16=4,VLOOKUP(B286,Modules!$B$5:$E$496,4,0)=1)=TRUE,VLOOKUP('Hours Detail'!E286,'BASE_FUNCOES (hide)'!$A:$V,13,0),IF(AND('General Information'!$D$16=5,VLOOKUP(B286,Modules!$B$5:$E$496,4,0)=1)=TRUE,VLOOKUP('Hours Detail'!E286,'BASE_FUNCOES (hide)'!$A:$V,14,0),  IF(AND('General Information'!$D$16=6,VLOOKUP(B286,Modules!$B$5:$E$496,4,0)=1)=TRUE,VLOOKUP('Hours Detail'!E286,'BASE_FUNCOES (hide)'!$A:$V,15,0),"No"))))))</f>
        <v>No</v>
      </c>
      <c r="H286" s="22" t="str">
        <f t="shared" si="6"/>
        <v>No</v>
      </c>
      <c r="I286" s="75">
        <f>IF('General Information'!$C$4="Mexico",(ROUNDUP(VLOOKUP(E286,'BASE_FUNCOES (hide)'!A:X,21,0),0)),(ROUNDUP(VLOOKUP(E286,'BASE_FUNCOES (hide)'!A:L,9,0),0)))</f>
        <v>24</v>
      </c>
      <c r="J286" s="75">
        <f>ROUNDUP(SUMIF(Questions!$E$5:$E$558,'Hours Detail'!E286,Questions!$F$5:$F$558),0)</f>
        <v>0</v>
      </c>
      <c r="K286" s="76">
        <f>IF(H286="Yes",ROUNDUP(IF(VLOOKUP(E286,'BASE_FUNCOES (hide)'!A:T,16,FALSE)&lt;&gt;"No",IF('General Information'!$C$19="HTML5",(I286+J286)*'BASE_FUNCOES (hide)'!$T$2,I286+J286),I286+J286),I286+J286),I286+J286)</f>
        <v>24</v>
      </c>
      <c r="L286" s="265" t="str">
        <f>IF(OR(E286=121,E286=88,E286=2682,E286=2703,E286=2687,E286=2689,E286=2681,E286=2685)=FALSE,"",IF('General Information'!$C$19="HTML5","FUNÇÃO DISPONÍVEL APENAS PARA BRASIL",IF(J287&lt;&gt;0,VLOOKUP(E287,Questions!$E$5:$L$568,5,0),"")))</f>
        <v/>
      </c>
      <c r="M286" s="164" t="s">
        <v>2396</v>
      </c>
      <c r="N286" s="369" t="s">
        <v>2377</v>
      </c>
    </row>
    <row r="287" spans="1:14" ht="14.5" customHeight="1" outlineLevel="1">
      <c r="A287" s="59"/>
      <c r="B287" s="72">
        <f>VLOOKUP('Hours Detail'!E287,'BASE_FUNCOES (hide)'!A:W,5,FALSE)</f>
        <v>11</v>
      </c>
      <c r="C287" s="72" t="s">
        <v>5929</v>
      </c>
      <c r="D287" s="73" t="str">
        <f>IF('General Information'!$C$6="Português",VLOOKUP(B287,'ESTRUTURA_MODULO(hide)'!A:D,2,0),IF('General Information'!$C$6="English",VLOOKUP(B287,'ESTRUTURA_MODULO(hide)'!A:D,3,0),IF('General Information'!$C$6="Español",VLOOKUP(B287,'ESTRUTURA_MODULO(hide)'!A:D,4,0))))</f>
        <v>Contabilidade</v>
      </c>
      <c r="E287" s="254">
        <v>7050</v>
      </c>
      <c r="F287" s="73" t="str">
        <f>IF('General Information'!$C$6="Português",VLOOKUP(E287,'BASE_FUNCOES (hide)'!A:H,2,0),IF('General Information'!$C$6="English",VLOOKUP(E287,'BASE_FUNCOES (hide)'!A:H,3,0),IF('General Information'!$C$6="Español",VLOOKUP(E287,'BASE_FUNCOES (hide)'!A:H,4,0))))</f>
        <v>Parâmetros Contabilidade</v>
      </c>
      <c r="G287" s="73" t="str">
        <f>IF(AND('General Information'!$D$16=1,VLOOKUP(B287,Modules!$B$5:$E$496,4,0)=1)=TRUE,VLOOKUP('Hours Detail'!E287,'BASE_FUNCOES (hide)'!$A:$V,10,0),IF(AND('General Information'!$D$16=2,VLOOKUP(B287,Modules!$B$5:$E$496,4,0)=1)=TRUE,VLOOKUP('Hours Detail'!E287,'BASE_FUNCOES (hide)'!$A:$V,11,0),IF(AND('General Information'!$D$16=3,VLOOKUP(B287,Modules!$B$5:$E$496,4,0)=1)=TRUE,VLOOKUP('Hours Detail'!E287,'BASE_FUNCOES (hide)'!$A:$V,12,0),IF(AND('General Information'!$D$16=4,VLOOKUP(B287,Modules!$B$5:$E$496,4,0)=1)=TRUE,VLOOKUP('Hours Detail'!E287,'BASE_FUNCOES (hide)'!$A:$V,13,0),IF(AND('General Information'!$D$16=5,VLOOKUP(B287,Modules!$B$5:$E$496,4,0)=1)=TRUE,VLOOKUP('Hours Detail'!E287,'BASE_FUNCOES (hide)'!$A:$V,14,0),  IF(AND('General Information'!$D$16=6,VLOOKUP(B287,Modules!$B$5:$E$496,4,0)=1)=TRUE,VLOOKUP('Hours Detail'!E287,'BASE_FUNCOES (hide)'!$A:$V,15,0),"No"))))))</f>
        <v>No</v>
      </c>
      <c r="H287" s="22" t="str">
        <f t="shared" si="6"/>
        <v>No</v>
      </c>
      <c r="I287" s="75">
        <f>IF('General Information'!$C$4="Mexico",(ROUNDUP(VLOOKUP(E287,'BASE_FUNCOES (hide)'!A:X,21,0),0)),(ROUNDUP(VLOOKUP(E287,'BASE_FUNCOES (hide)'!A:L,9,0),0)))</f>
        <v>16</v>
      </c>
      <c r="J287" s="75">
        <f>ROUNDUP(SUMIF(Questions!$E$5:$E$558,'Hours Detail'!E287,Questions!$F$5:$F$558),0)</f>
        <v>0</v>
      </c>
      <c r="K287" s="76">
        <f>IF(H287="Yes",ROUNDUP(IF(VLOOKUP(E287,'BASE_FUNCOES (hide)'!A:T,16,FALSE)&lt;&gt;"No",IF('General Information'!$C$19="HTML5",(I287+J287)*'BASE_FUNCOES (hide)'!$T$2,I287+J287),I287+J287),I287+J287),I287+J287)</f>
        <v>16</v>
      </c>
      <c r="L287" s="265" t="str">
        <f>IF(OR(E287=121,E287=88,E287=2682,E287=2703,E287=2687,E287=2689,E287=2681,E287=2685)=FALSE,"",IF('General Information'!$C$19="HTML5","FUNÇÃO DISPONÍVEL APENAS PARA BRASIL",IF(J288&lt;&gt;0,VLOOKUP(E288,Questions!$E$5:$L$568,5,0),"")))</f>
        <v/>
      </c>
      <c r="M287" s="164" t="s">
        <v>2396</v>
      </c>
      <c r="N287" s="369" t="s">
        <v>2377</v>
      </c>
    </row>
    <row r="288" spans="1:14" ht="14.5" customHeight="1" outlineLevel="1">
      <c r="A288" s="59"/>
      <c r="B288" s="72">
        <f>VLOOKUP('Hours Detail'!E288,'BASE_FUNCOES (hide)'!A:W,5,FALSE)</f>
        <v>13</v>
      </c>
      <c r="C288" s="72" t="s">
        <v>5929</v>
      </c>
      <c r="D288" s="73" t="str">
        <f>IF('General Information'!$C$6="Português",VLOOKUP(B288,'ESTRUTURA_MODULO(hide)'!A:D,2,0),IF('General Information'!$C$6="English",VLOOKUP(B288,'ESTRUTURA_MODULO(hide)'!A:D,3,0),IF('General Information'!$C$6="Español",VLOOKUP(B288,'ESTRUTURA_MODULO(hide)'!A:D,4,0))))</f>
        <v>Custos</v>
      </c>
      <c r="E288" s="254">
        <v>927</v>
      </c>
      <c r="F288" s="73" t="str">
        <f>IF('General Information'!$C$6="Português",VLOOKUP(E288,'BASE_FUNCOES (hide)'!A:H,2,0),IF('General Information'!$C$6="English",VLOOKUP(E288,'BASE_FUNCOES (hide)'!A:H,3,0),IF('General Information'!$C$6="Español",VLOOKUP(E288,'BASE_FUNCOES (hide)'!A:H,4,0))))</f>
        <v>Apuração de Custo</v>
      </c>
      <c r="G288" s="73" t="str">
        <f>IF(AND('General Information'!$D$16=1,VLOOKUP(B288,Modules!$B$5:$E$496,4,0)=1)=TRUE,VLOOKUP('Hours Detail'!E288,'BASE_FUNCOES (hide)'!$A:$V,10,0),IF(AND('General Information'!$D$16=2,VLOOKUP(B288,Modules!$B$5:$E$496,4,0)=1)=TRUE,VLOOKUP('Hours Detail'!E288,'BASE_FUNCOES (hide)'!$A:$V,11,0),IF(AND('General Information'!$D$16=3,VLOOKUP(B288,Modules!$B$5:$E$496,4,0)=1)=TRUE,VLOOKUP('Hours Detail'!E288,'BASE_FUNCOES (hide)'!$A:$V,12,0),IF(AND('General Information'!$D$16=4,VLOOKUP(B288,Modules!$B$5:$E$496,4,0)=1)=TRUE,VLOOKUP('Hours Detail'!E288,'BASE_FUNCOES (hide)'!$A:$V,13,0),IF(AND('General Information'!$D$16=5,VLOOKUP(B288,Modules!$B$5:$E$496,4,0)=1)=TRUE,VLOOKUP('Hours Detail'!E288,'BASE_FUNCOES (hide)'!$A:$V,14,0),  IF(AND('General Information'!$D$16=6,VLOOKUP(B288,Modules!$B$5:$E$496,4,0)=1)=TRUE,VLOOKUP('Hours Detail'!E288,'BASE_FUNCOES (hide)'!$A:$V,15,0),"No"))))))</f>
        <v>No</v>
      </c>
      <c r="H288" s="22" t="str">
        <f t="shared" si="6"/>
        <v>No</v>
      </c>
      <c r="I288" s="75">
        <f>IF('General Information'!$C$4="Mexico",(ROUNDUP(VLOOKUP(E288,'BASE_FUNCOES (hide)'!A:X,21,0),0)),(ROUNDUP(VLOOKUP(E288,'BASE_FUNCOES (hide)'!A:L,9,0),0)))</f>
        <v>60</v>
      </c>
      <c r="J288" s="75">
        <f>ROUNDUP(SUMIF(Questions!$E$5:$E$558,'Hours Detail'!E288,Questions!$F$5:$F$558),0)</f>
        <v>0</v>
      </c>
      <c r="K288" s="76">
        <f>IF(H288="Yes",ROUNDUP(IF(VLOOKUP(E288,'BASE_FUNCOES (hide)'!A:T,16,FALSE)&lt;&gt;"No",IF('General Information'!$C$19="HTML5",(I288+J288)*'BASE_FUNCOES (hide)'!$T$2,I288+J288),I288+J288),I288+J288),I288+J288)</f>
        <v>60</v>
      </c>
      <c r="L288" s="265" t="str">
        <f>IF(OR(E288=121,E288=88,E288=2682,E288=2703,E288=2687,E288=2689,E288=2681,E288=2685)=FALSE,"",IF('General Information'!$C$19="HTML5","FUNÇÃO DISPONÍVEL APENAS PARA BRASIL",IF(J289&lt;&gt;0,VLOOKUP(E289,Questions!$E$5:$L$568,5,0),"")))</f>
        <v/>
      </c>
      <c r="M288" s="164" t="s">
        <v>2396</v>
      </c>
      <c r="N288" s="369" t="s">
        <v>2377</v>
      </c>
    </row>
    <row r="289" spans="1:14" ht="14.5" customHeight="1" outlineLevel="1">
      <c r="A289" s="59"/>
      <c r="B289" s="72">
        <f>VLOOKUP('Hours Detail'!E289,'BASE_FUNCOES (hide)'!A:W,5,FALSE)</f>
        <v>13</v>
      </c>
      <c r="C289" s="72" t="s">
        <v>5929</v>
      </c>
      <c r="D289" s="73" t="str">
        <f>IF('General Information'!$C$6="Português",VLOOKUP(B289,'ESTRUTURA_MODULO(hide)'!A:D,2,0),IF('General Information'!$C$6="English",VLOOKUP(B289,'ESTRUTURA_MODULO(hide)'!A:D,3,0),IF('General Information'!$C$6="Español",VLOOKUP(B289,'ESTRUTURA_MODULO(hide)'!A:D,4,0))))</f>
        <v>Custos</v>
      </c>
      <c r="E289" s="254">
        <v>590</v>
      </c>
      <c r="F289" s="73" t="str">
        <f>IF('General Information'!$C$6="Português",VLOOKUP(E289,'BASE_FUNCOES (hide)'!A:H,2,0),IF('General Information'!$C$6="English",VLOOKUP(E289,'BASE_FUNCOES (hide)'!A:H,3,0),IF('General Information'!$C$6="Español",VLOOKUP(E289,'BASE_FUNCOES (hide)'!A:H,4,0))))</f>
        <v>Cadastros Custos</v>
      </c>
      <c r="G289" s="73" t="str">
        <f>IF(AND('General Information'!$D$16=1,VLOOKUP(B289,Modules!$B$5:$E$496,4,0)=1)=TRUE,VLOOKUP('Hours Detail'!E289,'BASE_FUNCOES (hide)'!$A:$V,10,0),IF(AND('General Information'!$D$16=2,VLOOKUP(B289,Modules!$B$5:$E$496,4,0)=1)=TRUE,VLOOKUP('Hours Detail'!E289,'BASE_FUNCOES (hide)'!$A:$V,11,0),IF(AND('General Information'!$D$16=3,VLOOKUP(B289,Modules!$B$5:$E$496,4,0)=1)=TRUE,VLOOKUP('Hours Detail'!E289,'BASE_FUNCOES (hide)'!$A:$V,12,0),IF(AND('General Information'!$D$16=4,VLOOKUP(B289,Modules!$B$5:$E$496,4,0)=1)=TRUE,VLOOKUP('Hours Detail'!E289,'BASE_FUNCOES (hide)'!$A:$V,13,0),IF(AND('General Information'!$D$16=5,VLOOKUP(B289,Modules!$B$5:$E$496,4,0)=1)=TRUE,VLOOKUP('Hours Detail'!E289,'BASE_FUNCOES (hide)'!$A:$V,14,0),  IF(AND('General Information'!$D$16=6,VLOOKUP(B289,Modules!$B$5:$E$496,4,0)=1)=TRUE,VLOOKUP('Hours Detail'!E289,'BASE_FUNCOES (hide)'!$A:$V,15,0),"No"))))))</f>
        <v>No</v>
      </c>
      <c r="H289" s="22" t="str">
        <f t="shared" si="6"/>
        <v>No</v>
      </c>
      <c r="I289" s="75">
        <f>IF('General Information'!$C$4="Mexico",(ROUNDUP(VLOOKUP(E289,'BASE_FUNCOES (hide)'!A:X,21,0),0)),(ROUNDUP(VLOOKUP(E289,'BASE_FUNCOES (hide)'!A:L,9,0),0)))</f>
        <v>24</v>
      </c>
      <c r="J289" s="75">
        <f>ROUNDUP(SUMIF(Questions!$E$5:$E$558,'Hours Detail'!E289,Questions!$F$5:$F$558),0)</f>
        <v>0</v>
      </c>
      <c r="K289" s="76">
        <f>IF(H289="Yes",ROUNDUP(IF(VLOOKUP(E289,'BASE_FUNCOES (hide)'!A:T,16,FALSE)&lt;&gt;"No",IF('General Information'!$C$19="HTML5",(I289+J289)*'BASE_FUNCOES (hide)'!$T$2,I289+J289),I289+J289),I289+J289),I289+J289)</f>
        <v>24</v>
      </c>
      <c r="L289" s="265" t="str">
        <f>IF(OR(E289=121,E289=88,E289=2682,E289=2703,E289=2687,E289=2689,E289=2681,E289=2685)=FALSE,"",IF('General Information'!$C$19="HTML5","FUNÇÃO DISPONÍVEL APENAS PARA BRASIL",IF(J290&lt;&gt;0,VLOOKUP(E290,Questions!$E$5:$L$568,5,0),"")))</f>
        <v/>
      </c>
      <c r="M289" s="164" t="s">
        <v>2396</v>
      </c>
      <c r="N289" s="369" t="s">
        <v>2377</v>
      </c>
    </row>
    <row r="290" spans="1:14" ht="14.5" customHeight="1" outlineLevel="1">
      <c r="A290" s="59"/>
      <c r="B290" s="72">
        <f>VLOOKUP('Hours Detail'!E290,'BASE_FUNCOES (hide)'!A:W,5,FALSE)</f>
        <v>456</v>
      </c>
      <c r="C290" s="72" t="s">
        <v>5929</v>
      </c>
      <c r="D290" s="73" t="str">
        <f>IF('General Information'!$C$6="Português",VLOOKUP(B290,'ESTRUTURA_MODULO(hide)'!A:D,2,0),IF('General Information'!$C$6="English",VLOOKUP(B290,'ESTRUTURA_MODULO(hide)'!A:D,3,0),IF('General Information'!$C$6="Español",VLOOKUP(B290,'ESTRUTURA_MODULO(hide)'!A:D,4,0))))</f>
        <v>Projetos de Investimento</v>
      </c>
      <c r="E290" s="254">
        <v>928</v>
      </c>
      <c r="F290" s="73" t="str">
        <f>IF('General Information'!$C$6="Português",VLOOKUP(E290,'BASE_FUNCOES (hide)'!A:H,2,0),IF('General Information'!$C$6="English",VLOOKUP(E290,'BASE_FUNCOES (hide)'!A:H,3,0),IF('General Information'!$C$6="Español",VLOOKUP(E290,'BASE_FUNCOES (hide)'!A:H,4,0))))</f>
        <v>Controle de Projetos e Recursos Externos</v>
      </c>
      <c r="G290" s="73" t="str">
        <f>IF(AND('General Information'!$D$16=1,VLOOKUP(B290,Modules!$B$5:$E$496,4,0)=1)=TRUE,VLOOKUP('Hours Detail'!E290,'BASE_FUNCOES (hide)'!$A:$V,10,0),IF(AND('General Information'!$D$16=2,VLOOKUP(B290,Modules!$B$5:$E$496,4,0)=1)=TRUE,VLOOKUP('Hours Detail'!E290,'BASE_FUNCOES (hide)'!$A:$V,11,0),IF(AND('General Information'!$D$16=3,VLOOKUP(B290,Modules!$B$5:$E$496,4,0)=1)=TRUE,VLOOKUP('Hours Detail'!E290,'BASE_FUNCOES (hide)'!$A:$V,12,0),IF(AND('General Information'!$D$16=4,VLOOKUP(B290,Modules!$B$5:$E$496,4,0)=1)=TRUE,VLOOKUP('Hours Detail'!E290,'BASE_FUNCOES (hide)'!$A:$V,13,0),IF(AND('General Information'!$D$16=5,VLOOKUP(B290,Modules!$B$5:$E$496,4,0)=1)=TRUE,VLOOKUP('Hours Detail'!E290,'BASE_FUNCOES (hide)'!$A:$V,14,0),  IF(AND('General Information'!$D$16=6,VLOOKUP(B290,Modules!$B$5:$E$496,4,0)=1)=TRUE,VLOOKUP('Hours Detail'!E290,'BASE_FUNCOES (hide)'!$A:$V,15,0),"No"))))))</f>
        <v>No</v>
      </c>
      <c r="H290" s="22" t="str">
        <f t="shared" si="6"/>
        <v>No</v>
      </c>
      <c r="I290" s="75">
        <f>IF('General Information'!$C$4="Mexico",(ROUNDUP(VLOOKUP(E290,'BASE_FUNCOES (hide)'!A:X,21,0),0)),(ROUNDUP(VLOOKUP(E290,'BASE_FUNCOES (hide)'!A:L,9,0),0)))</f>
        <v>40</v>
      </c>
      <c r="J290" s="75">
        <f>ROUNDUP(SUMIF(Questions!$E$5:$E$558,'Hours Detail'!E290,Questions!$F$5:$F$558),0)</f>
        <v>0</v>
      </c>
      <c r="K290" s="76">
        <f>IF(H290="Yes",ROUNDUP(IF(VLOOKUP(E290,'BASE_FUNCOES (hide)'!A:T,16,FALSE)&lt;&gt;"No",IF('General Information'!$C$19="HTML5",(I290+J290)*'BASE_FUNCOES (hide)'!$T$2,I290+J290),I290+J290),I290+J290),I290+J290)</f>
        <v>40</v>
      </c>
      <c r="L290" s="265" t="str">
        <f>IF(OR(E290=121,E290=88,E290=2682,E290=2703,E290=2687,E290=2689,E290=2681,E290=2685)=FALSE,"",IF('General Information'!$C$19="HTML5","FUNÇÃO DISPONÍVEL APENAS PARA BRASIL",IF(J291&lt;&gt;0,VLOOKUP(E291,Questions!$E$5:$L$568,5,0),"")))</f>
        <v/>
      </c>
      <c r="M290" s="164" t="s">
        <v>2396</v>
      </c>
      <c r="N290" s="369" t="s">
        <v>2377</v>
      </c>
    </row>
    <row r="291" spans="1:14" ht="14.5" customHeight="1" outlineLevel="1">
      <c r="A291" s="59"/>
      <c r="B291" s="72">
        <f>VLOOKUP('Hours Detail'!E291,'BASE_FUNCOES (hide)'!A:W,5,FALSE)</f>
        <v>456</v>
      </c>
      <c r="C291" s="72" t="s">
        <v>5929</v>
      </c>
      <c r="D291" s="73" t="str">
        <f>IF('General Information'!$C$6="Português",VLOOKUP(B291,'ESTRUTURA_MODULO(hide)'!A:D,2,0),IF('General Information'!$C$6="English",VLOOKUP(B291,'ESTRUTURA_MODULO(hide)'!A:D,3,0),IF('General Information'!$C$6="Español",VLOOKUP(B291,'ESTRUTURA_MODULO(hide)'!A:D,4,0))))</f>
        <v>Projetos de Investimento</v>
      </c>
      <c r="E291" s="254">
        <v>7027</v>
      </c>
      <c r="F291" s="73" t="str">
        <f>IF('General Information'!$C$6="Português",VLOOKUP(E291,'BASE_FUNCOES (hide)'!A:H,2,0),IF('General Information'!$C$6="English",VLOOKUP(E291,'BASE_FUNCOES (hide)'!A:H,3,0),IF('General Information'!$C$6="Español",VLOOKUP(E291,'BASE_FUNCOES (hide)'!A:H,4,0))))</f>
        <v>Gestão de Projetos e Investimentos</v>
      </c>
      <c r="G291" s="73" t="str">
        <f>IF(AND('General Information'!$D$16=1,VLOOKUP(B291,Modules!$B$5:$E$496,4,0)=1)=TRUE,VLOOKUP('Hours Detail'!E291,'BASE_FUNCOES (hide)'!$A:$V,10,0),IF(AND('General Information'!$D$16=2,VLOOKUP(B291,Modules!$B$5:$E$496,4,0)=1)=TRUE,VLOOKUP('Hours Detail'!E291,'BASE_FUNCOES (hide)'!$A:$V,11,0),IF(AND('General Information'!$D$16=3,VLOOKUP(B291,Modules!$B$5:$E$496,4,0)=1)=TRUE,VLOOKUP('Hours Detail'!E291,'BASE_FUNCOES (hide)'!$A:$V,12,0),IF(AND('General Information'!$D$16=4,VLOOKUP(B291,Modules!$B$5:$E$496,4,0)=1)=TRUE,VLOOKUP('Hours Detail'!E291,'BASE_FUNCOES (hide)'!$A:$V,13,0),IF(AND('General Information'!$D$16=5,VLOOKUP(B291,Modules!$B$5:$E$496,4,0)=1)=TRUE,VLOOKUP('Hours Detail'!E291,'BASE_FUNCOES (hide)'!$A:$V,14,0),  IF(AND('General Information'!$D$16=6,VLOOKUP(B291,Modules!$B$5:$E$496,4,0)=1)=TRUE,VLOOKUP('Hours Detail'!E291,'BASE_FUNCOES (hide)'!$A:$V,15,0),"No"))))))</f>
        <v>No</v>
      </c>
      <c r="H291" s="22" t="str">
        <f t="shared" si="6"/>
        <v>No</v>
      </c>
      <c r="I291" s="75">
        <f>IF('General Information'!$C$4="Mexico",(ROUNDUP(VLOOKUP(E291,'BASE_FUNCOES (hide)'!A:X,21,0),0)),(ROUNDUP(VLOOKUP(E291,'BASE_FUNCOES (hide)'!A:L,9,0),0)))</f>
        <v>40</v>
      </c>
      <c r="J291" s="75">
        <f>ROUNDUP(SUMIF(Questions!$E$5:$E$558,'Hours Detail'!E291,Questions!$F$5:$F$558),0)</f>
        <v>0</v>
      </c>
      <c r="K291" s="76">
        <f>IF(H291="Yes",ROUNDUP(IF(VLOOKUP(E291,'BASE_FUNCOES (hide)'!A:T,16,FALSE)&lt;&gt;"No",IF('General Information'!$C$19="HTML5",(I291+J291)*'BASE_FUNCOES (hide)'!$T$2,I291+J291),I291+J291),I291+J291),I291+J291)</f>
        <v>40</v>
      </c>
      <c r="L291" s="265" t="str">
        <f>IF(OR(E291=121,E291=88,E291=2682,E291=2703,E291=2687,E291=2689,E291=2681,E291=2685)=FALSE,"",IF('General Information'!$C$19="HTML5","FUNÇÃO DISPONÍVEL APENAS PARA BRASIL",IF(J292&lt;&gt;0,VLOOKUP(E292,Questions!$E$5:$L$568,5,0),"")))</f>
        <v/>
      </c>
      <c r="M291" s="164" t="s">
        <v>2396</v>
      </c>
      <c r="N291" s="369" t="s">
        <v>2377</v>
      </c>
    </row>
    <row r="292" spans="1:14" ht="14.5" customHeight="1" outlineLevel="1">
      <c r="A292" s="59"/>
      <c r="B292" s="72">
        <f>VLOOKUP('Hours Detail'!E292,'BASE_FUNCOES (hide)'!A:W,5,FALSE)</f>
        <v>14</v>
      </c>
      <c r="C292" s="72" t="s">
        <v>5929</v>
      </c>
      <c r="D292" s="73" t="str">
        <f>IF('General Information'!$C$6="Português",VLOOKUP(B292,'ESTRUTURA_MODULO(hide)'!A:D,2,0),IF('General Information'!$C$6="English",VLOOKUP(B292,'ESTRUTURA_MODULO(hide)'!A:D,3,0),IF('General Information'!$C$6="Español",VLOOKUP(B292,'ESTRUTURA_MODULO(hide)'!A:D,4,0))))</f>
        <v>EIS</v>
      </c>
      <c r="E292" s="254">
        <v>292</v>
      </c>
      <c r="F292" s="73" t="str">
        <f>IF('General Information'!$C$6="Português",VLOOKUP(E292,'BASE_FUNCOES (hide)'!A:H,2,0),IF('General Information'!$C$6="English",VLOOKUP(E292,'BASE_FUNCOES (hide)'!A:H,3,0),IF('General Information'!$C$6="Español",VLOOKUP(E292,'BASE_FUNCOES (hide)'!A:H,4,0))))</f>
        <v>Cadastro de Indicadores</v>
      </c>
      <c r="G292" s="73" t="str">
        <f>IF(AND('General Information'!$D$16=1,VLOOKUP(B292,Modules!$B$5:$E$496,4,0)=1)=TRUE,VLOOKUP('Hours Detail'!E292,'BASE_FUNCOES (hide)'!$A:$V,10,0),IF(AND('General Information'!$D$16=2,VLOOKUP(B292,Modules!$B$5:$E$496,4,0)=1)=TRUE,VLOOKUP('Hours Detail'!E292,'BASE_FUNCOES (hide)'!$A:$V,11,0),IF(AND('General Information'!$D$16=3,VLOOKUP(B292,Modules!$B$5:$E$496,4,0)=1)=TRUE,VLOOKUP('Hours Detail'!E292,'BASE_FUNCOES (hide)'!$A:$V,12,0),IF(AND('General Information'!$D$16=4,VLOOKUP(B292,Modules!$B$5:$E$496,4,0)=1)=TRUE,VLOOKUP('Hours Detail'!E292,'BASE_FUNCOES (hide)'!$A:$V,13,0),IF(AND('General Information'!$D$16=5,VLOOKUP(B292,Modules!$B$5:$E$496,4,0)=1)=TRUE,VLOOKUP('Hours Detail'!E292,'BASE_FUNCOES (hide)'!$A:$V,14,0),  IF(AND('General Information'!$D$16=6,VLOOKUP(B292,Modules!$B$5:$E$496,4,0)=1)=TRUE,VLOOKUP('Hours Detail'!E292,'BASE_FUNCOES (hide)'!$A:$V,15,0),"No"))))))</f>
        <v>No</v>
      </c>
      <c r="H292" s="22" t="str">
        <f t="shared" si="6"/>
        <v>No</v>
      </c>
      <c r="I292" s="75">
        <f>IF('General Information'!$C$4="Mexico",(ROUNDUP(VLOOKUP(E292,'BASE_FUNCOES (hide)'!A:X,21,0),0)),(ROUNDUP(VLOOKUP(E292,'BASE_FUNCOES (hide)'!A:L,9,0),0)))</f>
        <v>32</v>
      </c>
      <c r="J292" s="75">
        <f>ROUNDUP(SUMIF(Questions!$E$5:$E$558,'Hours Detail'!E292,Questions!$F$5:$F$558),0)</f>
        <v>0</v>
      </c>
      <c r="K292" s="76">
        <f>IF(H292="Yes",ROUNDUP(IF(VLOOKUP(E292,'BASE_FUNCOES (hide)'!A:T,16,FALSE)&lt;&gt;"No",IF('General Information'!$C$19="HTML5",(I292+J292)*'BASE_FUNCOES (hide)'!$T$2,I292+J292),I292+J292),I292+J292),I292+J292)</f>
        <v>32</v>
      </c>
      <c r="L292" s="265" t="str">
        <f>IF(OR(E292=121,E292=88,E292=2682,E292=2703,E292=2687,E292=2689,E292=2681,E292=2685)=FALSE,"",IF('General Information'!$C$19="HTML5","FUNÇÃO DISPONÍVEL APENAS PARA BRASIL",IF(J293&lt;&gt;0,VLOOKUP(E293,Questions!$E$5:$L$568,5,0),"")))</f>
        <v/>
      </c>
      <c r="M292" s="164" t="s">
        <v>2396</v>
      </c>
      <c r="N292" s="369" t="s">
        <v>2377</v>
      </c>
    </row>
    <row r="293" spans="1:14" ht="14.5" customHeight="1" outlineLevel="1">
      <c r="A293" s="59"/>
      <c r="B293" s="72">
        <f>VLOOKUP('Hours Detail'!E293,'BASE_FUNCOES (hide)'!A:W,5,FALSE)</f>
        <v>14</v>
      </c>
      <c r="C293" s="72" t="s">
        <v>5929</v>
      </c>
      <c r="D293" s="73" t="str">
        <f>IF('General Information'!$C$6="Português",VLOOKUP(B293,'ESTRUTURA_MODULO(hide)'!A:D,2,0),IF('General Information'!$C$6="English",VLOOKUP(B293,'ESTRUTURA_MODULO(hide)'!A:D,3,0),IF('General Information'!$C$6="Español",VLOOKUP(B293,'ESTRUTURA_MODULO(hide)'!A:D,4,0))))</f>
        <v>EIS</v>
      </c>
      <c r="E293" s="254">
        <v>49</v>
      </c>
      <c r="F293" s="73" t="str">
        <f>IF('General Information'!$C$6="Português",VLOOKUP(E293,'BASE_FUNCOES (hide)'!A:H,2,0),IF('General Information'!$C$6="English",VLOOKUP(E293,'BASE_FUNCOES (hide)'!A:H,3,0),IF('General Information'!$C$6="Español",VLOOKUP(E293,'BASE_FUNCOES (hide)'!A:H,4,0))))</f>
        <v>Dashboards</v>
      </c>
      <c r="G293" s="73" t="str">
        <f>IF(AND('General Information'!$D$16=1,VLOOKUP(B293,Modules!$B$5:$E$496,4,0)=1)=TRUE,VLOOKUP('Hours Detail'!E293,'BASE_FUNCOES (hide)'!$A:$V,10,0),IF(AND('General Information'!$D$16=2,VLOOKUP(B293,Modules!$B$5:$E$496,4,0)=1)=TRUE,VLOOKUP('Hours Detail'!E293,'BASE_FUNCOES (hide)'!$A:$V,11,0),IF(AND('General Information'!$D$16=3,VLOOKUP(B293,Modules!$B$5:$E$496,4,0)=1)=TRUE,VLOOKUP('Hours Detail'!E293,'BASE_FUNCOES (hide)'!$A:$V,12,0),IF(AND('General Information'!$D$16=4,VLOOKUP(B293,Modules!$B$5:$E$496,4,0)=1)=TRUE,VLOOKUP('Hours Detail'!E293,'BASE_FUNCOES (hide)'!$A:$V,13,0),IF(AND('General Information'!$D$16=5,VLOOKUP(B293,Modules!$B$5:$E$496,4,0)=1)=TRUE,VLOOKUP('Hours Detail'!E293,'BASE_FUNCOES (hide)'!$A:$V,14,0),  IF(AND('General Information'!$D$16=6,VLOOKUP(B293,Modules!$B$5:$E$496,4,0)=1)=TRUE,VLOOKUP('Hours Detail'!E293,'BASE_FUNCOES (hide)'!$A:$V,15,0),"No"))))))</f>
        <v>No</v>
      </c>
      <c r="H293" s="22" t="str">
        <f t="shared" si="6"/>
        <v>No</v>
      </c>
      <c r="I293" s="75">
        <f>IF('General Information'!$C$4="Mexico",(ROUNDUP(VLOOKUP(E293,'BASE_FUNCOES (hide)'!A:X,21,0),0)),(ROUNDUP(VLOOKUP(E293,'BASE_FUNCOES (hide)'!A:L,9,0),0)))</f>
        <v>40</v>
      </c>
      <c r="J293" s="75">
        <f>ROUNDUP(SUMIF(Questions!$E$5:$E$558,'Hours Detail'!E293,Questions!$F$5:$F$558),0)</f>
        <v>0</v>
      </c>
      <c r="K293" s="76">
        <f>IF(H293="Yes",ROUNDUP(IF(VLOOKUP(E293,'BASE_FUNCOES (hide)'!A:T,16,FALSE)&lt;&gt;"No",IF('General Information'!$C$19="HTML5",(I293+J293)*'BASE_FUNCOES (hide)'!$T$2,I293+J293),I293+J293),I293+J293),I293+J293)</f>
        <v>40</v>
      </c>
      <c r="L293" s="265" t="str">
        <f>IF(OR(E293=121,E293=88,E293=2682,E293=2703,E293=2687,E293=2689,E293=2681,E293=2685)=FALSE,"",IF('General Information'!$C$19="HTML5","FUNÇÃO DISPONÍVEL APENAS PARA BRASIL",IF(J294&lt;&gt;0,VLOOKUP(E294,Questions!$E$5:$L$568,5,0),"")))</f>
        <v/>
      </c>
      <c r="M293" s="164" t="s">
        <v>2396</v>
      </c>
      <c r="N293" s="369" t="s">
        <v>2377</v>
      </c>
    </row>
    <row r="294" spans="1:14" ht="14.5" customHeight="1" outlineLevel="1">
      <c r="A294" s="59"/>
      <c r="B294" s="72">
        <f>VLOOKUP('Hours Detail'!E294,'BASE_FUNCOES (hide)'!A:W,5,FALSE)</f>
        <v>14</v>
      </c>
      <c r="C294" s="72" t="s">
        <v>5929</v>
      </c>
      <c r="D294" s="73" t="str">
        <f>IF('General Information'!$C$6="Português",VLOOKUP(B294,'ESTRUTURA_MODULO(hide)'!A:D,2,0),IF('General Information'!$C$6="English",VLOOKUP(B294,'ESTRUTURA_MODULO(hide)'!A:D,3,0),IF('General Information'!$C$6="Español",VLOOKUP(B294,'ESTRUTURA_MODULO(hide)'!A:D,4,0))))</f>
        <v>EIS</v>
      </c>
      <c r="E294" s="254">
        <v>1121</v>
      </c>
      <c r="F294" s="73" t="str">
        <f>IF('General Information'!$C$6="Português",VLOOKUP(E294,'BASE_FUNCOES (hide)'!A:H,2,0),IF('General Information'!$C$6="English",VLOOKUP(E294,'BASE_FUNCOES (hide)'!A:H,3,0),IF('General Information'!$C$6="Español",VLOOKUP(E294,'BASE_FUNCOES (hide)'!A:H,4,0))))</f>
        <v>EIS Contas pendentes (nova)</v>
      </c>
      <c r="G294" s="73" t="str">
        <f>IF(AND('General Information'!$D$16=1,VLOOKUP(B294,Modules!$B$5:$E$496,4,0)=1)=TRUE,VLOOKUP('Hours Detail'!E294,'BASE_FUNCOES (hide)'!$A:$V,10,0),IF(AND('General Information'!$D$16=2,VLOOKUP(B294,Modules!$B$5:$E$496,4,0)=1)=TRUE,VLOOKUP('Hours Detail'!E294,'BASE_FUNCOES (hide)'!$A:$V,11,0),IF(AND('General Information'!$D$16=3,VLOOKUP(B294,Modules!$B$5:$E$496,4,0)=1)=TRUE,VLOOKUP('Hours Detail'!E294,'BASE_FUNCOES (hide)'!$A:$V,12,0),IF(AND('General Information'!$D$16=4,VLOOKUP(B294,Modules!$B$5:$E$496,4,0)=1)=TRUE,VLOOKUP('Hours Detail'!E294,'BASE_FUNCOES (hide)'!$A:$V,13,0),IF(AND('General Information'!$D$16=5,VLOOKUP(B294,Modules!$B$5:$E$496,4,0)=1)=TRUE,VLOOKUP('Hours Detail'!E294,'BASE_FUNCOES (hide)'!$A:$V,14,0),  IF(AND('General Information'!$D$16=6,VLOOKUP(B294,Modules!$B$5:$E$496,4,0)=1)=TRUE,VLOOKUP('Hours Detail'!E294,'BASE_FUNCOES (hide)'!$A:$V,15,0),"No"))))))</f>
        <v>No</v>
      </c>
      <c r="H294" s="22" t="str">
        <f t="shared" si="6"/>
        <v>No</v>
      </c>
      <c r="I294" s="75">
        <f>IF('General Information'!$C$4="Mexico",(ROUNDUP(VLOOKUP(E294,'BASE_FUNCOES (hide)'!A:X,21,0),0)),(ROUNDUP(VLOOKUP(E294,'BASE_FUNCOES (hide)'!A:L,9,0),0)))</f>
        <v>4</v>
      </c>
      <c r="J294" s="75">
        <f>ROUNDUP(SUMIF(Questions!$E$5:$E$558,'Hours Detail'!E294,Questions!$F$5:$F$558),0)</f>
        <v>0</v>
      </c>
      <c r="K294" s="76">
        <f>IF(H294="Yes",ROUNDUP(IF(VLOOKUP(E294,'BASE_FUNCOES (hide)'!A:T,16,FALSE)&lt;&gt;"No",IF('General Information'!$C$19="HTML5",(I294+J294)*'BASE_FUNCOES (hide)'!$T$2,I294+J294),I294+J294),I294+J294),I294+J294)</f>
        <v>4</v>
      </c>
      <c r="L294" s="265" t="str">
        <f>IF(OR(E294=121,E294=88,E294=2682,E294=2703,E294=2687,E294=2689,E294=2681,E294=2685)=FALSE,"",IF('General Information'!$C$19="HTML5","FUNÇÃO DISPONÍVEL APENAS PARA BRASIL",IF(J295&lt;&gt;0,VLOOKUP(E295,Questions!$E$5:$L$568,5,0),"")))</f>
        <v/>
      </c>
      <c r="M294" s="164" t="s">
        <v>2396</v>
      </c>
      <c r="N294" s="369" t="s">
        <v>2377</v>
      </c>
    </row>
    <row r="295" spans="1:14" ht="14.5" customHeight="1" outlineLevel="1">
      <c r="A295" s="59"/>
      <c r="B295" s="72">
        <f>VLOOKUP('Hours Detail'!E295,'BASE_FUNCOES (hide)'!A:W,5,FALSE)</f>
        <v>14</v>
      </c>
      <c r="C295" s="72" t="s">
        <v>5929</v>
      </c>
      <c r="D295" s="73" t="str">
        <f>IF('General Information'!$C$6="Português",VLOOKUP(B295,'ESTRUTURA_MODULO(hide)'!A:D,2,0),IF('General Information'!$C$6="English",VLOOKUP(B295,'ESTRUTURA_MODULO(hide)'!A:D,3,0),IF('General Information'!$C$6="Español",VLOOKUP(B295,'ESTRUTURA_MODULO(hide)'!A:D,4,0))))</f>
        <v>EIS</v>
      </c>
      <c r="E295" s="254">
        <v>291</v>
      </c>
      <c r="F295" s="73" t="str">
        <f>IF('General Information'!$C$6="Português",VLOOKUP(E295,'BASE_FUNCOES (hide)'!A:H,2,0),IF('General Information'!$C$6="English",VLOOKUP(E295,'BASE_FUNCOES (hide)'!A:H,3,0),IF('General Information'!$C$6="Español",VLOOKUP(E295,'BASE_FUNCOES (hide)'!A:H,4,0))))</f>
        <v>Indicadores de Gestão</v>
      </c>
      <c r="G295" s="73" t="str">
        <f>IF(AND('General Information'!$D$16=1,VLOOKUP(B295,Modules!$B$5:$E$496,4,0)=1)=TRUE,VLOOKUP('Hours Detail'!E295,'BASE_FUNCOES (hide)'!$A:$V,10,0),IF(AND('General Information'!$D$16=2,VLOOKUP(B295,Modules!$B$5:$E$496,4,0)=1)=TRUE,VLOOKUP('Hours Detail'!E295,'BASE_FUNCOES (hide)'!$A:$V,11,0),IF(AND('General Information'!$D$16=3,VLOOKUP(B295,Modules!$B$5:$E$496,4,0)=1)=TRUE,VLOOKUP('Hours Detail'!E295,'BASE_FUNCOES (hide)'!$A:$V,12,0),IF(AND('General Information'!$D$16=4,VLOOKUP(B295,Modules!$B$5:$E$496,4,0)=1)=TRUE,VLOOKUP('Hours Detail'!E295,'BASE_FUNCOES (hide)'!$A:$V,13,0),IF(AND('General Information'!$D$16=5,VLOOKUP(B295,Modules!$B$5:$E$496,4,0)=1)=TRUE,VLOOKUP('Hours Detail'!E295,'BASE_FUNCOES (hide)'!$A:$V,14,0),  IF(AND('General Information'!$D$16=6,VLOOKUP(B295,Modules!$B$5:$E$496,4,0)=1)=TRUE,VLOOKUP('Hours Detail'!E295,'BASE_FUNCOES (hide)'!$A:$V,15,0),"No"))))))</f>
        <v>No</v>
      </c>
      <c r="H295" s="22" t="str">
        <f t="shared" si="6"/>
        <v>No</v>
      </c>
      <c r="I295" s="75">
        <f>IF('General Information'!$C$4="Mexico",(ROUNDUP(VLOOKUP(E295,'BASE_FUNCOES (hide)'!A:X,21,0),0)),(ROUNDUP(VLOOKUP(E295,'BASE_FUNCOES (hide)'!A:L,9,0),0)))</f>
        <v>40</v>
      </c>
      <c r="J295" s="75">
        <f>ROUNDUP(SUMIF(Questions!$E$5:$E$558,'Hours Detail'!E295,Questions!$F$5:$F$558),0)</f>
        <v>0</v>
      </c>
      <c r="K295" s="76">
        <f>IF(H295="Yes",ROUNDUP(IF(VLOOKUP(E295,'BASE_FUNCOES (hide)'!A:T,16,FALSE)&lt;&gt;"No",IF('General Information'!$C$19="HTML5",(I295+J295)*'BASE_FUNCOES (hide)'!$T$2,I295+J295),I295+J295),I295+J295),I295+J295)</f>
        <v>40</v>
      </c>
      <c r="L295" s="265" t="str">
        <f>IF(OR(E295=121,E295=88,E295=2682,E295=2703,E295=2687,E295=2689,E295=2681,E295=2685)=FALSE,"",IF('General Information'!$C$19="HTML5","FUNÇÃO DISPONÍVEL APENAS PARA BRASIL",IF(J296&lt;&gt;0,VLOOKUP(E296,Questions!$E$5:$L$568,5,0),"")))</f>
        <v/>
      </c>
      <c r="M295" s="164" t="s">
        <v>2396</v>
      </c>
      <c r="N295" s="369" t="s">
        <v>2377</v>
      </c>
    </row>
    <row r="296" spans="1:14" ht="14.5" customHeight="1" outlineLevel="1">
      <c r="A296" s="59"/>
      <c r="B296" s="72">
        <f>VLOOKUP('Hours Detail'!E296,'BASE_FUNCOES (hide)'!A:W,5,FALSE)</f>
        <v>453</v>
      </c>
      <c r="C296" s="72" t="s">
        <v>5929</v>
      </c>
      <c r="D296" s="73" t="str">
        <f>IF('General Information'!$C$6="Português",VLOOKUP(B296,'ESTRUTURA_MODULO(hide)'!A:D,2,0),IF('General Information'!$C$6="English",VLOOKUP(B296,'ESTRUTURA_MODULO(hide)'!A:D,3,0),IF('General Information'!$C$6="Español",VLOOKUP(B296,'ESTRUTURA_MODULO(hide)'!A:D,4,0))))</f>
        <v>BSC</v>
      </c>
      <c r="E296" s="254">
        <v>7024</v>
      </c>
      <c r="F296" s="73" t="str">
        <f>IF('General Information'!$C$6="Português",VLOOKUP(E296,'BASE_FUNCOES (hide)'!A:H,2,0),IF('General Information'!$C$6="English",VLOOKUP(E296,'BASE_FUNCOES (hide)'!A:H,3,0),IF('General Information'!$C$6="Español",VLOOKUP(E296,'BASE_FUNCOES (hide)'!A:H,4,0))))</f>
        <v>BSC - Balanced Scorecard</v>
      </c>
      <c r="G296" s="73" t="str">
        <f>IF(AND('General Information'!$D$16=1,VLOOKUP(B296,Modules!$B$5:$E$496,4,0)=1)=TRUE,VLOOKUP('Hours Detail'!E296,'BASE_FUNCOES (hide)'!$A:$V,10,0),IF(AND('General Information'!$D$16=2,VLOOKUP(B296,Modules!$B$5:$E$496,4,0)=1)=TRUE,VLOOKUP('Hours Detail'!E296,'BASE_FUNCOES (hide)'!$A:$V,11,0),IF(AND('General Information'!$D$16=3,VLOOKUP(B296,Modules!$B$5:$E$496,4,0)=1)=TRUE,VLOOKUP('Hours Detail'!E296,'BASE_FUNCOES (hide)'!$A:$V,12,0),IF(AND('General Information'!$D$16=4,VLOOKUP(B296,Modules!$B$5:$E$496,4,0)=1)=TRUE,VLOOKUP('Hours Detail'!E296,'BASE_FUNCOES (hide)'!$A:$V,13,0),IF(AND('General Information'!$D$16=5,VLOOKUP(B296,Modules!$B$5:$E$496,4,0)=1)=TRUE,VLOOKUP('Hours Detail'!E296,'BASE_FUNCOES (hide)'!$A:$V,14,0),  IF(AND('General Information'!$D$16=6,VLOOKUP(B296,Modules!$B$5:$E$496,4,0)=1)=TRUE,VLOOKUP('Hours Detail'!E296,'BASE_FUNCOES (hide)'!$A:$V,15,0),"No"))))))</f>
        <v>No</v>
      </c>
      <c r="H296" s="22" t="str">
        <f t="shared" si="6"/>
        <v>No</v>
      </c>
      <c r="I296" s="75">
        <f>IF('General Information'!$C$4="Mexico",(ROUNDUP(VLOOKUP(E296,'BASE_FUNCOES (hide)'!A:X,21,0),0)),(ROUNDUP(VLOOKUP(E296,'BASE_FUNCOES (hide)'!A:L,9,0),0)))</f>
        <v>40</v>
      </c>
      <c r="J296" s="75">
        <f>ROUNDUP(SUMIF(Questions!$E$5:$E$558,'Hours Detail'!E296,Questions!$F$5:$F$558),0)</f>
        <v>0</v>
      </c>
      <c r="K296" s="76">
        <f>IF(H296="Yes",ROUNDUP(IF(VLOOKUP(E296,'BASE_FUNCOES (hide)'!A:T,16,FALSE)&lt;&gt;"No",IF('General Information'!$C$19="HTML5",(I296+J296)*'BASE_FUNCOES (hide)'!$T$2,I296+J296),I296+J296),I296+J296),I296+J296)</f>
        <v>40</v>
      </c>
      <c r="L296" s="265" t="str">
        <f>IF(OR(E296=121,E296=88,E296=2682,E296=2703,E296=2687,E296=2689,E296=2681,E296=2685)=FALSE,"",IF('General Information'!$C$19="HTML5","FUNÇÃO DISPONÍVEL APENAS PARA BRASIL",IF(J297&lt;&gt;0,VLOOKUP(E297,Questions!$E$5:$L$568,5,0),"")))</f>
        <v/>
      </c>
      <c r="M296" s="164" t="s">
        <v>2396</v>
      </c>
      <c r="N296" s="369" t="s">
        <v>2377</v>
      </c>
    </row>
    <row r="297" spans="1:14" ht="14.5" customHeight="1" outlineLevel="1">
      <c r="A297" s="59"/>
      <c r="B297" s="72">
        <f>VLOOKUP('Hours Detail'!E297,'BASE_FUNCOES (hide)'!A:W,5,FALSE)</f>
        <v>331</v>
      </c>
      <c r="C297" s="72" t="s">
        <v>5929</v>
      </c>
      <c r="D297" s="73" t="str">
        <f>IF('General Information'!$C$6="Português",VLOOKUP(B297,'ESTRUTURA_MODULO(hide)'!A:D,2,0),IF('General Information'!$C$6="English",VLOOKUP(B297,'ESTRUTURA_MODULO(hide)'!A:D,3,0),IF('General Information'!$C$6="Español",VLOOKUP(B297,'ESTRUTURA_MODULO(hide)'!A:D,4,0))))</f>
        <v>Aplicação Tasy WEB</v>
      </c>
      <c r="E297" s="254">
        <v>9045</v>
      </c>
      <c r="F297" s="73" t="str">
        <f>IF('General Information'!$C$6="Português",VLOOKUP(E297,'BASE_FUNCOES (hide)'!A:H,2,0),IF('General Information'!$C$6="English",VLOOKUP(E297,'BASE_FUNCOES (hide)'!A:H,3,0),IF('General Information'!$C$6="Español",VLOOKUP(E297,'BASE_FUNCOES (hide)'!A:H,4,0))))</f>
        <v>Avaliação Paciente Web</v>
      </c>
      <c r="G297" s="73" t="str">
        <f>IF(AND('General Information'!$D$16=1,VLOOKUP(B297,Modules!$B$5:$E$496,4,0)=1)=TRUE,VLOOKUP('Hours Detail'!E297,'BASE_FUNCOES (hide)'!$A:$V,10,0),IF(AND('General Information'!$D$16=2,VLOOKUP(B297,Modules!$B$5:$E$496,4,0)=1)=TRUE,VLOOKUP('Hours Detail'!E297,'BASE_FUNCOES (hide)'!$A:$V,11,0),IF(AND('General Information'!$D$16=3,VLOOKUP(B297,Modules!$B$5:$E$496,4,0)=1)=TRUE,VLOOKUP('Hours Detail'!E297,'BASE_FUNCOES (hide)'!$A:$V,12,0),IF(AND('General Information'!$D$16=4,VLOOKUP(B297,Modules!$B$5:$E$496,4,0)=1)=TRUE,VLOOKUP('Hours Detail'!E297,'BASE_FUNCOES (hide)'!$A:$V,13,0),IF(AND('General Information'!$D$16=5,VLOOKUP(B297,Modules!$B$5:$E$496,4,0)=1)=TRUE,VLOOKUP('Hours Detail'!E297,'BASE_FUNCOES (hide)'!$A:$V,14,0),  IF(AND('General Information'!$D$16=6,VLOOKUP(B297,Modules!$B$5:$E$496,4,0)=1)=TRUE,VLOOKUP('Hours Detail'!E297,'BASE_FUNCOES (hide)'!$A:$V,15,0),"No"))))))</f>
        <v>No</v>
      </c>
      <c r="H297" s="22" t="str">
        <f t="shared" si="6"/>
        <v>No</v>
      </c>
      <c r="I297" s="75">
        <f>IF('General Information'!$C$4="Mexico",(ROUNDUP(VLOOKUP(E297,'BASE_FUNCOES (hide)'!A:X,21,0),0)),(ROUNDUP(VLOOKUP(E297,'BASE_FUNCOES (hide)'!A:L,9,0),0)))</f>
        <v>12</v>
      </c>
      <c r="J297" s="75">
        <f>ROUNDUP(SUMIF(Questions!$E$5:$E$558,'Hours Detail'!E297,Questions!$F$5:$F$558),0)</f>
        <v>0</v>
      </c>
      <c r="K297" s="76">
        <f>IF(H297="Yes",ROUNDUP(IF(VLOOKUP(E297,'BASE_FUNCOES (hide)'!A:T,16,FALSE)&lt;&gt;"No",IF('General Information'!$C$19="HTML5",(I297+J297)*'BASE_FUNCOES (hide)'!$T$2,I297+J297),I297+J297),I297+J297),I297+J297)</f>
        <v>12</v>
      </c>
      <c r="L297" s="265" t="str">
        <f>IF(OR(E297=121,E297=88,E297=2682,E297=2703,E297=2687,E297=2689,E297=2681,E297=2685)=FALSE,"",IF('General Information'!$C$19="HTML5","FUNÇÃO DISPONÍVEL APENAS PARA BRASIL",IF(J298&lt;&gt;0,VLOOKUP(E298,Questions!$E$5:$L$568,5,0),"")))</f>
        <v/>
      </c>
      <c r="M297" s="164" t="s">
        <v>2396</v>
      </c>
      <c r="N297" s="369" t="s">
        <v>2377</v>
      </c>
    </row>
    <row r="298" spans="1:14" ht="14.5" customHeight="1" outlineLevel="1">
      <c r="A298" s="59"/>
      <c r="B298" s="72">
        <f>VLOOKUP('Hours Detail'!E298,'BASE_FUNCOES (hide)'!A:W,5,FALSE)</f>
        <v>331</v>
      </c>
      <c r="C298" s="72" t="s">
        <v>5929</v>
      </c>
      <c r="D298" s="73" t="str">
        <f>IF('General Information'!$C$6="Português",VLOOKUP(B298,'ESTRUTURA_MODULO(hide)'!A:D,2,0),IF('General Information'!$C$6="English",VLOOKUP(B298,'ESTRUTURA_MODULO(hide)'!A:D,3,0),IF('General Information'!$C$6="Español",VLOOKUP(B298,'ESTRUTURA_MODULO(hide)'!A:D,4,0))))</f>
        <v>Aplicação Tasy WEB</v>
      </c>
      <c r="E298" s="254">
        <v>9046</v>
      </c>
      <c r="F298" s="73" t="str">
        <f>IF('General Information'!$C$6="Português",VLOOKUP(E298,'BASE_FUNCOES (hide)'!A:H,2,0),IF('General Information'!$C$6="English",VLOOKUP(E298,'BASE_FUNCOES (hide)'!A:H,3,0),IF('General Information'!$C$6="Español",VLOOKUP(E298,'BASE_FUNCOES (hide)'!A:H,4,0))))</f>
        <v>Boletim Ocorrência Web</v>
      </c>
      <c r="G298" s="73" t="str">
        <f>IF(AND('General Information'!$D$16=1,VLOOKUP(B298,Modules!$B$5:$E$496,4,0)=1)=TRUE,VLOOKUP('Hours Detail'!E298,'BASE_FUNCOES (hide)'!$A:$V,10,0),IF(AND('General Information'!$D$16=2,VLOOKUP(B298,Modules!$B$5:$E$496,4,0)=1)=TRUE,VLOOKUP('Hours Detail'!E298,'BASE_FUNCOES (hide)'!$A:$V,11,0),IF(AND('General Information'!$D$16=3,VLOOKUP(B298,Modules!$B$5:$E$496,4,0)=1)=TRUE,VLOOKUP('Hours Detail'!E298,'BASE_FUNCOES (hide)'!$A:$V,12,0),IF(AND('General Information'!$D$16=4,VLOOKUP(B298,Modules!$B$5:$E$496,4,0)=1)=TRUE,VLOOKUP('Hours Detail'!E298,'BASE_FUNCOES (hide)'!$A:$V,13,0),IF(AND('General Information'!$D$16=5,VLOOKUP(B298,Modules!$B$5:$E$496,4,0)=1)=TRUE,VLOOKUP('Hours Detail'!E298,'BASE_FUNCOES (hide)'!$A:$V,14,0),  IF(AND('General Information'!$D$16=6,VLOOKUP(B298,Modules!$B$5:$E$496,4,0)=1)=TRUE,VLOOKUP('Hours Detail'!E298,'BASE_FUNCOES (hide)'!$A:$V,15,0),"No"))))))</f>
        <v>No</v>
      </c>
      <c r="H298" s="22" t="str">
        <f t="shared" si="6"/>
        <v>No</v>
      </c>
      <c r="I298" s="75">
        <f>IF('General Information'!$C$4="Mexico",(ROUNDUP(VLOOKUP(E298,'BASE_FUNCOES (hide)'!A:X,21,0),0)),(ROUNDUP(VLOOKUP(E298,'BASE_FUNCOES (hide)'!A:L,9,0),0)))</f>
        <v>12</v>
      </c>
      <c r="J298" s="75">
        <f>ROUNDUP(SUMIF(Questions!$E$5:$E$558,'Hours Detail'!E298,Questions!$F$5:$F$558),0)</f>
        <v>0</v>
      </c>
      <c r="K298" s="76">
        <f>IF(H298="Yes",ROUNDUP(IF(VLOOKUP(E298,'BASE_FUNCOES (hide)'!A:T,16,FALSE)&lt;&gt;"No",IF('General Information'!$C$19="HTML5",(I298+J298)*'BASE_FUNCOES (hide)'!$T$2,I298+J298),I298+J298),I298+J298),I298+J298)</f>
        <v>12</v>
      </c>
      <c r="L298" s="265" t="str">
        <f>IF(OR(E298=121,E298=88,E298=2682,E298=2703,E298=2687,E298=2689,E298=2681,E298=2685)=FALSE,"",IF('General Information'!$C$19="HTML5","FUNÇÃO DISPONÍVEL APENAS PARA BRASIL",IF(J299&lt;&gt;0,VLOOKUP(E299,Questions!$E$5:$L$568,5,0),"")))</f>
        <v/>
      </c>
      <c r="M298" s="164" t="s">
        <v>2396</v>
      </c>
      <c r="N298" s="369" t="s">
        <v>2377</v>
      </c>
    </row>
    <row r="299" spans="1:14" ht="14.5" customHeight="1" outlineLevel="1">
      <c r="A299" s="59"/>
      <c r="B299" s="72">
        <f>VLOOKUP('Hours Detail'!E299,'BASE_FUNCOES (hide)'!A:W,5,FALSE)</f>
        <v>331</v>
      </c>
      <c r="C299" s="72" t="s">
        <v>5929</v>
      </c>
      <c r="D299" s="73" t="str">
        <f>IF('General Information'!$C$6="Português",VLOOKUP(B299,'ESTRUTURA_MODULO(hide)'!A:D,2,0),IF('General Information'!$C$6="English",VLOOKUP(B299,'ESTRUTURA_MODULO(hide)'!A:D,3,0),IF('General Information'!$C$6="Español",VLOOKUP(B299,'ESTRUTURA_MODULO(hide)'!A:D,4,0))))</f>
        <v>Aplicação Tasy WEB</v>
      </c>
      <c r="E299" s="254">
        <v>80</v>
      </c>
      <c r="F299" s="73" t="str">
        <f>IF('General Information'!$C$6="Português",VLOOKUP(E299,'BASE_FUNCOES (hide)'!A:H,2,0),IF('General Information'!$C$6="English",VLOOKUP(E299,'BASE_FUNCOES (hide)'!A:H,3,0),IF('General Information'!$C$6="Español",VLOOKUP(E299,'BASE_FUNCOES (hide)'!A:H,4,0))))</f>
        <v>Laboratório Web</v>
      </c>
      <c r="G299" s="73" t="str">
        <f>IF(AND('General Information'!$D$16=1,VLOOKUP(B299,Modules!$B$5:$E$496,4,0)=1)=TRUE,VLOOKUP('Hours Detail'!E299,'BASE_FUNCOES (hide)'!$A:$V,10,0),IF(AND('General Information'!$D$16=2,VLOOKUP(B299,Modules!$B$5:$E$496,4,0)=1)=TRUE,VLOOKUP('Hours Detail'!E299,'BASE_FUNCOES (hide)'!$A:$V,11,0),IF(AND('General Information'!$D$16=3,VLOOKUP(B299,Modules!$B$5:$E$496,4,0)=1)=TRUE,VLOOKUP('Hours Detail'!E299,'BASE_FUNCOES (hide)'!$A:$V,12,0),IF(AND('General Information'!$D$16=4,VLOOKUP(B299,Modules!$B$5:$E$496,4,0)=1)=TRUE,VLOOKUP('Hours Detail'!E299,'BASE_FUNCOES (hide)'!$A:$V,13,0),IF(AND('General Information'!$D$16=5,VLOOKUP(B299,Modules!$B$5:$E$496,4,0)=1)=TRUE,VLOOKUP('Hours Detail'!E299,'BASE_FUNCOES (hide)'!$A:$V,14,0),  IF(AND('General Information'!$D$16=6,VLOOKUP(B299,Modules!$B$5:$E$496,4,0)=1)=TRUE,VLOOKUP('Hours Detail'!E299,'BASE_FUNCOES (hide)'!$A:$V,15,0),"No"))))))</f>
        <v>No</v>
      </c>
      <c r="H299" s="22" t="str">
        <f t="shared" si="6"/>
        <v>No</v>
      </c>
      <c r="I299" s="75">
        <f>IF('General Information'!$C$4="Mexico",(ROUNDUP(VLOOKUP(E299,'BASE_FUNCOES (hide)'!A:X,21,0),0)),(ROUNDUP(VLOOKUP(E299,'BASE_FUNCOES (hide)'!A:L,9,0),0)))</f>
        <v>12</v>
      </c>
      <c r="J299" s="75">
        <f>ROUNDUP(SUMIF(Questions!$E$5:$E$558,'Hours Detail'!E299,Questions!$F$5:$F$558),0)</f>
        <v>0</v>
      </c>
      <c r="K299" s="76">
        <f>IF(H299="Yes",ROUNDUP(IF(VLOOKUP(E299,'BASE_FUNCOES (hide)'!A:T,16,FALSE)&lt;&gt;"No",IF('General Information'!$C$19="HTML5",(I299+J299)*'BASE_FUNCOES (hide)'!$T$2,I299+J299),I299+J299),I299+J299),I299+J299)</f>
        <v>12</v>
      </c>
      <c r="L299" s="265" t="str">
        <f>IF(OR(E299=121,E299=88,E299=2682,E299=2703,E299=2687,E299=2689,E299=2681,E299=2685)=FALSE,"",IF('General Information'!$C$19="HTML5","FUNÇÃO DISPONÍVEL APENAS PARA BRASIL",IF(J300&lt;&gt;0,VLOOKUP(E300,Questions!$E$5:$L$568,5,0),"")))</f>
        <v/>
      </c>
      <c r="M299" s="164" t="s">
        <v>2396</v>
      </c>
      <c r="N299" s="369" t="s">
        <v>2377</v>
      </c>
    </row>
    <row r="300" spans="1:14" ht="14.5" customHeight="1" outlineLevel="1">
      <c r="A300" s="59"/>
      <c r="B300" s="72">
        <f>VLOOKUP('Hours Detail'!E300,'BASE_FUNCOES (hide)'!A:W,5,FALSE)</f>
        <v>331</v>
      </c>
      <c r="C300" s="72" t="s">
        <v>5929</v>
      </c>
      <c r="D300" s="73" t="str">
        <f>IF('General Information'!$C$6="Português",VLOOKUP(B300,'ESTRUTURA_MODULO(hide)'!A:D,2,0),IF('General Information'!$C$6="English",VLOOKUP(B300,'ESTRUTURA_MODULO(hide)'!A:D,3,0),IF('General Information'!$C$6="Español",VLOOKUP(B300,'ESTRUTURA_MODULO(hide)'!A:D,4,0))))</f>
        <v>Aplicação Tasy WEB</v>
      </c>
      <c r="E300" s="254">
        <v>9061</v>
      </c>
      <c r="F300" s="73" t="str">
        <f>IF('General Information'!$C$6="Português",VLOOKUP(E300,'BASE_FUNCOES (hide)'!A:H,2,0),IF('General Information'!$C$6="English",VLOOKUP(E300,'BASE_FUNCOES (hide)'!A:H,3,0),IF('General Information'!$C$6="Español",VLOOKUP(E300,'BASE_FUNCOES (hide)'!A:H,4,0))))</f>
        <v>Marcação agenda paciente Web</v>
      </c>
      <c r="G300" s="73" t="str">
        <f>IF(AND('General Information'!$D$16=1,VLOOKUP(B300,Modules!$B$5:$E$496,4,0)=1)=TRUE,VLOOKUP('Hours Detail'!E300,'BASE_FUNCOES (hide)'!$A:$V,10,0),IF(AND('General Information'!$D$16=2,VLOOKUP(B300,Modules!$B$5:$E$496,4,0)=1)=TRUE,VLOOKUP('Hours Detail'!E300,'BASE_FUNCOES (hide)'!$A:$V,11,0),IF(AND('General Information'!$D$16=3,VLOOKUP(B300,Modules!$B$5:$E$496,4,0)=1)=TRUE,VLOOKUP('Hours Detail'!E300,'BASE_FUNCOES (hide)'!$A:$V,12,0),IF(AND('General Information'!$D$16=4,VLOOKUP(B300,Modules!$B$5:$E$496,4,0)=1)=TRUE,VLOOKUP('Hours Detail'!E300,'BASE_FUNCOES (hide)'!$A:$V,13,0),IF(AND('General Information'!$D$16=5,VLOOKUP(B300,Modules!$B$5:$E$496,4,0)=1)=TRUE,VLOOKUP('Hours Detail'!E300,'BASE_FUNCOES (hide)'!$A:$V,14,0),  IF(AND('General Information'!$D$16=6,VLOOKUP(B300,Modules!$B$5:$E$496,4,0)=1)=TRUE,VLOOKUP('Hours Detail'!E300,'BASE_FUNCOES (hide)'!$A:$V,15,0),"No"))))))</f>
        <v>No</v>
      </c>
      <c r="H300" s="22" t="str">
        <f t="shared" si="6"/>
        <v>No</v>
      </c>
      <c r="I300" s="75">
        <f>IF('General Information'!$C$4="Mexico",(ROUNDUP(VLOOKUP(E300,'BASE_FUNCOES (hide)'!A:X,21,0),0)),(ROUNDUP(VLOOKUP(E300,'BASE_FUNCOES (hide)'!A:L,9,0),0)))</f>
        <v>8</v>
      </c>
      <c r="J300" s="75">
        <f>ROUNDUP(SUMIF(Questions!$E$5:$E$558,'Hours Detail'!E300,Questions!$F$5:$F$558),0)</f>
        <v>0</v>
      </c>
      <c r="K300" s="76">
        <f>IF(H300="Yes",ROUNDUP(IF(VLOOKUP(E300,'BASE_FUNCOES (hide)'!A:T,16,FALSE)&lt;&gt;"No",IF('General Information'!$C$19="HTML5",(I300+J300)*'BASE_FUNCOES (hide)'!$T$2,I300+J300),I300+J300),I300+J300),I300+J300)</f>
        <v>8</v>
      </c>
      <c r="L300" s="265" t="str">
        <f>IF(OR(E300=121,E300=88,E300=2682,E300=2703,E300=2687,E300=2689,E300=2681,E300=2685)=FALSE,"",IF('General Information'!$C$19="HTML5","FUNÇÃO DISPONÍVEL APENAS PARA BRASIL",IF(J301&lt;&gt;0,VLOOKUP(E301,Questions!$E$5:$L$568,5,0),"")))</f>
        <v/>
      </c>
      <c r="M300" s="164" t="s">
        <v>2396</v>
      </c>
      <c r="N300" s="369" t="s">
        <v>2377</v>
      </c>
    </row>
    <row r="301" spans="1:14" ht="14.5" customHeight="1" outlineLevel="1">
      <c r="A301" s="59"/>
      <c r="B301" s="72">
        <f>VLOOKUP('Hours Detail'!E301,'BASE_FUNCOES (hide)'!A:W,5,FALSE)</f>
        <v>331</v>
      </c>
      <c r="C301" s="72" t="s">
        <v>5929</v>
      </c>
      <c r="D301" s="266" t="str">
        <f>IF('General Information'!$C$6="Português",VLOOKUP(B301,'ESTRUTURA_MODULO(hide)'!A:D,2,0),IF('General Information'!$C$6="English",VLOOKUP(B301,'ESTRUTURA_MODULO(hide)'!A:D,3,0),IF('General Information'!$C$6="Español",VLOOKUP(B301,'ESTRUTURA_MODULO(hide)'!A:D,4,0))))</f>
        <v>Aplicação Tasy WEB</v>
      </c>
      <c r="E301" s="254">
        <v>121</v>
      </c>
      <c r="F301" s="266" t="str">
        <f>IF('General Information'!$C$6="Português",VLOOKUP(E301,'BASE_FUNCOES (hide)'!A:H,2,0),IF('General Information'!$C$6="English",VLOOKUP(E301,'BASE_FUNCOES (hide)'!A:H,3,0),IF('General Information'!$C$6="Español",VLOOKUP(E301,'BASE_FUNCOES (hide)'!A:H,4,0))))</f>
        <v>Portal Compras Web</v>
      </c>
      <c r="G301" s="73" t="str">
        <f>IF(AND('General Information'!$D$16=1,VLOOKUP(B301,Modules!$B$5:$E$496,4,0)=1)=TRUE,VLOOKUP('Hours Detail'!E301,'BASE_FUNCOES (hide)'!$A:$V,10,0),IF(AND('General Information'!$D$16=2,VLOOKUP(B301,Modules!$B$5:$E$496,4,0)=1)=TRUE,VLOOKUP('Hours Detail'!E301,'BASE_FUNCOES (hide)'!$A:$V,11,0),IF(AND('General Information'!$D$16=3,VLOOKUP(B301,Modules!$B$5:$E$496,4,0)=1)=TRUE,VLOOKUP('Hours Detail'!E301,'BASE_FUNCOES (hide)'!$A:$V,12,0),IF(AND('General Information'!$D$16=4,VLOOKUP(B301,Modules!$B$5:$E$496,4,0)=1)=TRUE,VLOOKUP('Hours Detail'!E301,'BASE_FUNCOES (hide)'!$A:$V,13,0),IF(AND('General Information'!$D$16=5,VLOOKUP(B301,Modules!$B$5:$E$496,4,0)=1)=TRUE,VLOOKUP('Hours Detail'!E301,'BASE_FUNCOES (hide)'!$A:$V,14,0),  IF(AND('General Information'!$D$16=6,VLOOKUP(B301,Modules!$B$5:$E$496,4,0)=1)=TRUE,VLOOKUP('Hours Detail'!E301,'BASE_FUNCOES (hide)'!$A:$V,15,0),"No"))))))</f>
        <v>No</v>
      </c>
      <c r="H301" s="22" t="str">
        <f t="shared" si="6"/>
        <v>No</v>
      </c>
      <c r="I301" s="75">
        <f>IF('General Information'!$C$4="Mexico",(ROUNDUP(VLOOKUP(E301,'BASE_FUNCOES (hide)'!A:X,21,0),0)),(ROUNDUP(VLOOKUP(E301,'BASE_FUNCOES (hide)'!A:L,9,0),0)))</f>
        <v>12</v>
      </c>
      <c r="J301" s="267">
        <f>ROUNDUP(SUMIF(Questions!$E$5:$E$558,'Hours Detail'!E301,Questions!$F$5:$F$558),0)</f>
        <v>0</v>
      </c>
      <c r="K301" s="76">
        <f>IF(H301="Yes",ROUNDUP(IF(VLOOKUP(E301,'BASE_FUNCOES (hide)'!A:T,16,FALSE)&lt;&gt;"No",IF('General Information'!$C$19="HTML5",(I301+J301)*'BASE_FUNCOES (hide)'!$T$2,I301+J301),I301+J301),I301+J301),I301+J301)</f>
        <v>12</v>
      </c>
      <c r="L301" s="265" t="str">
        <f>IF(OR(E301=121,E301=88,E301=2682,E301=2703,E301=2687,E301=2689,E301=2681,E301=2685)=FALSE,"",IF('General Information'!$C$19="HTML5","FUNÇÃO DISPONÍVEL APENAS PARA BRASIL",IF(J302&lt;&gt;0,VLOOKUP(E302,Questions!$E$5:$L$568,5,0),"")))</f>
        <v/>
      </c>
      <c r="M301" s="164" t="s">
        <v>2396</v>
      </c>
      <c r="N301" s="369" t="s">
        <v>2377</v>
      </c>
    </row>
    <row r="302" spans="1:14" ht="14.5" customHeight="1" outlineLevel="1">
      <c r="A302" s="59"/>
      <c r="B302" s="72">
        <f>VLOOKUP('Hours Detail'!E302,'BASE_FUNCOES (hide)'!A:W,5,FALSE)</f>
        <v>935</v>
      </c>
      <c r="C302" s="72" t="s">
        <v>5929</v>
      </c>
      <c r="D302" s="266" t="str">
        <f>IF('General Information'!$C$6="Português",VLOOKUP(B302,'ESTRUTURA_MODULO(hide)'!A:D,2,0),IF('General Information'!$C$6="English",VLOOKUP(B302,'ESTRUTURA_MODULO(hide)'!A:D,3,0),IF('General Information'!$C$6="Español",VLOOKUP(B302,'ESTRUTURA_MODULO(hide)'!A:D,4,0))))</f>
        <v>Aplicação Tasy Palm</v>
      </c>
      <c r="E302" s="254">
        <v>88</v>
      </c>
      <c r="F302" s="266" t="str">
        <f>IF('General Information'!$C$6="Português",VLOOKUP(E302,'BASE_FUNCOES (hide)'!A:H,2,0),IF('General Information'!$C$6="English",VLOOKUP(E302,'BASE_FUNCOES (hide)'!A:H,3,0),IF('General Information'!$C$6="Español",VLOOKUP(E302,'BASE_FUNCOES (hide)'!A:H,4,0))))</f>
        <v>Palm Web</v>
      </c>
      <c r="G302" s="73" t="str">
        <f>IF(AND('General Information'!$D$16=1,VLOOKUP(B302,Modules!$B$5:$E$496,4,0)=1)=TRUE,VLOOKUP('Hours Detail'!E302,'BASE_FUNCOES (hide)'!$A:$V,10,0),IF(AND('General Information'!$D$16=2,VLOOKUP(B302,Modules!$B$5:$E$496,4,0)=1)=TRUE,VLOOKUP('Hours Detail'!E302,'BASE_FUNCOES (hide)'!$A:$V,11,0),IF(AND('General Information'!$D$16=3,VLOOKUP(B302,Modules!$B$5:$E$496,4,0)=1)=TRUE,VLOOKUP('Hours Detail'!E302,'BASE_FUNCOES (hide)'!$A:$V,12,0),IF(AND('General Information'!$D$16=4,VLOOKUP(B302,Modules!$B$5:$E$496,4,0)=1)=TRUE,VLOOKUP('Hours Detail'!E302,'BASE_FUNCOES (hide)'!$A:$V,13,0),IF(AND('General Information'!$D$16=5,VLOOKUP(B302,Modules!$B$5:$E$496,4,0)=1)=TRUE,VLOOKUP('Hours Detail'!E302,'BASE_FUNCOES (hide)'!$A:$V,14,0),  IF(AND('General Information'!$D$16=6,VLOOKUP(B302,Modules!$B$5:$E$496,4,0)=1)=TRUE,VLOOKUP('Hours Detail'!E302,'BASE_FUNCOES (hide)'!$A:$V,15,0),"No"))))))</f>
        <v>No</v>
      </c>
      <c r="H302" s="22" t="str">
        <f t="shared" si="6"/>
        <v>No</v>
      </c>
      <c r="I302" s="75">
        <f>IF('General Information'!$C$4="Mexico",(ROUNDUP(VLOOKUP(E302,'BASE_FUNCOES (hide)'!A:X,21,0),0)),(ROUNDUP(VLOOKUP(E302,'BASE_FUNCOES (hide)'!A:L,9,0),0)))</f>
        <v>12</v>
      </c>
      <c r="J302" s="267">
        <f>ROUNDUP(SUMIF(Questions!$E$5:$E$558,'Hours Detail'!E302,Questions!$F$5:$F$558),0)</f>
        <v>0</v>
      </c>
      <c r="K302" s="76">
        <f>IF(H302="Yes",ROUNDUP(IF(VLOOKUP(E302,'BASE_FUNCOES (hide)'!A:T,16,FALSE)&lt;&gt;"No",IF('General Information'!$C$19="HTML5",(I302+J302)*'BASE_FUNCOES (hide)'!$T$2,I302+J302),I302+J302),I302+J302),I302+J302)</f>
        <v>12</v>
      </c>
      <c r="L302" s="265" t="str">
        <f>IF(OR(E302=121,E302=88,E302=2682,E302=2703,E302=2687,E302=2689,E302=2681,E302=2685)=FALSE,"",IF('General Information'!$C$19="HTML5","FUNÇÃO DISPONÍVEL APENAS PARA BRASIL",IF(J303&lt;&gt;0,VLOOKUP(E303,Questions!$E$5:$L$568,5,0),"")))</f>
        <v/>
      </c>
      <c r="M302" s="164" t="s">
        <v>2396</v>
      </c>
      <c r="N302" s="369" t="s">
        <v>2377</v>
      </c>
    </row>
    <row r="303" spans="1:14" ht="14.5" customHeight="1" outlineLevel="1">
      <c r="A303" s="59"/>
      <c r="B303" s="72">
        <f>VLOOKUP('Hours Detail'!E303,'BASE_FUNCOES (hide)'!A:W,5,FALSE)</f>
        <v>944</v>
      </c>
      <c r="C303" s="72" t="s">
        <v>5929</v>
      </c>
      <c r="D303" s="266" t="str">
        <f>IF('General Information'!$C$6="Português",VLOOKUP(B303,'ESTRUTURA_MODULO(hide)'!A:D,2,0),IF('General Information'!$C$6="English",VLOOKUP(B303,'ESTRUTURA_MODULO(hide)'!A:D,3,0),IF('General Information'!$C$6="Español",VLOOKUP(B303,'ESTRUTURA_MODULO(hide)'!A:D,4,0))))</f>
        <v>Aplicação Tasy iOS</v>
      </c>
      <c r="E303" s="254">
        <v>2682</v>
      </c>
      <c r="F303" s="266" t="str">
        <f>IF('General Information'!$C$6="Português",VLOOKUP(E303,'BASE_FUNCOES (hide)'!A:H,2,0),IF('General Information'!$C$6="English",VLOOKUP(E303,'BASE_FUNCOES (hide)'!A:H,3,0),IF('General Information'!$C$6="Español",VLOOKUP(E303,'BASE_FUNCOES (hide)'!A:H,4,0))))</f>
        <v>iOS - Diagnósticos</v>
      </c>
      <c r="G303" s="73" t="str">
        <f>IF(AND('General Information'!$D$16=1,VLOOKUP(B303,Modules!$B$5:$E$496,4,0)=1)=TRUE,VLOOKUP('Hours Detail'!E303,'BASE_FUNCOES (hide)'!$A:$V,10,0),IF(AND('General Information'!$D$16=2,VLOOKUP(B303,Modules!$B$5:$E$496,4,0)=1)=TRUE,VLOOKUP('Hours Detail'!E303,'BASE_FUNCOES (hide)'!$A:$V,11,0),IF(AND('General Information'!$D$16=3,VLOOKUP(B303,Modules!$B$5:$E$496,4,0)=1)=TRUE,VLOOKUP('Hours Detail'!E303,'BASE_FUNCOES (hide)'!$A:$V,12,0),IF(AND('General Information'!$D$16=4,VLOOKUP(B303,Modules!$B$5:$E$496,4,0)=1)=TRUE,VLOOKUP('Hours Detail'!E303,'BASE_FUNCOES (hide)'!$A:$V,13,0),IF(AND('General Information'!$D$16=5,VLOOKUP(B303,Modules!$B$5:$E$496,4,0)=1)=TRUE,VLOOKUP('Hours Detail'!E303,'BASE_FUNCOES (hide)'!$A:$V,14,0),  IF(AND('General Information'!$D$16=6,VLOOKUP(B303,Modules!$B$5:$E$496,4,0)=1)=TRUE,VLOOKUP('Hours Detail'!E303,'BASE_FUNCOES (hide)'!$A:$V,15,0),"No"))))))</f>
        <v>No</v>
      </c>
      <c r="H303" s="22" t="str">
        <f t="shared" si="6"/>
        <v>No</v>
      </c>
      <c r="I303" s="75">
        <f>IF('General Information'!$C$4="Mexico",(ROUNDUP(VLOOKUP(E303,'BASE_FUNCOES (hide)'!A:X,21,0),0)),(ROUNDUP(VLOOKUP(E303,'BASE_FUNCOES (hide)'!A:L,9,0),0)))</f>
        <v>4</v>
      </c>
      <c r="J303" s="267">
        <f>ROUNDUP(SUMIF(Questions!$E$5:$E$558,'Hours Detail'!E303,Questions!$F$5:$F$558),0)</f>
        <v>0</v>
      </c>
      <c r="K303" s="76">
        <f>IF(H303="Yes",ROUNDUP(IF(VLOOKUP(E303,'BASE_FUNCOES (hide)'!A:T,16,FALSE)&lt;&gt;"No",IF('General Information'!$C$19="HTML5",(I303+J303)*'BASE_FUNCOES (hide)'!$T$2,I303+J303),I303+J303),I303+J303),I303+J303)</f>
        <v>4</v>
      </c>
      <c r="L303" s="265" t="str">
        <f>IF(OR(E303=121,E303=88,E303=2682,E303=2703,E303=2687,E303=2689,E303=2681,E303=2685)=FALSE,"",IF('General Information'!$C$19="HTML5","FUNÇÃO DISPONÍVEL APENAS PARA BRASIL",IF(J304&lt;&gt;0,VLOOKUP(E304,Questions!$E$5:$L$568,5,0),"")))</f>
        <v/>
      </c>
      <c r="M303" s="164" t="s">
        <v>2396</v>
      </c>
      <c r="N303" s="369" t="s">
        <v>2377</v>
      </c>
    </row>
    <row r="304" spans="1:14" ht="14.5" customHeight="1" outlineLevel="1">
      <c r="A304" s="59"/>
      <c r="B304" s="72">
        <f>VLOOKUP('Hours Detail'!E304,'BASE_FUNCOES (hide)'!A:W,5,FALSE)</f>
        <v>944</v>
      </c>
      <c r="C304" s="72" t="s">
        <v>5929</v>
      </c>
      <c r="D304" s="266" t="str">
        <f>IF('General Information'!$C$6="Português",VLOOKUP(B304,'ESTRUTURA_MODULO(hide)'!A:D,2,0),IF('General Information'!$C$6="English",VLOOKUP(B304,'ESTRUTURA_MODULO(hide)'!A:D,3,0),IF('General Information'!$C$6="Español",VLOOKUP(B304,'ESTRUTURA_MODULO(hide)'!A:D,4,0))))</f>
        <v>Aplicação Tasy iOS</v>
      </c>
      <c r="E304" s="254">
        <v>2703</v>
      </c>
      <c r="F304" s="266" t="str">
        <f>IF('General Information'!$C$6="Português",VLOOKUP(E304,'BASE_FUNCOES (hide)'!A:H,2,0),IF('General Information'!$C$6="English",VLOOKUP(E304,'BASE_FUNCOES (hide)'!A:H,3,0),IF('General Information'!$C$6="Español",VLOOKUP(E304,'BASE_FUNCOES (hide)'!A:H,4,0))))</f>
        <v>iOS - Evoluções</v>
      </c>
      <c r="G304" s="73" t="str">
        <f>IF(AND('General Information'!$D$16=1,VLOOKUP(B304,Modules!$B$5:$E$496,4,0)=1)=TRUE,VLOOKUP('Hours Detail'!E304,'BASE_FUNCOES (hide)'!$A:$V,10,0),IF(AND('General Information'!$D$16=2,VLOOKUP(B304,Modules!$B$5:$E$496,4,0)=1)=TRUE,VLOOKUP('Hours Detail'!E304,'BASE_FUNCOES (hide)'!$A:$V,11,0),IF(AND('General Information'!$D$16=3,VLOOKUP(B304,Modules!$B$5:$E$496,4,0)=1)=TRUE,VLOOKUP('Hours Detail'!E304,'BASE_FUNCOES (hide)'!$A:$V,12,0),IF(AND('General Information'!$D$16=4,VLOOKUP(B304,Modules!$B$5:$E$496,4,0)=1)=TRUE,VLOOKUP('Hours Detail'!E304,'BASE_FUNCOES (hide)'!$A:$V,13,0),IF(AND('General Information'!$D$16=5,VLOOKUP(B304,Modules!$B$5:$E$496,4,0)=1)=TRUE,VLOOKUP('Hours Detail'!E304,'BASE_FUNCOES (hide)'!$A:$V,14,0),  IF(AND('General Information'!$D$16=6,VLOOKUP(B304,Modules!$B$5:$E$496,4,0)=1)=TRUE,VLOOKUP('Hours Detail'!E304,'BASE_FUNCOES (hide)'!$A:$V,15,0),"No"))))))</f>
        <v>No</v>
      </c>
      <c r="H304" s="22" t="str">
        <f t="shared" si="6"/>
        <v>No</v>
      </c>
      <c r="I304" s="75">
        <f>IF('General Information'!$C$4="Mexico",(ROUNDUP(VLOOKUP(E304,'BASE_FUNCOES (hide)'!A:X,21,0),0)),(ROUNDUP(VLOOKUP(E304,'BASE_FUNCOES (hide)'!A:L,9,0),0)))</f>
        <v>4</v>
      </c>
      <c r="J304" s="267">
        <f>ROUNDUP(SUMIF(Questions!$E$5:$E$558,'Hours Detail'!E304,Questions!$F$5:$F$558),0)</f>
        <v>0</v>
      </c>
      <c r="K304" s="76">
        <f>IF(H304="Yes",ROUNDUP(IF(VLOOKUP(E304,'BASE_FUNCOES (hide)'!A:T,16,FALSE)&lt;&gt;"No",IF('General Information'!$C$19="HTML5",(I304+J304)*'BASE_FUNCOES (hide)'!$T$2,I304+J304),I304+J304),I304+J304),I304+J304)</f>
        <v>4</v>
      </c>
      <c r="L304" s="265" t="str">
        <f>IF(OR(E304=121,E304=88,E304=2682,E304=2703,E304=2687,E304=2689,E304=2681,E304=2685)=FALSE,"",IF('General Information'!$C$19="HTML5","FUNÇÃO DISPONÍVEL APENAS PARA BRASIL",IF(J305&lt;&gt;0,VLOOKUP(E305,Questions!$E$5:$L$568,5,0),"")))</f>
        <v/>
      </c>
      <c r="M304" s="164" t="s">
        <v>2396</v>
      </c>
      <c r="N304" s="369" t="s">
        <v>2377</v>
      </c>
    </row>
    <row r="305" spans="1:14" ht="14.5" customHeight="1" outlineLevel="1">
      <c r="A305" s="59"/>
      <c r="B305" s="72">
        <f>VLOOKUP('Hours Detail'!E305,'BASE_FUNCOES (hide)'!A:W,5,FALSE)</f>
        <v>944</v>
      </c>
      <c r="C305" s="72" t="s">
        <v>5929</v>
      </c>
      <c r="D305" s="266" t="str">
        <f>IF('General Information'!$C$6="Português",VLOOKUP(B305,'ESTRUTURA_MODULO(hide)'!A:D,2,0),IF('General Information'!$C$6="English",VLOOKUP(B305,'ESTRUTURA_MODULO(hide)'!A:D,3,0),IF('General Information'!$C$6="Español",VLOOKUP(B305,'ESTRUTURA_MODULO(hide)'!A:D,4,0))))</f>
        <v>Aplicação Tasy iOS</v>
      </c>
      <c r="E305" s="254">
        <v>2687</v>
      </c>
      <c r="F305" s="266" t="str">
        <f>IF('General Information'!$C$6="Português",VLOOKUP(E305,'BASE_FUNCOES (hide)'!A:H,2,0),IF('General Information'!$C$6="English",VLOOKUP(E305,'BASE_FUNCOES (hide)'!A:H,3,0),IF('General Information'!$C$6="Español",VLOOKUP(E305,'BASE_FUNCOES (hide)'!A:H,4,0))))</f>
        <v>iOS - Exames Laboratoriais</v>
      </c>
      <c r="G305" s="73" t="str">
        <f>IF(AND('General Information'!$D$16=1,VLOOKUP(B305,Modules!$B$5:$E$496,4,0)=1)=TRUE,VLOOKUP('Hours Detail'!E305,'BASE_FUNCOES (hide)'!$A:$V,10,0),IF(AND('General Information'!$D$16=2,VLOOKUP(B305,Modules!$B$5:$E$496,4,0)=1)=TRUE,VLOOKUP('Hours Detail'!E305,'BASE_FUNCOES (hide)'!$A:$V,11,0),IF(AND('General Information'!$D$16=3,VLOOKUP(B305,Modules!$B$5:$E$496,4,0)=1)=TRUE,VLOOKUP('Hours Detail'!E305,'BASE_FUNCOES (hide)'!$A:$V,12,0),IF(AND('General Information'!$D$16=4,VLOOKUP(B305,Modules!$B$5:$E$496,4,0)=1)=TRUE,VLOOKUP('Hours Detail'!E305,'BASE_FUNCOES (hide)'!$A:$V,13,0),IF(AND('General Information'!$D$16=5,VLOOKUP(B305,Modules!$B$5:$E$496,4,0)=1)=TRUE,VLOOKUP('Hours Detail'!E305,'BASE_FUNCOES (hide)'!$A:$V,14,0),  IF(AND('General Information'!$D$16=6,VLOOKUP(B305,Modules!$B$5:$E$496,4,0)=1)=TRUE,VLOOKUP('Hours Detail'!E305,'BASE_FUNCOES (hide)'!$A:$V,15,0),"No"))))))</f>
        <v>No</v>
      </c>
      <c r="H305" s="22" t="str">
        <f t="shared" si="6"/>
        <v>No</v>
      </c>
      <c r="I305" s="75">
        <f>IF('General Information'!$C$4="Mexico",(ROUNDUP(VLOOKUP(E305,'BASE_FUNCOES (hide)'!A:X,21,0),0)),(ROUNDUP(VLOOKUP(E305,'BASE_FUNCOES (hide)'!A:L,9,0),0)))</f>
        <v>4</v>
      </c>
      <c r="J305" s="267">
        <f>ROUNDUP(SUMIF(Questions!$E$5:$E$558,'Hours Detail'!E305,Questions!$F$5:$F$558),0)</f>
        <v>0</v>
      </c>
      <c r="K305" s="76">
        <f>IF(H305="Yes",ROUNDUP(IF(VLOOKUP(E305,'BASE_FUNCOES (hide)'!A:T,16,FALSE)&lt;&gt;"No",IF('General Information'!$C$19="HTML5",(I305+J305)*'BASE_FUNCOES (hide)'!$T$2,I305+J305),I305+J305),I305+J305),I305+J305)</f>
        <v>4</v>
      </c>
      <c r="L305" s="265" t="str">
        <f>IF(OR(E305=121,E305=88,E305=2682,E305=2703,E305=2687,E305=2689,E305=2681,E305=2685)=FALSE,"",IF('General Information'!$C$19="HTML5","FUNÇÃO DISPONÍVEL APENAS PARA BRASIL",IF(J306&lt;&gt;0,VLOOKUP(E306,Questions!$E$5:$L$568,5,0),"")))</f>
        <v/>
      </c>
      <c r="M305" s="164" t="s">
        <v>2396</v>
      </c>
      <c r="N305" s="369" t="s">
        <v>2377</v>
      </c>
    </row>
    <row r="306" spans="1:14" ht="14.5" customHeight="1" outlineLevel="1">
      <c r="A306" s="59"/>
      <c r="B306" s="72">
        <f>VLOOKUP('Hours Detail'!E306,'BASE_FUNCOES (hide)'!A:W,5,FALSE)</f>
        <v>944</v>
      </c>
      <c r="C306" s="72" t="s">
        <v>5929</v>
      </c>
      <c r="D306" s="266" t="str">
        <f>IF('General Information'!$C$6="Português",VLOOKUP(B306,'ESTRUTURA_MODULO(hide)'!A:D,2,0),IF('General Information'!$C$6="English",VLOOKUP(B306,'ESTRUTURA_MODULO(hide)'!A:D,3,0),IF('General Information'!$C$6="Español",VLOOKUP(B306,'ESTRUTURA_MODULO(hide)'!A:D,4,0))))</f>
        <v>Aplicação Tasy iOS</v>
      </c>
      <c r="E306" s="254">
        <v>2689</v>
      </c>
      <c r="F306" s="266" t="str">
        <f>IF('General Information'!$C$6="Português",VLOOKUP(E306,'BASE_FUNCOES (hide)'!A:H,2,0),IF('General Information'!$C$6="English",VLOOKUP(E306,'BASE_FUNCOES (hide)'!A:H,3,0),IF('General Information'!$C$6="Español",VLOOKUP(E306,'BASE_FUNCOES (hide)'!A:H,4,0))))</f>
        <v>iOS - Exames No Laboratoriais</v>
      </c>
      <c r="G306" s="73" t="str">
        <f>IF(AND('General Information'!$D$16=1,VLOOKUP(B306,Modules!$B$5:$E$496,4,0)=1)=TRUE,VLOOKUP('Hours Detail'!E306,'BASE_FUNCOES (hide)'!$A:$V,10,0),IF(AND('General Information'!$D$16=2,VLOOKUP(B306,Modules!$B$5:$E$496,4,0)=1)=TRUE,VLOOKUP('Hours Detail'!E306,'BASE_FUNCOES (hide)'!$A:$V,11,0),IF(AND('General Information'!$D$16=3,VLOOKUP(B306,Modules!$B$5:$E$496,4,0)=1)=TRUE,VLOOKUP('Hours Detail'!E306,'BASE_FUNCOES (hide)'!$A:$V,12,0),IF(AND('General Information'!$D$16=4,VLOOKUP(B306,Modules!$B$5:$E$496,4,0)=1)=TRUE,VLOOKUP('Hours Detail'!E306,'BASE_FUNCOES (hide)'!$A:$V,13,0),IF(AND('General Information'!$D$16=5,VLOOKUP(B306,Modules!$B$5:$E$496,4,0)=1)=TRUE,VLOOKUP('Hours Detail'!E306,'BASE_FUNCOES (hide)'!$A:$V,14,0),  IF(AND('General Information'!$D$16=6,VLOOKUP(B306,Modules!$B$5:$E$496,4,0)=1)=TRUE,VLOOKUP('Hours Detail'!E306,'BASE_FUNCOES (hide)'!$A:$V,15,0),"No"))))))</f>
        <v>No</v>
      </c>
      <c r="H306" s="22" t="str">
        <f t="shared" si="6"/>
        <v>No</v>
      </c>
      <c r="I306" s="75">
        <f>IF('General Information'!$C$4="Mexico",(ROUNDUP(VLOOKUP(E306,'BASE_FUNCOES (hide)'!A:X,21,0),0)),(ROUNDUP(VLOOKUP(E306,'BASE_FUNCOES (hide)'!A:L,9,0),0)))</f>
        <v>4</v>
      </c>
      <c r="J306" s="267">
        <f>ROUNDUP(SUMIF(Questions!$E$5:$E$558,'Hours Detail'!E306,Questions!$F$5:$F$558),0)</f>
        <v>0</v>
      </c>
      <c r="K306" s="76">
        <f>IF(H306="Yes",ROUNDUP(IF(VLOOKUP(E306,'BASE_FUNCOES (hide)'!A:T,16,FALSE)&lt;&gt;"No",IF('General Information'!$C$19="HTML5",(I306+J306)*'BASE_FUNCOES (hide)'!$T$2,I306+J306),I306+J306),I306+J306),I306+J306)</f>
        <v>4</v>
      </c>
      <c r="L306" s="265" t="str">
        <f>IF(OR(E306=121,E306=88,E306=2682,E306=2703,E306=2687,E306=2689,E306=2681,E306=2685)=FALSE,"",IF('General Information'!$C$19="HTML5","FUNÇÃO DISPONÍVEL APENAS PARA BRASIL",IF(J307&lt;&gt;0,VLOOKUP(E307,Questions!$E$5:$L$568,5,0),"")))</f>
        <v/>
      </c>
      <c r="M306" s="164" t="s">
        <v>2396</v>
      </c>
      <c r="N306" s="369" t="s">
        <v>2377</v>
      </c>
    </row>
    <row r="307" spans="1:14" ht="14.5" customHeight="1" outlineLevel="1">
      <c r="A307" s="59"/>
      <c r="B307" s="72">
        <f>VLOOKUP('Hours Detail'!E307,'BASE_FUNCOES (hide)'!A:W,5,FALSE)</f>
        <v>944</v>
      </c>
      <c r="C307" s="72" t="s">
        <v>5929</v>
      </c>
      <c r="D307" s="266" t="str">
        <f>IF('General Information'!$C$6="Português",VLOOKUP(B307,'ESTRUTURA_MODULO(hide)'!A:D,2,0),IF('General Information'!$C$6="English",VLOOKUP(B307,'ESTRUTURA_MODULO(hide)'!A:D,3,0),IF('General Information'!$C$6="Español",VLOOKUP(B307,'ESTRUTURA_MODULO(hide)'!A:D,4,0))))</f>
        <v>Aplicação Tasy iOS</v>
      </c>
      <c r="E307" s="254">
        <v>2681</v>
      </c>
      <c r="F307" s="266" t="str">
        <f>IF('General Information'!$C$6="Português",VLOOKUP(E307,'BASE_FUNCOES (hide)'!A:H,2,0),IF('General Information'!$C$6="English",VLOOKUP(E307,'BASE_FUNCOES (hide)'!A:H,3,0),IF('General Information'!$C$6="Español",VLOOKUP(E307,'BASE_FUNCOES (hide)'!A:H,4,0))))</f>
        <v>iOS - PEP</v>
      </c>
      <c r="G307" s="73" t="str">
        <f>IF(AND('General Information'!$D$16=1,VLOOKUP(B307,Modules!$B$5:$E$496,4,0)=1)=TRUE,VLOOKUP('Hours Detail'!E307,'BASE_FUNCOES (hide)'!$A:$V,10,0),IF(AND('General Information'!$D$16=2,VLOOKUP(B307,Modules!$B$5:$E$496,4,0)=1)=TRUE,VLOOKUP('Hours Detail'!E307,'BASE_FUNCOES (hide)'!$A:$V,11,0),IF(AND('General Information'!$D$16=3,VLOOKUP(B307,Modules!$B$5:$E$496,4,0)=1)=TRUE,VLOOKUP('Hours Detail'!E307,'BASE_FUNCOES (hide)'!$A:$V,12,0),IF(AND('General Information'!$D$16=4,VLOOKUP(B307,Modules!$B$5:$E$496,4,0)=1)=TRUE,VLOOKUP('Hours Detail'!E307,'BASE_FUNCOES (hide)'!$A:$V,13,0),IF(AND('General Information'!$D$16=5,VLOOKUP(B307,Modules!$B$5:$E$496,4,0)=1)=TRUE,VLOOKUP('Hours Detail'!E307,'BASE_FUNCOES (hide)'!$A:$V,14,0),  IF(AND('General Information'!$D$16=6,VLOOKUP(B307,Modules!$B$5:$E$496,4,0)=1)=TRUE,VLOOKUP('Hours Detail'!E307,'BASE_FUNCOES (hide)'!$A:$V,15,0),"No"))))))</f>
        <v>No</v>
      </c>
      <c r="H307" s="22" t="str">
        <f t="shared" si="6"/>
        <v>No</v>
      </c>
      <c r="I307" s="75">
        <f>IF('General Information'!$C$4="Mexico",(ROUNDUP(VLOOKUP(E307,'BASE_FUNCOES (hide)'!A:X,21,0),0)),(ROUNDUP(VLOOKUP(E307,'BASE_FUNCOES (hide)'!A:L,9,0),0)))</f>
        <v>4</v>
      </c>
      <c r="J307" s="267">
        <f>ROUNDUP(SUMIF(Questions!$E$5:$E$558,'Hours Detail'!E307,Questions!$F$5:$F$558),0)</f>
        <v>0</v>
      </c>
      <c r="K307" s="76">
        <f>IF(H307="Yes",ROUNDUP(IF(VLOOKUP(E307,'BASE_FUNCOES (hide)'!A:T,16,FALSE)&lt;&gt;"No",IF('General Information'!$C$19="HTML5",(I307+J307)*'BASE_FUNCOES (hide)'!$T$2,I307+J307),I307+J307),I307+J307),I307+J307)</f>
        <v>4</v>
      </c>
      <c r="L307" s="265" t="str">
        <f>IF(OR(E307=121,E307=88,E307=2682,E307=2703,E307=2687,E307=2689,E307=2681,E307=2685)=FALSE,"",IF('General Information'!$C$19="HTML5","FUNÇÃO DISPONÍVEL APENAS PARA BRASIL",IF(J308&lt;&gt;0,VLOOKUP(E308,Questions!$E$5:$L$568,5,0),"")))</f>
        <v/>
      </c>
      <c r="M307" s="164" t="s">
        <v>2396</v>
      </c>
      <c r="N307" s="369" t="s">
        <v>2377</v>
      </c>
    </row>
    <row r="308" spans="1:14" ht="14.5" customHeight="1" outlineLevel="1">
      <c r="A308" s="59"/>
      <c r="B308" s="72">
        <f>VLOOKUP('Hours Detail'!E308,'BASE_FUNCOES (hide)'!A:W,5,FALSE)</f>
        <v>944</v>
      </c>
      <c r="C308" s="72" t="s">
        <v>5929</v>
      </c>
      <c r="D308" s="266" t="str">
        <f>IF('General Information'!$C$6="Português",VLOOKUP(B308,'ESTRUTURA_MODULO(hide)'!A:D,2,0),IF('General Information'!$C$6="English",VLOOKUP(B308,'ESTRUTURA_MODULO(hide)'!A:D,3,0),IF('General Information'!$C$6="Español",VLOOKUP(B308,'ESTRUTURA_MODULO(hide)'!A:D,4,0))))</f>
        <v>Aplicação Tasy iOS</v>
      </c>
      <c r="E308" s="254">
        <v>2685</v>
      </c>
      <c r="F308" s="266" t="str">
        <f>IF('General Information'!$C$6="Português",VLOOKUP(E308,'BASE_FUNCOES (hide)'!A:H,2,0),IF('General Information'!$C$6="English",VLOOKUP(E308,'BASE_FUNCOES (hide)'!A:H,3,0),IF('General Information'!$C$6="Español",VLOOKUP(E308,'BASE_FUNCOES (hide)'!A:H,4,0))))</f>
        <v>iOS - Sinais Vitais e Monitorização</v>
      </c>
      <c r="G308" s="73" t="str">
        <f>IF(AND('General Information'!$D$16=1,VLOOKUP(B308,Modules!$B$5:$E$496,4,0)=1)=TRUE,VLOOKUP('Hours Detail'!E308,'BASE_FUNCOES (hide)'!$A:$V,10,0),IF(AND('General Information'!$D$16=2,VLOOKUP(B308,Modules!$B$5:$E$496,4,0)=1)=TRUE,VLOOKUP('Hours Detail'!E308,'BASE_FUNCOES (hide)'!$A:$V,11,0),IF(AND('General Information'!$D$16=3,VLOOKUP(B308,Modules!$B$5:$E$496,4,0)=1)=TRUE,VLOOKUP('Hours Detail'!E308,'BASE_FUNCOES (hide)'!$A:$V,12,0),IF(AND('General Information'!$D$16=4,VLOOKUP(B308,Modules!$B$5:$E$496,4,0)=1)=TRUE,VLOOKUP('Hours Detail'!E308,'BASE_FUNCOES (hide)'!$A:$V,13,0),IF(AND('General Information'!$D$16=5,VLOOKUP(B308,Modules!$B$5:$E$496,4,0)=1)=TRUE,VLOOKUP('Hours Detail'!E308,'BASE_FUNCOES (hide)'!$A:$V,14,0),  IF(AND('General Information'!$D$16=6,VLOOKUP(B308,Modules!$B$5:$E$496,4,0)=1)=TRUE,VLOOKUP('Hours Detail'!E308,'BASE_FUNCOES (hide)'!$A:$V,15,0),"No"))))))</f>
        <v>No</v>
      </c>
      <c r="H308" s="22" t="str">
        <f t="shared" si="6"/>
        <v>No</v>
      </c>
      <c r="I308" s="75">
        <f>IF('General Information'!$C$4="Mexico",(ROUNDUP(VLOOKUP(E308,'BASE_FUNCOES (hide)'!A:X,21,0),0)),(ROUNDUP(VLOOKUP(E308,'BASE_FUNCOES (hide)'!A:L,9,0),0)))</f>
        <v>4</v>
      </c>
      <c r="J308" s="267">
        <f>ROUNDUP(SUMIF(Questions!$E$5:$E$558,'Hours Detail'!E308,Questions!$F$5:$F$558),0)</f>
        <v>0</v>
      </c>
      <c r="K308" s="76">
        <f>IF(H308="Yes",ROUNDUP(IF(VLOOKUP(E308,'BASE_FUNCOES (hide)'!A:T,16,FALSE)&lt;&gt;"No",IF('General Information'!$C$19="HTML5",(I308+J308)*'BASE_FUNCOES (hide)'!$T$2,I308+J308),I308+J308),I308+J308),I308+J308)</f>
        <v>4</v>
      </c>
      <c r="L308" s="265" t="str">
        <f>IF(OR(E308=121,E308=88,E308=2682,E308=2703,E308=2687,E308=2689,E308=2681,E308=2685)=FALSE,"",IF('General Information'!$C$19="HTML5","FUNÇÃO DISPONÍVEL APENAS PARA BRASIL",IF(J309&lt;&gt;0,VLOOKUP(E309,Questions!$E$5:$L$568,5,0),"")))</f>
        <v/>
      </c>
      <c r="M308" s="164" t="s">
        <v>2396</v>
      </c>
      <c r="N308" s="369" t="s">
        <v>2377</v>
      </c>
    </row>
    <row r="309" spans="1:14" ht="14.5" customHeight="1" outlineLevel="1">
      <c r="A309" s="59"/>
      <c r="B309" s="72">
        <f>VLOOKUP('Hours Detail'!E309,'BASE_FUNCOES (hide)'!A:W,5,FALSE)</f>
        <v>283</v>
      </c>
      <c r="C309" s="72" t="s">
        <v>5929</v>
      </c>
      <c r="D309" s="73" t="str">
        <f>IF('General Information'!$C$6="Português",VLOOKUP(B309,'ESTRUTURA_MODULO(hide)'!A:D,2,0),IF('General Information'!$C$6="English",VLOOKUP(B309,'ESTRUTURA_MODULO(hide)'!A:D,3,0),IF('General Information'!$C$6="Español",VLOOKUP(B309,'ESTRUTURA_MODULO(hide)'!A:D,4,0))))</f>
        <v>Tasy Web Suite</v>
      </c>
      <c r="E309" s="254">
        <v>9113</v>
      </c>
      <c r="F309" s="73" t="str">
        <f>IF('General Information'!$C$6="Português",VLOOKUP(E309,'BASE_FUNCOES (hide)'!A:H,2,0),IF('General Information'!$C$6="English",VLOOKUP(E309,'BASE_FUNCOES (hide)'!A:H,3,0),IF('General Information'!$C$6="Español",VLOOKUP(E309,'BASE_FUNCOES (hide)'!A:H,4,0))))</f>
        <v>Web Suite Agendamento do Paciente</v>
      </c>
      <c r="G309" s="73" t="str">
        <f>IF(AND('General Information'!$D$16=1,VLOOKUP(B309,Modules!$B$5:$E$496,4,0)=1)=TRUE,VLOOKUP('Hours Detail'!E309,'BASE_FUNCOES (hide)'!$A:$V,10,0),IF(AND('General Information'!$D$16=2,VLOOKUP(B309,Modules!$B$5:$E$496,4,0)=1)=TRUE,VLOOKUP('Hours Detail'!E309,'BASE_FUNCOES (hide)'!$A:$V,11,0),IF(AND('General Information'!$D$16=3,VLOOKUP(B309,Modules!$B$5:$E$496,4,0)=1)=TRUE,VLOOKUP('Hours Detail'!E309,'BASE_FUNCOES (hide)'!$A:$V,12,0),IF(AND('General Information'!$D$16=4,VLOOKUP(B309,Modules!$B$5:$E$496,4,0)=1)=TRUE,VLOOKUP('Hours Detail'!E309,'BASE_FUNCOES (hide)'!$A:$V,13,0),IF(AND('General Information'!$D$16=5,VLOOKUP(B309,Modules!$B$5:$E$496,4,0)=1)=TRUE,VLOOKUP('Hours Detail'!E309,'BASE_FUNCOES (hide)'!$A:$V,14,0),  IF(AND('General Information'!$D$16=6,VLOOKUP(B309,Modules!$B$5:$E$496,4,0)=1)=TRUE,VLOOKUP('Hours Detail'!E309,'BASE_FUNCOES (hide)'!$A:$V,15,0),"No"))))))</f>
        <v>No</v>
      </c>
      <c r="H309" s="22" t="str">
        <f t="shared" si="6"/>
        <v>No</v>
      </c>
      <c r="I309" s="75">
        <f>IF('General Information'!$C$4="Mexico",(ROUNDUP(VLOOKUP(E309,'BASE_FUNCOES (hide)'!A:X,21,0),0)),(ROUNDUP(VLOOKUP(E309,'BASE_FUNCOES (hide)'!A:L,9,0),0)))</f>
        <v>40</v>
      </c>
      <c r="J309" s="75">
        <f>ROUNDUP(SUMIF(Questions!$E$5:$E$558,'Hours Detail'!E309,Questions!$F$5:$F$558),0)</f>
        <v>0</v>
      </c>
      <c r="K309" s="76">
        <f>IF(H309="Yes",ROUNDUP(IF(VLOOKUP(E309,'BASE_FUNCOES (hide)'!A:T,16,FALSE)&lt;&gt;"No",IF('General Information'!$C$19="HTML5",(I309+J309)*'BASE_FUNCOES (hide)'!$T$2,I309+J309),I309+J309),I309+J309),I309+J309)</f>
        <v>40</v>
      </c>
      <c r="L309" s="265" t="str">
        <f>IF(OR(E309=121,E309=88,E309=2682,E309=2703,E309=2687,E309=2689,E309=2681,E309=2685)=FALSE,"",IF('General Information'!$C$19="HTML5","FUNÇÃO DISPONÍVEL APENAS PARA BRASIL",IF(J310&lt;&gt;0,VLOOKUP(E310,Questions!$E$5:$L$568,5,0),"")))</f>
        <v/>
      </c>
      <c r="M309" s="164" t="s">
        <v>2396</v>
      </c>
      <c r="N309" s="369" t="s">
        <v>2377</v>
      </c>
    </row>
    <row r="310" spans="1:14" ht="14.5" customHeight="1" outlineLevel="1">
      <c r="A310" s="59"/>
      <c r="B310" s="72">
        <f>VLOOKUP('Hours Detail'!E310,'BASE_FUNCOES (hide)'!A:W,5,FALSE)</f>
        <v>283</v>
      </c>
      <c r="C310" s="72" t="s">
        <v>5929</v>
      </c>
      <c r="D310" s="73" t="str">
        <f>IF('General Information'!$C$6="Português",VLOOKUP(B310,'ESTRUTURA_MODULO(hide)'!A:D,2,0),IF('General Information'!$C$6="English",VLOOKUP(B310,'ESTRUTURA_MODULO(hide)'!A:D,3,0),IF('General Information'!$C$6="Español",VLOOKUP(B310,'ESTRUTURA_MODULO(hide)'!A:D,4,0))))</f>
        <v>Tasy Web Suite</v>
      </c>
      <c r="E310" s="254">
        <v>9114</v>
      </c>
      <c r="F310" s="73" t="str">
        <f>IF('General Information'!$C$6="Português",VLOOKUP(E310,'BASE_FUNCOES (hide)'!A:H,2,0),IF('General Information'!$C$6="English",VLOOKUP(E310,'BASE_FUNCOES (hide)'!A:H,3,0),IF('General Information'!$C$6="Español",VLOOKUP(E310,'BASE_FUNCOES (hide)'!A:H,4,0))))</f>
        <v>Web Suite Resultado de Exames</v>
      </c>
      <c r="G310" s="73" t="str">
        <f>IF(AND('General Information'!$D$16=1,VLOOKUP(B310,Modules!$B$5:$E$496,4,0)=1)=TRUE,VLOOKUP('Hours Detail'!E310,'BASE_FUNCOES (hide)'!$A:$V,10,0),IF(AND('General Information'!$D$16=2,VLOOKUP(B310,Modules!$B$5:$E$496,4,0)=1)=TRUE,VLOOKUP('Hours Detail'!E310,'BASE_FUNCOES (hide)'!$A:$V,11,0),IF(AND('General Information'!$D$16=3,VLOOKUP(B310,Modules!$B$5:$E$496,4,0)=1)=TRUE,VLOOKUP('Hours Detail'!E310,'BASE_FUNCOES (hide)'!$A:$V,12,0),IF(AND('General Information'!$D$16=4,VLOOKUP(B310,Modules!$B$5:$E$496,4,0)=1)=TRUE,VLOOKUP('Hours Detail'!E310,'BASE_FUNCOES (hide)'!$A:$V,13,0),IF(AND('General Information'!$D$16=5,VLOOKUP(B310,Modules!$B$5:$E$496,4,0)=1)=TRUE,VLOOKUP('Hours Detail'!E310,'BASE_FUNCOES (hide)'!$A:$V,14,0),  IF(AND('General Information'!$D$16=6,VLOOKUP(B310,Modules!$B$5:$E$496,4,0)=1)=TRUE,VLOOKUP('Hours Detail'!E310,'BASE_FUNCOES (hide)'!$A:$V,15,0),"No"))))))</f>
        <v>No</v>
      </c>
      <c r="H310" s="22" t="str">
        <f t="shared" si="6"/>
        <v>No</v>
      </c>
      <c r="I310" s="75">
        <f>IF('General Information'!$C$4="Mexico",(ROUNDUP(VLOOKUP(E310,'BASE_FUNCOES (hide)'!A:X,21,0),0)),(ROUNDUP(VLOOKUP(E310,'BASE_FUNCOES (hide)'!A:L,9,0),0)))</f>
        <v>40</v>
      </c>
      <c r="J310" s="75">
        <f>ROUNDUP(SUMIF(Questions!$E$5:$E$558,'Hours Detail'!E310,Questions!$F$5:$F$558),0)</f>
        <v>0</v>
      </c>
      <c r="K310" s="76">
        <f>IF(H310="Yes",ROUNDUP(IF(VLOOKUP(E310,'BASE_FUNCOES (hide)'!A:T,16,FALSE)&lt;&gt;"No",IF('General Information'!$C$19="HTML5",(I310+J310)*'BASE_FUNCOES (hide)'!$T$2,I310+J310),I310+J310),I310+J310),I310+J310)</f>
        <v>40</v>
      </c>
      <c r="L310" s="265" t="str">
        <f>IF(OR(E310=121,E310=88,E310=2682,E310=2703,E310=2687,E310=2689,E310=2681,E310=2685)=FALSE,"",IF('General Information'!$C$19="HTML5","FUNÇÃO DISPONÍVEL APENAS PARA BRASIL",IF(J311&lt;&gt;0,VLOOKUP(E311,Questions!$E$5:$L$568,5,0),"")))</f>
        <v/>
      </c>
      <c r="M310" s="164" t="s">
        <v>2396</v>
      </c>
      <c r="N310" s="369" t="s">
        <v>2377</v>
      </c>
    </row>
    <row r="311" spans="1:14" ht="14.5" customHeight="1" outlineLevel="1">
      <c r="A311" s="59"/>
      <c r="B311" s="72">
        <f>VLOOKUP('Hours Detail'!E311,'BASE_FUNCOES (hide)'!A:W,5,FALSE)</f>
        <v>36</v>
      </c>
      <c r="C311" s="72" t="s">
        <v>5929</v>
      </c>
      <c r="D311" s="73" t="str">
        <f>IF('General Information'!$C$6="Português",VLOOKUP(B311,'ESTRUTURA_MODULO(hide)'!A:D,2,0),IF('General Information'!$C$6="English",VLOOKUP(B311,'ESTRUTURA_MODULO(hide)'!A:D,3,0),IF('General Information'!$C$6="Español",VLOOKUP(B311,'ESTRUTURA_MODULO(hide)'!A:D,4,0))))</f>
        <v>Gerenciador do Sistema</v>
      </c>
      <c r="E311" s="74">
        <v>99072</v>
      </c>
      <c r="F311" s="73" t="str">
        <f>IF('General Information'!$C$6="Português",VLOOKUP(E311,'BASE_FUNCOES (hide)'!A:H,2,0),IF('General Information'!$C$6="English",VLOOKUP(E311,'BASE_FUNCOES (hide)'!A:H,3,0),IF('General Information'!$C$6="Español",VLOOKUP(E311,'BASE_FUNCOES (hide)'!A:H,4,0))))</f>
        <v>Integrações</v>
      </c>
      <c r="G311" s="73" t="str">
        <f>IF(AND('General Information'!$D$16=1,VLOOKUP(B311,Modules!$B$5:$E$496,4,0)=1)=TRUE,VLOOKUP('Hours Detail'!E311,'BASE_FUNCOES (hide)'!$A:$V,10,0),IF(AND('General Information'!$D$16=2,VLOOKUP(B311,Modules!$B$5:$E$496,4,0)=1)=TRUE,VLOOKUP('Hours Detail'!E311,'BASE_FUNCOES (hide)'!$A:$V,11,0),IF(AND('General Information'!$D$16=3,VLOOKUP(B311,Modules!$B$5:$E$496,4,0)=1)=TRUE,VLOOKUP('Hours Detail'!E311,'BASE_FUNCOES (hide)'!$A:$V,12,0),IF(AND('General Information'!$D$16=4,VLOOKUP(B311,Modules!$B$5:$E$496,4,0)=1)=TRUE,VLOOKUP('Hours Detail'!E311,'BASE_FUNCOES (hide)'!$A:$V,13,0),IF(AND('General Information'!$D$16=5,VLOOKUP(B311,Modules!$B$5:$E$496,4,0)=1)=TRUE,VLOOKUP('Hours Detail'!E311,'BASE_FUNCOES (hide)'!$A:$V,14,0),  IF(AND('General Information'!$D$16=6,VLOOKUP(B311,Modules!$B$5:$E$496,4,0)=1)=TRUE,VLOOKUP('Hours Detail'!E311,'BASE_FUNCOES (hide)'!$A:$V,15,0),"No"))))))</f>
        <v>No</v>
      </c>
      <c r="H311" s="22" t="str">
        <f t="shared" si="6"/>
        <v>No</v>
      </c>
      <c r="I311" s="75">
        <f>IF('General Information'!$C$4="Mexico",(ROUNDUP(VLOOKUP(E311,'BASE_FUNCOES (hide)'!A:X,21,0),0)),(ROUNDUP(VLOOKUP(E311,'BASE_FUNCOES (hide)'!A:L,9,0),0)))</f>
        <v>0</v>
      </c>
      <c r="J311" s="75">
        <f>ROUNDUP(SUMIF(Questions!$E$5:$E$558,'Hours Detail'!E311,Questions!$F$5:$F$558),0)</f>
        <v>0</v>
      </c>
      <c r="K311" s="76">
        <f>IF(H311="Yes",ROUNDUP(IF(VLOOKUP(E311,'BASE_FUNCOES (hide)'!A:T,16,FALSE)&lt;&gt;"No",IF('General Information'!$C$19="HTML5",(I311+J311)*'BASE_FUNCOES (hide)'!$T$2,I311+J311),I311+J311),I311+J311),I311+J311)</f>
        <v>0</v>
      </c>
      <c r="L311" s="265" t="str">
        <f>IF(OR(E311=121,E311=88,E311=2682,E311=2703,E311=2687,E311=2689,E311=2681,E311=2685)=FALSE,"",IF('General Information'!$C$19="HTML5","FUNÇÃO DISPONÍVEL APENAS PARA BRASIL",IF(J312&lt;&gt;0,VLOOKUP(E312,Questions!$E$5:$L$568,5,0),"")))</f>
        <v/>
      </c>
      <c r="M311" s="164" t="s">
        <v>2396</v>
      </c>
      <c r="N311" s="369" t="s">
        <v>2377</v>
      </c>
    </row>
    <row r="312" spans="1:14" ht="14.5" customHeight="1" outlineLevel="1">
      <c r="A312" s="59"/>
      <c r="B312" s="72">
        <f>VLOOKUP('Hours Detail'!E312,'BASE_FUNCOES (hide)'!A:W,5,FALSE)</f>
        <v>88</v>
      </c>
      <c r="C312" s="72" t="s">
        <v>5929</v>
      </c>
      <c r="D312" s="73" t="str">
        <f>IF('General Information'!$C$6="Português",VLOOKUP(B312,'ESTRUTURA_MODULO(hide)'!A:D,2,0),IF('General Information'!$C$6="English",VLOOKUP(B312,'ESTRUTURA_MODULO(hide)'!A:D,3,0),IF('General Information'!$C$6="Español",VLOOKUP(B312,'ESTRUTURA_MODULO(hide)'!A:D,4,0))))</f>
        <v>Prontuário Eletrônico</v>
      </c>
      <c r="E312" s="74">
        <v>2811</v>
      </c>
      <c r="F312" s="73" t="str">
        <f>IF('General Information'!$C$6="Português",VLOOKUP(E312,'BASE_FUNCOES (hide)'!A:H,2,0),IF('General Information'!$C$6="English",VLOOKUP(E312,'BASE_FUNCOES (hide)'!A:H,3,0),IF('General Information'!$C$6="Español",VLOOKUP(E312,'BASE_FUNCOES (hide)'!A:H,4,0))))</f>
        <v>Sumário Eletrônico do Paciente - SUEP</v>
      </c>
      <c r="G312" s="73" t="str">
        <f>IF(AND('General Information'!$D$16=1,VLOOKUP(B312,Modules!$B$5:$E$496,4,0)=1)=TRUE,VLOOKUP('Hours Detail'!E312,'BASE_FUNCOES (hide)'!$A:$V,10,0),IF(AND('General Information'!$D$16=2,VLOOKUP(B312,Modules!$B$5:$E$496,4,0)=1)=TRUE,VLOOKUP('Hours Detail'!E312,'BASE_FUNCOES (hide)'!$A:$V,11,0),IF(AND('General Information'!$D$16=3,VLOOKUP(B312,Modules!$B$5:$E$496,4,0)=1)=TRUE,VLOOKUP('Hours Detail'!E312,'BASE_FUNCOES (hide)'!$A:$V,12,0),IF(AND('General Information'!$D$16=4,VLOOKUP(B312,Modules!$B$5:$E$496,4,0)=1)=TRUE,VLOOKUP('Hours Detail'!E312,'BASE_FUNCOES (hide)'!$A:$V,13,0),IF(AND('General Information'!$D$16=5,VLOOKUP(B312,Modules!$B$5:$E$496,4,0)=1)=TRUE,VLOOKUP('Hours Detail'!E312,'BASE_FUNCOES (hide)'!$A:$V,14,0),  IF(AND('General Information'!$D$16=6,VLOOKUP(B312,Modules!$B$5:$E$496,4,0)=1)=TRUE,VLOOKUP('Hours Detail'!E312,'BASE_FUNCOES (hide)'!$A:$V,15,0),"No"))))))</f>
        <v>No</v>
      </c>
      <c r="H312" s="22" t="str">
        <f t="shared" si="6"/>
        <v>No</v>
      </c>
      <c r="I312" s="75">
        <f>IF('General Information'!$C$4="Mexico",(ROUNDUP(VLOOKUP(E312,'BASE_FUNCOES (hide)'!A:X,21,0),0)),(ROUNDUP(VLOOKUP(E312,'BASE_FUNCOES (hide)'!A:L,9,0),0)))</f>
        <v>20</v>
      </c>
      <c r="J312" s="75">
        <f>ROUNDUP(SUMIF(Questions!$E$5:$E$558,'Hours Detail'!E312,Questions!$F$5:$F$558),0)</f>
        <v>0</v>
      </c>
      <c r="K312" s="76">
        <f>IF(H312="Yes",ROUNDUP(IF(VLOOKUP(E312,'BASE_FUNCOES (hide)'!A:T,16,FALSE)&lt;&gt;"No",IF('General Information'!$C$19="HTML5",(I312+J312)*'BASE_FUNCOES (hide)'!$T$2,I312+J312),I312+J312),I312+J312),I312+J312)</f>
        <v>20</v>
      </c>
      <c r="L312" s="163" t="str">
        <f>IF(ISERROR(VLOOKUP(E312,Questions!$E$5:$L$568,6,0))=FALSE,VLOOKUP(E312,Questions!$E$5:$L$568,6,0),"")</f>
        <v>40 horas se implementar jornada do paciente ( SUEP e protocolos clínicos) e cadastros relacionados</v>
      </c>
      <c r="M312" s="164" t="s">
        <v>2396</v>
      </c>
      <c r="N312" s="369" t="s">
        <v>2377</v>
      </c>
    </row>
    <row r="313" spans="1:14" ht="14.5" customHeight="1" outlineLevel="1">
      <c r="A313" s="59"/>
      <c r="B313" s="72">
        <f>VLOOKUP('Hours Detail'!E313,'BASE_FUNCOES (hide)'!A:W,5,FALSE)</f>
        <v>90</v>
      </c>
      <c r="C313" s="72" t="s">
        <v>5929</v>
      </c>
      <c r="D313" s="73" t="str">
        <f>IF('General Information'!$C$6="Português",VLOOKUP(B313,'ESTRUTURA_MODULO(hide)'!A:D,2,0),IF('General Information'!$C$6="English",VLOOKUP(B313,'ESTRUTURA_MODULO(hide)'!A:D,3,0),IF('General Information'!$C$6="Español",VLOOKUP(B313,'ESTRUTURA_MODULO(hide)'!A:D,4,0))))</f>
        <v>Quimioterapia</v>
      </c>
      <c r="E313" s="74">
        <v>4051</v>
      </c>
      <c r="F313" s="73" t="str">
        <f>IF('General Information'!$C$6="Português",VLOOKUP(E313,'BASE_FUNCOES (hide)'!A:H,2,0),IF('General Information'!$C$6="English",VLOOKUP(E313,'BASE_FUNCOES (hide)'!A:H,3,0),IF('General Information'!$C$6="Español",VLOOKUP(E313,'BASE_FUNCOES (hide)'!A:H,4,0))))</f>
        <v>Mapa de ocupação da quimioterapia</v>
      </c>
      <c r="G313" s="73" t="str">
        <f>IF(AND('General Information'!$D$16=1,VLOOKUP(B313,Modules!$B$5:$E$496,4,0)=1)=TRUE,VLOOKUP('Hours Detail'!E313,'BASE_FUNCOES (hide)'!$A:$V,10,0),IF(AND('General Information'!$D$16=2,VLOOKUP(B313,Modules!$B$5:$E$496,4,0)=1)=TRUE,VLOOKUP('Hours Detail'!E313,'BASE_FUNCOES (hide)'!$A:$V,11,0),IF(AND('General Information'!$D$16=3,VLOOKUP(B313,Modules!$B$5:$E$496,4,0)=1)=TRUE,VLOOKUP('Hours Detail'!E313,'BASE_FUNCOES (hide)'!$A:$V,12,0),IF(AND('General Information'!$D$16=4,VLOOKUP(B313,Modules!$B$5:$E$496,4,0)=1)=TRUE,VLOOKUP('Hours Detail'!E313,'BASE_FUNCOES (hide)'!$A:$V,13,0),IF(AND('General Information'!$D$16=5,VLOOKUP(B313,Modules!$B$5:$E$496,4,0)=1)=TRUE,VLOOKUP('Hours Detail'!E313,'BASE_FUNCOES (hide)'!$A:$V,14,0),  IF(AND('General Information'!$D$16=6,VLOOKUP(B313,Modules!$B$5:$E$496,4,0)=1)=TRUE,VLOOKUP('Hours Detail'!E313,'BASE_FUNCOES (hide)'!$A:$V,15,0),"No"))))))</f>
        <v>No</v>
      </c>
      <c r="H313" s="22" t="str">
        <f t="shared" si="6"/>
        <v>No</v>
      </c>
      <c r="I313" s="75">
        <f>IF('General Information'!$C$4="Mexico",(ROUNDUP(VLOOKUP(E313,'BASE_FUNCOES (hide)'!A:X,21,0),0)),(ROUNDUP(VLOOKUP(E313,'BASE_FUNCOES (hide)'!A:L,9,0),0)))</f>
        <v>16</v>
      </c>
      <c r="J313" s="75">
        <f>ROUNDUP(SUMIF(Questions!$E$5:$E$558,'Hours Detail'!E313,Questions!$F$5:$F$558),0)</f>
        <v>0</v>
      </c>
      <c r="K313" s="76">
        <f>IF(H313="Yes",ROUNDUP(IF(VLOOKUP(E313,'BASE_FUNCOES (hide)'!A:T,16,FALSE)&lt;&gt;"No",IF('General Information'!$C$19="HTML5",(I313+J313)*'BASE_FUNCOES (hide)'!$T$2,I313+J313),I313+J313),I313+J313),I313+J313)</f>
        <v>16</v>
      </c>
      <c r="L313" s="163" t="str">
        <f>IF(ISERROR(VLOOKUP(E313,Questions!$E$5:$L$568,6,0))=FALSE,VLOOKUP(E313,Questions!$E$5:$L$568,6,0),"")</f>
        <v/>
      </c>
      <c r="M313" s="164" t="s">
        <v>2396</v>
      </c>
      <c r="N313" s="369" t="s">
        <v>2377</v>
      </c>
    </row>
    <row r="314" spans="1:14" ht="14.5" customHeight="1" outlineLevel="1">
      <c r="A314" s="59"/>
      <c r="B314" s="72">
        <f>VLOOKUP('Hours Detail'!E314,'BASE_FUNCOES (hide)'!A:W,5,FALSE)</f>
        <v>22</v>
      </c>
      <c r="C314" s="72" t="s">
        <v>5929</v>
      </c>
      <c r="D314" s="73" t="str">
        <f>IF('General Information'!$C$6="Português",VLOOKUP(B314,'ESTRUTURA_MODULO(hide)'!A:D,2,0),IF('General Information'!$C$6="English",VLOOKUP(B314,'ESTRUTURA_MODULO(hide)'!A:D,3,0),IF('General Information'!$C$6="Español",VLOOKUP(B314,'ESTRUTURA_MODULO(hide)'!A:D,4,0))))</f>
        <v>Consultório Médico (Ambulatório)</v>
      </c>
      <c r="E314" s="74">
        <v>381</v>
      </c>
      <c r="F314" s="73" t="str">
        <f>IF('General Information'!$C$6="Português",VLOOKUP(E314,'BASE_FUNCOES (hide)'!A:H,2,0),IF('General Information'!$C$6="English",VLOOKUP(E314,'BASE_FUNCOES (hide)'!A:H,3,0),IF('General Information'!$C$6="Español",VLOOKUP(E314,'BASE_FUNCOES (hide)'!A:H,4,0))))</f>
        <v>Prontuário Eletrônico de Paciente Ambulatorial - PEPA</v>
      </c>
      <c r="G314" s="73" t="str">
        <f>IF(AND('General Information'!$D$16=1,VLOOKUP(B314,Modules!$B$5:$E$496,4,0)=1)=TRUE,VLOOKUP('Hours Detail'!E314,'BASE_FUNCOES (hide)'!$A:$V,10,0),IF(AND('General Information'!$D$16=2,VLOOKUP(B314,Modules!$B$5:$E$496,4,0)=1)=TRUE,VLOOKUP('Hours Detail'!E314,'BASE_FUNCOES (hide)'!$A:$V,11,0),IF(AND('General Information'!$D$16=3,VLOOKUP(B314,Modules!$B$5:$E$496,4,0)=1)=TRUE,VLOOKUP('Hours Detail'!E314,'BASE_FUNCOES (hide)'!$A:$V,12,0),IF(AND('General Information'!$D$16=4,VLOOKUP(B314,Modules!$B$5:$E$496,4,0)=1)=TRUE,VLOOKUP('Hours Detail'!E314,'BASE_FUNCOES (hide)'!$A:$V,13,0),IF(AND('General Information'!$D$16=5,VLOOKUP(B314,Modules!$B$5:$E$496,4,0)=1)=TRUE,VLOOKUP('Hours Detail'!E314,'BASE_FUNCOES (hide)'!$A:$V,14,0),  IF(AND('General Information'!$D$16=6,VLOOKUP(B314,Modules!$B$5:$E$496,4,0)=1)=TRUE,VLOOKUP('Hours Detail'!E314,'BASE_FUNCOES (hide)'!$A:$V,15,0),"No"))))))</f>
        <v>No</v>
      </c>
      <c r="H314" s="22" t="str">
        <f t="shared" si="6"/>
        <v>No</v>
      </c>
      <c r="I314" s="75">
        <f>IF('General Information'!$C$4="Mexico",(ROUNDUP(VLOOKUP(E314,'BASE_FUNCOES (hide)'!A:X,21,0),0)),(ROUNDUP(VLOOKUP(E314,'BASE_FUNCOES (hide)'!A:L,9,0),0)))</f>
        <v>40</v>
      </c>
      <c r="J314" s="75">
        <f>ROUNDUP(SUMIF(Questions!$E$5:$E$558,'Hours Detail'!E314,Questions!$F$5:$F$558),0)</f>
        <v>0</v>
      </c>
      <c r="K314" s="76">
        <f>IF(H314="Yes",ROUNDUP(IF(VLOOKUP(E314,'BASE_FUNCOES (hide)'!A:T,16,FALSE)&lt;&gt;"No",IF('General Information'!$C$19="HTML5",(I314+J314)*'BASE_FUNCOES (hide)'!$T$2,I314+J314),I314+J314),I314+J314),I314+J314)</f>
        <v>40</v>
      </c>
      <c r="L314" s="163" t="str">
        <f>IF(ISERROR(VLOOKUP(E314,Questions!$E$5:$L$568,6,0))=FALSE,VLOOKUP(E314,Questions!$E$5:$L$568,6,0),"")</f>
        <v/>
      </c>
      <c r="M314" s="164" t="s">
        <v>2396</v>
      </c>
      <c r="N314" s="369" t="s">
        <v>2377</v>
      </c>
    </row>
    <row r="315" spans="1:14" ht="14.5" customHeight="1" outlineLevel="1">
      <c r="A315" s="59"/>
      <c r="B315" s="72">
        <f>VLOOKUP('Hours Detail'!E315,'BASE_FUNCOES (hide)'!A:W,5,FALSE)</f>
        <v>88</v>
      </c>
      <c r="C315" s="72" t="s">
        <v>5929</v>
      </c>
      <c r="D315" s="73" t="str">
        <f>IF('General Information'!$C$6="Português",VLOOKUP(B315,'ESTRUTURA_MODULO(hide)'!A:D,2,0),IF('General Information'!$C$6="English",VLOOKUP(B315,'ESTRUTURA_MODULO(hide)'!A:D,3,0),IF('General Information'!$C$6="Español",VLOOKUP(B315,'ESTRUTURA_MODULO(hide)'!A:D,4,0))))</f>
        <v>Prontuário Eletrônico</v>
      </c>
      <c r="E315" s="74">
        <v>13410</v>
      </c>
      <c r="F315" s="73" t="str">
        <f>IF('General Information'!$C$6="Português",VLOOKUP(E315,'BASE_FUNCOES (hide)'!A:H,2,0),IF('General Information'!$C$6="English",VLOOKUP(E315,'BASE_FUNCOES (hide)'!A:H,3,0),IF('General Information'!$C$6="Español",VLOOKUP(E315,'BASE_FUNCOES (hide)'!A:H,4,0))))</f>
        <v>Plano de Cuidado</v>
      </c>
      <c r="G315" s="73" t="str">
        <f>IF(AND('General Information'!$D$16=1,VLOOKUP(B315,Modules!$B$5:$E$496,4,0)=1)=TRUE,VLOOKUP('Hours Detail'!E315,'BASE_FUNCOES (hide)'!$A:$V,10,0),IF(AND('General Information'!$D$16=2,VLOOKUP(B315,Modules!$B$5:$E$496,4,0)=1)=TRUE,VLOOKUP('Hours Detail'!E315,'BASE_FUNCOES (hide)'!$A:$V,11,0),IF(AND('General Information'!$D$16=3,VLOOKUP(B315,Modules!$B$5:$E$496,4,0)=1)=TRUE,VLOOKUP('Hours Detail'!E315,'BASE_FUNCOES (hide)'!$A:$V,12,0),IF(AND('General Information'!$D$16=4,VLOOKUP(B315,Modules!$B$5:$E$496,4,0)=1)=TRUE,VLOOKUP('Hours Detail'!E315,'BASE_FUNCOES (hide)'!$A:$V,13,0),IF(AND('General Information'!$D$16=5,VLOOKUP(B315,Modules!$B$5:$E$496,4,0)=1)=TRUE,VLOOKUP('Hours Detail'!E315,'BASE_FUNCOES (hide)'!$A:$V,14,0),  IF(AND('General Information'!$D$16=6,VLOOKUP(B315,Modules!$B$5:$E$496,4,0)=1)=TRUE,VLOOKUP('Hours Detail'!E315,'BASE_FUNCOES (hide)'!$A:$V,15,0),"No"))))))</f>
        <v>No</v>
      </c>
      <c r="H315" s="22" t="str">
        <f t="shared" si="6"/>
        <v>No</v>
      </c>
      <c r="I315" s="75">
        <f>IF('General Information'!$C$4="Mexico",(ROUNDUP(VLOOKUP(E315,'BASE_FUNCOES (hide)'!A:X,21,0),0)),(ROUNDUP(VLOOKUP(E315,'BASE_FUNCOES (hide)'!A:L,9,0),0)))</f>
        <v>40</v>
      </c>
      <c r="J315" s="75">
        <f>ROUNDUP(SUMIF(Questions!$E$5:$E$558,'Hours Detail'!E315,Questions!$F$5:$F$558),0)</f>
        <v>0</v>
      </c>
      <c r="K315" s="76">
        <f>IF(H315="Yes",ROUNDUP(IF(VLOOKUP(E315,'BASE_FUNCOES (hide)'!A:T,16,FALSE)&lt;&gt;"No",IF('General Information'!$C$19="HTML5",(I315+J315)*'BASE_FUNCOES (hide)'!$T$2,I315+J315),I315+J315),I315+J315),I315+J315)</f>
        <v>40</v>
      </c>
      <c r="L315" s="163" t="str">
        <f>IF(ISERROR(VLOOKUP(E315,Questions!$E$5:$L$568,6,0))=FALSE,VLOOKUP(E315,Questions!$E$5:$L$568,6,0),"")</f>
        <v/>
      </c>
      <c r="M315" s="164" t="s">
        <v>2396</v>
      </c>
      <c r="N315" s="369" t="s">
        <v>2377</v>
      </c>
    </row>
    <row r="316" spans="1:14" ht="14.5" customHeight="1">
      <c r="A316" s="59"/>
      <c r="B316" s="72">
        <f>VLOOKUP('Hours Detail'!E316,'BASE_FUNCOES (hide)'!A:W,5,FALSE)</f>
        <v>1</v>
      </c>
      <c r="C316" s="72" t="s">
        <v>5887</v>
      </c>
      <c r="D316" s="73" t="str">
        <f>IF('General Information'!$C$6="Português",VLOOKUP(B316,'ESTRUTURA_MODULO(hide)'!A:D,2,0),IF('General Information'!$C$6="English",VLOOKUP(B316,'ESTRUTURA_MODULO(hide)'!A:D,3,0),IF('General Information'!$C$6="Español",VLOOKUP(B316,'ESTRUTURA_MODULO(hide)'!A:D,4,0))))</f>
        <v>Instalação do Produto</v>
      </c>
      <c r="E316" s="74">
        <v>343</v>
      </c>
      <c r="F316" s="73" t="str">
        <f>IF('General Information'!$C$6="Português",VLOOKUP(E316,'BASE_FUNCOES (hide)'!A:H,2,0),IF('General Information'!$C$6="English",VLOOKUP(E316,'BASE_FUNCOES (hide)'!A:H,3,0),IF('General Information'!$C$6="Español",VLOOKUP(E316,'BASE_FUNCOES (hide)'!A:H,4,0))))</f>
        <v>OPS - Gestão de Dados Atuariais</v>
      </c>
      <c r="G316" s="73" t="str">
        <f>IF(AND('General Information'!$D$17=7,VLOOKUP(B316,Modules!$B$5:$E$496,4,0)=1)=TRUE,VLOOKUP('Hours Detail'!E316,'BASE_FUNCOES (hide)'!A:S,17,0),IF(AND('General Information'!$D$17=8,VLOOKUP(B316,Modules!$B$5:$E$496,4,0)=1)=TRUE,VLOOKUP('Hours Detail'!E316,'BASE_FUNCOES (hide)'!A:S,18,0),IF(AND('General Information'!$D$17=9,VLOOKUP(B316,Modules!$B$5:$E$496,4,0)=1)=TRUE,VLOOKUP('Hours Detail'!E316,'BASE_FUNCOES (hide)'!A:S,19,0),"No")))</f>
        <v>No</v>
      </c>
      <c r="H316" s="544" t="s">
        <v>2890</v>
      </c>
      <c r="I316" s="75">
        <f>IF('General Information'!$C$4="Mexico",(ROUNDUP(VLOOKUP(E316,'BASE_FUNCOES (hide)'!A:X,21,0),0)),(ROUNDUP(VLOOKUP(E316,'BASE_FUNCOES (hide)'!A:L,9,0),0)))</f>
        <v>24</v>
      </c>
      <c r="J316" s="75">
        <f>ROUNDUP(SUMIF(Questions!$E$5:$E$558,'Hours Detail'!E316,Questions!$F$5:$F$558),0)</f>
        <v>0</v>
      </c>
      <c r="K316" s="76">
        <f>IF(H316="Yes",ROUNDUP(IF(VLOOKUP(E316,'BASE_FUNCOES (hide)'!A:T,16,FALSE)&lt;&gt;"No",IF('General Information'!$C$19="HTML5",(I316+J316)*'BASE_FUNCOES (hide)'!$T$2,I316+J316),I316+J316),I316+J316),I316+J316)</f>
        <v>24</v>
      </c>
      <c r="L316" s="163" t="str">
        <f>IF(ISERROR(VLOOKUP(E316,Questions!$E$5:$L$568,6,0))=FALSE,VLOOKUP(E316,Questions!$E$5:$L$568,6,0),"")</f>
        <v/>
      </c>
      <c r="M316" s="164" t="s">
        <v>2396</v>
      </c>
      <c r="N316" s="369" t="s">
        <v>2377</v>
      </c>
    </row>
    <row r="317" spans="1:14" ht="14.5" customHeight="1">
      <c r="A317" s="59"/>
      <c r="B317" s="72">
        <f>VLOOKUP('Hours Detail'!E317,'BASE_FUNCOES (hide)'!A:W,5,FALSE)</f>
        <v>11</v>
      </c>
      <c r="C317" s="72" t="s">
        <v>5887</v>
      </c>
      <c r="D317" s="73" t="str">
        <f>IF('General Information'!$C$6="Português",VLOOKUP(B317,'ESTRUTURA_MODULO(hide)'!A:D,2,0),IF('General Information'!$C$6="English",VLOOKUP(B317,'ESTRUTURA_MODULO(hide)'!A:D,3,0),IF('General Information'!$C$6="Español",VLOOKUP(B317,'ESTRUTURA_MODULO(hide)'!A:D,4,0))))</f>
        <v>Contabilidade</v>
      </c>
      <c r="E317" s="74">
        <v>1367</v>
      </c>
      <c r="F317" s="73" t="str">
        <f>IF('General Information'!$C$6="Português",VLOOKUP(E317,'BASE_FUNCOES (hide)'!A:H,2,0),IF('General Information'!$C$6="English",VLOOKUP(E317,'BASE_FUNCOES (hide)'!A:H,3,0),IF('General Information'!$C$6="Español",VLOOKUP(E317,'BASE_FUNCOES (hide)'!A:H,4,0))))</f>
        <v>OPS - Atualização do Movimento Contábil</v>
      </c>
      <c r="G317" s="73" t="str">
        <f>IF(AND('General Information'!$D$17=7,VLOOKUP(B317,Modules!$B$5:$E$496,4,0)=1)=TRUE,VLOOKUP('Hours Detail'!E317,'BASE_FUNCOES (hide)'!A:S,17,0),IF(AND('General Information'!$D$17=8,VLOOKUP(B317,Modules!$B$5:$E$496,4,0)=1)=TRUE,VLOOKUP('Hours Detail'!E317,'BASE_FUNCOES (hide)'!A:S,18,0),IF(AND('General Information'!$D$17=9,VLOOKUP(B317,Modules!$B$5:$E$496,4,0)=1)=TRUE,VLOOKUP('Hours Detail'!E317,'BASE_FUNCOES (hide)'!A:S,19,0),"No")))</f>
        <v>No</v>
      </c>
      <c r="H317" s="544" t="str">
        <f t="shared" si="6"/>
        <v>No</v>
      </c>
      <c r="I317" s="75">
        <f>IF('General Information'!$C$4="Mexico",(ROUNDUP(VLOOKUP(E317,'BASE_FUNCOES (hide)'!A:X,21,0),0)),(ROUNDUP(VLOOKUP(E317,'BASE_FUNCOES (hide)'!A:L,9,0),0)))</f>
        <v>8</v>
      </c>
      <c r="J317" s="75">
        <f>ROUNDUP(SUMIF(Questions!$E$5:$E$558,'Hours Detail'!E317,Questions!$F$5:$F$558),0)</f>
        <v>0</v>
      </c>
      <c r="K317" s="76">
        <f>IF(H317="Yes",ROUNDUP(IF(VLOOKUP(E317,'BASE_FUNCOES (hide)'!A:T,16,FALSE)&lt;&gt;"No",IF('General Information'!$C$19="HTML5",(I317+J317)*'BASE_FUNCOES (hide)'!$T$2,I317+J317),I317+J317),I317+J317),I317+J317)</f>
        <v>8</v>
      </c>
      <c r="L317" s="163" t="str">
        <f>IF(ISERROR(VLOOKUP(E317,Questions!$E$5:$L$568,6,0))=FALSE,VLOOKUP(E317,Questions!$E$5:$L$568,6,0),"")</f>
        <v/>
      </c>
      <c r="M317" s="164" t="s">
        <v>2396</v>
      </c>
      <c r="N317" s="369" t="s">
        <v>2377</v>
      </c>
    </row>
    <row r="318" spans="1:14" ht="14.5" customHeight="1">
      <c r="A318" s="59"/>
      <c r="B318" s="72">
        <f>VLOOKUP('Hours Detail'!E318,'BASE_FUNCOES (hide)'!A:W,5,FALSE)</f>
        <v>11</v>
      </c>
      <c r="C318" s="72" t="s">
        <v>5887</v>
      </c>
      <c r="D318" s="73" t="str">
        <f>IF('General Information'!$C$6="Português",VLOOKUP(B318,'ESTRUTURA_MODULO(hide)'!A:D,2,0),IF('General Information'!$C$6="English",VLOOKUP(B318,'ESTRUTURA_MODULO(hide)'!A:D,3,0),IF('General Information'!$C$6="Español",VLOOKUP(B318,'ESTRUTURA_MODULO(hide)'!A:D,4,0))))</f>
        <v>Contabilidade</v>
      </c>
      <c r="E318" s="74">
        <v>1313</v>
      </c>
      <c r="F318" s="73" t="str">
        <f>IF('General Information'!$C$6="Português",VLOOKUP(E318,'BASE_FUNCOES (hide)'!A:H,2,0),IF('General Information'!$C$6="English",VLOOKUP(E318,'BASE_FUNCOES (hide)'!A:H,3,0),IF('General Information'!$C$6="Español",VLOOKUP(E318,'BASE_FUNCOES (hide)'!A:H,4,0))))</f>
        <v>OPS - Critérios Contábeis</v>
      </c>
      <c r="G318" s="73" t="str">
        <f>IF(AND('General Information'!$D$17=7,VLOOKUP(B318,Modules!$B$5:$E$496,4,0)=1)=TRUE,VLOOKUP('Hours Detail'!E318,'BASE_FUNCOES (hide)'!A:S,17,0),IF(AND('General Information'!$D$17=8,VLOOKUP(B318,Modules!$B$5:$E$496,4,0)=1)=TRUE,VLOOKUP('Hours Detail'!E318,'BASE_FUNCOES (hide)'!A:S,18,0),IF(AND('General Information'!$D$17=9,VLOOKUP(B318,Modules!$B$5:$E$496,4,0)=1)=TRUE,VLOOKUP('Hours Detail'!E318,'BASE_FUNCOES (hide)'!A:S,19,0),"No")))</f>
        <v>No</v>
      </c>
      <c r="H318" s="544" t="str">
        <f t="shared" si="6"/>
        <v>No</v>
      </c>
      <c r="I318" s="75">
        <f>IF('General Information'!$C$4="Mexico",(ROUNDUP(VLOOKUP(E318,'BASE_FUNCOES (hide)'!A:X,21,0),0)),(ROUNDUP(VLOOKUP(E318,'BASE_FUNCOES (hide)'!A:L,9,0),0)))</f>
        <v>40</v>
      </c>
      <c r="J318" s="75">
        <f>ROUNDUP(SUMIF(Questions!$E$5:$E$558,'Hours Detail'!E318,Questions!$F$5:$F$558),0)</f>
        <v>0</v>
      </c>
      <c r="K318" s="76">
        <f>IF(H318="Yes",ROUNDUP(IF(VLOOKUP(E318,'BASE_FUNCOES (hide)'!A:T,16,FALSE)&lt;&gt;"No",IF('General Information'!$C$19="HTML5",(I318+J318)*'BASE_FUNCOES (hide)'!$T$2,I318+J318),I318+J318),I318+J318),I318+J318)</f>
        <v>40</v>
      </c>
      <c r="L318" s="163" t="str">
        <f>IF(ISERROR(VLOOKUP(E318,Questions!$E$5:$L$568,6,0))=FALSE,VLOOKUP(E318,Questions!$E$5:$L$568,6,0),"")</f>
        <v/>
      </c>
      <c r="M318" s="164" t="s">
        <v>2396</v>
      </c>
      <c r="N318" s="369" t="s">
        <v>2377</v>
      </c>
    </row>
    <row r="319" spans="1:14" ht="14.5" customHeight="1">
      <c r="A319" s="59"/>
      <c r="B319" s="72">
        <f>VLOOKUP('Hours Detail'!E319,'BASE_FUNCOES (hide)'!A:W,5,FALSE)</f>
        <v>11</v>
      </c>
      <c r="C319" s="72" t="s">
        <v>5887</v>
      </c>
      <c r="D319" s="73" t="str">
        <f>IF('General Information'!$C$6="Português",VLOOKUP(B319,'ESTRUTURA_MODULO(hide)'!A:D,2,0),IF('General Information'!$C$6="English",VLOOKUP(B319,'ESTRUTURA_MODULO(hide)'!A:D,3,0),IF('General Information'!$C$6="Español",VLOOKUP(B319,'ESTRUTURA_MODULO(hide)'!A:D,4,0))))</f>
        <v>Contabilidade</v>
      </c>
      <c r="E319" s="74">
        <v>1353</v>
      </c>
      <c r="F319" s="73" t="str">
        <f>IF('General Information'!$C$6="Português",VLOOKUP(E319,'BASE_FUNCOES (hide)'!A:H,2,0),IF('General Information'!$C$6="English",VLOOKUP(E319,'BASE_FUNCOES (hide)'!A:H,3,0),IF('General Information'!$C$6="Español",VLOOKUP(E319,'BASE_FUNCOES (hide)'!A:H,4,0))))</f>
        <v>OPS - Envio de arquivo GISS</v>
      </c>
      <c r="G319" s="73" t="str">
        <f>IF(AND('General Information'!$D$17=7,VLOOKUP(B319,Modules!$B$5:$E$496,4,0)=1)=TRUE,VLOOKUP('Hours Detail'!E319,'BASE_FUNCOES (hide)'!A:S,17,0),IF(AND('General Information'!$D$17=8,VLOOKUP(B319,Modules!$B$5:$E$496,4,0)=1)=TRUE,VLOOKUP('Hours Detail'!E319,'BASE_FUNCOES (hide)'!A:S,18,0),IF(AND('General Information'!$D$17=9,VLOOKUP(B319,Modules!$B$5:$E$496,4,0)=1)=TRUE,VLOOKUP('Hours Detail'!E319,'BASE_FUNCOES (hide)'!A:S,19,0),"No")))</f>
        <v>No</v>
      </c>
      <c r="H319" s="544" t="str">
        <f t="shared" si="6"/>
        <v>No</v>
      </c>
      <c r="I319" s="75">
        <f>IF('General Information'!$C$4="Mexico",(ROUNDUP(VLOOKUP(E319,'BASE_FUNCOES (hide)'!A:X,21,0),0)),(ROUNDUP(VLOOKUP(E319,'BASE_FUNCOES (hide)'!A:L,9,0),0)))</f>
        <v>12</v>
      </c>
      <c r="J319" s="75">
        <f>ROUNDUP(SUMIF(Questions!$E$5:$E$558,'Hours Detail'!E319,Questions!$F$5:$F$558),0)</f>
        <v>0</v>
      </c>
      <c r="K319" s="76">
        <f>IF(H319="Yes",ROUNDUP(IF(VLOOKUP(E319,'BASE_FUNCOES (hide)'!A:T,16,FALSE)&lt;&gt;"No",IF('General Information'!$C$19="HTML5",(I319+J319)*'BASE_FUNCOES (hide)'!$T$2,I319+J319),I319+J319),I319+J319),I319+J319)</f>
        <v>12</v>
      </c>
      <c r="L319" s="163" t="str">
        <f>IF(ISERROR(VLOOKUP(E319,Questions!$E$5:$L$568,6,0))=FALSE,VLOOKUP(E319,Questions!$E$5:$L$568,6,0),"")</f>
        <v/>
      </c>
      <c r="M319" s="164" t="s">
        <v>2396</v>
      </c>
      <c r="N319" s="369" t="s">
        <v>2377</v>
      </c>
    </row>
    <row r="320" spans="1:14" ht="14.5" customHeight="1">
      <c r="A320" s="59"/>
      <c r="B320" s="72">
        <f>VLOOKUP('Hours Detail'!E320,'BASE_FUNCOES (hide)'!A:W,5,FALSE)</f>
        <v>12</v>
      </c>
      <c r="C320" s="72" t="s">
        <v>5887</v>
      </c>
      <c r="D320" s="73" t="str">
        <f>IF('General Information'!$C$6="Português",VLOOKUP(B320,'ESTRUTURA_MODULO(hide)'!A:D,2,0),IF('General Information'!$C$6="English",VLOOKUP(B320,'ESTRUTURA_MODULO(hide)'!A:D,3,0),IF('General Information'!$C$6="Español",VLOOKUP(B320,'ESTRUTURA_MODULO(hide)'!A:D,4,0))))</f>
        <v>Contas a Pagar</v>
      </c>
      <c r="E320" s="74">
        <v>1262</v>
      </c>
      <c r="F320" s="73" t="str">
        <f>IF('General Information'!$C$6="Português",VLOOKUP(E320,'BASE_FUNCOES (hide)'!A:H,2,0),IF('General Information'!$C$6="English",VLOOKUP(E320,'BASE_FUNCOES (hide)'!A:H,3,0),IF('General Information'!$C$6="Español",VLOOKUP(E320,'BASE_FUNCOES (hide)'!A:H,4,0))))</f>
        <v>OPS - Transferência Eletrônica de Dados (TED)</v>
      </c>
      <c r="G320" s="73" t="str">
        <f>IF(AND('General Information'!$D$17=7,VLOOKUP(B320,Modules!$B$5:$E$496,4,0)=1)=TRUE,VLOOKUP('Hours Detail'!E320,'BASE_FUNCOES (hide)'!A:S,17,0),IF(AND('General Information'!$D$17=8,VLOOKUP(B320,Modules!$B$5:$E$496,4,0)=1)=TRUE,VLOOKUP('Hours Detail'!E320,'BASE_FUNCOES (hide)'!A:S,18,0),IF(AND('General Information'!$D$17=9,VLOOKUP(B320,Modules!$B$5:$E$496,4,0)=1)=TRUE,VLOOKUP('Hours Detail'!E320,'BASE_FUNCOES (hide)'!A:S,19,0),"No")))</f>
        <v>No</v>
      </c>
      <c r="H320" s="544" t="str">
        <f t="shared" si="6"/>
        <v>No</v>
      </c>
      <c r="I320" s="75">
        <f>IF('General Information'!$C$4="Mexico",(ROUNDUP(VLOOKUP(E320,'BASE_FUNCOES (hide)'!A:X,21,0),0)),(ROUNDUP(VLOOKUP(E320,'BASE_FUNCOES (hide)'!A:L,9,0),0)))</f>
        <v>4</v>
      </c>
      <c r="J320" s="75">
        <f>ROUNDUP(SUMIF(Questions!$E$5:$E$558,'Hours Detail'!E320,Questions!$F$5:$F$558),0)</f>
        <v>0</v>
      </c>
      <c r="K320" s="76">
        <f>IF(H320="Yes",ROUNDUP(IF(VLOOKUP(E320,'BASE_FUNCOES (hide)'!A:T,16,FALSE)&lt;&gt;"No",IF('General Information'!$C$19="HTML5",(I320+J320)*'BASE_FUNCOES (hide)'!$T$2,I320+J320),I320+J320),I320+J320),I320+J320)</f>
        <v>4</v>
      </c>
      <c r="L320" s="163" t="str">
        <f>IF(ISERROR(VLOOKUP(E320,Questions!$E$5:$L$568,6,0))=FALSE,VLOOKUP(E320,Questions!$E$5:$L$568,6,0),"")</f>
        <v/>
      </c>
      <c r="M320" s="164" t="s">
        <v>2396</v>
      </c>
      <c r="N320" s="369" t="s">
        <v>2377</v>
      </c>
    </row>
    <row r="321" spans="1:14" ht="14.5" customHeight="1">
      <c r="A321" s="59"/>
      <c r="B321" s="72">
        <f>VLOOKUP('Hours Detail'!E321,'BASE_FUNCOES (hide)'!A:W,5,FALSE)</f>
        <v>283</v>
      </c>
      <c r="C321" s="72" t="s">
        <v>5887</v>
      </c>
      <c r="D321" s="73" t="str">
        <f>IF('General Information'!$C$6="Português",VLOOKUP(B321,'ESTRUTURA_MODULO(hide)'!A:D,2,0),IF('General Information'!$C$6="English",VLOOKUP(B321,'ESTRUTURA_MODULO(hide)'!A:D,3,0),IF('General Information'!$C$6="Español",VLOOKUP(B321,'ESTRUTURA_MODULO(hide)'!A:D,4,0))))</f>
        <v>Tasy Web Suite</v>
      </c>
      <c r="E321" s="74">
        <v>1397</v>
      </c>
      <c r="F321" s="73" t="str">
        <f>IF('General Information'!$C$6="Português",VLOOKUP(E321,'BASE_FUNCOES (hide)'!A:H,2,0),IF('General Information'!$C$6="English",VLOOKUP(E321,'BASE_FUNCOES (hide)'!A:H,3,0),IF('General Information'!$C$6="Español",VLOOKUP(E321,'BASE_FUNCOES (hide)'!A:H,4,0))))</f>
        <v>OPS - Auditoria Concorrente</v>
      </c>
      <c r="G321" s="73" t="str">
        <f>IF(AND('General Information'!$D$17=7,VLOOKUP(B321,Modules!$B$5:$E$496,4,0)=1)=TRUE,VLOOKUP('Hours Detail'!E321,'BASE_FUNCOES (hide)'!A:S,17,0),IF(AND('General Information'!$D$17=8,VLOOKUP(B321,Modules!$B$5:$E$496,4,0)=1)=TRUE,VLOOKUP('Hours Detail'!E321,'BASE_FUNCOES (hide)'!A:S,18,0),IF(AND('General Information'!$D$17=9,VLOOKUP(B321,Modules!$B$5:$E$496,4,0)=1)=TRUE,VLOOKUP('Hours Detail'!E321,'BASE_FUNCOES (hide)'!A:S,19,0),"No")))</f>
        <v>No</v>
      </c>
      <c r="H321" s="544" t="str">
        <f t="shared" si="6"/>
        <v>No</v>
      </c>
      <c r="I321" s="75">
        <f>IF('General Information'!$C$4="Mexico",(ROUNDUP(VLOOKUP(E321,'BASE_FUNCOES (hide)'!A:X,21,0),0)),(ROUNDUP(VLOOKUP(E321,'BASE_FUNCOES (hide)'!A:L,9,0),0)))</f>
        <v>56</v>
      </c>
      <c r="J321" s="75">
        <f>ROUNDUP(SUMIF(Questions!$E$5:$E$558,'Hours Detail'!E321,Questions!$F$5:$F$558),0)</f>
        <v>0</v>
      </c>
      <c r="K321" s="76">
        <f>IF(H321="Yes",ROUNDUP(IF(VLOOKUP(E321,'BASE_FUNCOES (hide)'!A:T,16,FALSE)&lt;&gt;"No",IF('General Information'!$C$19="HTML5",(I321+J321)*'BASE_FUNCOES (hide)'!$T$2,I321+J321),I321+J321),I321+J321),I321+J321)</f>
        <v>56</v>
      </c>
      <c r="L321" s="163">
        <f>IF(ISERROR(VLOOKUP(E321,Questions!$E$5:$L$568,6,0))=FALSE,VLOOKUP(E321,Questions!$E$5:$L$568,6,0),"")</f>
        <v>0</v>
      </c>
      <c r="M321" s="164" t="s">
        <v>2396</v>
      </c>
      <c r="N321" s="369" t="s">
        <v>2377</v>
      </c>
    </row>
    <row r="322" spans="1:14" ht="14.5" customHeight="1">
      <c r="A322" s="59"/>
      <c r="B322" s="72">
        <f>VLOOKUP('Hours Detail'!E322,'BASE_FUNCOES (hide)'!A:W,5,FALSE)</f>
        <v>283</v>
      </c>
      <c r="C322" s="72" t="s">
        <v>5887</v>
      </c>
      <c r="D322" s="73" t="str">
        <f>IF('General Information'!$C$6="Português",VLOOKUP(B322,'ESTRUTURA_MODULO(hide)'!A:D,2,0),IF('General Information'!$C$6="English",VLOOKUP(B322,'ESTRUTURA_MODULO(hide)'!A:D,3,0),IF('General Information'!$C$6="Español",VLOOKUP(B322,'ESTRUTURA_MODULO(hide)'!A:D,4,0))))</f>
        <v>Tasy Web Suite</v>
      </c>
      <c r="E322" s="74">
        <v>1395</v>
      </c>
      <c r="F322" s="73" t="str">
        <f>IF('General Information'!$C$6="Português",VLOOKUP(E322,'BASE_FUNCOES (hide)'!A:H,2,0),IF('General Information'!$C$6="English",VLOOKUP(E322,'BASE_FUNCOES (hide)'!A:H,3,0),IF('General Information'!$C$6="Español",VLOOKUP(E322,'BASE_FUNCOES (hide)'!A:H,4,0))))</f>
        <v>OPS - Solicitação de Proposta Online</v>
      </c>
      <c r="G322" s="73" t="str">
        <f>IF(AND('General Information'!$D$17=7,VLOOKUP(B322,Modules!$B$5:$E$496,4,0)=1)=TRUE,VLOOKUP('Hours Detail'!E322,'BASE_FUNCOES (hide)'!A:S,17,0),IF(AND('General Information'!$D$17=8,VLOOKUP(B322,Modules!$B$5:$E$496,4,0)=1)=TRUE,VLOOKUP('Hours Detail'!E322,'BASE_FUNCOES (hide)'!A:S,18,0),IF(AND('General Information'!$D$17=9,VLOOKUP(B322,Modules!$B$5:$E$496,4,0)=1)=TRUE,VLOOKUP('Hours Detail'!E322,'BASE_FUNCOES (hide)'!A:S,19,0),"No")))</f>
        <v>No</v>
      </c>
      <c r="H322" s="544" t="str">
        <f t="shared" si="6"/>
        <v>No</v>
      </c>
      <c r="I322" s="75">
        <f>IF('General Information'!$C$4="Mexico",(ROUNDUP(VLOOKUP(E322,'BASE_FUNCOES (hide)'!A:X,21,0),0)),(ROUNDUP(VLOOKUP(E322,'BASE_FUNCOES (hide)'!A:L,9,0),0)))</f>
        <v>80</v>
      </c>
      <c r="J322" s="75">
        <f>ROUNDUP(SUMIF(Questions!$E$5:$E$558,'Hours Detail'!E322,Questions!$F$5:$F$558),0)</f>
        <v>0</v>
      </c>
      <c r="K322" s="76">
        <f>IF(H322="Yes",ROUNDUP(IF(VLOOKUP(E322,'BASE_FUNCOES (hide)'!A:T,16,FALSE)&lt;&gt;"No",IF('General Information'!$C$19="HTML5",(I322+J322)*'BASE_FUNCOES (hide)'!$T$2,I322+J322),I322+J322),I322+J322),I322+J322)</f>
        <v>80</v>
      </c>
      <c r="L322" s="163" t="str">
        <f>IF(ISERROR(VLOOKUP(E322,Questions!$E$5:$L$568,6,0))=FALSE,VLOOKUP(E322,Questions!$E$5:$L$568,6,0),"")</f>
        <v/>
      </c>
      <c r="M322" s="164" t="s">
        <v>2396</v>
      </c>
      <c r="N322" s="369" t="s">
        <v>2377</v>
      </c>
    </row>
    <row r="323" spans="1:14" ht="14.5" customHeight="1">
      <c r="A323" s="59"/>
      <c r="B323" s="72">
        <f>VLOOKUP('Hours Detail'!E323,'BASE_FUNCOES (hide)'!A:W,5,FALSE)</f>
        <v>283</v>
      </c>
      <c r="C323" s="72" t="s">
        <v>5887</v>
      </c>
      <c r="D323" s="73" t="str">
        <f>IF('General Information'!$C$6="Português",VLOOKUP(B323,'ESTRUTURA_MODULO(hide)'!A:D,2,0),IF('General Information'!$C$6="English",VLOOKUP(B323,'ESTRUTURA_MODULO(hide)'!A:D,3,0),IF('General Information'!$C$6="Español",VLOOKUP(B323,'ESTRUTURA_MODULO(hide)'!A:D,4,0))))</f>
        <v>Tasy Web Suite</v>
      </c>
      <c r="E323" s="74">
        <v>349</v>
      </c>
      <c r="F323" s="73" t="str">
        <f>IF('General Information'!$C$6="Português",VLOOKUP(E323,'BASE_FUNCOES (hide)'!A:H,2,0),IF('General Information'!$C$6="English",VLOOKUP(E323,'BASE_FUNCOES (hide)'!A:H,3,0),IF('General Information'!$C$6="Español",VLOOKUP(E323,'BASE_FUNCOES (hide)'!A:H,4,0))))</f>
        <v>OPS - Aviso de Cobrança (A520)</v>
      </c>
      <c r="G323" s="73" t="str">
        <f>IF(AND('General Information'!$D$17=7,VLOOKUP(B323,Modules!$B$5:$E$496,4,0)=1)=TRUE,VLOOKUP('Hours Detail'!E323,'BASE_FUNCOES (hide)'!A:S,17,0),IF(AND('General Information'!$D$17=8,VLOOKUP(B323,Modules!$B$5:$E$496,4,0)=1)=TRUE,VLOOKUP('Hours Detail'!E323,'BASE_FUNCOES (hide)'!A:S,18,0),IF(AND('General Information'!$D$17=9,VLOOKUP(B323,Modules!$B$5:$E$496,4,0)=1)=TRUE,VLOOKUP('Hours Detail'!E323,'BASE_FUNCOES (hide)'!A:S,19,0),"No")))</f>
        <v>No</v>
      </c>
      <c r="H323" s="544" t="str">
        <f t="shared" si="6"/>
        <v>No</v>
      </c>
      <c r="I323" s="75" t="e">
        <f>IF('General Information'!$C$4="Mexico",(ROUNDUP(VLOOKUP(E323,'BASE_FUNCOES (hide)'!A:X,21,0),0)),(ROUNDUP(VLOOKUP(E323,'BASE_FUNCOES (hide)'!A:L,9,0),0)))</f>
        <v>#N/A</v>
      </c>
      <c r="J323" s="75">
        <f>ROUNDUP(SUMIF(Questions!$E$5:$E$558,'Hours Detail'!E323,Questions!$F$5:$F$558),0)</f>
        <v>0</v>
      </c>
      <c r="K323" s="76" t="e">
        <f>IF(H323="Yes",ROUNDUP(IF(VLOOKUP(E323,'BASE_FUNCOES (hide)'!A:T,16,FALSE)&lt;&gt;"No",IF('General Information'!$C$19="HTML5",(I323+J323)*'BASE_FUNCOES (hide)'!$T$2,I323+J323),I323+J323),I323+J323),I323+J323)</f>
        <v>#N/A</v>
      </c>
      <c r="L323" s="163" t="str">
        <f>IF(ISERROR(VLOOKUP(E323,Questions!$E$5:$L$568,6,0))=FALSE,VLOOKUP(E323,Questions!$E$5:$L$568,6,0),"")</f>
        <v/>
      </c>
      <c r="M323" s="164" t="s">
        <v>2396</v>
      </c>
      <c r="N323" s="369" t="s">
        <v>2377</v>
      </c>
    </row>
    <row r="324" spans="1:14" ht="14.5" customHeight="1">
      <c r="A324" s="59"/>
      <c r="B324" s="72">
        <f>VLOOKUP('Hours Detail'!E324,'BASE_FUNCOES (hide)'!A:W,5,FALSE)</f>
        <v>372</v>
      </c>
      <c r="C324" s="72" t="s">
        <v>5887</v>
      </c>
      <c r="D324" s="73" t="str">
        <f>IF('General Information'!$C$6="Português",VLOOKUP(B324,'ESTRUTURA_MODULO(hide)'!A:D,2,0),IF('General Information'!$C$6="English",VLOOKUP(B324,'ESTRUTURA_MODULO(hide)'!A:D,3,0),IF('General Information'!$C$6="Español",VLOOKUP(B324,'ESTRUTURA_MODULO(hide)'!A:D,4,0))))</f>
        <v>Produtos</v>
      </c>
      <c r="E324" s="74">
        <v>1315</v>
      </c>
      <c r="F324" s="73" t="str">
        <f>IF('General Information'!$C$6="Português",VLOOKUP(E324,'BASE_FUNCOES (hide)'!A:H,2,0),IF('General Information'!$C$6="English",VLOOKUP(E324,'BASE_FUNCOES (hide)'!A:H,3,0),IF('General Information'!$C$6="Español",VLOOKUP(E324,'BASE_FUNCOES (hide)'!A:H,4,0))))</f>
        <v>OPS - Manutenção de Tabelas de Preço</v>
      </c>
      <c r="G324" s="73" t="str">
        <f>IF(AND('General Information'!$D$17=7,VLOOKUP(B324,Modules!$B$5:$E$496,4,0)=1)=TRUE,VLOOKUP('Hours Detail'!E324,'BASE_FUNCOES (hide)'!A:S,17,0),IF(AND('General Information'!$D$17=8,VLOOKUP(B324,Modules!$B$5:$E$496,4,0)=1)=TRUE,VLOOKUP('Hours Detail'!E324,'BASE_FUNCOES (hide)'!A:S,18,0),IF(AND('General Information'!$D$17=9,VLOOKUP(B324,Modules!$B$5:$E$496,4,0)=1)=TRUE,VLOOKUP('Hours Detail'!E324,'BASE_FUNCOES (hide)'!A:S,19,0),"No")))</f>
        <v>No</v>
      </c>
      <c r="H324" s="544" t="str">
        <f t="shared" si="6"/>
        <v>No</v>
      </c>
      <c r="I324" s="75">
        <f>IF('General Information'!$C$4="Mexico",(ROUNDUP(VLOOKUP(E324,'BASE_FUNCOES (hide)'!A:X,21,0),0)),(ROUNDUP(VLOOKUP(E324,'BASE_FUNCOES (hide)'!A:L,9,0),0)))</f>
        <v>0</v>
      </c>
      <c r="J324" s="75">
        <f>ROUNDUP(SUMIF(Questions!$E$5:$E$558,'Hours Detail'!E324,Questions!$F$5:$F$558),0)</f>
        <v>0</v>
      </c>
      <c r="K324" s="76">
        <f>IF(H324="Yes",ROUNDUP(IF(VLOOKUP(E324,'BASE_FUNCOES (hide)'!A:T,16,FALSE)&lt;&gt;"No",IF('General Information'!$C$19="HTML5",(I324+J324)*'BASE_FUNCOES (hide)'!$T$2,I324+J324),I324+J324),I324+J324),I324+J324)</f>
        <v>0</v>
      </c>
      <c r="L324" s="163" t="str">
        <f>IF(ISERROR(VLOOKUP(E324,Questions!$E$5:$L$568,6,0))=FALSE,VLOOKUP(E324,Questions!$E$5:$L$568,6,0),"")</f>
        <v/>
      </c>
      <c r="M324" s="164" t="s">
        <v>2396</v>
      </c>
      <c r="N324" s="369" t="s">
        <v>2377</v>
      </c>
    </row>
    <row r="325" spans="1:14" ht="14.5" customHeight="1">
      <c r="A325" s="59"/>
      <c r="B325" s="72">
        <f>VLOOKUP('Hours Detail'!E325,'BASE_FUNCOES (hide)'!A:W,5,FALSE)</f>
        <v>372</v>
      </c>
      <c r="C325" s="72" t="s">
        <v>5887</v>
      </c>
      <c r="D325" s="73" t="str">
        <f>IF('General Information'!$C$6="Português",VLOOKUP(B325,'ESTRUTURA_MODULO(hide)'!A:D,2,0),IF('General Information'!$C$6="English",VLOOKUP(B325,'ESTRUTURA_MODULO(hide)'!A:D,3,0),IF('General Information'!$C$6="Español",VLOOKUP(B325,'ESTRUTURA_MODULO(hide)'!A:D,4,0))))</f>
        <v>Produtos</v>
      </c>
      <c r="E325" s="74">
        <v>1344</v>
      </c>
      <c r="F325" s="73" t="str">
        <f>IF('General Information'!$C$6="Português",VLOOKUP(E325,'BASE_FUNCOES (hide)'!A:H,2,0),IF('General Information'!$C$6="English",VLOOKUP(E325,'BASE_FUNCOES (hide)'!A:H,3,0),IF('General Information'!$C$6="Español",VLOOKUP(E325,'BASE_FUNCOES (hide)'!A:H,4,0))))</f>
        <v>OPS - Localizador de Grupos de Produtos</v>
      </c>
      <c r="G325" s="73" t="str">
        <f>IF(AND('General Information'!$D$17=7,VLOOKUP(B325,Modules!$B$5:$E$496,4,0)=1)=TRUE,VLOOKUP('Hours Detail'!E325,'BASE_FUNCOES (hide)'!A:S,17,0),IF(AND('General Information'!$D$17=8,VLOOKUP(B325,Modules!$B$5:$E$496,4,0)=1)=TRUE,VLOOKUP('Hours Detail'!E325,'BASE_FUNCOES (hide)'!A:S,18,0),IF(AND('General Information'!$D$17=9,VLOOKUP(B325,Modules!$B$5:$E$496,4,0)=1)=TRUE,VLOOKUP('Hours Detail'!E325,'BASE_FUNCOES (hide)'!A:S,19,0),"No")))</f>
        <v>No</v>
      </c>
      <c r="H325" s="544" t="str">
        <f t="shared" si="6"/>
        <v>No</v>
      </c>
      <c r="I325" s="75">
        <f>IF('General Information'!$C$4="Mexico",(ROUNDUP(VLOOKUP(E325,'BASE_FUNCOES (hide)'!A:X,21,0),0)),(ROUNDUP(VLOOKUP(E325,'BASE_FUNCOES (hide)'!A:L,9,0),0)))</f>
        <v>0</v>
      </c>
      <c r="J325" s="75">
        <f>ROUNDUP(SUMIF(Questions!$E$5:$E$558,'Hours Detail'!E325,Questions!$F$5:$F$558),0)</f>
        <v>0</v>
      </c>
      <c r="K325" s="76">
        <f>IF(H325="Yes",ROUNDUP(IF(VLOOKUP(E325,'BASE_FUNCOES (hide)'!A:T,16,FALSE)&lt;&gt;"No",IF('General Information'!$C$19="HTML5",(I325+J325)*'BASE_FUNCOES (hide)'!$T$2,I325+J325),I325+J325),I325+J325),I325+J325)</f>
        <v>0</v>
      </c>
      <c r="L325" s="163" t="str">
        <f>IF(ISERROR(VLOOKUP(E325,Questions!$E$5:$L$568,6,0))=FALSE,VLOOKUP(E325,Questions!$E$5:$L$568,6,0),"")</f>
        <v/>
      </c>
      <c r="M325" s="164" t="s">
        <v>2396</v>
      </c>
      <c r="N325" s="369" t="s">
        <v>2377</v>
      </c>
    </row>
    <row r="326" spans="1:14" ht="14.5" customHeight="1">
      <c r="A326" s="59"/>
      <c r="B326" s="72">
        <f>VLOOKUP('Hours Detail'!E326,'BASE_FUNCOES (hide)'!A:W,5,FALSE)</f>
        <v>372</v>
      </c>
      <c r="C326" s="72" t="s">
        <v>5887</v>
      </c>
      <c r="D326" s="73" t="str">
        <f>IF('General Information'!$C$6="Português",VLOOKUP(B326,'ESTRUTURA_MODULO(hide)'!A:D,2,0),IF('General Information'!$C$6="English",VLOOKUP(B326,'ESTRUTURA_MODULO(hide)'!A:D,3,0),IF('General Information'!$C$6="Español",VLOOKUP(B326,'ESTRUTURA_MODULO(hide)'!A:D,4,0))))</f>
        <v>Produtos</v>
      </c>
      <c r="E326" s="74">
        <v>1219</v>
      </c>
      <c r="F326" s="73" t="str">
        <f>IF('General Information'!$C$6="Português",VLOOKUP(E326,'BASE_FUNCOES (hide)'!A:H,2,0),IF('General Information'!$C$6="English",VLOOKUP(E326,'BASE_FUNCOES (hide)'!A:H,3,0),IF('General Information'!$C$6="Español",VLOOKUP(E326,'BASE_FUNCOES (hide)'!A:H,4,0))))</f>
        <v>OPS - Localizador de Produtos de Saúde</v>
      </c>
      <c r="G326" s="73" t="str">
        <f>IF(AND('General Information'!$D$17=7,VLOOKUP(B326,Modules!$B$5:$E$496,4,0)=1)=TRUE,VLOOKUP('Hours Detail'!E326,'BASE_FUNCOES (hide)'!A:S,17,0),IF(AND('General Information'!$D$17=8,VLOOKUP(B326,Modules!$B$5:$E$496,4,0)=1)=TRUE,VLOOKUP('Hours Detail'!E326,'BASE_FUNCOES (hide)'!A:S,18,0),IF(AND('General Information'!$D$17=9,VLOOKUP(B326,Modules!$B$5:$E$496,4,0)=1)=TRUE,VLOOKUP('Hours Detail'!E326,'BASE_FUNCOES (hide)'!A:S,19,0),"No")))</f>
        <v>No</v>
      </c>
      <c r="H326" s="544" t="str">
        <f t="shared" si="6"/>
        <v>No</v>
      </c>
      <c r="I326" s="75">
        <f>IF('General Information'!$C$4="Mexico",(ROUNDUP(VLOOKUP(E326,'BASE_FUNCOES (hide)'!A:X,21,0),0)),(ROUNDUP(VLOOKUP(E326,'BASE_FUNCOES (hide)'!A:L,9,0),0)))</f>
        <v>0</v>
      </c>
      <c r="J326" s="75">
        <f>ROUNDUP(SUMIF(Questions!$E$5:$E$558,'Hours Detail'!E326,Questions!$F$5:$F$558),0)</f>
        <v>0</v>
      </c>
      <c r="K326" s="76">
        <f>IF(H326="Yes",ROUNDUP(IF(VLOOKUP(E326,'BASE_FUNCOES (hide)'!A:T,16,FALSE)&lt;&gt;"No",IF('General Information'!$C$19="HTML5",(I326+J326)*'BASE_FUNCOES (hide)'!$T$2,I326+J326),I326+J326),I326+J326),I326+J326)</f>
        <v>0</v>
      </c>
      <c r="L326" s="163" t="str">
        <f>IF(ISERROR(VLOOKUP(E326,Questions!$E$5:$L$568,6,0))=FALSE,VLOOKUP(E326,Questions!$E$5:$L$568,6,0),"")</f>
        <v/>
      </c>
      <c r="M326" s="164" t="s">
        <v>2396</v>
      </c>
      <c r="N326" s="369" t="s">
        <v>2377</v>
      </c>
    </row>
    <row r="327" spans="1:14" ht="14.5" customHeight="1">
      <c r="A327" s="59"/>
      <c r="B327" s="72">
        <f>VLOOKUP('Hours Detail'!E327,'BASE_FUNCOES (hide)'!A:W,5,FALSE)</f>
        <v>372</v>
      </c>
      <c r="C327" s="72" t="s">
        <v>5887</v>
      </c>
      <c r="D327" s="73" t="str">
        <f>IF('General Information'!$C$6="Português",VLOOKUP(B327,'ESTRUTURA_MODULO(hide)'!A:D,2,0),IF('General Information'!$C$6="English",VLOOKUP(B327,'ESTRUTURA_MODULO(hide)'!A:D,3,0),IF('General Information'!$C$6="Español",VLOOKUP(B327,'ESTRUTURA_MODULO(hide)'!A:D,4,0))))</f>
        <v>Produtos</v>
      </c>
      <c r="E327" s="74">
        <v>1264</v>
      </c>
      <c r="F327" s="73" t="str">
        <f>IF('General Information'!$C$6="Português",VLOOKUP(E327,'BASE_FUNCOES (hide)'!A:H,2,0),IF('General Information'!$C$6="English",VLOOKUP(E327,'BASE_FUNCOES (hide)'!A:H,3,0),IF('General Information'!$C$6="Español",VLOOKUP(E327,'BASE_FUNCOES (hide)'!A:H,4,0))))</f>
        <v>OPS - Serviços e Coberturas Adicionais</v>
      </c>
      <c r="G327" s="73" t="str">
        <f>IF(AND('General Information'!$D$17=7,VLOOKUP(B327,Modules!$B$5:$E$496,4,0)=1)=TRUE,VLOOKUP('Hours Detail'!E327,'BASE_FUNCOES (hide)'!A:S,17,0),IF(AND('General Information'!$D$17=8,VLOOKUP(B327,Modules!$B$5:$E$496,4,0)=1)=TRUE,VLOOKUP('Hours Detail'!E327,'BASE_FUNCOES (hide)'!A:S,18,0),IF(AND('General Information'!$D$17=9,VLOOKUP(B327,Modules!$B$5:$E$496,4,0)=1)=TRUE,VLOOKUP('Hours Detail'!E327,'BASE_FUNCOES (hide)'!A:S,19,0),"No")))</f>
        <v>No</v>
      </c>
      <c r="H327" s="544" t="str">
        <f t="shared" si="6"/>
        <v>No</v>
      </c>
      <c r="I327" s="75">
        <f>IF('General Information'!$C$4="Mexico",(ROUNDUP(VLOOKUP(E327,'BASE_FUNCOES (hide)'!A:X,21,0),0)),(ROUNDUP(VLOOKUP(E327,'BASE_FUNCOES (hide)'!A:L,9,0),0)))</f>
        <v>12</v>
      </c>
      <c r="J327" s="75">
        <f>ROUNDUP(SUMIF(Questions!$E$5:$E$558,'Hours Detail'!E327,Questions!$F$5:$F$558),0)</f>
        <v>0</v>
      </c>
      <c r="K327" s="76">
        <f>IF(H327="Yes",ROUNDUP(IF(VLOOKUP(E327,'BASE_FUNCOES (hide)'!A:T,16,FALSE)&lt;&gt;"No",IF('General Information'!$C$19="HTML5",(I327+J327)*'BASE_FUNCOES (hide)'!$T$2,I327+J327),I327+J327),I327+J327),I327+J327)</f>
        <v>12</v>
      </c>
      <c r="L327" s="163" t="str">
        <f>IF(ISERROR(VLOOKUP(E327,Questions!$E$5:$L$568,6,0))=FALSE,VLOOKUP(E327,Questions!$E$5:$L$568,6,0),"")</f>
        <v/>
      </c>
      <c r="M327" s="164" t="s">
        <v>2396</v>
      </c>
      <c r="N327" s="369" t="s">
        <v>2377</v>
      </c>
    </row>
    <row r="328" spans="1:14" ht="14.5" customHeight="1">
      <c r="A328" s="59"/>
      <c r="B328" s="72">
        <f>VLOOKUP('Hours Detail'!E328,'BASE_FUNCOES (hide)'!A:W,5,FALSE)</f>
        <v>372</v>
      </c>
      <c r="C328" s="72" t="s">
        <v>5887</v>
      </c>
      <c r="D328" s="73" t="str">
        <f>IF('General Information'!$C$6="Português",VLOOKUP(B328,'ESTRUTURA_MODULO(hide)'!A:D,2,0),IF('General Information'!$C$6="English",VLOOKUP(B328,'ESTRUTURA_MODULO(hide)'!A:D,3,0),IF('General Information'!$C$6="Español",VLOOKUP(B328,'ESTRUTURA_MODULO(hide)'!A:D,4,0))))</f>
        <v>Produtos</v>
      </c>
      <c r="E328" s="74">
        <v>1225</v>
      </c>
      <c r="F328" s="73" t="str">
        <f>IF('General Information'!$C$6="Português",VLOOKUP(E328,'BASE_FUNCOES (hide)'!A:H,2,0),IF('General Information'!$C$6="English",VLOOKUP(E328,'BASE_FUNCOES (hide)'!A:H,3,0),IF('General Information'!$C$6="Español",VLOOKUP(E328,'BASE_FUNCOES (hide)'!A:H,4,0))))</f>
        <v>OPS - Gestão de Operadoras</v>
      </c>
      <c r="G328" s="73" t="str">
        <f>IF(AND('General Information'!$D$17=7,VLOOKUP(B328,Modules!$B$5:$E$496,4,0)=1)=TRUE,VLOOKUP('Hours Detail'!E328,'BASE_FUNCOES (hide)'!A:S,17,0),IF(AND('General Information'!$D$17=8,VLOOKUP(B328,Modules!$B$5:$E$496,4,0)=1)=TRUE,VLOOKUP('Hours Detail'!E328,'BASE_FUNCOES (hide)'!A:S,18,0),IF(AND('General Information'!$D$17=9,VLOOKUP(B328,Modules!$B$5:$E$496,4,0)=1)=TRUE,VLOOKUP('Hours Detail'!E328,'BASE_FUNCOES (hide)'!A:S,19,0),"No")))</f>
        <v>No</v>
      </c>
      <c r="H328" s="544" t="str">
        <f t="shared" si="6"/>
        <v>No</v>
      </c>
      <c r="I328" s="75">
        <f>IF('General Information'!$C$4="Mexico",(ROUNDUP(VLOOKUP(E328,'BASE_FUNCOES (hide)'!A:X,21,0),0)),(ROUNDUP(VLOOKUP(E328,'BASE_FUNCOES (hide)'!A:L,9,0),0)))</f>
        <v>16</v>
      </c>
      <c r="J328" s="75">
        <f>ROUNDUP(SUMIF(Questions!$E$5:$E$558,'Hours Detail'!E328,Questions!$F$5:$F$558),0)</f>
        <v>0</v>
      </c>
      <c r="K328" s="76">
        <f>IF(H328="Yes",ROUNDUP(IF(VLOOKUP(E328,'BASE_FUNCOES (hide)'!A:T,16,FALSE)&lt;&gt;"No",IF('General Information'!$C$19="HTML5",(I328+J328)*'BASE_FUNCOES (hide)'!$T$2,I328+J328),I328+J328),I328+J328),I328+J328)</f>
        <v>16</v>
      </c>
      <c r="L328" s="163" t="str">
        <f>IF(ISERROR(VLOOKUP(E328,Questions!$E$5:$L$568,6,0))=FALSE,VLOOKUP(E328,Questions!$E$5:$L$568,6,0),"")</f>
        <v/>
      </c>
      <c r="M328" s="164" t="s">
        <v>2396</v>
      </c>
      <c r="N328" s="369" t="s">
        <v>2377</v>
      </c>
    </row>
    <row r="329" spans="1:14" ht="14.5" customHeight="1">
      <c r="A329" s="59"/>
      <c r="B329" s="72">
        <f>VLOOKUP('Hours Detail'!E329,'BASE_FUNCOES (hide)'!A:W,5,FALSE)</f>
        <v>372</v>
      </c>
      <c r="C329" s="72" t="s">
        <v>5887</v>
      </c>
      <c r="D329" s="73" t="str">
        <f>IF('General Information'!$C$6="Português",VLOOKUP(B329,'ESTRUTURA_MODULO(hide)'!A:D,2,0),IF('General Information'!$C$6="English",VLOOKUP(B329,'ESTRUTURA_MODULO(hide)'!A:D,3,0),IF('General Information'!$C$6="Español",VLOOKUP(B329,'ESTRUTURA_MODULO(hide)'!A:D,4,0))))</f>
        <v>Produtos</v>
      </c>
      <c r="E329" s="74">
        <v>1201</v>
      </c>
      <c r="F329" s="73" t="str">
        <f>IF('General Information'!$C$6="Português",VLOOKUP(E329,'BASE_FUNCOES (hide)'!A:H,2,0),IF('General Information'!$C$6="English",VLOOKUP(E329,'BASE_FUNCOES (hide)'!A:H,3,0),IF('General Information'!$C$6="Español",VLOOKUP(E329,'BASE_FUNCOES (hide)'!A:H,4,0))))</f>
        <v>OPS - Cadastro de Produtos</v>
      </c>
      <c r="G329" s="73" t="str">
        <f>IF(AND('General Information'!$D$17=7,VLOOKUP(B329,Modules!$B$5:$E$496,4,0)=1)=TRUE,VLOOKUP('Hours Detail'!E329,'BASE_FUNCOES (hide)'!A:S,17,0),IF(AND('General Information'!$D$17=8,VLOOKUP(B329,Modules!$B$5:$E$496,4,0)=1)=TRUE,VLOOKUP('Hours Detail'!E329,'BASE_FUNCOES (hide)'!A:S,18,0),IF(AND('General Information'!$D$17=9,VLOOKUP(B329,Modules!$B$5:$E$496,4,0)=1)=TRUE,VLOOKUP('Hours Detail'!E329,'BASE_FUNCOES (hide)'!A:S,19,0),"No")))</f>
        <v>No</v>
      </c>
      <c r="H329" s="544" t="str">
        <f t="shared" si="6"/>
        <v>No</v>
      </c>
      <c r="I329" s="75">
        <f>IF('General Information'!$C$4="Mexico",(ROUNDUP(VLOOKUP(E329,'BASE_FUNCOES (hide)'!A:X,21,0),0)),(ROUNDUP(VLOOKUP(E329,'BASE_FUNCOES (hide)'!A:L,9,0),0)))</f>
        <v>24</v>
      </c>
      <c r="J329" s="75">
        <f>ROUNDUP(SUMIF(Questions!$E$5:$E$558,'Hours Detail'!E329,Questions!$F$5:$F$558),0)</f>
        <v>0</v>
      </c>
      <c r="K329" s="76">
        <f>IF(H329="Yes",ROUNDUP(IF(VLOOKUP(E329,'BASE_FUNCOES (hide)'!A:T,16,FALSE)&lt;&gt;"No",IF('General Information'!$C$19="HTML5",(I329+J329)*'BASE_FUNCOES (hide)'!$T$2,I329+J329),I329+J329),I329+J329),I329+J329)</f>
        <v>24</v>
      </c>
      <c r="L329" s="163" t="str">
        <f>IF(ISERROR(VLOOKUP(E329,Questions!$E$5:$L$568,6,0))=FALSE,VLOOKUP(E329,Questions!$E$5:$L$568,6,0),"")</f>
        <v/>
      </c>
      <c r="M329" s="164" t="s">
        <v>2396</v>
      </c>
      <c r="N329" s="369" t="s">
        <v>2377</v>
      </c>
    </row>
    <row r="330" spans="1:14" ht="14.5" customHeight="1">
      <c r="A330" s="59"/>
      <c r="B330" s="72">
        <f>VLOOKUP('Hours Detail'!E330,'BASE_FUNCOES (hide)'!A:W,5,FALSE)</f>
        <v>374</v>
      </c>
      <c r="C330" s="72" t="s">
        <v>5887</v>
      </c>
      <c r="D330" s="73" t="str">
        <f>IF('General Information'!$C$6="Português",VLOOKUP(B330,'ESTRUTURA_MODULO(hide)'!A:D,2,0),IF('General Information'!$C$6="English",VLOOKUP(B330,'ESTRUTURA_MODULO(hide)'!A:D,3,0),IF('General Information'!$C$6="Español",VLOOKUP(B330,'ESTRUTURA_MODULO(hide)'!A:D,4,0))))</f>
        <v>Comercial</v>
      </c>
      <c r="E330" s="74">
        <v>1206</v>
      </c>
      <c r="F330" s="73" t="str">
        <f>IF('General Information'!$C$6="Português",VLOOKUP(E330,'BASE_FUNCOES (hide)'!A:H,2,0),IF('General Information'!$C$6="English",VLOOKUP(E330,'BASE_FUNCOES (hide)'!A:H,3,0),IF('General Information'!$C$6="Español",VLOOKUP(E330,'BASE_FUNCOES (hide)'!A:H,4,0))))</f>
        <v>OPS - Gestão de Vendedores e Comissões</v>
      </c>
      <c r="G330" s="73" t="str">
        <f>IF(AND('General Information'!$D$17=7,VLOOKUP(B330,Modules!$B$5:$E$496,4,0)=1)=TRUE,VLOOKUP('Hours Detail'!E330,'BASE_FUNCOES (hide)'!A:S,17,0),IF(AND('General Information'!$D$17=8,VLOOKUP(B330,Modules!$B$5:$E$496,4,0)=1)=TRUE,VLOOKUP('Hours Detail'!E330,'BASE_FUNCOES (hide)'!A:S,18,0),IF(AND('General Information'!$D$17=9,VLOOKUP(B330,Modules!$B$5:$E$496,4,0)=1)=TRUE,VLOOKUP('Hours Detail'!E330,'BASE_FUNCOES (hide)'!A:S,19,0),"No")))</f>
        <v>No</v>
      </c>
      <c r="H330" s="544" t="str">
        <f t="shared" si="6"/>
        <v>No</v>
      </c>
      <c r="I330" s="75">
        <f>IF('General Information'!$C$4="Mexico",(ROUNDUP(VLOOKUP(E330,'BASE_FUNCOES (hide)'!A:X,21,0),0)),(ROUNDUP(VLOOKUP(E330,'BASE_FUNCOES (hide)'!A:L,9,0),0)))</f>
        <v>16</v>
      </c>
      <c r="J330" s="75">
        <f>ROUNDUP(SUMIF(Questions!$E$5:$E$558,'Hours Detail'!E330,Questions!$F$5:$F$558),0)</f>
        <v>0</v>
      </c>
      <c r="K330" s="76">
        <f>IF(H330="Yes",ROUNDUP(IF(VLOOKUP(E330,'BASE_FUNCOES (hide)'!A:T,16,FALSE)&lt;&gt;"No",IF('General Information'!$C$19="HTML5",(I330+J330)*'BASE_FUNCOES (hide)'!$T$2,I330+J330),I330+J330),I330+J330),I330+J330)</f>
        <v>16</v>
      </c>
      <c r="L330" s="163" t="str">
        <f>IF(ISERROR(VLOOKUP(E330,Questions!$E$5:$L$568,6,0))=FALSE,VLOOKUP(E330,Questions!$E$5:$L$568,6,0),"")</f>
        <v/>
      </c>
      <c r="M330" s="164" t="s">
        <v>2396</v>
      </c>
      <c r="N330" s="369" t="s">
        <v>2377</v>
      </c>
    </row>
    <row r="331" spans="1:14" ht="14.5" customHeight="1">
      <c r="A331" s="59"/>
      <c r="B331" s="72">
        <f>VLOOKUP('Hours Detail'!E331,'BASE_FUNCOES (hide)'!A:W,5,FALSE)</f>
        <v>374</v>
      </c>
      <c r="C331" s="72" t="s">
        <v>5887</v>
      </c>
      <c r="D331" s="73" t="str">
        <f>IF('General Information'!$C$6="Português",VLOOKUP(B331,'ESTRUTURA_MODULO(hide)'!A:D,2,0),IF('General Information'!$C$6="English",VLOOKUP(B331,'ESTRUTURA_MODULO(hide)'!A:D,3,0),IF('General Information'!$C$6="Español",VLOOKUP(B331,'ESTRUTURA_MODULO(hide)'!A:D,4,0))))</f>
        <v>Comercial</v>
      </c>
      <c r="E331" s="74">
        <v>1233</v>
      </c>
      <c r="F331" s="73" t="str">
        <f>IF('General Information'!$C$6="Português",VLOOKUP(E331,'BASE_FUNCOES (hide)'!A:H,2,0),IF('General Information'!$C$6="English",VLOOKUP(E331,'BASE_FUNCOES (hide)'!A:H,3,0),IF('General Information'!$C$6="Español",VLOOKUP(E331,'BASE_FUNCOES (hide)'!A:H,4,0))))</f>
        <v>OPS - Simulador de Preços</v>
      </c>
      <c r="G331" s="73" t="str">
        <f>IF(AND('General Information'!$D$17=7,VLOOKUP(B331,Modules!$B$5:$E$496,4,0)=1)=TRUE,VLOOKUP('Hours Detail'!E331,'BASE_FUNCOES (hide)'!A:S,17,0),IF(AND('General Information'!$D$17=8,VLOOKUP(B331,Modules!$B$5:$E$496,4,0)=1)=TRUE,VLOOKUP('Hours Detail'!E331,'BASE_FUNCOES (hide)'!A:S,18,0),IF(AND('General Information'!$D$17=9,VLOOKUP(B331,Modules!$B$5:$E$496,4,0)=1)=TRUE,VLOOKUP('Hours Detail'!E331,'BASE_FUNCOES (hide)'!A:S,19,0),"No")))</f>
        <v>No</v>
      </c>
      <c r="H331" s="544" t="str">
        <f t="shared" si="6"/>
        <v>No</v>
      </c>
      <c r="I331" s="75">
        <f>IF('General Information'!$C$4="Mexico",(ROUNDUP(VLOOKUP(E331,'BASE_FUNCOES (hide)'!A:X,21,0),0)),(ROUNDUP(VLOOKUP(E331,'BASE_FUNCOES (hide)'!A:L,9,0),0)))</f>
        <v>4</v>
      </c>
      <c r="J331" s="75">
        <f>ROUNDUP(SUMIF(Questions!$E$5:$E$558,'Hours Detail'!E331,Questions!$F$5:$F$558),0)</f>
        <v>0</v>
      </c>
      <c r="K331" s="76">
        <f>IF(H331="Yes",ROUNDUP(IF(VLOOKUP(E331,'BASE_FUNCOES (hide)'!A:T,16,FALSE)&lt;&gt;"No",IF('General Information'!$C$19="HTML5",(I331+J331)*'BASE_FUNCOES (hide)'!$T$2,I331+J331),I331+J331),I331+J331),I331+J331)</f>
        <v>4</v>
      </c>
      <c r="L331" s="163" t="str">
        <f>IF(ISERROR(VLOOKUP(E331,Questions!$E$5:$L$568,6,0))=FALSE,VLOOKUP(E331,Questions!$E$5:$L$568,6,0),"")</f>
        <v/>
      </c>
      <c r="M331" s="164" t="s">
        <v>2396</v>
      </c>
      <c r="N331" s="369" t="s">
        <v>2377</v>
      </c>
    </row>
    <row r="332" spans="1:14" ht="14.5" customHeight="1">
      <c r="A332" s="59"/>
      <c r="B332" s="72">
        <f>VLOOKUP('Hours Detail'!E332,'BASE_FUNCOES (hide)'!A:W,5,FALSE)</f>
        <v>374</v>
      </c>
      <c r="C332" s="72" t="s">
        <v>5887</v>
      </c>
      <c r="D332" s="73" t="str">
        <f>IF('General Information'!$C$6="Português",VLOOKUP(B332,'ESTRUTURA_MODULO(hide)'!A:D,2,0),IF('General Information'!$C$6="English",VLOOKUP(B332,'ESTRUTURA_MODULO(hide)'!A:D,3,0),IF('General Information'!$C$6="Español",VLOOKUP(B332,'ESTRUTURA_MODULO(hide)'!A:D,4,0))))</f>
        <v>Comercial</v>
      </c>
      <c r="E332" s="74">
        <v>1234</v>
      </c>
      <c r="F332" s="73" t="str">
        <f>IF('General Information'!$C$6="Português",VLOOKUP(E332,'BASE_FUNCOES (hide)'!A:H,2,0),IF('General Information'!$C$6="English",VLOOKUP(E332,'BASE_FUNCOES (hide)'!A:H,3,0),IF('General Information'!$C$6="Español",VLOOKUP(E332,'BASE_FUNCOES (hide)'!A:H,4,0))))</f>
        <v>OPS - Declaração de Saúde</v>
      </c>
      <c r="G332" s="73" t="str">
        <f>IF(AND('General Information'!$D$17=7,VLOOKUP(B332,Modules!$B$5:$E$496,4,0)=1)=TRUE,VLOOKUP('Hours Detail'!E332,'BASE_FUNCOES (hide)'!A:S,17,0),IF(AND('General Information'!$D$17=8,VLOOKUP(B332,Modules!$B$5:$E$496,4,0)=1)=TRUE,VLOOKUP('Hours Detail'!E332,'BASE_FUNCOES (hide)'!A:S,18,0),IF(AND('General Information'!$D$17=9,VLOOKUP(B332,Modules!$B$5:$E$496,4,0)=1)=TRUE,VLOOKUP('Hours Detail'!E332,'BASE_FUNCOES (hide)'!A:S,19,0),"No")))</f>
        <v>No</v>
      </c>
      <c r="H332" s="544" t="str">
        <f t="shared" si="6"/>
        <v>No</v>
      </c>
      <c r="I332" s="75">
        <f>IF('General Information'!$C$4="Mexico",(ROUNDUP(VLOOKUP(E332,'BASE_FUNCOES (hide)'!A:X,21,0),0)),(ROUNDUP(VLOOKUP(E332,'BASE_FUNCOES (hide)'!A:L,9,0),0)))</f>
        <v>4</v>
      </c>
      <c r="J332" s="75">
        <f>ROUNDUP(SUMIF(Questions!$E$5:$E$558,'Hours Detail'!E332,Questions!$F$5:$F$558),0)</f>
        <v>0</v>
      </c>
      <c r="K332" s="76">
        <f>IF(H332="Yes",ROUNDUP(IF(VLOOKUP(E332,'BASE_FUNCOES (hide)'!A:T,16,FALSE)&lt;&gt;"No",IF('General Information'!$C$19="HTML5",(I332+J332)*'BASE_FUNCOES (hide)'!$T$2,I332+J332),I332+J332),I332+J332),I332+J332)</f>
        <v>4</v>
      </c>
      <c r="L332" s="163" t="str">
        <f>IF(ISERROR(VLOOKUP(E332,Questions!$E$5:$L$568,6,0))=FALSE,VLOOKUP(E332,Questions!$E$5:$L$568,6,0),"")</f>
        <v/>
      </c>
      <c r="M332" s="164" t="s">
        <v>2396</v>
      </c>
      <c r="N332" s="369" t="s">
        <v>2377</v>
      </c>
    </row>
    <row r="333" spans="1:14" ht="14.5" customHeight="1">
      <c r="A333" s="59"/>
      <c r="B333" s="72">
        <f>VLOOKUP('Hours Detail'!E333,'BASE_FUNCOES (hide)'!A:W,5,FALSE)</f>
        <v>374</v>
      </c>
      <c r="C333" s="72" t="s">
        <v>5887</v>
      </c>
      <c r="D333" s="73" t="str">
        <f>IF('General Information'!$C$6="Português",VLOOKUP(B333,'ESTRUTURA_MODULO(hide)'!A:D,2,0),IF('General Information'!$C$6="English",VLOOKUP(B333,'ESTRUTURA_MODULO(hide)'!A:D,3,0),IF('General Information'!$C$6="Español",VLOOKUP(B333,'ESTRUTURA_MODULO(hide)'!A:D,4,0))))</f>
        <v>Comercial</v>
      </c>
      <c r="E333" s="74">
        <v>1232</v>
      </c>
      <c r="F333" s="73" t="str">
        <f>IF('General Information'!$C$6="Português",VLOOKUP(E333,'BASE_FUNCOES (hide)'!A:H,2,0),IF('General Information'!$C$6="English",VLOOKUP(E333,'BASE_FUNCOES (hide)'!A:H,3,0),IF('General Information'!$C$6="Español",VLOOKUP(E333,'BASE_FUNCOES (hide)'!A:H,4,0))))</f>
        <v>OPS - Proposta de Adesão Eletrônica</v>
      </c>
      <c r="G333" s="73" t="str">
        <f>IF(AND('General Information'!$D$17=7,VLOOKUP(B333,Modules!$B$5:$E$496,4,0)=1)=TRUE,VLOOKUP('Hours Detail'!E333,'BASE_FUNCOES (hide)'!A:S,17,0),IF(AND('General Information'!$D$17=8,VLOOKUP(B333,Modules!$B$5:$E$496,4,0)=1)=TRUE,VLOOKUP('Hours Detail'!E333,'BASE_FUNCOES (hide)'!A:S,18,0),IF(AND('General Information'!$D$17=9,VLOOKUP(B333,Modules!$B$5:$E$496,4,0)=1)=TRUE,VLOOKUP('Hours Detail'!E333,'BASE_FUNCOES (hide)'!A:S,19,0),"No")))</f>
        <v>No</v>
      </c>
      <c r="H333" s="544" t="str">
        <f t="shared" si="6"/>
        <v>No</v>
      </c>
      <c r="I333" s="75">
        <f>IF('General Information'!$C$4="Mexico",(ROUNDUP(VLOOKUP(E333,'BASE_FUNCOES (hide)'!A:X,21,0),0)),(ROUNDUP(VLOOKUP(E333,'BASE_FUNCOES (hide)'!A:L,9,0),0)))</f>
        <v>40</v>
      </c>
      <c r="J333" s="75">
        <f>ROUNDUP(SUMIF(Questions!$E$5:$E$558,'Hours Detail'!E333,Questions!$F$5:$F$558),0)</f>
        <v>0</v>
      </c>
      <c r="K333" s="76">
        <f>IF(H333="Yes",ROUNDUP(IF(VLOOKUP(E333,'BASE_FUNCOES (hide)'!A:T,16,FALSE)&lt;&gt;"No",IF('General Information'!$C$19="HTML5",(I333+J333)*'BASE_FUNCOES (hide)'!$T$2,I333+J333),I333+J333),I333+J333),I333+J333)</f>
        <v>40</v>
      </c>
      <c r="L333" s="163" t="str">
        <f>IF(ISERROR(VLOOKUP(E333,Questions!$E$5:$L$568,6,0))=FALSE,VLOOKUP(E333,Questions!$E$5:$L$568,6,0),"")</f>
        <v/>
      </c>
      <c r="M333" s="164" t="s">
        <v>2396</v>
      </c>
      <c r="N333" s="369" t="s">
        <v>2377</v>
      </c>
    </row>
    <row r="334" spans="1:14" ht="14.5" customHeight="1">
      <c r="A334" s="59"/>
      <c r="B334" s="72">
        <f>VLOOKUP('Hours Detail'!E334,'BASE_FUNCOES (hide)'!A:W,5,FALSE)</f>
        <v>374</v>
      </c>
      <c r="C334" s="72" t="s">
        <v>5887</v>
      </c>
      <c r="D334" s="73" t="str">
        <f>IF('General Information'!$C$6="Português",VLOOKUP(B334,'ESTRUTURA_MODULO(hide)'!A:D,2,0),IF('General Information'!$C$6="English",VLOOKUP(B334,'ESTRUTURA_MODULO(hide)'!A:D,3,0),IF('General Information'!$C$6="Español",VLOOKUP(B334,'ESTRUTURA_MODULO(hide)'!A:D,4,0))))</f>
        <v>Comercial</v>
      </c>
      <c r="E334" s="74">
        <v>1242</v>
      </c>
      <c r="F334" s="73" t="str">
        <f>IF('General Information'!$C$6="Português",VLOOKUP(E334,'BASE_FUNCOES (hide)'!A:H,2,0),IF('General Information'!$C$6="English",VLOOKUP(E334,'BASE_FUNCOES (hide)'!A:H,3,0),IF('General Information'!$C$6="Español",VLOOKUP(E334,'BASE_FUNCOES (hide)'!A:H,4,0))))</f>
        <v>OPS - Portabilidade</v>
      </c>
      <c r="G334" s="73" t="str">
        <f>IF(AND('General Information'!$D$17=7,VLOOKUP(B334,Modules!$B$5:$E$496,4,0)=1)=TRUE,VLOOKUP('Hours Detail'!E334,'BASE_FUNCOES (hide)'!A:S,17,0),IF(AND('General Information'!$D$17=8,VLOOKUP(B334,Modules!$B$5:$E$496,4,0)=1)=TRUE,VLOOKUP('Hours Detail'!E334,'BASE_FUNCOES (hide)'!A:S,18,0),IF(AND('General Information'!$D$17=9,VLOOKUP(B334,Modules!$B$5:$E$496,4,0)=1)=TRUE,VLOOKUP('Hours Detail'!E334,'BASE_FUNCOES (hide)'!A:S,19,0),"No")))</f>
        <v>No</v>
      </c>
      <c r="H334" s="544" t="str">
        <f t="shared" si="6"/>
        <v>No</v>
      </c>
      <c r="I334" s="75">
        <f>IF('General Information'!$C$4="Mexico",(ROUNDUP(VLOOKUP(E334,'BASE_FUNCOES (hide)'!A:X,21,0),0)),(ROUNDUP(VLOOKUP(E334,'BASE_FUNCOES (hide)'!A:L,9,0),0)))</f>
        <v>4</v>
      </c>
      <c r="J334" s="75">
        <f>ROUNDUP(SUMIF(Questions!$E$5:$E$558,'Hours Detail'!E334,Questions!$F$5:$F$558),0)</f>
        <v>0</v>
      </c>
      <c r="K334" s="76">
        <f>IF(H334="Yes",ROUNDUP(IF(VLOOKUP(E334,'BASE_FUNCOES (hide)'!A:T,16,FALSE)&lt;&gt;"No",IF('General Information'!$C$19="HTML5",(I334+J334)*'BASE_FUNCOES (hide)'!$T$2,I334+J334),I334+J334),I334+J334),I334+J334)</f>
        <v>4</v>
      </c>
      <c r="L334" s="163" t="str">
        <f>IF(ISERROR(VLOOKUP(E334,Questions!$E$5:$L$568,6,0))=FALSE,VLOOKUP(E334,Questions!$E$5:$L$568,6,0),"")</f>
        <v/>
      </c>
      <c r="M334" s="164" t="s">
        <v>2396</v>
      </c>
      <c r="N334" s="369" t="s">
        <v>2377</v>
      </c>
    </row>
    <row r="335" spans="1:14" ht="14.5" customHeight="1">
      <c r="A335" s="59"/>
      <c r="B335" s="72">
        <f>VLOOKUP('Hours Detail'!E335,'BASE_FUNCOES (hide)'!A:W,5,FALSE)</f>
        <v>374</v>
      </c>
      <c r="C335" s="72" t="s">
        <v>5887</v>
      </c>
      <c r="D335" s="73" t="str">
        <f>IF('General Information'!$C$6="Português",VLOOKUP(B335,'ESTRUTURA_MODULO(hide)'!A:D,2,0),IF('General Information'!$C$6="English",VLOOKUP(B335,'ESTRUTURA_MODULO(hide)'!A:D,3,0),IF('General Information'!$C$6="Español",VLOOKUP(B335,'ESTRUTURA_MODULO(hide)'!A:D,4,0))))</f>
        <v>Comercial</v>
      </c>
      <c r="E335" s="74">
        <v>1235</v>
      </c>
      <c r="F335" s="73" t="str">
        <f>IF('General Information'!$C$6="Português",VLOOKUP(E335,'BASE_FUNCOES (hide)'!A:H,2,0),IF('General Information'!$C$6="English",VLOOKUP(E335,'BASE_FUNCOES (hide)'!A:H,3,0),IF('General Information'!$C$6="Español",VLOOKUP(E335,'BASE_FUNCOES (hide)'!A:H,4,0))))</f>
        <v>OPS - Controle de Perícia Médica</v>
      </c>
      <c r="G335" s="73" t="str">
        <f>IF(AND('General Information'!$D$17=7,VLOOKUP(B335,Modules!$B$5:$E$496,4,0)=1)=TRUE,VLOOKUP('Hours Detail'!E335,'BASE_FUNCOES (hide)'!A:S,17,0),IF(AND('General Information'!$D$17=8,VLOOKUP(B335,Modules!$B$5:$E$496,4,0)=1)=TRUE,VLOOKUP('Hours Detail'!E335,'BASE_FUNCOES (hide)'!A:S,18,0),IF(AND('General Information'!$D$17=9,VLOOKUP(B335,Modules!$B$5:$E$496,4,0)=1)=TRUE,VLOOKUP('Hours Detail'!E335,'BASE_FUNCOES (hide)'!A:S,19,0),"No")))</f>
        <v>No</v>
      </c>
      <c r="H335" s="544" t="str">
        <f t="shared" si="6"/>
        <v>No</v>
      </c>
      <c r="I335" s="75">
        <f>IF('General Information'!$C$4="Mexico",(ROUNDUP(VLOOKUP(E335,'BASE_FUNCOES (hide)'!A:X,21,0),0)),(ROUNDUP(VLOOKUP(E335,'BASE_FUNCOES (hide)'!A:L,9,0),0)))</f>
        <v>4</v>
      </c>
      <c r="J335" s="75">
        <f>ROUNDUP(SUMIF(Questions!$E$5:$E$558,'Hours Detail'!E335,Questions!$F$5:$F$558),0)</f>
        <v>0</v>
      </c>
      <c r="K335" s="76">
        <f>IF(H335="Yes",ROUNDUP(IF(VLOOKUP(E335,'BASE_FUNCOES (hide)'!A:T,16,FALSE)&lt;&gt;"No",IF('General Information'!$C$19="HTML5",(I335+J335)*'BASE_FUNCOES (hide)'!$T$2,I335+J335),I335+J335),I335+J335),I335+J335)</f>
        <v>4</v>
      </c>
      <c r="L335" s="163" t="str">
        <f>IF(ISERROR(VLOOKUP(E335,Questions!$E$5:$L$568,6,0))=FALSE,VLOOKUP(E335,Questions!$E$5:$L$568,6,0),"")</f>
        <v/>
      </c>
      <c r="M335" s="164" t="s">
        <v>2396</v>
      </c>
      <c r="N335" s="369" t="s">
        <v>2377</v>
      </c>
    </row>
    <row r="336" spans="1:14" ht="14.5" customHeight="1">
      <c r="A336" s="59"/>
      <c r="B336" s="72">
        <f>VLOOKUP('Hours Detail'!E336,'BASE_FUNCOES (hide)'!A:W,5,FALSE)</f>
        <v>374</v>
      </c>
      <c r="C336" s="72" t="s">
        <v>5887</v>
      </c>
      <c r="D336" s="73" t="str">
        <f>IF('General Information'!$C$6="Português",VLOOKUP(B336,'ESTRUTURA_MODULO(hide)'!A:D,2,0),IF('General Information'!$C$6="English",VLOOKUP(B336,'ESTRUTURA_MODULO(hide)'!A:D,3,0),IF('General Information'!$C$6="Español",VLOOKUP(B336,'ESTRUTURA_MODULO(hide)'!A:D,4,0))))</f>
        <v>Comercial</v>
      </c>
      <c r="E336" s="74">
        <v>1307</v>
      </c>
      <c r="F336" s="73" t="str">
        <f>IF('General Information'!$C$6="Português",VLOOKUP(E336,'BASE_FUNCOES (hide)'!A:H,2,0),IF('General Information'!$C$6="English",VLOOKUP(E336,'BASE_FUNCOES (hide)'!A:H,3,0),IF('General Information'!$C$6="Español",VLOOKUP(E336,'BASE_FUNCOES (hide)'!A:H,4,0))))</f>
        <v>OPS - Doenças e Lesões Preexistentes (DLP)</v>
      </c>
      <c r="G336" s="73" t="str">
        <f>IF(AND('General Information'!$D$17=7,VLOOKUP(B336,Modules!$B$5:$E$496,4,0)=1)=TRUE,VLOOKUP('Hours Detail'!E336,'BASE_FUNCOES (hide)'!A:S,17,0),IF(AND('General Information'!$D$17=8,VLOOKUP(B336,Modules!$B$5:$E$496,4,0)=1)=TRUE,VLOOKUP('Hours Detail'!E336,'BASE_FUNCOES (hide)'!A:S,18,0),IF(AND('General Information'!$D$17=9,VLOOKUP(B336,Modules!$B$5:$E$496,4,0)=1)=TRUE,VLOOKUP('Hours Detail'!E336,'BASE_FUNCOES (hide)'!A:S,19,0),"No")))</f>
        <v>No</v>
      </c>
      <c r="H336" s="544" t="str">
        <f t="shared" si="6"/>
        <v>No</v>
      </c>
      <c r="I336" s="75">
        <f>IF('General Information'!$C$4="Mexico",(ROUNDUP(VLOOKUP(E336,'BASE_FUNCOES (hide)'!A:X,21,0),0)),(ROUNDUP(VLOOKUP(E336,'BASE_FUNCOES (hide)'!A:L,9,0),0)))</f>
        <v>4</v>
      </c>
      <c r="J336" s="75">
        <f>ROUNDUP(SUMIF(Questions!$E$5:$E$558,'Hours Detail'!E336,Questions!$F$5:$F$558),0)</f>
        <v>0</v>
      </c>
      <c r="K336" s="76">
        <f>IF(H336="Yes",ROUNDUP(IF(VLOOKUP(E336,'BASE_FUNCOES (hide)'!A:T,16,FALSE)&lt;&gt;"No",IF('General Information'!$C$19="HTML5",(I336+J336)*'BASE_FUNCOES (hide)'!$T$2,I336+J336),I336+J336),I336+J336),I336+J336)</f>
        <v>4</v>
      </c>
      <c r="L336" s="163" t="str">
        <f>IF(ISERROR(VLOOKUP(E336,Questions!$E$5:$L$568,6,0))=FALSE,VLOOKUP(E336,Questions!$E$5:$L$568,6,0),"")</f>
        <v/>
      </c>
      <c r="M336" s="164" t="s">
        <v>2396</v>
      </c>
      <c r="N336" s="369" t="s">
        <v>2377</v>
      </c>
    </row>
    <row r="337" spans="1:14" ht="14.5" customHeight="1">
      <c r="A337" s="59"/>
      <c r="B337" s="72">
        <f>VLOOKUP('Hours Detail'!E337,'BASE_FUNCOES (hide)'!A:W,5,FALSE)</f>
        <v>374</v>
      </c>
      <c r="C337" s="72" t="s">
        <v>5887</v>
      </c>
      <c r="D337" s="73" t="str">
        <f>IF('General Information'!$C$6="Português",VLOOKUP(B337,'ESTRUTURA_MODULO(hide)'!A:D,2,0),IF('General Information'!$C$6="English",VLOOKUP(B337,'ESTRUTURA_MODULO(hide)'!A:D,3,0),IF('General Information'!$C$6="Español",VLOOKUP(B337,'ESTRUTURA_MODULO(hide)'!A:D,4,0))))</f>
        <v>Comercial</v>
      </c>
      <c r="E337" s="74">
        <v>1339</v>
      </c>
      <c r="F337" s="73" t="str">
        <f>IF('General Information'!$C$6="Português",VLOOKUP(E337,'BASE_FUNCOES (hide)'!A:H,2,0),IF('General Information'!$C$6="English",VLOOKUP(E337,'BASE_FUNCOES (hide)'!A:H,3,0),IF('General Information'!$C$6="Español",VLOOKUP(E337,'BASE_FUNCOES (hide)'!A:H,4,0))))</f>
        <v>OPS - Controle de Comissões de Venda</v>
      </c>
      <c r="G337" s="73" t="str">
        <f>IF(AND('General Information'!$D$17=7,VLOOKUP(B337,Modules!$B$5:$E$496,4,0)=1)=TRUE,VLOOKUP('Hours Detail'!E337,'BASE_FUNCOES (hide)'!A:S,17,0),IF(AND('General Information'!$D$17=8,VLOOKUP(B337,Modules!$B$5:$E$496,4,0)=1)=TRUE,VLOOKUP('Hours Detail'!E337,'BASE_FUNCOES (hide)'!A:S,18,0),IF(AND('General Information'!$D$17=9,VLOOKUP(B337,Modules!$B$5:$E$496,4,0)=1)=TRUE,VLOOKUP('Hours Detail'!E337,'BASE_FUNCOES (hide)'!A:S,19,0),"No")))</f>
        <v>No</v>
      </c>
      <c r="H337" s="544" t="str">
        <f t="shared" si="6"/>
        <v>No</v>
      </c>
      <c r="I337" s="75">
        <f>IF('General Information'!$C$4="Mexico",(ROUNDUP(VLOOKUP(E337,'BASE_FUNCOES (hide)'!A:X,21,0),0)),(ROUNDUP(VLOOKUP(E337,'BASE_FUNCOES (hide)'!A:L,9,0),0)))</f>
        <v>8</v>
      </c>
      <c r="J337" s="75">
        <f>ROUNDUP(SUMIF(Questions!$E$5:$E$558,'Hours Detail'!E337,Questions!$F$5:$F$558),0)</f>
        <v>0</v>
      </c>
      <c r="K337" s="76">
        <f>IF(H337="Yes",ROUNDUP(IF(VLOOKUP(E337,'BASE_FUNCOES (hide)'!A:T,16,FALSE)&lt;&gt;"No",IF('General Information'!$C$19="HTML5",(I337+J337)*'BASE_FUNCOES (hide)'!$T$2,I337+J337),I337+J337),I337+J337),I337+J337)</f>
        <v>8</v>
      </c>
      <c r="L337" s="163" t="str">
        <f>IF(ISERROR(VLOOKUP(E337,Questions!$E$5:$L$568,6,0))=FALSE,VLOOKUP(E337,Questions!$E$5:$L$568,6,0),"")</f>
        <v/>
      </c>
      <c r="M337" s="164" t="s">
        <v>2396</v>
      </c>
      <c r="N337" s="369" t="s">
        <v>2377</v>
      </c>
    </row>
    <row r="338" spans="1:14" ht="14.5" customHeight="1">
      <c r="A338" s="59"/>
      <c r="B338" s="72">
        <f>VLOOKUP('Hours Detail'!E338,'BASE_FUNCOES (hide)'!A:W,5,FALSE)</f>
        <v>374</v>
      </c>
      <c r="C338" s="72" t="s">
        <v>5887</v>
      </c>
      <c r="D338" s="73" t="str">
        <f>IF('General Information'!$C$6="Português",VLOOKUP(B338,'ESTRUTURA_MODULO(hide)'!A:D,2,0),IF('General Information'!$C$6="English",VLOOKUP(B338,'ESTRUTURA_MODULO(hide)'!A:D,3,0),IF('General Information'!$C$6="Español",VLOOKUP(B338,'ESTRUTURA_MODULO(hide)'!A:D,4,0))))</f>
        <v>Comercial</v>
      </c>
      <c r="E338" s="74">
        <v>1296</v>
      </c>
      <c r="F338" s="73" t="str">
        <f>IF('General Information'!$C$6="Português",VLOOKUP(E338,'BASE_FUNCOES (hide)'!A:H,2,0),IF('General Information'!$C$6="English",VLOOKUP(E338,'BASE_FUNCOES (hide)'!A:H,3,0),IF('General Information'!$C$6="Español",VLOOKUP(E338,'BASE_FUNCOES (hide)'!A:H,4,0))))</f>
        <v>OPS - Agravo</v>
      </c>
      <c r="G338" s="73" t="str">
        <f>IF(AND('General Information'!$D$17=7,VLOOKUP(B338,Modules!$B$5:$E$496,4,0)=1)=TRUE,VLOOKUP('Hours Detail'!E338,'BASE_FUNCOES (hide)'!A:S,17,0),IF(AND('General Information'!$D$17=8,VLOOKUP(B338,Modules!$B$5:$E$496,4,0)=1)=TRUE,VLOOKUP('Hours Detail'!E338,'BASE_FUNCOES (hide)'!A:S,18,0),IF(AND('General Information'!$D$17=9,VLOOKUP(B338,Modules!$B$5:$E$496,4,0)=1)=TRUE,VLOOKUP('Hours Detail'!E338,'BASE_FUNCOES (hide)'!A:S,19,0),"No")))</f>
        <v>No</v>
      </c>
      <c r="H338" s="544" t="str">
        <f t="shared" ref="H338:H398" si="7">G338</f>
        <v>No</v>
      </c>
      <c r="I338" s="75">
        <f>IF('General Information'!$C$4="Mexico",(ROUNDUP(VLOOKUP(E338,'BASE_FUNCOES (hide)'!A:X,21,0),0)),(ROUNDUP(VLOOKUP(E338,'BASE_FUNCOES (hide)'!A:L,9,0),0)))</f>
        <v>4</v>
      </c>
      <c r="J338" s="75">
        <f>ROUNDUP(SUMIF(Questions!$E$5:$E$558,'Hours Detail'!E338,Questions!$F$5:$F$558),0)</f>
        <v>0</v>
      </c>
      <c r="K338" s="76">
        <f>IF(H338="Yes",ROUNDUP(IF(VLOOKUP(E338,'BASE_FUNCOES (hide)'!A:T,16,FALSE)&lt;&gt;"No",IF('General Information'!$C$19="HTML5",(I338+J338)*'BASE_FUNCOES (hide)'!$T$2,I338+J338),I338+J338),I338+J338),I338+J338)</f>
        <v>4</v>
      </c>
      <c r="L338" s="163" t="str">
        <f>IF(ISERROR(VLOOKUP(E338,Questions!$E$5:$L$568,6,0))=FALSE,VLOOKUP(E338,Questions!$E$5:$L$568,6,0),"")</f>
        <v/>
      </c>
      <c r="M338" s="164" t="s">
        <v>2396</v>
      </c>
      <c r="N338" s="369" t="s">
        <v>2377</v>
      </c>
    </row>
    <row r="339" spans="1:14" ht="14.5" customHeight="1">
      <c r="A339" s="59"/>
      <c r="B339" s="72">
        <f>VLOOKUP('Hours Detail'!E339,'BASE_FUNCOES (hide)'!A:W,5,FALSE)</f>
        <v>374</v>
      </c>
      <c r="C339" s="72" t="s">
        <v>5887</v>
      </c>
      <c r="D339" s="73" t="str">
        <f>IF('General Information'!$C$6="Português",VLOOKUP(B339,'ESTRUTURA_MODULO(hide)'!A:D,2,0),IF('General Information'!$C$6="English",VLOOKUP(B339,'ESTRUTURA_MODULO(hide)'!A:D,3,0),IF('General Information'!$C$6="Español",VLOOKUP(B339,'ESTRUTURA_MODULO(hide)'!A:D,4,0))))</f>
        <v>Comercial</v>
      </c>
      <c r="E339" s="74">
        <v>1236</v>
      </c>
      <c r="F339" s="73" t="str">
        <f>IF('General Information'!$C$6="Português",VLOOKUP(E339,'BASE_FUNCOES (hide)'!A:H,2,0),IF('General Information'!$C$6="English",VLOOKUP(E339,'BASE_FUNCOES (hide)'!A:H,3,0),IF('General Information'!$C$6="Español",VLOOKUP(E339,'BASE_FUNCOES (hide)'!A:H,4,0))))</f>
        <v>OPS - Análise para Adesão de Beneficiários</v>
      </c>
      <c r="G339" s="73" t="str">
        <f>IF(AND('General Information'!$D$17=7,VLOOKUP(B339,Modules!$B$5:$E$496,4,0)=1)=TRUE,VLOOKUP('Hours Detail'!E339,'BASE_FUNCOES (hide)'!A:S,17,0),IF(AND('General Information'!$D$17=8,VLOOKUP(B339,Modules!$B$5:$E$496,4,0)=1)=TRUE,VLOOKUP('Hours Detail'!E339,'BASE_FUNCOES (hide)'!A:S,18,0),IF(AND('General Information'!$D$17=9,VLOOKUP(B339,Modules!$B$5:$E$496,4,0)=1)=TRUE,VLOOKUP('Hours Detail'!E339,'BASE_FUNCOES (hide)'!A:S,19,0),"No")))</f>
        <v>No</v>
      </c>
      <c r="H339" s="544" t="str">
        <f t="shared" si="7"/>
        <v>No</v>
      </c>
      <c r="I339" s="75">
        <f>IF('General Information'!$C$4="Mexico",(ROUNDUP(VLOOKUP(E339,'BASE_FUNCOES (hide)'!A:X,21,0),0)),(ROUNDUP(VLOOKUP(E339,'BASE_FUNCOES (hide)'!A:L,9,0),0)))</f>
        <v>6</v>
      </c>
      <c r="J339" s="75">
        <f>ROUNDUP(SUMIF(Questions!$E$5:$E$558,'Hours Detail'!E339,Questions!$F$5:$F$558),0)</f>
        <v>0</v>
      </c>
      <c r="K339" s="76">
        <f>IF(H339="Yes",ROUNDUP(IF(VLOOKUP(E339,'BASE_FUNCOES (hide)'!A:T,16,FALSE)&lt;&gt;"No",IF('General Information'!$C$19="HTML5",(I339+J339)*'BASE_FUNCOES (hide)'!$T$2,I339+J339),I339+J339),I339+J339),I339+J339)</f>
        <v>6</v>
      </c>
      <c r="L339" s="163" t="str">
        <f>IF(ISERROR(VLOOKUP(E339,Questions!$E$5:$L$568,6,0))=FALSE,VLOOKUP(E339,Questions!$E$5:$L$568,6,0),"")</f>
        <v/>
      </c>
      <c r="M339" s="164" t="s">
        <v>2396</v>
      </c>
      <c r="N339" s="369" t="s">
        <v>2377</v>
      </c>
    </row>
    <row r="340" spans="1:14" ht="14.5" customHeight="1">
      <c r="A340" s="59"/>
      <c r="B340" s="72">
        <f>VLOOKUP('Hours Detail'!E340,'BASE_FUNCOES (hide)'!A:W,5,FALSE)</f>
        <v>374</v>
      </c>
      <c r="C340" s="72" t="s">
        <v>5887</v>
      </c>
      <c r="D340" s="73" t="str">
        <f>IF('General Information'!$C$6="Português",VLOOKUP(B340,'ESTRUTURA_MODULO(hide)'!A:D,2,0),IF('General Information'!$C$6="English",VLOOKUP(B340,'ESTRUTURA_MODULO(hide)'!A:D,3,0),IF('General Information'!$C$6="Español",VLOOKUP(B340,'ESTRUTURA_MODULO(hide)'!A:D,4,0))))</f>
        <v>Comercial</v>
      </c>
      <c r="E340" s="74">
        <v>1237</v>
      </c>
      <c r="F340" s="73" t="str">
        <f>IF('General Information'!$C$6="Português",VLOOKUP(E340,'BASE_FUNCOES (hide)'!A:H,2,0),IF('General Information'!$C$6="English",VLOOKUP(E340,'BASE_FUNCOES (hide)'!A:H,3,0),IF('General Information'!$C$6="Español",VLOOKUP(E340,'BASE_FUNCOES (hide)'!A:H,4,0))))</f>
        <v>OPS - Gestão Comercial</v>
      </c>
      <c r="G340" s="73" t="str">
        <f>IF(AND('General Information'!$D$17=7,VLOOKUP(B340,Modules!$B$5:$E$496,4,0)=1)=TRUE,VLOOKUP('Hours Detail'!E340,'BASE_FUNCOES (hide)'!A:S,17,0),IF(AND('General Information'!$D$17=8,VLOOKUP(B340,Modules!$B$5:$E$496,4,0)=1)=TRUE,VLOOKUP('Hours Detail'!E340,'BASE_FUNCOES (hide)'!A:S,18,0),IF(AND('General Information'!$D$17=9,VLOOKUP(B340,Modules!$B$5:$E$496,4,0)=1)=TRUE,VLOOKUP('Hours Detail'!E340,'BASE_FUNCOES (hide)'!A:S,19,0),"No")))</f>
        <v>No</v>
      </c>
      <c r="H340" s="544" t="str">
        <f t="shared" si="7"/>
        <v>No</v>
      </c>
      <c r="I340" s="75">
        <f>IF('General Information'!$C$4="Mexico",(ROUNDUP(VLOOKUP(E340,'BASE_FUNCOES (hide)'!A:X,21,0),0)),(ROUNDUP(VLOOKUP(E340,'BASE_FUNCOES (hide)'!A:L,9,0),0)))</f>
        <v>24</v>
      </c>
      <c r="J340" s="75">
        <f>ROUNDUP(SUMIF(Questions!$E$5:$E$558,'Hours Detail'!E340,Questions!$F$5:$F$558),0)</f>
        <v>0</v>
      </c>
      <c r="K340" s="76">
        <f>IF(H340="Yes",ROUNDUP(IF(VLOOKUP(E340,'BASE_FUNCOES (hide)'!A:T,16,FALSE)&lt;&gt;"No",IF('General Information'!$C$19="HTML5",(I340+J340)*'BASE_FUNCOES (hide)'!$T$2,I340+J340),I340+J340),I340+J340),I340+J340)</f>
        <v>24</v>
      </c>
      <c r="L340" s="163" t="str">
        <f>IF(ISERROR(VLOOKUP(E340,Questions!$E$5:$L$568,6,0))=FALSE,VLOOKUP(E340,Questions!$E$5:$L$568,6,0),"")</f>
        <v/>
      </c>
      <c r="M340" s="164" t="s">
        <v>2396</v>
      </c>
      <c r="N340" s="369" t="s">
        <v>2377</v>
      </c>
    </row>
    <row r="341" spans="1:14" ht="14.5" customHeight="1">
      <c r="A341" s="59"/>
      <c r="B341" s="72">
        <f>VLOOKUP('Hours Detail'!E341,'BASE_FUNCOES (hide)'!A:W,5,FALSE)</f>
        <v>375</v>
      </c>
      <c r="C341" s="72" t="s">
        <v>5887</v>
      </c>
      <c r="D341" s="73" t="str">
        <f>IF('General Information'!$C$6="Português",VLOOKUP(B341,'ESTRUTURA_MODULO(hide)'!A:D,2,0),IF('General Information'!$C$6="English",VLOOKUP(B341,'ESTRUTURA_MODULO(hide)'!A:D,3,0),IF('General Information'!$C$6="Español",VLOOKUP(B341,'ESTRUTURA_MODULO(hide)'!A:D,4,0))))</f>
        <v>Contratos e Beneficiários</v>
      </c>
      <c r="E341" s="74">
        <v>1226</v>
      </c>
      <c r="F341" s="73" t="str">
        <f>IF('General Information'!$C$6="Português",VLOOKUP(E341,'BASE_FUNCOES (hide)'!A:H,2,0),IF('General Information'!$C$6="English",VLOOKUP(E341,'BASE_FUNCOES (hide)'!A:H,3,0),IF('General Information'!$C$6="Español",VLOOKUP(E341,'BASE_FUNCOES (hide)'!A:H,4,0))))</f>
        <v>OPS - Controle de Carteira de Identificação</v>
      </c>
      <c r="G341" s="73" t="str">
        <f>IF(AND('General Information'!$D$17=7,VLOOKUP(B341,Modules!$B$5:$E$496,4,0)=1)=TRUE,VLOOKUP('Hours Detail'!E341,'BASE_FUNCOES (hide)'!A:S,17,0),IF(AND('General Information'!$D$17=8,VLOOKUP(B341,Modules!$B$5:$E$496,4,0)=1)=TRUE,VLOOKUP('Hours Detail'!E341,'BASE_FUNCOES (hide)'!A:S,18,0),IF(AND('General Information'!$D$17=9,VLOOKUP(B341,Modules!$B$5:$E$496,4,0)=1)=TRUE,VLOOKUP('Hours Detail'!E341,'BASE_FUNCOES (hide)'!A:S,19,0),"No")))</f>
        <v>No</v>
      </c>
      <c r="H341" s="544" t="str">
        <f t="shared" si="7"/>
        <v>No</v>
      </c>
      <c r="I341" s="75">
        <f>IF('General Information'!$C$4="Mexico",(ROUNDUP(VLOOKUP(E341,'BASE_FUNCOES (hide)'!A:X,21,0),0)),(ROUNDUP(VLOOKUP(E341,'BASE_FUNCOES (hide)'!A:L,9,0),0)))</f>
        <v>12</v>
      </c>
      <c r="J341" s="75">
        <f>ROUNDUP(SUMIF(Questions!$E$5:$E$558,'Hours Detail'!E341,Questions!$F$5:$F$558),0)</f>
        <v>0</v>
      </c>
      <c r="K341" s="76">
        <f>IF(H341="Yes",ROUNDUP(IF(VLOOKUP(E341,'BASE_FUNCOES (hide)'!A:T,16,FALSE)&lt;&gt;"No",IF('General Information'!$C$19="HTML5",(I341+J341)*'BASE_FUNCOES (hide)'!$T$2,I341+J341),I341+J341),I341+J341),I341+J341)</f>
        <v>12</v>
      </c>
      <c r="L341" s="163" t="str">
        <f>IF(ISERROR(VLOOKUP(E341,Questions!$E$5:$L$568,6,0))=FALSE,VLOOKUP(E341,Questions!$E$5:$L$568,6,0),"")</f>
        <v/>
      </c>
      <c r="M341" s="164" t="s">
        <v>2396</v>
      </c>
      <c r="N341" s="369" t="s">
        <v>2377</v>
      </c>
    </row>
    <row r="342" spans="1:14" ht="14.5" customHeight="1">
      <c r="A342" s="59"/>
      <c r="B342" s="72">
        <f>VLOOKUP('Hours Detail'!E342,'BASE_FUNCOES (hide)'!A:W,5,FALSE)</f>
        <v>375</v>
      </c>
      <c r="C342" s="72" t="s">
        <v>5887</v>
      </c>
      <c r="D342" s="73" t="str">
        <f>IF('General Information'!$C$6="Português",VLOOKUP(B342,'ESTRUTURA_MODULO(hide)'!A:D,2,0),IF('General Information'!$C$6="English",VLOOKUP(B342,'ESTRUTURA_MODULO(hide)'!A:D,3,0),IF('General Information'!$C$6="Español",VLOOKUP(B342,'ESTRUTURA_MODULO(hide)'!A:D,4,0))))</f>
        <v>Contratos e Beneficiários</v>
      </c>
      <c r="E342" s="74">
        <v>1273</v>
      </c>
      <c r="F342" s="73" t="str">
        <f>IF('General Information'!$C$6="Português",VLOOKUP(E342,'BASE_FUNCOES (hide)'!A:H,2,0),IF('General Information'!$C$6="English",VLOOKUP(E342,'BASE_FUNCOES (hide)'!A:H,3,0),IF('General Information'!$C$6="Español",VLOOKUP(E342,'BASE_FUNCOES (hide)'!A:H,4,0))))</f>
        <v>OPS - Identificação de Beneficiários</v>
      </c>
      <c r="G342" s="73" t="str">
        <f>IF(AND('General Information'!$D$17=7,VLOOKUP(B342,Modules!$B$5:$E$496,4,0)=1)=TRUE,VLOOKUP('Hours Detail'!E342,'BASE_FUNCOES (hide)'!A:S,17,0),IF(AND('General Information'!$D$17=8,VLOOKUP(B342,Modules!$B$5:$E$496,4,0)=1)=TRUE,VLOOKUP('Hours Detail'!E342,'BASE_FUNCOES (hide)'!A:S,18,0),IF(AND('General Information'!$D$17=9,VLOOKUP(B342,Modules!$B$5:$E$496,4,0)=1)=TRUE,VLOOKUP('Hours Detail'!E342,'BASE_FUNCOES (hide)'!A:S,19,0),"No")))</f>
        <v>No</v>
      </c>
      <c r="H342" s="544" t="str">
        <f t="shared" si="7"/>
        <v>No</v>
      </c>
      <c r="I342" s="75">
        <f>IF('General Information'!$C$4="Mexico",(ROUNDUP(VLOOKUP(E342,'BASE_FUNCOES (hide)'!A:X,21,0),0)),(ROUNDUP(VLOOKUP(E342,'BASE_FUNCOES (hide)'!A:L,9,0),0)))</f>
        <v>4</v>
      </c>
      <c r="J342" s="75">
        <f>ROUNDUP(SUMIF(Questions!$E$5:$E$558,'Hours Detail'!E342,Questions!$F$5:$F$558),0)</f>
        <v>0</v>
      </c>
      <c r="K342" s="76">
        <f>IF(H342="Yes",ROUNDUP(IF(VLOOKUP(E342,'BASE_FUNCOES (hide)'!A:T,16,FALSE)&lt;&gt;"No",IF('General Information'!$C$19="HTML5",(I342+J342)*'BASE_FUNCOES (hide)'!$T$2,I342+J342),I342+J342),I342+J342),I342+J342)</f>
        <v>4</v>
      </c>
      <c r="L342" s="163" t="str">
        <f>IF(ISERROR(VLOOKUP(E342,Questions!$E$5:$L$568,6,0))=FALSE,VLOOKUP(E342,Questions!$E$5:$L$568,6,0),"")</f>
        <v/>
      </c>
      <c r="M342" s="164" t="s">
        <v>2396</v>
      </c>
      <c r="N342" s="369" t="s">
        <v>2377</v>
      </c>
    </row>
    <row r="343" spans="1:14" ht="14.5" customHeight="1">
      <c r="A343" s="59"/>
      <c r="B343" s="72">
        <f>VLOOKUP('Hours Detail'!E343,'BASE_FUNCOES (hide)'!A:W,5,FALSE)</f>
        <v>375</v>
      </c>
      <c r="C343" s="72" t="s">
        <v>5887</v>
      </c>
      <c r="D343" s="73" t="str">
        <f>IF('General Information'!$C$6="Português",VLOOKUP(B343,'ESTRUTURA_MODULO(hide)'!A:D,2,0),IF('General Information'!$C$6="English",VLOOKUP(B343,'ESTRUTURA_MODULO(hide)'!A:D,3,0),IF('General Information'!$C$6="Español",VLOOKUP(B343,'ESTRUTURA_MODULO(hide)'!A:D,4,0))))</f>
        <v>Contratos e Beneficiários</v>
      </c>
      <c r="E343" s="74">
        <v>1216</v>
      </c>
      <c r="F343" s="73" t="str">
        <f>IF('General Information'!$C$6="Português",VLOOKUP(E343,'BASE_FUNCOES (hide)'!A:H,2,0),IF('General Information'!$C$6="English",VLOOKUP(E343,'BASE_FUNCOES (hide)'!A:H,3,0),IF('General Information'!$C$6="Español",VLOOKUP(E343,'BASE_FUNCOES (hide)'!A:H,4,0))))</f>
        <v>OPS - Localizador de Beneficiários</v>
      </c>
      <c r="G343" s="73" t="str">
        <f>IF(AND('General Information'!$D$17=7,VLOOKUP(B343,Modules!$B$5:$E$496,4,0)=1)=TRUE,VLOOKUP('Hours Detail'!E343,'BASE_FUNCOES (hide)'!A:S,17,0),IF(AND('General Information'!$D$17=8,VLOOKUP(B343,Modules!$B$5:$E$496,4,0)=1)=TRUE,VLOOKUP('Hours Detail'!E343,'BASE_FUNCOES (hide)'!A:S,18,0),IF(AND('General Information'!$D$17=9,VLOOKUP(B343,Modules!$B$5:$E$496,4,0)=1)=TRUE,VLOOKUP('Hours Detail'!E343,'BASE_FUNCOES (hide)'!A:S,19,0),"No")))</f>
        <v>No</v>
      </c>
      <c r="H343" s="544" t="str">
        <f t="shared" si="7"/>
        <v>No</v>
      </c>
      <c r="I343" s="75">
        <f>IF('General Information'!$C$4="Mexico",(ROUNDUP(VLOOKUP(E343,'BASE_FUNCOES (hide)'!A:X,21,0),0)),(ROUNDUP(VLOOKUP(E343,'BASE_FUNCOES (hide)'!A:L,9,0),0)))</f>
        <v>0</v>
      </c>
      <c r="J343" s="75">
        <f>ROUNDUP(SUMIF(Questions!$E$5:$E$558,'Hours Detail'!E343,Questions!$F$5:$F$558),0)</f>
        <v>0</v>
      </c>
      <c r="K343" s="76">
        <f>IF(H343="Yes",ROUNDUP(IF(VLOOKUP(E343,'BASE_FUNCOES (hide)'!A:T,16,FALSE)&lt;&gt;"No",IF('General Information'!$C$19="HTML5",(I343+J343)*'BASE_FUNCOES (hide)'!$T$2,I343+J343),I343+J343),I343+J343),I343+J343)</f>
        <v>0</v>
      </c>
      <c r="L343" s="163" t="str">
        <f>IF(ISERROR(VLOOKUP(E343,Questions!$E$5:$L$568,6,0))=FALSE,VLOOKUP(E343,Questions!$E$5:$L$568,6,0),"")</f>
        <v/>
      </c>
      <c r="M343" s="164" t="s">
        <v>2396</v>
      </c>
      <c r="N343" s="369" t="s">
        <v>2377</v>
      </c>
    </row>
    <row r="344" spans="1:14" ht="14.5" customHeight="1">
      <c r="A344" s="59"/>
      <c r="B344" s="72">
        <f>VLOOKUP('Hours Detail'!E344,'BASE_FUNCOES (hide)'!A:W,5,FALSE)</f>
        <v>375</v>
      </c>
      <c r="C344" s="72" t="s">
        <v>5887</v>
      </c>
      <c r="D344" s="73" t="str">
        <f>IF('General Information'!$C$6="Português",VLOOKUP(B344,'ESTRUTURA_MODULO(hide)'!A:D,2,0),IF('General Information'!$C$6="English",VLOOKUP(B344,'ESTRUTURA_MODULO(hide)'!A:D,3,0),IF('General Information'!$C$6="Español",VLOOKUP(B344,'ESTRUTURA_MODULO(hide)'!A:D,4,0))))</f>
        <v>Contratos e Beneficiários</v>
      </c>
      <c r="E344" s="74">
        <v>1268</v>
      </c>
      <c r="F344" s="73" t="str">
        <f>IF('General Information'!$C$6="Português",VLOOKUP(E344,'BASE_FUNCOES (hide)'!A:H,2,0),IF('General Information'!$C$6="English",VLOOKUP(E344,'BASE_FUNCOES (hide)'!A:H,3,0),IF('General Information'!$C$6="Español",VLOOKUP(E344,'BASE_FUNCOES (hide)'!A:H,4,0))))</f>
        <v>OPS - Revisão de Cadastros de Pessoas</v>
      </c>
      <c r="G344" s="73" t="str">
        <f>IF(AND('General Information'!$D$17=7,VLOOKUP(B344,Modules!$B$5:$E$496,4,0)=1)=TRUE,VLOOKUP('Hours Detail'!E344,'BASE_FUNCOES (hide)'!A:S,17,0),IF(AND('General Information'!$D$17=8,VLOOKUP(B344,Modules!$B$5:$E$496,4,0)=1)=TRUE,VLOOKUP('Hours Detail'!E344,'BASE_FUNCOES (hide)'!A:S,18,0),IF(AND('General Information'!$D$17=9,VLOOKUP(B344,Modules!$B$5:$E$496,4,0)=1)=TRUE,VLOOKUP('Hours Detail'!E344,'BASE_FUNCOES (hide)'!A:S,19,0),"No")))</f>
        <v>No</v>
      </c>
      <c r="H344" s="544" t="str">
        <f t="shared" si="7"/>
        <v>No</v>
      </c>
      <c r="I344" s="75">
        <f>IF('General Information'!$C$4="Mexico",(ROUNDUP(VLOOKUP(E344,'BASE_FUNCOES (hide)'!A:X,21,0),0)),(ROUNDUP(VLOOKUP(E344,'BASE_FUNCOES (hide)'!A:L,9,0),0)))</f>
        <v>6</v>
      </c>
      <c r="J344" s="75">
        <f>ROUNDUP(SUMIF(Questions!$E$5:$E$558,'Hours Detail'!E344,Questions!$F$5:$F$558),0)</f>
        <v>0</v>
      </c>
      <c r="K344" s="76">
        <f>IF(H344="Yes",ROUNDUP(IF(VLOOKUP(E344,'BASE_FUNCOES (hide)'!A:T,16,FALSE)&lt;&gt;"No",IF('General Information'!$C$19="HTML5",(I344+J344)*'BASE_FUNCOES (hide)'!$T$2,I344+J344),I344+J344),I344+J344),I344+J344)</f>
        <v>6</v>
      </c>
      <c r="L344" s="163" t="str">
        <f>IF(ISERROR(VLOOKUP(E344,Questions!$E$5:$L$568,6,0))=FALSE,VLOOKUP(E344,Questions!$E$5:$L$568,6,0),"")</f>
        <v/>
      </c>
      <c r="M344" s="164" t="s">
        <v>2396</v>
      </c>
      <c r="N344" s="369" t="s">
        <v>2377</v>
      </c>
    </row>
    <row r="345" spans="1:14" ht="14.5" customHeight="1">
      <c r="A345" s="59"/>
      <c r="B345" s="72">
        <f>VLOOKUP('Hours Detail'!E345,'BASE_FUNCOES (hide)'!A:W,5,FALSE)</f>
        <v>375</v>
      </c>
      <c r="C345" s="72" t="s">
        <v>5887</v>
      </c>
      <c r="D345" s="73" t="str">
        <f>IF('General Information'!$C$6="Português",VLOOKUP(B345,'ESTRUTURA_MODULO(hide)'!A:D,2,0),IF('General Information'!$C$6="English",VLOOKUP(B345,'ESTRUTURA_MODULO(hide)'!A:D,3,0),IF('General Information'!$C$6="Español",VLOOKUP(B345,'ESTRUTURA_MODULO(hide)'!A:D,4,0))))</f>
        <v>Contratos e Beneficiários</v>
      </c>
      <c r="E345" s="74">
        <v>1228</v>
      </c>
      <c r="F345" s="73" t="str">
        <f>IF('General Information'!$C$6="Português",VLOOKUP(E345,'BASE_FUNCOES (hide)'!A:H,2,0),IF('General Information'!$C$6="English",VLOOKUP(E345,'BASE_FUNCOES (hide)'!A:H,3,0),IF('General Information'!$C$6="Español",VLOOKUP(E345,'BASE_FUNCOES (hide)'!A:H,4,0))))</f>
        <v>OPS - Mala Direta para Correspondência</v>
      </c>
      <c r="G345" s="73" t="str">
        <f>IF(AND('General Information'!$D$17=7,VLOOKUP(B345,Modules!$B$5:$E$496,4,0)=1)=TRUE,VLOOKUP('Hours Detail'!E345,'BASE_FUNCOES (hide)'!A:S,17,0),IF(AND('General Information'!$D$17=8,VLOOKUP(B345,Modules!$B$5:$E$496,4,0)=1)=TRUE,VLOOKUP('Hours Detail'!E345,'BASE_FUNCOES (hide)'!A:S,18,0),IF(AND('General Information'!$D$17=9,VLOOKUP(B345,Modules!$B$5:$E$496,4,0)=1)=TRUE,VLOOKUP('Hours Detail'!E345,'BASE_FUNCOES (hide)'!A:S,19,0),"No")))</f>
        <v>No</v>
      </c>
      <c r="H345" s="544" t="str">
        <f t="shared" si="7"/>
        <v>No</v>
      </c>
      <c r="I345" s="75">
        <f>IF('General Information'!$C$4="Mexico",(ROUNDUP(VLOOKUP(E345,'BASE_FUNCOES (hide)'!A:X,21,0),0)),(ROUNDUP(VLOOKUP(E345,'BASE_FUNCOES (hide)'!A:L,9,0),0)))</f>
        <v>6</v>
      </c>
      <c r="J345" s="75">
        <f>ROUNDUP(SUMIF(Questions!$E$5:$E$558,'Hours Detail'!E345,Questions!$F$5:$F$558),0)</f>
        <v>0</v>
      </c>
      <c r="K345" s="76">
        <f>IF(H345="Yes",ROUNDUP(IF(VLOOKUP(E345,'BASE_FUNCOES (hide)'!A:T,16,FALSE)&lt;&gt;"No",IF('General Information'!$C$19="HTML5",(I345+J345)*'BASE_FUNCOES (hide)'!$T$2,I345+J345),I345+J345),I345+J345),I345+J345)</f>
        <v>6</v>
      </c>
      <c r="L345" s="163" t="str">
        <f>IF(ISERROR(VLOOKUP(E345,Questions!$E$5:$L$568,6,0))=FALSE,VLOOKUP(E345,Questions!$E$5:$L$568,6,0),"")</f>
        <v/>
      </c>
      <c r="M345" s="164" t="s">
        <v>2396</v>
      </c>
      <c r="N345" s="369" t="s">
        <v>2377</v>
      </c>
    </row>
    <row r="346" spans="1:14" ht="14.5" customHeight="1">
      <c r="A346" s="59"/>
      <c r="B346" s="72">
        <f>VLOOKUP('Hours Detail'!E346,'BASE_FUNCOES (hide)'!A:W,5,FALSE)</f>
        <v>375</v>
      </c>
      <c r="C346" s="72" t="s">
        <v>5887</v>
      </c>
      <c r="D346" s="73" t="str">
        <f>IF('General Information'!$C$6="Português",VLOOKUP(B346,'ESTRUTURA_MODULO(hide)'!A:D,2,0),IF('General Information'!$C$6="English",VLOOKUP(B346,'ESTRUTURA_MODULO(hide)'!A:D,3,0),IF('General Information'!$C$6="Español",VLOOKUP(B346,'ESTRUTURA_MODULO(hide)'!A:D,4,0))))</f>
        <v>Contratos e Beneficiários</v>
      </c>
      <c r="E346" s="74">
        <v>1265</v>
      </c>
      <c r="F346" s="73" t="str">
        <f>IF('General Information'!$C$6="Português",VLOOKUP(E346,'BASE_FUNCOES (hide)'!A:H,2,0),IF('General Information'!$C$6="English",VLOOKUP(E346,'BASE_FUNCOES (hide)'!A:H,3,0),IF('General Information'!$C$6="Español",VLOOKUP(E346,'BASE_FUNCOES (hide)'!A:H,4,0))))</f>
        <v>OPS - Bonificações</v>
      </c>
      <c r="G346" s="73" t="str">
        <f>IF(AND('General Information'!$D$17=7,VLOOKUP(B346,Modules!$B$5:$E$496,4,0)=1)=TRUE,VLOOKUP('Hours Detail'!E346,'BASE_FUNCOES (hide)'!A:S,17,0),IF(AND('General Information'!$D$17=8,VLOOKUP(B346,Modules!$B$5:$E$496,4,0)=1)=TRUE,VLOOKUP('Hours Detail'!E346,'BASE_FUNCOES (hide)'!A:S,18,0),IF(AND('General Information'!$D$17=9,VLOOKUP(B346,Modules!$B$5:$E$496,4,0)=1)=TRUE,VLOOKUP('Hours Detail'!E346,'BASE_FUNCOES (hide)'!A:S,19,0),"No")))</f>
        <v>No</v>
      </c>
      <c r="H346" s="544" t="str">
        <f t="shared" si="7"/>
        <v>No</v>
      </c>
      <c r="I346" s="75">
        <f>IF('General Information'!$C$4="Mexico",(ROUNDUP(VLOOKUP(E346,'BASE_FUNCOES (hide)'!A:X,21,0),0)),(ROUNDUP(VLOOKUP(E346,'BASE_FUNCOES (hide)'!A:L,9,0),0)))</f>
        <v>4</v>
      </c>
      <c r="J346" s="75">
        <f>ROUNDUP(SUMIF(Questions!$E$5:$E$558,'Hours Detail'!E346,Questions!$F$5:$F$558),0)</f>
        <v>0</v>
      </c>
      <c r="K346" s="76">
        <f>IF(H346="Yes",ROUNDUP(IF(VLOOKUP(E346,'BASE_FUNCOES (hide)'!A:T,16,FALSE)&lt;&gt;"No",IF('General Information'!$C$19="HTML5",(I346+J346)*'BASE_FUNCOES (hide)'!$T$2,I346+J346),I346+J346),I346+J346),I346+J346)</f>
        <v>4</v>
      </c>
      <c r="L346" s="163" t="str">
        <f>IF(ISERROR(VLOOKUP(E346,Questions!$E$5:$L$568,6,0))=FALSE,VLOOKUP(E346,Questions!$E$5:$L$568,6,0),"")</f>
        <v/>
      </c>
      <c r="M346" s="164" t="s">
        <v>2396</v>
      </c>
      <c r="N346" s="369" t="s">
        <v>2377</v>
      </c>
    </row>
    <row r="347" spans="1:14" ht="14.5" customHeight="1">
      <c r="A347" s="59"/>
      <c r="B347" s="72">
        <f>VLOOKUP('Hours Detail'!E347,'BASE_FUNCOES (hide)'!A:W,5,FALSE)</f>
        <v>375</v>
      </c>
      <c r="C347" s="72" t="s">
        <v>5887</v>
      </c>
      <c r="D347" s="73" t="str">
        <f>IF('General Information'!$C$6="Português",VLOOKUP(B347,'ESTRUTURA_MODULO(hide)'!A:D,2,0),IF('General Information'!$C$6="English",VLOOKUP(B347,'ESTRUTURA_MODULO(hide)'!A:D,3,0),IF('General Information'!$C$6="Español",VLOOKUP(B347,'ESTRUTURA_MODULO(hide)'!A:D,4,0))))</f>
        <v>Contratos e Beneficiários</v>
      </c>
      <c r="E347" s="74">
        <v>1221</v>
      </c>
      <c r="F347" s="73" t="str">
        <f>IF('General Information'!$C$6="Português",VLOOKUP(E347,'BASE_FUNCOES (hide)'!A:H,2,0),IF('General Information'!$C$6="English",VLOOKUP(E347,'BASE_FUNCOES (hide)'!A:H,3,0),IF('General Information'!$C$6="Español",VLOOKUP(E347,'BASE_FUNCOES (hide)'!A:H,4,0))))</f>
        <v>OPS - Localizador de Tabelas de Preços</v>
      </c>
      <c r="G347" s="73" t="str">
        <f>IF(AND('General Information'!$D$17=7,VLOOKUP(B347,Modules!$B$5:$E$496,4,0)=1)=TRUE,VLOOKUP('Hours Detail'!E347,'BASE_FUNCOES (hide)'!A:S,17,0),IF(AND('General Information'!$D$17=8,VLOOKUP(B347,Modules!$B$5:$E$496,4,0)=1)=TRUE,VLOOKUP('Hours Detail'!E347,'BASE_FUNCOES (hide)'!A:S,18,0),IF(AND('General Information'!$D$17=9,VLOOKUP(B347,Modules!$B$5:$E$496,4,0)=1)=TRUE,VLOOKUP('Hours Detail'!E347,'BASE_FUNCOES (hide)'!A:S,19,0),"No")))</f>
        <v>No</v>
      </c>
      <c r="H347" s="544" t="str">
        <f t="shared" si="7"/>
        <v>No</v>
      </c>
      <c r="I347" s="75">
        <f>IF('General Information'!$C$4="Mexico",(ROUNDUP(VLOOKUP(E347,'BASE_FUNCOES (hide)'!A:X,21,0),0)),(ROUNDUP(VLOOKUP(E347,'BASE_FUNCOES (hide)'!A:L,9,0),0)))</f>
        <v>0</v>
      </c>
      <c r="J347" s="75">
        <f>ROUNDUP(SUMIF(Questions!$E$5:$E$558,'Hours Detail'!E347,Questions!$F$5:$F$558),0)</f>
        <v>0</v>
      </c>
      <c r="K347" s="76">
        <f>IF(H347="Yes",ROUNDUP(IF(VLOOKUP(E347,'BASE_FUNCOES (hide)'!A:T,16,FALSE)&lt;&gt;"No",IF('General Information'!$C$19="HTML5",(I347+J347)*'BASE_FUNCOES (hide)'!$T$2,I347+J347),I347+J347),I347+J347),I347+J347)</f>
        <v>0</v>
      </c>
      <c r="L347" s="163" t="str">
        <f>IF(ISERROR(VLOOKUP(E347,Questions!$E$5:$L$568,6,0))=FALSE,VLOOKUP(E347,Questions!$E$5:$L$568,6,0),"")</f>
        <v/>
      </c>
      <c r="M347" s="164" t="s">
        <v>2396</v>
      </c>
      <c r="N347" s="369" t="s">
        <v>2377</v>
      </c>
    </row>
    <row r="348" spans="1:14" ht="14.5" customHeight="1">
      <c r="A348" s="59"/>
      <c r="B348" s="72">
        <f>VLOOKUP('Hours Detail'!E348,'BASE_FUNCOES (hide)'!A:W,5,FALSE)</f>
        <v>375</v>
      </c>
      <c r="C348" s="72" t="s">
        <v>5887</v>
      </c>
      <c r="D348" s="73" t="str">
        <f>IF('General Information'!$C$6="Português",VLOOKUP(B348,'ESTRUTURA_MODULO(hide)'!A:D,2,0),IF('General Information'!$C$6="English",VLOOKUP(B348,'ESTRUTURA_MODULO(hide)'!A:D,3,0),IF('General Information'!$C$6="Español",VLOOKUP(B348,'ESTRUTURA_MODULO(hide)'!A:D,4,0))))</f>
        <v>Contratos e Beneficiários</v>
      </c>
      <c r="E348" s="74">
        <v>1220</v>
      </c>
      <c r="F348" s="73" t="str">
        <f>IF('General Information'!$C$6="Português",VLOOKUP(E348,'BASE_FUNCOES (hide)'!A:H,2,0),IF('General Information'!$C$6="English",VLOOKUP(E348,'BASE_FUNCOES (hide)'!A:H,3,0),IF('General Information'!$C$6="Español",VLOOKUP(E348,'BASE_FUNCOES (hide)'!A:H,4,0))))</f>
        <v>OPS - Cadastro Pessoa Física</v>
      </c>
      <c r="G348" s="73" t="str">
        <f>IF(AND('General Information'!$D$17=7,VLOOKUP(B348,Modules!$B$5:$E$496,4,0)=1)=TRUE,VLOOKUP('Hours Detail'!E348,'BASE_FUNCOES (hide)'!A:S,17,0),IF(AND('General Information'!$D$17=8,VLOOKUP(B348,Modules!$B$5:$E$496,4,0)=1)=TRUE,VLOOKUP('Hours Detail'!E348,'BASE_FUNCOES (hide)'!A:S,18,0),IF(AND('General Information'!$D$17=9,VLOOKUP(B348,Modules!$B$5:$E$496,4,0)=1)=TRUE,VLOOKUP('Hours Detail'!E348,'BASE_FUNCOES (hide)'!A:S,19,0),"No")))</f>
        <v>No</v>
      </c>
      <c r="H348" s="544" t="str">
        <f t="shared" si="7"/>
        <v>No</v>
      </c>
      <c r="I348" s="75">
        <f>IF('General Information'!$C$4="Mexico",(ROUNDUP(VLOOKUP(E348,'BASE_FUNCOES (hide)'!A:X,21,0),0)),(ROUNDUP(VLOOKUP(E348,'BASE_FUNCOES (hide)'!A:L,9,0),0)))</f>
        <v>8</v>
      </c>
      <c r="J348" s="75">
        <f>ROUNDUP(SUMIF(Questions!$E$5:$E$558,'Hours Detail'!E348,Questions!$F$5:$F$558),0)</f>
        <v>0</v>
      </c>
      <c r="K348" s="76">
        <f>IF(H348="Yes",ROUNDUP(IF(VLOOKUP(E348,'BASE_FUNCOES (hide)'!A:T,16,FALSE)&lt;&gt;"No",IF('General Information'!$C$19="HTML5",(I348+J348)*'BASE_FUNCOES (hide)'!$T$2,I348+J348),I348+J348),I348+J348),I348+J348)</f>
        <v>8</v>
      </c>
      <c r="L348" s="163" t="str">
        <f>IF(ISERROR(VLOOKUP(E348,Questions!$E$5:$L$568,6,0))=FALSE,VLOOKUP(E348,Questions!$E$5:$L$568,6,0),"")</f>
        <v/>
      </c>
      <c r="M348" s="164" t="s">
        <v>2396</v>
      </c>
      <c r="N348" s="369" t="s">
        <v>2377</v>
      </c>
    </row>
    <row r="349" spans="1:14" ht="14.5" customHeight="1">
      <c r="A349" s="59"/>
      <c r="B349" s="72">
        <f>VLOOKUP('Hours Detail'!E349,'BASE_FUNCOES (hide)'!A:W,5,FALSE)</f>
        <v>375</v>
      </c>
      <c r="C349" s="72" t="s">
        <v>5887</v>
      </c>
      <c r="D349" s="73" t="str">
        <f>IF('General Information'!$C$6="Português",VLOOKUP(B349,'ESTRUTURA_MODULO(hide)'!A:D,2,0),IF('General Information'!$C$6="English",VLOOKUP(B349,'ESTRUTURA_MODULO(hide)'!A:D,3,0),IF('General Information'!$C$6="Español",VLOOKUP(B349,'ESTRUTURA_MODULO(hide)'!A:D,4,0))))</f>
        <v>Contratos e Beneficiários</v>
      </c>
      <c r="E349" s="74">
        <v>1215</v>
      </c>
      <c r="F349" s="73" t="str">
        <f>IF('General Information'!$C$6="Português",VLOOKUP(E349,'BASE_FUNCOES (hide)'!A:H,2,0),IF('General Information'!$C$6="English",VLOOKUP(E349,'BASE_FUNCOES (hide)'!A:H,3,0),IF('General Information'!$C$6="Español",VLOOKUP(E349,'BASE_FUNCOES (hide)'!A:H,4,0))))</f>
        <v>OPS - Dossiê Beneficiário</v>
      </c>
      <c r="G349" s="73" t="str">
        <f>IF(AND('General Information'!$D$17=7,VLOOKUP(B349,Modules!$B$5:$E$496,4,0)=1)=TRUE,VLOOKUP('Hours Detail'!E349,'BASE_FUNCOES (hide)'!A:S,17,0),IF(AND('General Information'!$D$17=8,VLOOKUP(B349,Modules!$B$5:$E$496,4,0)=1)=TRUE,VLOOKUP('Hours Detail'!E349,'BASE_FUNCOES (hide)'!A:S,18,0),IF(AND('General Information'!$D$17=9,VLOOKUP(B349,Modules!$B$5:$E$496,4,0)=1)=TRUE,VLOOKUP('Hours Detail'!E349,'BASE_FUNCOES (hide)'!A:S,19,0),"No")))</f>
        <v>No</v>
      </c>
      <c r="H349" s="544" t="str">
        <f t="shared" si="7"/>
        <v>No</v>
      </c>
      <c r="I349" s="75">
        <f>IF('General Information'!$C$4="Mexico",(ROUNDUP(VLOOKUP(E349,'BASE_FUNCOES (hide)'!A:X,21,0),0)),(ROUNDUP(VLOOKUP(E349,'BASE_FUNCOES (hide)'!A:L,9,0),0)))</f>
        <v>4</v>
      </c>
      <c r="J349" s="75">
        <f>ROUNDUP(SUMIF(Questions!$E$5:$E$558,'Hours Detail'!E349,Questions!$F$5:$F$558),0)</f>
        <v>0</v>
      </c>
      <c r="K349" s="76">
        <f>IF(H349="Yes",ROUNDUP(IF(VLOOKUP(E349,'BASE_FUNCOES (hide)'!A:T,16,FALSE)&lt;&gt;"No",IF('General Information'!$C$19="HTML5",(I349+J349)*'BASE_FUNCOES (hide)'!$T$2,I349+J349),I349+J349),I349+J349),I349+J349)</f>
        <v>4</v>
      </c>
      <c r="L349" s="163" t="str">
        <f>IF(ISERROR(VLOOKUP(E349,Questions!$E$5:$L$568,6,0))=FALSE,VLOOKUP(E349,Questions!$E$5:$L$568,6,0),"")</f>
        <v/>
      </c>
      <c r="M349" s="164" t="s">
        <v>2396</v>
      </c>
      <c r="N349" s="369" t="s">
        <v>2377</v>
      </c>
    </row>
    <row r="350" spans="1:14" ht="14.5" customHeight="1">
      <c r="A350" s="59"/>
      <c r="B350" s="72">
        <f>VLOOKUP('Hours Detail'!E350,'BASE_FUNCOES (hide)'!A:W,5,FALSE)</f>
        <v>375</v>
      </c>
      <c r="C350" s="72" t="s">
        <v>5887</v>
      </c>
      <c r="D350" s="73" t="str">
        <f>IF('General Information'!$C$6="Português",VLOOKUP(B350,'ESTRUTURA_MODULO(hide)'!A:D,2,0),IF('General Information'!$C$6="English",VLOOKUP(B350,'ESTRUTURA_MODULO(hide)'!A:D,3,0),IF('General Information'!$C$6="Español",VLOOKUP(B350,'ESTRUTURA_MODULO(hide)'!A:D,4,0))))</f>
        <v>Contratos e Beneficiários</v>
      </c>
      <c r="E350" s="74">
        <v>1287</v>
      </c>
      <c r="F350" s="73" t="str">
        <f>IF('General Information'!$C$6="Português",VLOOKUP(E350,'BASE_FUNCOES (hide)'!A:H,2,0),IF('General Information'!$C$6="English",VLOOKUP(E350,'BASE_FUNCOES (hide)'!A:H,3,0),IF('General Information'!$C$6="Español",VLOOKUP(E350,'BASE_FUNCOES (hide)'!A:H,4,0))))</f>
        <v>OPS - Localizador de Serviços e Coberturas Adicionais</v>
      </c>
      <c r="G350" s="73" t="str">
        <f>IF(AND('General Information'!$D$17=7,VLOOKUP(B350,Modules!$B$5:$E$496,4,0)=1)=TRUE,VLOOKUP('Hours Detail'!E350,'BASE_FUNCOES (hide)'!A:S,17,0),IF(AND('General Information'!$D$17=8,VLOOKUP(B350,Modules!$B$5:$E$496,4,0)=1)=TRUE,VLOOKUP('Hours Detail'!E350,'BASE_FUNCOES (hide)'!A:S,18,0),IF(AND('General Information'!$D$17=9,VLOOKUP(B350,Modules!$B$5:$E$496,4,0)=1)=TRUE,VLOOKUP('Hours Detail'!E350,'BASE_FUNCOES (hide)'!A:S,19,0),"No")))</f>
        <v>No</v>
      </c>
      <c r="H350" s="544" t="str">
        <f t="shared" si="7"/>
        <v>No</v>
      </c>
      <c r="I350" s="75">
        <f>IF('General Information'!$C$4="Mexico",(ROUNDUP(VLOOKUP(E350,'BASE_FUNCOES (hide)'!A:X,21,0),0)),(ROUNDUP(VLOOKUP(E350,'BASE_FUNCOES (hide)'!A:L,9,0),0)))</f>
        <v>0</v>
      </c>
      <c r="J350" s="75">
        <f>ROUNDUP(SUMIF(Questions!$E$5:$E$558,'Hours Detail'!E350,Questions!$F$5:$F$558),0)</f>
        <v>0</v>
      </c>
      <c r="K350" s="76">
        <f>IF(H350="Yes",ROUNDUP(IF(VLOOKUP(E350,'BASE_FUNCOES (hide)'!A:T,16,FALSE)&lt;&gt;"No",IF('General Information'!$C$19="HTML5",(I350+J350)*'BASE_FUNCOES (hide)'!$T$2,I350+J350),I350+J350),I350+J350),I350+J350)</f>
        <v>0</v>
      </c>
      <c r="L350" s="163" t="str">
        <f>IF(ISERROR(VLOOKUP(E350,Questions!$E$5:$L$568,6,0))=FALSE,VLOOKUP(E350,Questions!$E$5:$L$568,6,0),"")</f>
        <v/>
      </c>
      <c r="M350" s="164" t="s">
        <v>2396</v>
      </c>
      <c r="N350" s="369" t="s">
        <v>2377</v>
      </c>
    </row>
    <row r="351" spans="1:14" ht="14.5" customHeight="1">
      <c r="A351" s="59"/>
      <c r="B351" s="72">
        <f>VLOOKUP('Hours Detail'!E351,'BASE_FUNCOES (hide)'!A:W,5,FALSE)</f>
        <v>375</v>
      </c>
      <c r="C351" s="72" t="s">
        <v>5887</v>
      </c>
      <c r="D351" s="73" t="str">
        <f>IF('General Information'!$C$6="Português",VLOOKUP(B351,'ESTRUTURA_MODULO(hide)'!A:D,2,0),IF('General Information'!$C$6="English",VLOOKUP(B351,'ESTRUTURA_MODULO(hide)'!A:D,3,0),IF('General Information'!$C$6="Español",VLOOKUP(B351,'ESTRUTURA_MODULO(hide)'!A:D,4,0))))</f>
        <v>Contratos e Beneficiários</v>
      </c>
      <c r="E351" s="74">
        <v>1345</v>
      </c>
      <c r="F351" s="73" t="str">
        <f>IF('General Information'!$C$6="Português",VLOOKUP(E351,'BASE_FUNCOES (hide)'!A:H,2,0),IF('General Information'!$C$6="English",VLOOKUP(E351,'BASE_FUNCOES (hide)'!A:H,3,0),IF('General Information'!$C$6="Español",VLOOKUP(E351,'BASE_FUNCOES (hide)'!A:H,4,0))))</f>
        <v>OPS - Localizador de Grupos de Contratos</v>
      </c>
      <c r="G351" s="73" t="str">
        <f>IF(AND('General Information'!$D$17=7,VLOOKUP(B351,Modules!$B$5:$E$496,4,0)=1)=TRUE,VLOOKUP('Hours Detail'!E351,'BASE_FUNCOES (hide)'!A:S,17,0),IF(AND('General Information'!$D$17=8,VLOOKUP(B351,Modules!$B$5:$E$496,4,0)=1)=TRUE,VLOOKUP('Hours Detail'!E351,'BASE_FUNCOES (hide)'!A:S,18,0),IF(AND('General Information'!$D$17=9,VLOOKUP(B351,Modules!$B$5:$E$496,4,0)=1)=TRUE,VLOOKUP('Hours Detail'!E351,'BASE_FUNCOES (hide)'!A:S,19,0),"No")))</f>
        <v>No</v>
      </c>
      <c r="H351" s="544" t="str">
        <f t="shared" si="7"/>
        <v>No</v>
      </c>
      <c r="I351" s="75">
        <f>IF('General Information'!$C$4="Mexico",(ROUNDUP(VLOOKUP(E351,'BASE_FUNCOES (hide)'!A:X,21,0),0)),(ROUNDUP(VLOOKUP(E351,'BASE_FUNCOES (hide)'!A:L,9,0),0)))</f>
        <v>0</v>
      </c>
      <c r="J351" s="75">
        <f>ROUNDUP(SUMIF(Questions!$E$5:$E$558,'Hours Detail'!E351,Questions!$F$5:$F$558),0)</f>
        <v>0</v>
      </c>
      <c r="K351" s="76">
        <f>IF(H351="Yes",ROUNDUP(IF(VLOOKUP(E351,'BASE_FUNCOES (hide)'!A:T,16,FALSE)&lt;&gt;"No",IF('General Information'!$C$19="HTML5",(I351+J351)*'BASE_FUNCOES (hide)'!$T$2,I351+J351),I351+J351),I351+J351),I351+J351)</f>
        <v>0</v>
      </c>
      <c r="L351" s="163" t="str">
        <f>IF(ISERROR(VLOOKUP(E351,Questions!$E$5:$L$568,6,0))=FALSE,VLOOKUP(E351,Questions!$E$5:$L$568,6,0),"")</f>
        <v/>
      </c>
      <c r="M351" s="164" t="s">
        <v>2396</v>
      </c>
      <c r="N351" s="369" t="s">
        <v>2377</v>
      </c>
    </row>
    <row r="352" spans="1:14" ht="14.5" customHeight="1">
      <c r="A352" s="59"/>
      <c r="B352" s="72">
        <f>VLOOKUP('Hours Detail'!E352,'BASE_FUNCOES (hide)'!A:W,5,FALSE)</f>
        <v>375</v>
      </c>
      <c r="C352" s="72" t="s">
        <v>5887</v>
      </c>
      <c r="D352" s="73" t="str">
        <f>IF('General Information'!$C$6="Português",VLOOKUP(B352,'ESTRUTURA_MODULO(hide)'!A:D,2,0),IF('General Information'!$C$6="English",VLOOKUP(B352,'ESTRUTURA_MODULO(hide)'!A:D,3,0),IF('General Information'!$C$6="Español",VLOOKUP(B352,'ESTRUTURA_MODULO(hide)'!A:D,4,0))))</f>
        <v>Contratos e Beneficiários</v>
      </c>
      <c r="E352" s="74">
        <v>1347</v>
      </c>
      <c r="F352" s="73" t="str">
        <f>IF('General Information'!$C$6="Português",VLOOKUP(E352,'BASE_FUNCOES (hide)'!A:H,2,0),IF('General Information'!$C$6="English",VLOOKUP(E352,'BASE_FUNCOES (hide)'!A:H,3,0),IF('General Information'!$C$6="Español",VLOOKUP(E352,'BASE_FUNCOES (hide)'!A:H,4,0))))</f>
        <v>OPS - Relacionamento com o Cliente (PJ)</v>
      </c>
      <c r="G352" s="73" t="str">
        <f>IF(AND('General Information'!$D$17=7,VLOOKUP(B352,Modules!$B$5:$E$496,4,0)=1)=TRUE,VLOOKUP('Hours Detail'!E352,'BASE_FUNCOES (hide)'!A:S,17,0),IF(AND('General Information'!$D$17=8,VLOOKUP(B352,Modules!$B$5:$E$496,4,0)=1)=TRUE,VLOOKUP('Hours Detail'!E352,'BASE_FUNCOES (hide)'!A:S,18,0),IF(AND('General Information'!$D$17=9,VLOOKUP(B352,Modules!$B$5:$E$496,4,0)=1)=TRUE,VLOOKUP('Hours Detail'!E352,'BASE_FUNCOES (hide)'!A:S,19,0),"No")))</f>
        <v>No</v>
      </c>
      <c r="H352" s="544" t="str">
        <f t="shared" si="7"/>
        <v>No</v>
      </c>
      <c r="I352" s="75">
        <f>IF('General Information'!$C$4="Mexico",(ROUNDUP(VLOOKUP(E352,'BASE_FUNCOES (hide)'!A:X,21,0),0)),(ROUNDUP(VLOOKUP(E352,'BASE_FUNCOES (hide)'!A:L,9,0),0)))</f>
        <v>16</v>
      </c>
      <c r="J352" s="75">
        <f>ROUNDUP(SUMIF(Questions!$E$5:$E$558,'Hours Detail'!E352,Questions!$F$5:$F$558),0)</f>
        <v>0</v>
      </c>
      <c r="K352" s="76">
        <f>IF(H352="Yes",ROUNDUP(IF(VLOOKUP(E352,'BASE_FUNCOES (hide)'!A:T,16,FALSE)&lt;&gt;"No",IF('General Information'!$C$19="HTML5",(I352+J352)*'BASE_FUNCOES (hide)'!$T$2,I352+J352),I352+J352),I352+J352),I352+J352)</f>
        <v>16</v>
      </c>
      <c r="L352" s="163" t="str">
        <f>IF(ISERROR(VLOOKUP(E352,Questions!$E$5:$L$568,6,0))=FALSE,VLOOKUP(E352,Questions!$E$5:$L$568,6,0),"")</f>
        <v/>
      </c>
      <c r="M352" s="164" t="s">
        <v>2396</v>
      </c>
      <c r="N352" s="369" t="s">
        <v>2377</v>
      </c>
    </row>
    <row r="353" spans="1:14" ht="14.5" customHeight="1">
      <c r="A353" s="59"/>
      <c r="B353" s="72">
        <f>VLOOKUP('Hours Detail'!E353,'BASE_FUNCOES (hide)'!A:W,5,FALSE)</f>
        <v>375</v>
      </c>
      <c r="C353" s="72" t="s">
        <v>5887</v>
      </c>
      <c r="D353" s="73" t="str">
        <f>IF('General Information'!$C$6="Português",VLOOKUP(B353,'ESTRUTURA_MODULO(hide)'!A:D,2,0),IF('General Information'!$C$6="English",VLOOKUP(B353,'ESTRUTURA_MODULO(hide)'!A:D,3,0),IF('General Information'!$C$6="Español",VLOOKUP(B353,'ESTRUTURA_MODULO(hide)'!A:D,4,0))))</f>
        <v>Contratos e Beneficiários</v>
      </c>
      <c r="E353" s="74">
        <v>1202</v>
      </c>
      <c r="F353" s="73" t="str">
        <f>IF('General Information'!$C$6="Português",VLOOKUP(E353,'BASE_FUNCOES (hide)'!A:H,2,0),IF('General Information'!$C$6="English",VLOOKUP(E353,'BASE_FUNCOES (hide)'!A:H,3,0),IF('General Information'!$C$6="Español",VLOOKUP(E353,'BASE_FUNCOES (hide)'!A:H,4,0))))</f>
        <v>OPS - Gestão de Contratos</v>
      </c>
      <c r="G353" s="73" t="str">
        <f>IF(AND('General Information'!$D$17=7,VLOOKUP(B353,Modules!$B$5:$E$496,4,0)=1)=TRUE,VLOOKUP('Hours Detail'!E353,'BASE_FUNCOES (hide)'!A:S,17,0),IF(AND('General Information'!$D$17=8,VLOOKUP(B353,Modules!$B$5:$E$496,4,0)=1)=TRUE,VLOOKUP('Hours Detail'!E353,'BASE_FUNCOES (hide)'!A:S,18,0),IF(AND('General Information'!$D$17=9,VLOOKUP(B353,Modules!$B$5:$E$496,4,0)=1)=TRUE,VLOOKUP('Hours Detail'!E353,'BASE_FUNCOES (hide)'!A:S,19,0),"No")))</f>
        <v>No</v>
      </c>
      <c r="H353" s="544" t="str">
        <f t="shared" si="7"/>
        <v>No</v>
      </c>
      <c r="I353" s="75">
        <f>IF('General Information'!$C$4="Mexico",(ROUNDUP(VLOOKUP(E353,'BASE_FUNCOES (hide)'!A:X,21,0),0)),(ROUNDUP(VLOOKUP(E353,'BASE_FUNCOES (hide)'!A:L,9,0),0)))</f>
        <v>40</v>
      </c>
      <c r="J353" s="75">
        <f>ROUNDUP(SUMIF(Questions!$E$5:$E$558,'Hours Detail'!E353,Questions!$F$5:$F$558),0)</f>
        <v>0</v>
      </c>
      <c r="K353" s="76">
        <f>IF(H353="Yes",ROUNDUP(IF(VLOOKUP(E353,'BASE_FUNCOES (hide)'!A:T,16,FALSE)&lt;&gt;"No",IF('General Information'!$C$19="HTML5",(I353+J353)*'BASE_FUNCOES (hide)'!$T$2,I353+J353),I353+J353),I353+J353),I353+J353)</f>
        <v>40</v>
      </c>
      <c r="L353" s="163" t="str">
        <f>IF(ISERROR(VLOOKUP(E353,Questions!$E$5:$L$568,6,0))=FALSE,VLOOKUP(E353,Questions!$E$5:$L$568,6,0),"")</f>
        <v/>
      </c>
      <c r="M353" s="164" t="s">
        <v>2396</v>
      </c>
      <c r="N353" s="369" t="s">
        <v>2377</v>
      </c>
    </row>
    <row r="354" spans="1:14" ht="14.5" customHeight="1">
      <c r="A354" s="59"/>
      <c r="B354" s="72">
        <f>VLOOKUP('Hours Detail'!E354,'BASE_FUNCOES (hide)'!A:W,5,FALSE)</f>
        <v>375</v>
      </c>
      <c r="C354" s="72" t="s">
        <v>5887</v>
      </c>
      <c r="D354" s="73" t="str">
        <f>IF('General Information'!$C$6="Português",VLOOKUP(B354,'ESTRUTURA_MODULO(hide)'!A:D,2,0),IF('General Information'!$C$6="English",VLOOKUP(B354,'ESTRUTURA_MODULO(hide)'!A:D,3,0),IF('General Information'!$C$6="Español",VLOOKUP(B354,'ESTRUTURA_MODULO(hide)'!A:D,4,0))))</f>
        <v>Contratos e Beneficiários</v>
      </c>
      <c r="E354" s="74">
        <v>1280</v>
      </c>
      <c r="F354" s="73" t="str">
        <f>IF('General Information'!$C$6="Português",VLOOKUP(E354,'BASE_FUNCOES (hide)'!A:H,2,0),IF('General Information'!$C$6="English",VLOOKUP(E354,'BASE_FUNCOES (hide)'!A:H,3,0),IF('General Information'!$C$6="Español",VLOOKUP(E354,'BASE_FUNCOES (hide)'!A:H,4,0))))</f>
        <v>OPS - Análise de Resultados</v>
      </c>
      <c r="G354" s="73" t="str">
        <f>IF(AND('General Information'!$D$17=7,VLOOKUP(B354,Modules!$B$5:$E$496,4,0)=1)=TRUE,VLOOKUP('Hours Detail'!E354,'BASE_FUNCOES (hide)'!A:S,17,0),IF(AND('General Information'!$D$17=8,VLOOKUP(B354,Modules!$B$5:$E$496,4,0)=1)=TRUE,VLOOKUP('Hours Detail'!E354,'BASE_FUNCOES (hide)'!A:S,18,0),IF(AND('General Information'!$D$17=9,VLOOKUP(B354,Modules!$B$5:$E$496,4,0)=1)=TRUE,VLOOKUP('Hours Detail'!E354,'BASE_FUNCOES (hide)'!A:S,19,0),"No")))</f>
        <v>No</v>
      </c>
      <c r="H354" s="544" t="str">
        <f t="shared" si="7"/>
        <v>No</v>
      </c>
      <c r="I354" s="75">
        <f>IF('General Information'!$C$4="Mexico",(ROUNDUP(VLOOKUP(E354,'BASE_FUNCOES (hide)'!A:X,21,0),0)),(ROUNDUP(VLOOKUP(E354,'BASE_FUNCOES (hide)'!A:L,9,0),0)))</f>
        <v>24</v>
      </c>
      <c r="J354" s="75">
        <f>ROUNDUP(SUMIF(Questions!$E$5:$E$558,'Hours Detail'!E354,Questions!$F$5:$F$558),0)</f>
        <v>0</v>
      </c>
      <c r="K354" s="76">
        <f>IF(H354="Yes",ROUNDUP(IF(VLOOKUP(E354,'BASE_FUNCOES (hide)'!A:T,16,FALSE)&lt;&gt;"No",IF('General Information'!$C$19="HTML5",(I354+J354)*'BASE_FUNCOES (hide)'!$T$2,I354+J354),I354+J354),I354+J354),I354+J354)</f>
        <v>24</v>
      </c>
      <c r="L354" s="163" t="str">
        <f>IF(ISERROR(VLOOKUP(E354,Questions!$E$5:$L$568,6,0))=FALSE,VLOOKUP(E354,Questions!$E$5:$L$568,6,0),"")</f>
        <v/>
      </c>
      <c r="M354" s="164" t="s">
        <v>2396</v>
      </c>
      <c r="N354" s="369" t="s">
        <v>2377</v>
      </c>
    </row>
    <row r="355" spans="1:14" ht="14.5" customHeight="1">
      <c r="A355" s="59"/>
      <c r="B355" s="72">
        <f>VLOOKUP('Hours Detail'!E355,'BASE_FUNCOES (hide)'!A:W,5,FALSE)</f>
        <v>375</v>
      </c>
      <c r="C355" s="72" t="s">
        <v>5887</v>
      </c>
      <c r="D355" s="73" t="str">
        <f>IF('General Information'!$C$6="Português",VLOOKUP(B355,'ESTRUTURA_MODULO(hide)'!A:D,2,0),IF('General Information'!$C$6="English",VLOOKUP(B355,'ESTRUTURA_MODULO(hide)'!A:D,3,0),IF('General Information'!$C$6="Español",VLOOKUP(B355,'ESTRUTURA_MODULO(hide)'!A:D,4,0))))</f>
        <v>Contratos e Beneficiários</v>
      </c>
      <c r="E355" s="74">
        <v>1338</v>
      </c>
      <c r="F355" s="73" t="str">
        <f>IF('General Information'!$C$6="Português",VLOOKUP(E355,'BASE_FUNCOES (hide)'!A:H,2,0),IF('General Information'!$C$6="English",VLOOKUP(E355,'BASE_FUNCOES (hide)'!A:H,3,0),IF('General Information'!$C$6="Español",VLOOKUP(E355,'BASE_FUNCOES (hide)'!A:H,4,0))))</f>
        <v>OPS - RPC - Reajuste de Planos Coletivos</v>
      </c>
      <c r="G355" s="73" t="str">
        <f>IF(AND('General Information'!$D$17=7,VLOOKUP(B355,Modules!$B$5:$E$496,4,0)=1)=TRUE,VLOOKUP('Hours Detail'!E355,'BASE_FUNCOES (hide)'!A:S,17,0),IF(AND('General Information'!$D$17=8,VLOOKUP(B355,Modules!$B$5:$E$496,4,0)=1)=TRUE,VLOOKUP('Hours Detail'!E355,'BASE_FUNCOES (hide)'!A:S,18,0),IF(AND('General Information'!$D$17=9,VLOOKUP(B355,Modules!$B$5:$E$496,4,0)=1)=TRUE,VLOOKUP('Hours Detail'!E355,'BASE_FUNCOES (hide)'!A:S,19,0),"No")))</f>
        <v>No</v>
      </c>
      <c r="H355" s="544" t="str">
        <f t="shared" si="7"/>
        <v>No</v>
      </c>
      <c r="I355" s="75">
        <f>IF('General Information'!$C$4="Mexico",(ROUNDUP(VLOOKUP(E355,'BASE_FUNCOES (hide)'!A:X,21,0),0)),(ROUNDUP(VLOOKUP(E355,'BASE_FUNCOES (hide)'!A:L,9,0),0)))</f>
        <v>12</v>
      </c>
      <c r="J355" s="75">
        <f>ROUNDUP(SUMIF(Questions!$E$5:$E$558,'Hours Detail'!E355,Questions!$F$5:$F$558),0)</f>
        <v>0</v>
      </c>
      <c r="K355" s="76">
        <f>IF(H355="Yes",ROUNDUP(IF(VLOOKUP(E355,'BASE_FUNCOES (hide)'!A:T,16,FALSE)&lt;&gt;"No",IF('General Information'!$C$19="HTML5",(I355+J355)*'BASE_FUNCOES (hide)'!$T$2,I355+J355),I355+J355),I355+J355),I355+J355)</f>
        <v>12</v>
      </c>
      <c r="L355" s="163" t="str">
        <f>IF(ISERROR(VLOOKUP(E355,Questions!$E$5:$L$568,6,0))=FALSE,VLOOKUP(E355,Questions!$E$5:$L$568,6,0),"")</f>
        <v/>
      </c>
      <c r="M355" s="164" t="s">
        <v>2396</v>
      </c>
      <c r="N355" s="369" t="s">
        <v>2377</v>
      </c>
    </row>
    <row r="356" spans="1:14" ht="14.5" customHeight="1">
      <c r="A356" s="59"/>
      <c r="B356" s="72">
        <f>VLOOKUP('Hours Detail'!E356,'BASE_FUNCOES (hide)'!A:W,5,FALSE)</f>
        <v>375</v>
      </c>
      <c r="C356" s="72" t="s">
        <v>5887</v>
      </c>
      <c r="D356" s="73" t="str">
        <f>IF('General Information'!$C$6="Português",VLOOKUP(B356,'ESTRUTURA_MODULO(hide)'!A:D,2,0),IF('General Information'!$C$6="English",VLOOKUP(B356,'ESTRUTURA_MODULO(hide)'!A:D,3,0),IF('General Information'!$C$6="Español",VLOOKUP(B356,'ESTRUTURA_MODULO(hide)'!A:D,4,0))))</f>
        <v>Contratos e Beneficiários</v>
      </c>
      <c r="E356" s="74">
        <v>1320</v>
      </c>
      <c r="F356" s="73" t="str">
        <f>IF('General Information'!$C$6="Português",VLOOKUP(E356,'BASE_FUNCOES (hide)'!A:H,2,0),IF('General Information'!$C$6="English",VLOOKUP(E356,'BASE_FUNCOES (hide)'!A:H,3,0),IF('General Information'!$C$6="Español",VLOOKUP(E356,'BASE_FUNCOES (hide)'!A:H,4,0))))</f>
        <v>OPS - Manutenção de Bonificações</v>
      </c>
      <c r="G356" s="73" t="str">
        <f>IF(AND('General Information'!$D$17=7,VLOOKUP(B356,Modules!$B$5:$E$496,4,0)=1)=TRUE,VLOOKUP('Hours Detail'!E356,'BASE_FUNCOES (hide)'!A:S,17,0),IF(AND('General Information'!$D$17=8,VLOOKUP(B356,Modules!$B$5:$E$496,4,0)=1)=TRUE,VLOOKUP('Hours Detail'!E356,'BASE_FUNCOES (hide)'!A:S,18,0),IF(AND('General Information'!$D$17=9,VLOOKUP(B356,Modules!$B$5:$E$496,4,0)=1)=TRUE,VLOOKUP('Hours Detail'!E356,'BASE_FUNCOES (hide)'!A:S,19,0),"No")))</f>
        <v>No</v>
      </c>
      <c r="H356" s="544" t="str">
        <f t="shared" si="7"/>
        <v>No</v>
      </c>
      <c r="I356" s="75">
        <f>IF('General Information'!$C$4="Mexico",(ROUNDUP(VLOOKUP(E356,'BASE_FUNCOES (hide)'!A:X,21,0),0)),(ROUNDUP(VLOOKUP(E356,'BASE_FUNCOES (hide)'!A:L,9,0),0)))</f>
        <v>0</v>
      </c>
      <c r="J356" s="75">
        <f>ROUNDUP(SUMIF(Questions!$E$5:$E$558,'Hours Detail'!E356,Questions!$F$5:$F$558),0)</f>
        <v>0</v>
      </c>
      <c r="K356" s="76">
        <f>IF(H356="Yes",ROUNDUP(IF(VLOOKUP(E356,'BASE_FUNCOES (hide)'!A:T,16,FALSE)&lt;&gt;"No",IF('General Information'!$C$19="HTML5",(I356+J356)*'BASE_FUNCOES (hide)'!$T$2,I356+J356),I356+J356),I356+J356),I356+J356)</f>
        <v>0</v>
      </c>
      <c r="L356" s="163" t="str">
        <f>IF(ISERROR(VLOOKUP(E356,Questions!$E$5:$L$568,6,0))=FALSE,VLOOKUP(E356,Questions!$E$5:$L$568,6,0),"")</f>
        <v/>
      </c>
      <c r="M356" s="164" t="s">
        <v>2396</v>
      </c>
      <c r="N356" s="369" t="s">
        <v>2377</v>
      </c>
    </row>
    <row r="357" spans="1:14" ht="14.5" customHeight="1">
      <c r="A357" s="59"/>
      <c r="B357" s="72">
        <f>VLOOKUP('Hours Detail'!E357,'BASE_FUNCOES (hide)'!A:W,5,FALSE)</f>
        <v>375</v>
      </c>
      <c r="C357" s="72" t="s">
        <v>5887</v>
      </c>
      <c r="D357" s="73" t="str">
        <f>IF('General Information'!$C$6="Português",VLOOKUP(B357,'ESTRUTURA_MODULO(hide)'!A:D,2,0),IF('General Information'!$C$6="English",VLOOKUP(B357,'ESTRUTURA_MODULO(hide)'!A:D,3,0),IF('General Information'!$C$6="Español",VLOOKUP(B357,'ESTRUTURA_MODULO(hide)'!A:D,4,0))))</f>
        <v>Contratos e Beneficiários</v>
      </c>
      <c r="E357" s="74">
        <v>347</v>
      </c>
      <c r="F357" s="73" t="str">
        <f>IF('General Information'!$C$6="Português",VLOOKUP(E357,'BASE_FUNCOES (hide)'!A:H,2,0),IF('General Information'!$C$6="English",VLOOKUP(E357,'BASE_FUNCOES (hide)'!A:H,3,0),IF('General Information'!$C$6="Español",VLOOKUP(E357,'BASE_FUNCOES (hide)'!A:H,4,0))))</f>
        <v>OPS - Programação de Reajuste Coletivo</v>
      </c>
      <c r="G357" s="73" t="str">
        <f>IF(AND('General Information'!$D$17=7,VLOOKUP(B357,Modules!$B$5:$E$496,4,0)=1)=TRUE,VLOOKUP('Hours Detail'!E357,'BASE_FUNCOES (hide)'!A:S,17,0),IF(AND('General Information'!$D$17=8,VLOOKUP(B357,Modules!$B$5:$E$496,4,0)=1)=TRUE,VLOOKUP('Hours Detail'!E357,'BASE_FUNCOES (hide)'!A:S,18,0),IF(AND('General Information'!$D$17=9,VLOOKUP(B357,Modules!$B$5:$E$496,4,0)=1)=TRUE,VLOOKUP('Hours Detail'!E357,'BASE_FUNCOES (hide)'!A:S,19,0),"No")))</f>
        <v>No</v>
      </c>
      <c r="H357" s="544" t="str">
        <f t="shared" si="7"/>
        <v>No</v>
      </c>
      <c r="I357" s="75">
        <f>IF('General Information'!$C$4="Mexico",(ROUNDUP(VLOOKUP(E357,'BASE_FUNCOES (hide)'!A:X,21,0),0)),(ROUNDUP(VLOOKUP(E357,'BASE_FUNCOES (hide)'!A:L,9,0),0)))</f>
        <v>8</v>
      </c>
      <c r="J357" s="75">
        <f>ROUNDUP(SUMIF(Questions!$E$5:$E$558,'Hours Detail'!E357,Questions!$F$5:$F$558),0)</f>
        <v>0</v>
      </c>
      <c r="K357" s="76">
        <f>IF(H357="Yes",ROUNDUP(IF(VLOOKUP(E357,'BASE_FUNCOES (hide)'!A:T,16,FALSE)&lt;&gt;"No",IF('General Information'!$C$19="HTML5",(I357+J357)*'BASE_FUNCOES (hide)'!$T$2,I357+J357),I357+J357),I357+J357),I357+J357)</f>
        <v>8</v>
      </c>
      <c r="L357" s="163" t="str">
        <f>IF(ISERROR(VLOOKUP(E357,Questions!$E$5:$L$568,6,0))=FALSE,VLOOKUP(E357,Questions!$E$5:$L$568,6,0),"")</f>
        <v/>
      </c>
      <c r="M357" s="164" t="s">
        <v>2396</v>
      </c>
      <c r="N357" s="369" t="s">
        <v>2377</v>
      </c>
    </row>
    <row r="358" spans="1:14" ht="14.5" customHeight="1">
      <c r="A358" s="59"/>
      <c r="B358" s="72">
        <f>VLOOKUP('Hours Detail'!E358,'BASE_FUNCOES (hide)'!A:W,5,FALSE)</f>
        <v>375</v>
      </c>
      <c r="C358" s="72" t="s">
        <v>5887</v>
      </c>
      <c r="D358" s="73" t="str">
        <f>IF('General Information'!$C$6="Português",VLOOKUP(B358,'ESTRUTURA_MODULO(hide)'!A:D,2,0),IF('General Information'!$C$6="English",VLOOKUP(B358,'ESTRUTURA_MODULO(hide)'!A:D,3,0),IF('General Information'!$C$6="Español",VLOOKUP(B358,'ESTRUTURA_MODULO(hide)'!A:D,4,0))))</f>
        <v>Contratos e Beneficiários</v>
      </c>
      <c r="E358" s="74">
        <v>1288</v>
      </c>
      <c r="F358" s="73" t="str">
        <f>IF('General Information'!$C$6="Português",VLOOKUP(E358,'BASE_FUNCOES (hide)'!A:H,2,0),IF('General Information'!$C$6="English",VLOOKUP(E358,'BASE_FUNCOES (hide)'!A:H,3,0),IF('General Information'!$C$6="Español",VLOOKUP(E358,'BASE_FUNCOES (hide)'!A:H,4,0))))</f>
        <v>OPS - Manutenção de Carências</v>
      </c>
      <c r="G358" s="73" t="str">
        <f>IF(AND('General Information'!$D$17=7,VLOOKUP(B358,Modules!$B$5:$E$496,4,0)=1)=TRUE,VLOOKUP('Hours Detail'!E358,'BASE_FUNCOES (hide)'!A:S,17,0),IF(AND('General Information'!$D$17=8,VLOOKUP(B358,Modules!$B$5:$E$496,4,0)=1)=TRUE,VLOOKUP('Hours Detail'!E358,'BASE_FUNCOES (hide)'!A:S,18,0),IF(AND('General Information'!$D$17=9,VLOOKUP(B358,Modules!$B$5:$E$496,4,0)=1)=TRUE,VLOOKUP('Hours Detail'!E358,'BASE_FUNCOES (hide)'!A:S,19,0),"No")))</f>
        <v>No</v>
      </c>
      <c r="H358" s="544" t="str">
        <f t="shared" si="7"/>
        <v>No</v>
      </c>
      <c r="I358" s="75">
        <f>IF('General Information'!$C$4="Mexico",(ROUNDUP(VLOOKUP(E358,'BASE_FUNCOES (hide)'!A:X,21,0),0)),(ROUNDUP(VLOOKUP(E358,'BASE_FUNCOES (hide)'!A:L,9,0),0)))</f>
        <v>0</v>
      </c>
      <c r="J358" s="75">
        <f>ROUNDUP(SUMIF(Questions!$E$5:$E$558,'Hours Detail'!E358,Questions!$F$5:$F$558),0)</f>
        <v>0</v>
      </c>
      <c r="K358" s="76">
        <f>IF(H358="Yes",ROUNDUP(IF(VLOOKUP(E358,'BASE_FUNCOES (hide)'!A:T,16,FALSE)&lt;&gt;"No",IF('General Information'!$C$19="HTML5",(I358+J358)*'BASE_FUNCOES (hide)'!$T$2,I358+J358),I358+J358),I358+J358),I358+J358)</f>
        <v>0</v>
      </c>
      <c r="L358" s="163" t="str">
        <f>IF(ISERROR(VLOOKUP(E358,Questions!$E$5:$L$568,6,0))=FALSE,VLOOKUP(E358,Questions!$E$5:$L$568,6,0),"")</f>
        <v/>
      </c>
      <c r="M358" s="164" t="s">
        <v>2396</v>
      </c>
      <c r="N358" s="369" t="s">
        <v>2377</v>
      </c>
    </row>
    <row r="359" spans="1:14" ht="14.5" customHeight="1">
      <c r="A359" s="59"/>
      <c r="B359" s="72">
        <f>VLOOKUP('Hours Detail'!E359,'BASE_FUNCOES (hide)'!A:W,5,FALSE)</f>
        <v>375</v>
      </c>
      <c r="C359" s="72" t="s">
        <v>5887</v>
      </c>
      <c r="D359" s="73" t="str">
        <f>IF('General Information'!$C$6="Português",VLOOKUP(B359,'ESTRUTURA_MODULO(hide)'!A:D,2,0),IF('General Information'!$C$6="English",VLOOKUP(B359,'ESTRUTURA_MODULO(hide)'!A:D,3,0),IF('General Information'!$C$6="Español",VLOOKUP(B359,'ESTRUTURA_MODULO(hide)'!A:D,4,0))))</f>
        <v>Contratos e Beneficiários</v>
      </c>
      <c r="E359" s="74">
        <v>210</v>
      </c>
      <c r="F359" s="73" t="str">
        <f>IF('General Information'!$C$6="Português",VLOOKUP(E359,'BASE_FUNCOES (hide)'!A:H,2,0),IF('General Information'!$C$6="English",VLOOKUP(E359,'BASE_FUNCOES (hide)'!A:H,3,0),IF('General Information'!$C$6="Español",VLOOKUP(E359,'BASE_FUNCOES (hide)'!A:H,4,0))))</f>
        <v>OPS - Reajuste de Preços de Beneficiários (Nova)</v>
      </c>
      <c r="G359" s="73" t="str">
        <f>IF(AND('General Information'!$D$17=7,VLOOKUP(B359,Modules!$B$5:$E$496,4,0)=1)=TRUE,VLOOKUP('Hours Detail'!E359,'BASE_FUNCOES (hide)'!A:S,17,0),IF(AND('General Information'!$D$17=8,VLOOKUP(B359,Modules!$B$5:$E$496,4,0)=1)=TRUE,VLOOKUP('Hours Detail'!E359,'BASE_FUNCOES (hide)'!A:S,18,0),IF(AND('General Information'!$D$17=9,VLOOKUP(B359,Modules!$B$5:$E$496,4,0)=1)=TRUE,VLOOKUP('Hours Detail'!E359,'BASE_FUNCOES (hide)'!A:S,19,0),"No")))</f>
        <v>No</v>
      </c>
      <c r="H359" s="544" t="str">
        <f t="shared" si="7"/>
        <v>No</v>
      </c>
      <c r="I359" s="75">
        <f>IF('General Information'!$C$4="Mexico",(ROUNDUP(VLOOKUP(E359,'BASE_FUNCOES (hide)'!A:X,21,0),0)),(ROUNDUP(VLOOKUP(E359,'BASE_FUNCOES (hide)'!A:L,9,0),0)))</f>
        <v>32</v>
      </c>
      <c r="J359" s="75">
        <f>ROUNDUP(SUMIF(Questions!$E$5:$E$558,'Hours Detail'!E359,Questions!$F$5:$F$558),0)</f>
        <v>0</v>
      </c>
      <c r="K359" s="76">
        <f>IF(H359="Yes",ROUNDUP(IF(VLOOKUP(E359,'BASE_FUNCOES (hide)'!A:T,16,FALSE)&lt;&gt;"No",IF('General Information'!$C$19="HTML5",(I359+J359)*'BASE_FUNCOES (hide)'!$T$2,I359+J359),I359+J359),I359+J359),I359+J359)</f>
        <v>32</v>
      </c>
      <c r="L359" s="163" t="str">
        <f>IF(ISERROR(VLOOKUP(E359,Questions!$E$5:$L$568,6,0))=FALSE,VLOOKUP(E359,Questions!$E$5:$L$568,6,0),"")</f>
        <v/>
      </c>
      <c r="M359" s="164" t="s">
        <v>2396</v>
      </c>
      <c r="N359" s="369" t="s">
        <v>2377</v>
      </c>
    </row>
    <row r="360" spans="1:14" ht="14.5" customHeight="1">
      <c r="A360" s="59"/>
      <c r="B360" s="72">
        <f>VLOOKUP('Hours Detail'!E360,'BASE_FUNCOES (hide)'!A:W,5,FALSE)</f>
        <v>375</v>
      </c>
      <c r="C360" s="72" t="s">
        <v>5887</v>
      </c>
      <c r="D360" s="73" t="str">
        <f>IF('General Information'!$C$6="Português",VLOOKUP(B360,'ESTRUTURA_MODULO(hide)'!A:D,2,0),IF('General Information'!$C$6="English",VLOOKUP(B360,'ESTRUTURA_MODULO(hide)'!A:D,3,0),IF('General Information'!$C$6="Español",VLOOKUP(B360,'ESTRUTURA_MODULO(hide)'!A:D,4,0))))</f>
        <v>Contratos e Beneficiários</v>
      </c>
      <c r="E360" s="74">
        <v>268</v>
      </c>
      <c r="F360" s="73" t="str">
        <f>IF('General Information'!$C$6="Português",VLOOKUP(E360,'BASE_FUNCOES (hide)'!A:H,2,0),IF('General Information'!$C$6="English",VLOOKUP(E360,'BASE_FUNCOES (hide)'!A:H,3,0),IF('General Information'!$C$6="Español",VLOOKUP(E360,'BASE_FUNCOES (hide)'!A:H,4,0))))</f>
        <v>OPS - Gestão de Rescisão de Contrato</v>
      </c>
      <c r="G360" s="73" t="str">
        <f>IF(AND('General Information'!$D$17=7,VLOOKUP(B360,Modules!$B$5:$E$496,4,0)=1)=TRUE,VLOOKUP('Hours Detail'!E360,'BASE_FUNCOES (hide)'!A:S,17,0),IF(AND('General Information'!$D$17=8,VLOOKUP(B360,Modules!$B$5:$E$496,4,0)=1)=TRUE,VLOOKUP('Hours Detail'!E360,'BASE_FUNCOES (hide)'!A:S,18,0),IF(AND('General Information'!$D$17=9,VLOOKUP(B360,Modules!$B$5:$E$496,4,0)=1)=TRUE,VLOOKUP('Hours Detail'!E360,'BASE_FUNCOES (hide)'!A:S,19,0),"No")))</f>
        <v>No</v>
      </c>
      <c r="H360" s="544" t="str">
        <f t="shared" si="7"/>
        <v>No</v>
      </c>
      <c r="I360" s="75">
        <f>IF('General Information'!$C$4="Mexico",(ROUNDUP(VLOOKUP(E360,'BASE_FUNCOES (hide)'!A:X,21,0),0)),(ROUNDUP(VLOOKUP(E360,'BASE_FUNCOES (hide)'!A:L,9,0),0)))</f>
        <v>16</v>
      </c>
      <c r="J360" s="75">
        <f>ROUNDUP(SUMIF(Questions!$E$5:$E$558,'Hours Detail'!E360,Questions!$F$5:$F$558),0)</f>
        <v>0</v>
      </c>
      <c r="K360" s="76">
        <f>IF(H360="Yes",ROUNDUP(IF(VLOOKUP(E360,'BASE_FUNCOES (hide)'!A:T,16,FALSE)&lt;&gt;"No",IF('General Information'!$C$19="HTML5",(I360+J360)*'BASE_FUNCOES (hide)'!$T$2,I360+J360),I360+J360),I360+J360),I360+J360)</f>
        <v>16</v>
      </c>
      <c r="L360" s="163" t="str">
        <f>IF(ISERROR(VLOOKUP(E360,Questions!$E$5:$L$568,6,0))=FALSE,VLOOKUP(E360,Questions!$E$5:$L$568,6,0),"")</f>
        <v/>
      </c>
      <c r="M360" s="164" t="s">
        <v>2396</v>
      </c>
      <c r="N360" s="369" t="s">
        <v>2377</v>
      </c>
    </row>
    <row r="361" spans="1:14" ht="14.5" customHeight="1">
      <c r="A361" s="59"/>
      <c r="B361" s="72">
        <f>VLOOKUP('Hours Detail'!E361,'BASE_FUNCOES (hide)'!A:W,5,FALSE)</f>
        <v>377</v>
      </c>
      <c r="C361" s="72" t="s">
        <v>5887</v>
      </c>
      <c r="D361" s="73" t="str">
        <f>IF('General Information'!$C$6="Português",VLOOKUP(B361,'ESTRUTURA_MODULO(hide)'!A:D,2,0),IF('General Information'!$C$6="English",VLOOKUP(B361,'ESTRUTURA_MODULO(hide)'!A:D,3,0),IF('General Information'!$C$6="Español",VLOOKUP(B361,'ESTRUTURA_MODULO(hide)'!A:D,4,0))))</f>
        <v>Produção de Contas Médicas</v>
      </c>
      <c r="E361" s="74">
        <v>1308</v>
      </c>
      <c r="F361" s="73" t="str">
        <f>IF('General Information'!$C$6="Português",VLOOKUP(E361,'BASE_FUNCOES (hide)'!A:H,2,0),IF('General Information'!$C$6="English",VLOOKUP(E361,'BASE_FUNCOES (hide)'!A:H,3,0),IF('General Information'!$C$6="Español",VLOOKUP(E361,'BASE_FUNCOES (hide)'!A:H,4,0))))</f>
        <v>OPS - Produção - Digitação de Consultas</v>
      </c>
      <c r="G361" s="73" t="str">
        <f>IF(AND('General Information'!$D$17=7,VLOOKUP(B361,Modules!$B$5:$E$496,4,0)=1)=TRUE,VLOOKUP('Hours Detail'!E361,'BASE_FUNCOES (hide)'!A:S,17,0),IF(AND('General Information'!$D$17=8,VLOOKUP(B361,Modules!$B$5:$E$496,4,0)=1)=TRUE,VLOOKUP('Hours Detail'!E361,'BASE_FUNCOES (hide)'!A:S,18,0),IF(AND('General Information'!$D$17=9,VLOOKUP(B361,Modules!$B$5:$E$496,4,0)=1)=TRUE,VLOOKUP('Hours Detail'!E361,'BASE_FUNCOES (hide)'!A:S,19,0),"No")))</f>
        <v>No</v>
      </c>
      <c r="H361" s="544" t="str">
        <f t="shared" si="7"/>
        <v>No</v>
      </c>
      <c r="I361" s="75">
        <f>IF('General Information'!$C$4="Mexico",(ROUNDUP(VLOOKUP(E361,'BASE_FUNCOES (hide)'!A:X,21,0),0)),(ROUNDUP(VLOOKUP(E361,'BASE_FUNCOES (hide)'!A:L,9,0),0)))</f>
        <v>4</v>
      </c>
      <c r="J361" s="75">
        <f>ROUNDUP(SUMIF(Questions!$E$5:$E$558,'Hours Detail'!E361,Questions!$F$5:$F$558),0)</f>
        <v>0</v>
      </c>
      <c r="K361" s="76">
        <f>IF(H361="Yes",ROUNDUP(IF(VLOOKUP(E361,'BASE_FUNCOES (hide)'!A:T,16,FALSE)&lt;&gt;"No",IF('General Information'!$C$19="HTML5",(I361+J361)*'BASE_FUNCOES (hide)'!$T$2,I361+J361),I361+J361),I361+J361),I361+J361)</f>
        <v>4</v>
      </c>
      <c r="L361" s="163" t="str">
        <f>IF(ISERROR(VLOOKUP(E361,Questions!$E$5:$L$568,6,0))=FALSE,VLOOKUP(E361,Questions!$E$5:$L$568,6,0),"")</f>
        <v/>
      </c>
      <c r="M361" s="164" t="s">
        <v>2396</v>
      </c>
      <c r="N361" s="369" t="s">
        <v>2377</v>
      </c>
    </row>
    <row r="362" spans="1:14" ht="14.5" customHeight="1">
      <c r="A362" s="59"/>
      <c r="B362" s="72">
        <f>VLOOKUP('Hours Detail'!E362,'BASE_FUNCOES (hide)'!A:W,5,FALSE)</f>
        <v>377</v>
      </c>
      <c r="C362" s="72" t="s">
        <v>5887</v>
      </c>
      <c r="D362" s="73" t="str">
        <f>IF('General Information'!$C$6="Português",VLOOKUP(B362,'ESTRUTURA_MODULO(hide)'!A:D,2,0),IF('General Information'!$C$6="English",VLOOKUP(B362,'ESTRUTURA_MODULO(hide)'!A:D,3,0),IF('General Information'!$C$6="Español",VLOOKUP(B362,'ESTRUTURA_MODULO(hide)'!A:D,4,0))))</f>
        <v>Produção de Contas Médicas</v>
      </c>
      <c r="E362" s="74">
        <v>1309</v>
      </c>
      <c r="F362" s="73" t="str">
        <f>IF('General Information'!$C$6="Português",VLOOKUP(E362,'BASE_FUNCOES (hide)'!A:H,2,0),IF('General Information'!$C$6="English",VLOOKUP(E362,'BASE_FUNCOES (hide)'!A:H,3,0),IF('General Information'!$C$6="Español",VLOOKUP(E362,'BASE_FUNCOES (hide)'!A:H,4,0))))</f>
        <v>OPS - Produção - Digitação de SP/SADT</v>
      </c>
      <c r="G362" s="73" t="str">
        <f>IF(AND('General Information'!$D$17=7,VLOOKUP(B362,Modules!$B$5:$E$496,4,0)=1)=TRUE,VLOOKUP('Hours Detail'!E362,'BASE_FUNCOES (hide)'!A:S,17,0),IF(AND('General Information'!$D$17=8,VLOOKUP(B362,Modules!$B$5:$E$496,4,0)=1)=TRUE,VLOOKUP('Hours Detail'!E362,'BASE_FUNCOES (hide)'!A:S,18,0),IF(AND('General Information'!$D$17=9,VLOOKUP(B362,Modules!$B$5:$E$496,4,0)=1)=TRUE,VLOOKUP('Hours Detail'!E362,'BASE_FUNCOES (hide)'!A:S,19,0),"No")))</f>
        <v>No</v>
      </c>
      <c r="H362" s="544" t="str">
        <f t="shared" si="7"/>
        <v>No</v>
      </c>
      <c r="I362" s="75">
        <f>IF('General Information'!$C$4="Mexico",(ROUNDUP(VLOOKUP(E362,'BASE_FUNCOES (hide)'!A:X,21,0),0)),(ROUNDUP(VLOOKUP(E362,'BASE_FUNCOES (hide)'!A:L,9,0),0)))</f>
        <v>4</v>
      </c>
      <c r="J362" s="75">
        <f>ROUNDUP(SUMIF(Questions!$E$5:$E$558,'Hours Detail'!E362,Questions!$F$5:$F$558),0)</f>
        <v>0</v>
      </c>
      <c r="K362" s="76">
        <f>IF(H362="Yes",ROUNDUP(IF(VLOOKUP(E362,'BASE_FUNCOES (hide)'!A:T,16,FALSE)&lt;&gt;"No",IF('General Information'!$C$19="HTML5",(I362+J362)*'BASE_FUNCOES (hide)'!$T$2,I362+J362),I362+J362),I362+J362),I362+J362)</f>
        <v>4</v>
      </c>
      <c r="L362" s="163" t="str">
        <f>IF(ISERROR(VLOOKUP(E362,Questions!$E$5:$L$568,6,0))=FALSE,VLOOKUP(E362,Questions!$E$5:$L$568,6,0),"")</f>
        <v/>
      </c>
      <c r="M362" s="164" t="s">
        <v>2396</v>
      </c>
      <c r="N362" s="369" t="s">
        <v>2377</v>
      </c>
    </row>
    <row r="363" spans="1:14" ht="14.5" customHeight="1">
      <c r="A363" s="59"/>
      <c r="B363" s="72">
        <f>VLOOKUP('Hours Detail'!E363,'BASE_FUNCOES (hide)'!A:W,5,FALSE)</f>
        <v>377</v>
      </c>
      <c r="C363" s="72" t="s">
        <v>5887</v>
      </c>
      <c r="D363" s="73" t="str">
        <f>IF('General Information'!$C$6="Português",VLOOKUP(B363,'ESTRUTURA_MODULO(hide)'!A:D,2,0),IF('General Information'!$C$6="English",VLOOKUP(B363,'ESTRUTURA_MODULO(hide)'!A:D,3,0),IF('General Information'!$C$6="Español",VLOOKUP(B363,'ESTRUTURA_MODULO(hide)'!A:D,4,0))))</f>
        <v>Produção de Contas Médicas</v>
      </c>
      <c r="E363" s="74">
        <v>1310</v>
      </c>
      <c r="F363" s="73" t="str">
        <f>IF('General Information'!$C$6="Português",VLOOKUP(E363,'BASE_FUNCOES (hide)'!A:H,2,0),IF('General Information'!$C$6="English",VLOOKUP(E363,'BASE_FUNCOES (hide)'!A:H,3,0),IF('General Information'!$C$6="Español",VLOOKUP(E363,'BASE_FUNCOES (hide)'!A:H,4,0))))</f>
        <v>OPS - Produção - Digitação de Internações</v>
      </c>
      <c r="G363" s="73" t="str">
        <f>IF(AND('General Information'!$D$17=7,VLOOKUP(B363,Modules!$B$5:$E$496,4,0)=1)=TRUE,VLOOKUP('Hours Detail'!E363,'BASE_FUNCOES (hide)'!A:S,17,0),IF(AND('General Information'!$D$17=8,VLOOKUP(B363,Modules!$B$5:$E$496,4,0)=1)=TRUE,VLOOKUP('Hours Detail'!E363,'BASE_FUNCOES (hide)'!A:S,18,0),IF(AND('General Information'!$D$17=9,VLOOKUP(B363,Modules!$B$5:$E$496,4,0)=1)=TRUE,VLOOKUP('Hours Detail'!E363,'BASE_FUNCOES (hide)'!A:S,19,0),"No")))</f>
        <v>No</v>
      </c>
      <c r="H363" s="544" t="str">
        <f t="shared" si="7"/>
        <v>No</v>
      </c>
      <c r="I363" s="75">
        <f>IF('General Information'!$C$4="Mexico",(ROUNDUP(VLOOKUP(E363,'BASE_FUNCOES (hide)'!A:X,21,0),0)),(ROUNDUP(VLOOKUP(E363,'BASE_FUNCOES (hide)'!A:L,9,0),0)))</f>
        <v>4</v>
      </c>
      <c r="J363" s="75">
        <f>ROUNDUP(SUMIF(Questions!$E$5:$E$558,'Hours Detail'!E363,Questions!$F$5:$F$558),0)</f>
        <v>0</v>
      </c>
      <c r="K363" s="76">
        <f>IF(H363="Yes",ROUNDUP(IF(VLOOKUP(E363,'BASE_FUNCOES (hide)'!A:T,16,FALSE)&lt;&gt;"No",IF('General Information'!$C$19="HTML5",(I363+J363)*'BASE_FUNCOES (hide)'!$T$2,I363+J363),I363+J363),I363+J363),I363+J363)</f>
        <v>4</v>
      </c>
      <c r="L363" s="163" t="str">
        <f>IF(ISERROR(VLOOKUP(E363,Questions!$E$5:$L$568,6,0))=FALSE,VLOOKUP(E363,Questions!$E$5:$L$568,6,0),"")</f>
        <v/>
      </c>
      <c r="M363" s="164" t="s">
        <v>2396</v>
      </c>
      <c r="N363" s="369" t="s">
        <v>2377</v>
      </c>
    </row>
    <row r="364" spans="1:14" ht="14.5" customHeight="1">
      <c r="A364" s="59"/>
      <c r="B364" s="72">
        <f>VLOOKUP('Hours Detail'!E364,'BASE_FUNCOES (hide)'!A:W,5,FALSE)</f>
        <v>377</v>
      </c>
      <c r="C364" s="72" t="s">
        <v>5887</v>
      </c>
      <c r="D364" s="73" t="str">
        <f>IF('General Information'!$C$6="Português",VLOOKUP(B364,'ESTRUTURA_MODULO(hide)'!A:D,2,0),IF('General Information'!$C$6="English",VLOOKUP(B364,'ESTRUTURA_MODULO(hide)'!A:D,3,0),IF('General Information'!$C$6="Español",VLOOKUP(B364,'ESTRUTURA_MODULO(hide)'!A:D,4,0))))</f>
        <v>Produção de Contas Médicas</v>
      </c>
      <c r="E364" s="74">
        <v>1238</v>
      </c>
      <c r="F364" s="73" t="str">
        <f>IF('General Information'!$C$6="Português",VLOOKUP(E364,'BASE_FUNCOES (hide)'!A:H,2,0),IF('General Information'!$C$6="English",VLOOKUP(E364,'BASE_FUNCOES (hide)'!A:H,3,0),IF('General Information'!$C$6="Español",VLOOKUP(E364,'BASE_FUNCOES (hide)'!A:H,4,0))))</f>
        <v>OPS - Controle de Processos de Ressarcimento</v>
      </c>
      <c r="G364" s="73" t="str">
        <f>IF(AND('General Information'!$D$17=7,VLOOKUP(B364,Modules!$B$5:$E$496,4,0)=1)=TRUE,VLOOKUP('Hours Detail'!E364,'BASE_FUNCOES (hide)'!A:S,17,0),IF(AND('General Information'!$D$17=8,VLOOKUP(B364,Modules!$B$5:$E$496,4,0)=1)=TRUE,VLOOKUP('Hours Detail'!E364,'BASE_FUNCOES (hide)'!A:S,18,0),IF(AND('General Information'!$D$17=9,VLOOKUP(B364,Modules!$B$5:$E$496,4,0)=1)=TRUE,VLOOKUP('Hours Detail'!E364,'BASE_FUNCOES (hide)'!A:S,19,0),"No")))</f>
        <v>No</v>
      </c>
      <c r="H364" s="544" t="str">
        <f t="shared" si="7"/>
        <v>No</v>
      </c>
      <c r="I364" s="75">
        <f>IF('General Information'!$C$4="Mexico",(ROUNDUP(VLOOKUP(E364,'BASE_FUNCOES (hide)'!A:X,21,0),0)),(ROUNDUP(VLOOKUP(E364,'BASE_FUNCOES (hide)'!A:L,9,0),0)))</f>
        <v>16</v>
      </c>
      <c r="J364" s="75">
        <f>ROUNDUP(SUMIF(Questions!$E$5:$E$558,'Hours Detail'!E364,Questions!$F$5:$F$558),0)</f>
        <v>0</v>
      </c>
      <c r="K364" s="76">
        <f>IF(H364="Yes",ROUNDUP(IF(VLOOKUP(E364,'BASE_FUNCOES (hide)'!A:T,16,FALSE)&lt;&gt;"No",IF('General Information'!$C$19="HTML5",(I364+J364)*'BASE_FUNCOES (hide)'!$T$2,I364+J364),I364+J364),I364+J364),I364+J364)</f>
        <v>16</v>
      </c>
      <c r="L364" s="163" t="str">
        <f>IF(ISERROR(VLOOKUP(E364,Questions!$E$5:$L$568,6,0))=FALSE,VLOOKUP(E364,Questions!$E$5:$L$568,6,0),"")</f>
        <v/>
      </c>
      <c r="M364" s="164" t="s">
        <v>2396</v>
      </c>
      <c r="N364" s="369" t="s">
        <v>2377</v>
      </c>
    </row>
    <row r="365" spans="1:14" ht="14.5" customHeight="1">
      <c r="A365" s="59"/>
      <c r="B365" s="72">
        <f>VLOOKUP('Hours Detail'!E365,'BASE_FUNCOES (hide)'!A:W,5,FALSE)</f>
        <v>377</v>
      </c>
      <c r="C365" s="72" t="s">
        <v>5887</v>
      </c>
      <c r="D365" s="73" t="str">
        <f>IF('General Information'!$C$6="Português",VLOOKUP(B365,'ESTRUTURA_MODULO(hide)'!A:D,2,0),IF('General Information'!$C$6="English",VLOOKUP(B365,'ESTRUTURA_MODULO(hide)'!A:D,3,0),IF('General Information'!$C$6="Español",VLOOKUP(B365,'ESTRUTURA_MODULO(hide)'!A:D,4,0))))</f>
        <v>Produção de Contas Médicas</v>
      </c>
      <c r="E365" s="74">
        <v>1229</v>
      </c>
      <c r="F365" s="73" t="str">
        <f>IF('General Information'!$C$6="Português",VLOOKUP(E365,'BASE_FUNCOES (hide)'!A:H,2,0),IF('General Information'!$C$6="English",VLOOKUP(E365,'BASE_FUNCOES (hide)'!A:H,3,0),IF('General Information'!$C$6="Español",VLOOKUP(E365,'BASE_FUNCOES (hide)'!A:H,4,0))))</f>
        <v>OPS - Controle de Reembolsos</v>
      </c>
      <c r="G365" s="73" t="str">
        <f>IF(AND('General Information'!$D$17=7,VLOOKUP(B365,Modules!$B$5:$E$496,4,0)=1)=TRUE,VLOOKUP('Hours Detail'!E365,'BASE_FUNCOES (hide)'!A:S,17,0),IF(AND('General Information'!$D$17=8,VLOOKUP(B365,Modules!$B$5:$E$496,4,0)=1)=TRUE,VLOOKUP('Hours Detail'!E365,'BASE_FUNCOES (hide)'!A:S,18,0),IF(AND('General Information'!$D$17=9,VLOOKUP(B365,Modules!$B$5:$E$496,4,0)=1)=TRUE,VLOOKUP('Hours Detail'!E365,'BASE_FUNCOES (hide)'!A:S,19,0),"No")))</f>
        <v>No</v>
      </c>
      <c r="H365" s="544" t="str">
        <f t="shared" si="7"/>
        <v>No</v>
      </c>
      <c r="I365" s="75">
        <f>IF('General Information'!$C$4="Mexico",(ROUNDUP(VLOOKUP(E365,'BASE_FUNCOES (hide)'!A:X,21,0),0)),(ROUNDUP(VLOOKUP(E365,'BASE_FUNCOES (hide)'!A:L,9,0),0)))</f>
        <v>16</v>
      </c>
      <c r="J365" s="75">
        <f>ROUNDUP(SUMIF(Questions!$E$5:$E$558,'Hours Detail'!E365,Questions!$F$5:$F$558),0)</f>
        <v>0</v>
      </c>
      <c r="K365" s="76">
        <f>IF(H365="Yes",ROUNDUP(IF(VLOOKUP(E365,'BASE_FUNCOES (hide)'!A:T,16,FALSE)&lt;&gt;"No",IF('General Information'!$C$19="HTML5",(I365+J365)*'BASE_FUNCOES (hide)'!$T$2,I365+J365),I365+J365),I365+J365),I365+J365)</f>
        <v>16</v>
      </c>
      <c r="L365" s="163" t="str">
        <f>IF(ISERROR(VLOOKUP(E365,Questions!$E$5:$L$568,6,0))=FALSE,VLOOKUP(E365,Questions!$E$5:$L$568,6,0),"")</f>
        <v/>
      </c>
      <c r="M365" s="164" t="s">
        <v>2396</v>
      </c>
      <c r="N365" s="369" t="s">
        <v>2377</v>
      </c>
    </row>
    <row r="366" spans="1:14" ht="14.5" customHeight="1">
      <c r="A366" s="59"/>
      <c r="B366" s="72">
        <f>VLOOKUP('Hours Detail'!E366,'BASE_FUNCOES (hide)'!A:W,5,FALSE)</f>
        <v>377</v>
      </c>
      <c r="C366" s="72" t="s">
        <v>5887</v>
      </c>
      <c r="D366" s="73" t="str">
        <f>IF('General Information'!$C$6="Português",VLOOKUP(B366,'ESTRUTURA_MODULO(hide)'!A:D,2,0),IF('General Information'!$C$6="English",VLOOKUP(B366,'ESTRUTURA_MODULO(hide)'!A:D,3,0),IF('General Information'!$C$6="Español",VLOOKUP(B366,'ESTRUTURA_MODULO(hide)'!A:D,4,0))))</f>
        <v>Produção de Contas Médicas</v>
      </c>
      <c r="E366" s="74">
        <v>1208</v>
      </c>
      <c r="F366" s="73" t="str">
        <f>IF('General Information'!$C$6="Português",VLOOKUP(E366,'BASE_FUNCOES (hide)'!A:H,2,0),IF('General Information'!$C$6="English",VLOOKUP(E366,'BASE_FUNCOES (hide)'!A:H,3,0),IF('General Information'!$C$6="Español",VLOOKUP(E366,'BASE_FUNCOES (hide)'!A:H,4,0))))</f>
        <v>OPS - Gestão de Contas Médicas</v>
      </c>
      <c r="G366" s="73" t="str">
        <f>IF(AND('General Information'!$D$17=7,VLOOKUP(B366,Modules!$B$5:$E$496,4,0)=1)=TRUE,VLOOKUP('Hours Detail'!E366,'BASE_FUNCOES (hide)'!A:S,17,0),IF(AND('General Information'!$D$17=8,VLOOKUP(B366,Modules!$B$5:$E$496,4,0)=1)=TRUE,VLOOKUP('Hours Detail'!E366,'BASE_FUNCOES (hide)'!A:S,18,0),IF(AND('General Information'!$D$17=9,VLOOKUP(B366,Modules!$B$5:$E$496,4,0)=1)=TRUE,VLOOKUP('Hours Detail'!E366,'BASE_FUNCOES (hide)'!A:S,19,0),"No")))</f>
        <v>No</v>
      </c>
      <c r="H366" s="544" t="str">
        <f t="shared" si="7"/>
        <v>No</v>
      </c>
      <c r="I366" s="75">
        <f>IF('General Information'!$C$4="Mexico",(ROUNDUP(VLOOKUP(E366,'BASE_FUNCOES (hide)'!A:X,21,0),0)),(ROUNDUP(VLOOKUP(E366,'BASE_FUNCOES (hide)'!A:L,9,0),0)))</f>
        <v>16</v>
      </c>
      <c r="J366" s="75">
        <f>ROUNDUP(SUMIF(Questions!$E$5:$E$558,'Hours Detail'!E366,Questions!$F$5:$F$558),0)</f>
        <v>0</v>
      </c>
      <c r="K366" s="76">
        <f>IF(H366="Yes",ROUNDUP(IF(VLOOKUP(E366,'BASE_FUNCOES (hide)'!A:T,16,FALSE)&lt;&gt;"No",IF('General Information'!$C$19="HTML5",(I366+J366)*'BASE_FUNCOES (hide)'!$T$2,I366+J366),I366+J366),I366+J366),I366+J366)</f>
        <v>16</v>
      </c>
      <c r="L366" s="163" t="str">
        <f>IF(ISERROR(VLOOKUP(E366,Questions!$E$5:$L$568,6,0))=FALSE,VLOOKUP(E366,Questions!$E$5:$L$568,6,0),"")</f>
        <v/>
      </c>
      <c r="M366" s="164" t="s">
        <v>2396</v>
      </c>
      <c r="N366" s="369" t="s">
        <v>2377</v>
      </c>
    </row>
    <row r="367" spans="1:14" ht="14.5" customHeight="1">
      <c r="A367" s="59"/>
      <c r="B367" s="72">
        <f>VLOOKUP('Hours Detail'!E367,'BASE_FUNCOES (hide)'!A:W,5,FALSE)</f>
        <v>377</v>
      </c>
      <c r="C367" s="72" t="s">
        <v>5887</v>
      </c>
      <c r="D367" s="73" t="str">
        <f>IF('General Information'!$C$6="Português",VLOOKUP(B367,'ESTRUTURA_MODULO(hide)'!A:D,2,0),IF('General Information'!$C$6="English",VLOOKUP(B367,'ESTRUTURA_MODULO(hide)'!A:D,3,0),IF('General Information'!$C$6="Español",VLOOKUP(B367,'ESTRUTURA_MODULO(hide)'!A:D,4,0))))</f>
        <v>Produção de Contas Médicas</v>
      </c>
      <c r="E367" s="74">
        <v>1317</v>
      </c>
      <c r="F367" s="73" t="str">
        <f>IF('General Information'!$C$6="Português",VLOOKUP(E367,'BASE_FUNCOES (hide)'!A:H,2,0),IF('General Information'!$C$6="English",VLOOKUP(E367,'BASE_FUNCOES (hide)'!A:H,3,0),IF('General Information'!$C$6="Español",VLOOKUP(E367,'BASE_FUNCOES (hide)'!A:H,4,0))))</f>
        <v>OPS - Análise de Contas Médicas</v>
      </c>
      <c r="G367" s="73" t="str">
        <f>IF(AND('General Information'!$D$17=7,VLOOKUP(B367,Modules!$B$5:$E$496,4,0)=1)=TRUE,VLOOKUP('Hours Detail'!E367,'BASE_FUNCOES (hide)'!A:S,17,0),IF(AND('General Information'!$D$17=8,VLOOKUP(B367,Modules!$B$5:$E$496,4,0)=1)=TRUE,VLOOKUP('Hours Detail'!E367,'BASE_FUNCOES (hide)'!A:S,18,0),IF(AND('General Information'!$D$17=9,VLOOKUP(B367,Modules!$B$5:$E$496,4,0)=1)=TRUE,VLOOKUP('Hours Detail'!E367,'BASE_FUNCOES (hide)'!A:S,19,0),"No")))</f>
        <v>No</v>
      </c>
      <c r="H367" s="544" t="str">
        <f t="shared" si="7"/>
        <v>No</v>
      </c>
      <c r="I367" s="75">
        <f>IF('General Information'!$C$4="Mexico",(ROUNDUP(VLOOKUP(E367,'BASE_FUNCOES (hide)'!A:X,21,0),0)),(ROUNDUP(VLOOKUP(E367,'BASE_FUNCOES (hide)'!A:L,9,0),0)))</f>
        <v>32</v>
      </c>
      <c r="J367" s="75">
        <f>ROUNDUP(SUMIF(Questions!$E$5:$E$558,'Hours Detail'!E367,Questions!$F$5:$F$558),0)</f>
        <v>0</v>
      </c>
      <c r="K367" s="76">
        <f>IF(H367="Yes",ROUNDUP(IF(VLOOKUP(E367,'BASE_FUNCOES (hide)'!A:T,16,FALSE)&lt;&gt;"No",IF('General Information'!$C$19="HTML5",(I367+J367)*'BASE_FUNCOES (hide)'!$T$2,I367+J367),I367+J367),I367+J367),I367+J367)</f>
        <v>32</v>
      </c>
      <c r="L367" s="163" t="str">
        <f>IF(ISERROR(VLOOKUP(E367,Questions!$E$5:$L$568,6,0))=FALSE,VLOOKUP(E367,Questions!$E$5:$L$568,6,0),"")</f>
        <v/>
      </c>
      <c r="M367" s="164" t="s">
        <v>2396</v>
      </c>
      <c r="N367" s="369" t="s">
        <v>2377</v>
      </c>
    </row>
    <row r="368" spans="1:14" ht="14.5" customHeight="1">
      <c r="A368" s="59"/>
      <c r="B368" s="72">
        <f>VLOOKUP('Hours Detail'!E368,'BASE_FUNCOES (hide)'!A:W,5,FALSE)</f>
        <v>377</v>
      </c>
      <c r="C368" s="72" t="s">
        <v>5887</v>
      </c>
      <c r="D368" s="73" t="str">
        <f>IF('General Information'!$C$6="Português",VLOOKUP(B368,'ESTRUTURA_MODULO(hide)'!A:D,2,0),IF('General Information'!$C$6="English",VLOOKUP(B368,'ESTRUTURA_MODULO(hide)'!A:D,3,0),IF('General Information'!$C$6="Español",VLOOKUP(B368,'ESTRUTURA_MODULO(hide)'!A:D,4,0))))</f>
        <v>Produção de Contas Médicas</v>
      </c>
      <c r="E368" s="74">
        <v>1391</v>
      </c>
      <c r="F368" s="73" t="str">
        <f>IF('General Information'!$C$6="Português",VLOOKUP(E368,'BASE_FUNCOES (hide)'!A:H,2,0),IF('General Information'!$C$6="English",VLOOKUP(E368,'BASE_FUNCOES (hide)'!A:H,3,0),IF('General Information'!$C$6="Español",VLOOKUP(E368,'BASE_FUNCOES (hide)'!A:H,4,0))))</f>
        <v>OPS - Odontograma</v>
      </c>
      <c r="G368" s="73" t="str">
        <f>IF(AND('General Information'!$D$17=7,VLOOKUP(B368,Modules!$B$5:$E$496,4,0)=1)=TRUE,VLOOKUP('Hours Detail'!E368,'BASE_FUNCOES (hide)'!A:S,17,0),IF(AND('General Information'!$D$17=8,VLOOKUP(B368,Modules!$B$5:$E$496,4,0)=1)=TRUE,VLOOKUP('Hours Detail'!E368,'BASE_FUNCOES (hide)'!A:S,18,0),IF(AND('General Information'!$D$17=9,VLOOKUP(B368,Modules!$B$5:$E$496,4,0)=1)=TRUE,VLOOKUP('Hours Detail'!E368,'BASE_FUNCOES (hide)'!A:S,19,0),"No")))</f>
        <v>No</v>
      </c>
      <c r="H368" s="544" t="str">
        <f t="shared" si="7"/>
        <v>No</v>
      </c>
      <c r="I368" s="75">
        <f>IF('General Information'!$C$4="Mexico",(ROUNDUP(VLOOKUP(E368,'BASE_FUNCOES (hide)'!A:X,21,0),0)),(ROUNDUP(VLOOKUP(E368,'BASE_FUNCOES (hide)'!A:L,9,0),0)))</f>
        <v>40</v>
      </c>
      <c r="J368" s="75">
        <f>ROUNDUP(SUMIF(Questions!$E$5:$E$558,'Hours Detail'!E368,Questions!$F$5:$F$558),0)</f>
        <v>0</v>
      </c>
      <c r="K368" s="76">
        <f>IF(H368="Yes",ROUNDUP(IF(VLOOKUP(E368,'BASE_FUNCOES (hide)'!A:T,16,FALSE)&lt;&gt;"No",IF('General Information'!$C$19="HTML5",(I368+J368)*'BASE_FUNCOES (hide)'!$T$2,I368+J368),I368+J368),I368+J368),I368+J368)</f>
        <v>40</v>
      </c>
      <c r="L368" s="163" t="str">
        <f>IF(ISERROR(VLOOKUP(E368,Questions!$E$5:$L$568,6,0))=FALSE,VLOOKUP(E368,Questions!$E$5:$L$568,6,0),"")</f>
        <v/>
      </c>
      <c r="M368" s="164" t="s">
        <v>2396</v>
      </c>
      <c r="N368" s="369" t="s">
        <v>2377</v>
      </c>
    </row>
    <row r="369" spans="1:14" ht="14.5" customHeight="1">
      <c r="A369" s="59"/>
      <c r="B369" s="72">
        <f>VLOOKUP('Hours Detail'!E369,'BASE_FUNCOES (hide)'!A:W,5,FALSE)</f>
        <v>377</v>
      </c>
      <c r="C369" s="72" t="s">
        <v>5887</v>
      </c>
      <c r="D369" s="73" t="str">
        <f>IF('General Information'!$C$6="Português",VLOOKUP(B369,'ESTRUTURA_MODULO(hide)'!A:D,2,0),IF('General Information'!$C$6="English",VLOOKUP(B369,'ESTRUTURA_MODULO(hide)'!A:D,3,0),IF('General Information'!$C$6="Español",VLOOKUP(B369,'ESTRUTURA_MODULO(hide)'!A:D,4,0))))</f>
        <v>Produção de Contas Médicas</v>
      </c>
      <c r="E369" s="74">
        <v>1383</v>
      </c>
      <c r="F369" s="73" t="str">
        <f>IF('General Information'!$C$6="Português",VLOOKUP(E369,'BASE_FUNCOES (hide)'!A:H,2,0),IF('General Information'!$C$6="English",VLOOKUP(E369,'BASE_FUNCOES (hide)'!A:H,3,0),IF('General Information'!$C$6="Español",VLOOKUP(E369,'BASE_FUNCOES (hide)'!A:H,4,0))))</f>
        <v>OPS - Produção - Processos de Contas Médicas</v>
      </c>
      <c r="G369" s="73" t="str">
        <f>IF(AND('General Information'!$D$17=7,VLOOKUP(B369,Modules!$B$5:$E$496,4,0)=1)=TRUE,VLOOKUP('Hours Detail'!E369,'BASE_FUNCOES (hide)'!A:S,17,0),IF(AND('General Information'!$D$17=8,VLOOKUP(B369,Modules!$B$5:$E$496,4,0)=1)=TRUE,VLOOKUP('Hours Detail'!E369,'BASE_FUNCOES (hide)'!A:S,18,0),IF(AND('General Information'!$D$17=9,VLOOKUP(B369,Modules!$B$5:$E$496,4,0)=1)=TRUE,VLOOKUP('Hours Detail'!E369,'BASE_FUNCOES (hide)'!A:S,19,0),"No")))</f>
        <v>No</v>
      </c>
      <c r="H369" s="544" t="str">
        <f t="shared" si="7"/>
        <v>No</v>
      </c>
      <c r="I369" s="75">
        <f>IF('General Information'!$C$4="Mexico",(ROUNDUP(VLOOKUP(E369,'BASE_FUNCOES (hide)'!A:X,21,0),0)),(ROUNDUP(VLOOKUP(E369,'BASE_FUNCOES (hide)'!A:L,9,0),0)))</f>
        <v>16</v>
      </c>
      <c r="J369" s="75">
        <f>ROUNDUP(SUMIF(Questions!$E$5:$E$558,'Hours Detail'!E369,Questions!$F$5:$F$558),0)</f>
        <v>0</v>
      </c>
      <c r="K369" s="76">
        <f>IF(H369="Yes",ROUNDUP(IF(VLOOKUP(E369,'BASE_FUNCOES (hide)'!A:T,16,FALSE)&lt;&gt;"No",IF('General Information'!$C$19="HTML5",(I369+J369)*'BASE_FUNCOES (hide)'!$T$2,I369+J369),I369+J369),I369+J369),I369+J369)</f>
        <v>16</v>
      </c>
      <c r="L369" s="163" t="str">
        <f>IF(ISERROR(VLOOKUP(E369,Questions!$E$5:$L$568,6,0))=FALSE,VLOOKUP(E369,Questions!$E$5:$L$568,6,0),"")</f>
        <v/>
      </c>
      <c r="M369" s="164" t="s">
        <v>2396</v>
      </c>
      <c r="N369" s="369" t="s">
        <v>2377</v>
      </c>
    </row>
    <row r="370" spans="1:14" ht="14.5" customHeight="1">
      <c r="A370" s="59"/>
      <c r="B370" s="72">
        <f>VLOOKUP('Hours Detail'!E370,'BASE_FUNCOES (hide)'!A:W,5,FALSE)</f>
        <v>377</v>
      </c>
      <c r="C370" s="72" t="s">
        <v>5887</v>
      </c>
      <c r="D370" s="73" t="str">
        <f>IF('General Information'!$C$6="Português",VLOOKUP(B370,'ESTRUTURA_MODULO(hide)'!A:D,2,0),IF('General Information'!$C$6="English",VLOOKUP(B370,'ESTRUTURA_MODULO(hide)'!A:D,3,0),IF('General Information'!$C$6="Español",VLOOKUP(B370,'ESTRUTURA_MODULO(hide)'!A:D,4,0))))</f>
        <v>Produção de Contas Médicas</v>
      </c>
      <c r="E370" s="74">
        <v>1378</v>
      </c>
      <c r="F370" s="73" t="str">
        <f>IF('General Information'!$C$6="Português",VLOOKUP(E370,'BASE_FUNCOES (hide)'!A:H,2,0),IF('General Information'!$C$6="English",VLOOKUP(E370,'BASE_FUNCOES (hide)'!A:H,3,0),IF('General Information'!$C$6="Español",VLOOKUP(E370,'BASE_FUNCOES (hide)'!A:H,4,0))))</f>
        <v>OPS - Produção - Recurso de Glosa</v>
      </c>
      <c r="G370" s="73" t="str">
        <f>IF(AND('General Information'!$D$17=7,VLOOKUP(B370,Modules!$B$5:$E$496,4,0)=1)=TRUE,VLOOKUP('Hours Detail'!E370,'BASE_FUNCOES (hide)'!A:S,17,0),IF(AND('General Information'!$D$17=8,VLOOKUP(B370,Modules!$B$5:$E$496,4,0)=1)=TRUE,VLOOKUP('Hours Detail'!E370,'BASE_FUNCOES (hide)'!A:S,18,0),IF(AND('General Information'!$D$17=9,VLOOKUP(B370,Modules!$B$5:$E$496,4,0)=1)=TRUE,VLOOKUP('Hours Detail'!E370,'BASE_FUNCOES (hide)'!A:S,19,0),"No")))</f>
        <v>No</v>
      </c>
      <c r="H370" s="544" t="str">
        <f t="shared" si="7"/>
        <v>No</v>
      </c>
      <c r="I370" s="75">
        <f>IF('General Information'!$C$4="Mexico",(ROUNDUP(VLOOKUP(E370,'BASE_FUNCOES (hide)'!A:X,21,0),0)),(ROUNDUP(VLOOKUP(E370,'BASE_FUNCOES (hide)'!A:L,9,0),0)))</f>
        <v>24</v>
      </c>
      <c r="J370" s="75">
        <f>ROUNDUP(SUMIF(Questions!$E$5:$E$558,'Hours Detail'!E370,Questions!$F$5:$F$558),0)</f>
        <v>0</v>
      </c>
      <c r="K370" s="76">
        <f>IF(H370="Yes",ROUNDUP(IF(VLOOKUP(E370,'BASE_FUNCOES (hide)'!A:T,16,FALSE)&lt;&gt;"No",IF('General Information'!$C$19="HTML5",(I370+J370)*'BASE_FUNCOES (hide)'!$T$2,I370+J370),I370+J370),I370+J370),I370+J370)</f>
        <v>24</v>
      </c>
      <c r="L370" s="163" t="str">
        <f>IF(ISERROR(VLOOKUP(E370,Questions!$E$5:$L$568,6,0))=FALSE,VLOOKUP(E370,Questions!$E$5:$L$568,6,0),"")</f>
        <v/>
      </c>
      <c r="M370" s="164" t="s">
        <v>2396</v>
      </c>
      <c r="N370" s="369" t="s">
        <v>2377</v>
      </c>
    </row>
    <row r="371" spans="1:14" ht="14.5" customHeight="1">
      <c r="A371" s="59"/>
      <c r="B371" s="72">
        <f>VLOOKUP('Hours Detail'!E371,'BASE_FUNCOES (hide)'!A:W,5,FALSE)</f>
        <v>377</v>
      </c>
      <c r="C371" s="72" t="s">
        <v>5887</v>
      </c>
      <c r="D371" s="73" t="str">
        <f>IF('General Information'!$C$6="Português",VLOOKUP(B371,'ESTRUTURA_MODULO(hide)'!A:D,2,0),IF('General Information'!$C$6="English",VLOOKUP(B371,'ESTRUTURA_MODULO(hide)'!A:D,3,0),IF('General Information'!$C$6="Español",VLOOKUP(B371,'ESTRUTURA_MODULO(hide)'!A:D,4,0))))</f>
        <v>Produção de Contas Médicas</v>
      </c>
      <c r="E371" s="74">
        <v>107</v>
      </c>
      <c r="F371" s="73" t="str">
        <f>IF('General Information'!$C$6="Português",VLOOKUP(E371,'BASE_FUNCOES (hide)'!A:H,2,0),IF('General Information'!$C$6="English",VLOOKUP(E371,'BASE_FUNCOES (hide)'!A:H,3,0),IF('General Information'!$C$6="Español",VLOOKUP(E371,'BASE_FUNCOES (hide)'!A:H,4,0))))</f>
        <v>OPS - Pagamentos de Prestadores</v>
      </c>
      <c r="G371" s="73" t="str">
        <f>IF(AND('General Information'!$D$17=7,VLOOKUP(B371,Modules!$B$5:$E$496,4,0)=1)=TRUE,VLOOKUP('Hours Detail'!E371,'BASE_FUNCOES (hide)'!A:S,17,0),IF(AND('General Information'!$D$17=8,VLOOKUP(B371,Modules!$B$5:$E$496,4,0)=1)=TRUE,VLOOKUP('Hours Detail'!E371,'BASE_FUNCOES (hide)'!A:S,18,0),IF(AND('General Information'!$D$17=9,VLOOKUP(B371,Modules!$B$5:$E$496,4,0)=1)=TRUE,VLOOKUP('Hours Detail'!E371,'BASE_FUNCOES (hide)'!A:S,19,0),"No")))</f>
        <v>No</v>
      </c>
      <c r="H371" s="544" t="str">
        <f t="shared" si="7"/>
        <v>No</v>
      </c>
      <c r="I371" s="75">
        <f>IF('General Information'!$C$4="Mexico",(ROUNDUP(VLOOKUP(E371,'BASE_FUNCOES (hide)'!A:X,21,0),0)),(ROUNDUP(VLOOKUP(E371,'BASE_FUNCOES (hide)'!A:L,9,0),0)))</f>
        <v>40</v>
      </c>
      <c r="J371" s="75">
        <f>ROUNDUP(SUMIF(Questions!$E$5:$E$558,'Hours Detail'!E371,Questions!$F$5:$F$558),0)</f>
        <v>0</v>
      </c>
      <c r="K371" s="76">
        <f>IF(H371="Yes",ROUNDUP(IF(VLOOKUP(E371,'BASE_FUNCOES (hide)'!A:T,16,FALSE)&lt;&gt;"No",IF('General Information'!$C$19="HTML5",(I371+J371)*'BASE_FUNCOES (hide)'!$T$2,I371+J371),I371+J371),I371+J371),I371+J371)</f>
        <v>40</v>
      </c>
      <c r="L371" s="163" t="str">
        <f>IF(ISERROR(VLOOKUP(E371,Questions!$E$5:$L$568,6,0))=FALSE,VLOOKUP(E371,Questions!$E$5:$L$568,6,0),"")</f>
        <v/>
      </c>
      <c r="M371" s="164" t="s">
        <v>2396</v>
      </c>
      <c r="N371" s="369" t="s">
        <v>2377</v>
      </c>
    </row>
    <row r="372" spans="1:14" ht="14.5" customHeight="1">
      <c r="A372" s="59"/>
      <c r="B372" s="72">
        <f>VLOOKUP('Hours Detail'!E372,'BASE_FUNCOES (hide)'!A:W,5,FALSE)</f>
        <v>377</v>
      </c>
      <c r="C372" s="72" t="s">
        <v>5887</v>
      </c>
      <c r="D372" s="73" t="str">
        <f>IF('General Information'!$C$6="Português",VLOOKUP(B372,'ESTRUTURA_MODULO(hide)'!A:D,2,0),IF('General Information'!$C$6="English",VLOOKUP(B372,'ESTRUTURA_MODULO(hide)'!A:D,3,0),IF('General Information'!$C$6="Español",VLOOKUP(B372,'ESTRUTURA_MODULO(hide)'!A:D,4,0))))</f>
        <v>Produção de Contas Médicas</v>
      </c>
      <c r="E372" s="74">
        <v>1285</v>
      </c>
      <c r="F372" s="73" t="str">
        <f>IF('General Information'!$C$6="Português",VLOOKUP(E372,'BASE_FUNCOES (hide)'!A:H,2,0),IF('General Information'!$C$6="English",VLOOKUP(E372,'BASE_FUNCOES (hide)'!A:H,3,0),IF('General Information'!$C$6="Español",VLOOKUP(E372,'BASE_FUNCOES (hide)'!A:H,4,0))))</f>
        <v>OPS - Controle de Produção Médica</v>
      </c>
      <c r="G372" s="73" t="str">
        <f>IF(AND('General Information'!$D$17=7,VLOOKUP(B372,Modules!$B$5:$E$496,4,0)=1)=TRUE,VLOOKUP('Hours Detail'!E372,'BASE_FUNCOES (hide)'!A:S,17,0),IF(AND('General Information'!$D$17=8,VLOOKUP(B372,Modules!$B$5:$E$496,4,0)=1)=TRUE,VLOOKUP('Hours Detail'!E372,'BASE_FUNCOES (hide)'!A:S,18,0),IF(AND('General Information'!$D$17=9,VLOOKUP(B372,Modules!$B$5:$E$496,4,0)=1)=TRUE,VLOOKUP('Hours Detail'!E372,'BASE_FUNCOES (hide)'!A:S,19,0),"No")))</f>
        <v>No</v>
      </c>
      <c r="H372" s="544" t="str">
        <f t="shared" si="7"/>
        <v>No</v>
      </c>
      <c r="I372" s="75">
        <f>IF('General Information'!$C$4="Mexico",(ROUNDUP(VLOOKUP(E372,'BASE_FUNCOES (hide)'!A:X,21,0),0)),(ROUNDUP(VLOOKUP(E372,'BASE_FUNCOES (hide)'!A:L,9,0),0)))</f>
        <v>16</v>
      </c>
      <c r="J372" s="75">
        <f>ROUNDUP(SUMIF(Questions!$E$5:$E$558,'Hours Detail'!E372,Questions!$F$5:$F$558),0)</f>
        <v>0</v>
      </c>
      <c r="K372" s="76">
        <f>IF(H372="Yes",ROUNDUP(IF(VLOOKUP(E372,'BASE_FUNCOES (hide)'!A:T,16,FALSE)&lt;&gt;"No",IF('General Information'!$C$19="HTML5",(I372+J372)*'BASE_FUNCOES (hide)'!$T$2,I372+J372),I372+J372),I372+J372),I372+J372)</f>
        <v>16</v>
      </c>
      <c r="L372" s="163" t="str">
        <f>IF(ISERROR(VLOOKUP(E372,Questions!$E$5:$L$568,6,0))=FALSE,VLOOKUP(E372,Questions!$E$5:$L$568,6,0),"")</f>
        <v/>
      </c>
      <c r="M372" s="164" t="s">
        <v>2396</v>
      </c>
      <c r="N372" s="369" t="s">
        <v>2377</v>
      </c>
    </row>
    <row r="373" spans="1:14" ht="14.5" customHeight="1">
      <c r="A373" s="59"/>
      <c r="B373" s="72">
        <f>VLOOKUP('Hours Detail'!E373,'BASE_FUNCOES (hide)'!A:W,5,FALSE)</f>
        <v>377</v>
      </c>
      <c r="C373" s="72" t="s">
        <v>5887</v>
      </c>
      <c r="D373" s="73" t="str">
        <f>IF('General Information'!$C$6="Português",VLOOKUP(B373,'ESTRUTURA_MODULO(hide)'!A:D,2,0),IF('General Information'!$C$6="English",VLOOKUP(B373,'ESTRUTURA_MODULO(hide)'!A:D,3,0),IF('General Information'!$C$6="Español",VLOOKUP(B373,'ESTRUTURA_MODULO(hide)'!A:D,4,0))))</f>
        <v>Produção de Contas Médicas</v>
      </c>
      <c r="E373" s="74">
        <v>1322</v>
      </c>
      <c r="F373" s="73" t="str">
        <f>IF('General Information'!$C$6="Português",VLOOKUP(E373,'BASE_FUNCOES (hide)'!A:H,2,0),IF('General Information'!$C$6="English",VLOOKUP(E373,'BASE_FUNCOES (hide)'!A:H,3,0),IF('General Information'!$C$6="Español",VLOOKUP(E373,'BASE_FUNCOES (hide)'!A:H,4,0))))</f>
        <v>OPS - Registro de Devolução de Guias de Cobrança</v>
      </c>
      <c r="G373" s="73" t="str">
        <f>IF(AND('General Information'!$D$17=7,VLOOKUP(B373,Modules!$B$5:$E$496,4,0)=1)=TRUE,VLOOKUP('Hours Detail'!E373,'BASE_FUNCOES (hide)'!A:S,17,0),IF(AND('General Information'!$D$17=8,VLOOKUP(B373,Modules!$B$5:$E$496,4,0)=1)=TRUE,VLOOKUP('Hours Detail'!E373,'BASE_FUNCOES (hide)'!A:S,18,0),IF(AND('General Information'!$D$17=9,VLOOKUP(B373,Modules!$B$5:$E$496,4,0)=1)=TRUE,VLOOKUP('Hours Detail'!E373,'BASE_FUNCOES (hide)'!A:S,19,0),"No")))</f>
        <v>No</v>
      </c>
      <c r="H373" s="544" t="str">
        <f t="shared" si="7"/>
        <v>No</v>
      </c>
      <c r="I373" s="75">
        <f>IF('General Information'!$C$4="Mexico",(ROUNDUP(VLOOKUP(E373,'BASE_FUNCOES (hide)'!A:X,21,0),0)),(ROUNDUP(VLOOKUP(E373,'BASE_FUNCOES (hide)'!A:L,9,0),0)))</f>
        <v>8</v>
      </c>
      <c r="J373" s="75">
        <f>ROUNDUP(SUMIF(Questions!$E$5:$E$558,'Hours Detail'!E373,Questions!$F$5:$F$558),0)</f>
        <v>0</v>
      </c>
      <c r="K373" s="76">
        <f>IF(H373="Yes",ROUNDUP(IF(VLOOKUP(E373,'BASE_FUNCOES (hide)'!A:T,16,FALSE)&lt;&gt;"No",IF('General Information'!$C$19="HTML5",(I373+J373)*'BASE_FUNCOES (hide)'!$T$2,I373+J373),I373+J373),I373+J373),I373+J373)</f>
        <v>8</v>
      </c>
      <c r="L373" s="163" t="str">
        <f>IF(ISERROR(VLOOKUP(E373,Questions!$E$5:$L$568,6,0))=FALSE,VLOOKUP(E373,Questions!$E$5:$L$568,6,0),"")</f>
        <v/>
      </c>
      <c r="M373" s="164" t="s">
        <v>2396</v>
      </c>
      <c r="N373" s="369" t="s">
        <v>2377</v>
      </c>
    </row>
    <row r="374" spans="1:14" ht="14.5" customHeight="1">
      <c r="A374" s="59"/>
      <c r="B374" s="72">
        <f>VLOOKUP('Hours Detail'!E374,'BASE_FUNCOES (hide)'!A:W,5,FALSE)</f>
        <v>377</v>
      </c>
      <c r="C374" s="72" t="s">
        <v>5887</v>
      </c>
      <c r="D374" s="73" t="str">
        <f>IF('General Information'!$C$6="Português",VLOOKUP(B374,'ESTRUTURA_MODULO(hide)'!A:D,2,0),IF('General Information'!$C$6="English",VLOOKUP(B374,'ESTRUTURA_MODULO(hide)'!A:D,3,0),IF('General Information'!$C$6="Español",VLOOKUP(B374,'ESTRUTURA_MODULO(hide)'!A:D,4,0))))</f>
        <v>Produção de Contas Médicas</v>
      </c>
      <c r="E374" s="74">
        <v>1314</v>
      </c>
      <c r="F374" s="73" t="str">
        <f>IF('General Information'!$C$6="Português",VLOOKUP(E374,'BASE_FUNCOES (hide)'!A:H,2,0),IF('General Information'!$C$6="English",VLOOKUP(E374,'BASE_FUNCOES (hide)'!A:H,3,0),IF('General Information'!$C$6="Español",VLOOKUP(E374,'BASE_FUNCOES (hide)'!A:H,4,0))))</f>
        <v>OPS - Produção - Ajuste de Valorização</v>
      </c>
      <c r="G374" s="73" t="str">
        <f>IF(AND('General Information'!$D$17=7,VLOOKUP(B374,Modules!$B$5:$E$496,4,0)=1)=TRUE,VLOOKUP('Hours Detail'!E374,'BASE_FUNCOES (hide)'!A:S,17,0),IF(AND('General Information'!$D$17=8,VLOOKUP(B374,Modules!$B$5:$E$496,4,0)=1)=TRUE,VLOOKUP('Hours Detail'!E374,'BASE_FUNCOES (hide)'!A:S,18,0),IF(AND('General Information'!$D$17=9,VLOOKUP(B374,Modules!$B$5:$E$496,4,0)=1)=TRUE,VLOOKUP('Hours Detail'!E374,'BASE_FUNCOES (hide)'!A:S,19,0),"No")))</f>
        <v>No</v>
      </c>
      <c r="H374" s="544" t="str">
        <f t="shared" si="7"/>
        <v>No</v>
      </c>
      <c r="I374" s="75">
        <f>IF('General Information'!$C$4="Mexico",(ROUNDUP(VLOOKUP(E374,'BASE_FUNCOES (hide)'!A:X,21,0),0)),(ROUNDUP(VLOOKUP(E374,'BASE_FUNCOES (hide)'!A:L,9,0),0)))</f>
        <v>24</v>
      </c>
      <c r="J374" s="75">
        <f>ROUNDUP(SUMIF(Questions!$E$5:$E$558,'Hours Detail'!E374,Questions!$F$5:$F$558),0)</f>
        <v>0</v>
      </c>
      <c r="K374" s="76">
        <f>IF(H374="Yes",ROUNDUP(IF(VLOOKUP(E374,'BASE_FUNCOES (hide)'!A:T,16,FALSE)&lt;&gt;"No",IF('General Information'!$C$19="HTML5",(I374+J374)*'BASE_FUNCOES (hide)'!$T$2,I374+J374),I374+J374),I374+J374),I374+J374)</f>
        <v>24</v>
      </c>
      <c r="L374" s="163" t="str">
        <f>IF(ISERROR(VLOOKUP(E374,Questions!$E$5:$L$568,6,0))=FALSE,VLOOKUP(E374,Questions!$E$5:$L$568,6,0),"")</f>
        <v/>
      </c>
      <c r="M374" s="164" t="s">
        <v>2396</v>
      </c>
      <c r="N374" s="369" t="s">
        <v>2377</v>
      </c>
    </row>
    <row r="375" spans="1:14" ht="14.5" customHeight="1">
      <c r="A375" s="59"/>
      <c r="B375" s="72">
        <f>VLOOKUP('Hours Detail'!E375,'BASE_FUNCOES (hide)'!A:W,5,FALSE)</f>
        <v>377</v>
      </c>
      <c r="C375" s="72" t="s">
        <v>5887</v>
      </c>
      <c r="D375" s="73" t="str">
        <f>IF('General Information'!$C$6="Português",VLOOKUP(B375,'ESTRUTURA_MODULO(hide)'!A:D,2,0),IF('General Information'!$C$6="English",VLOOKUP(B375,'ESTRUTURA_MODULO(hide)'!A:D,3,0),IF('General Information'!$C$6="Español",VLOOKUP(B375,'ESTRUTURA_MODULO(hide)'!A:D,4,0))))</f>
        <v>Produção de Contas Médicas</v>
      </c>
      <c r="E375" s="74">
        <v>1283</v>
      </c>
      <c r="F375" s="73" t="str">
        <f>IF('General Information'!$C$6="Português",VLOOKUP(E375,'BASE_FUNCOES (hide)'!A:H,2,0),IF('General Information'!$C$6="English",VLOOKUP(E375,'BASE_FUNCOES (hide)'!A:H,3,0),IF('General Information'!$C$6="Español",VLOOKUP(E375,'BASE_FUNCOES (hide)'!A:H,4,0))))</f>
        <v>OPS - Controle de Eventos e Ocorrências Financeiras</v>
      </c>
      <c r="G375" s="73" t="str">
        <f>IF(AND('General Information'!$D$17=7,VLOOKUP(B375,Modules!$B$5:$E$496,4,0)=1)=TRUE,VLOOKUP('Hours Detail'!E375,'BASE_FUNCOES (hide)'!A:S,17,0),IF(AND('General Information'!$D$17=8,VLOOKUP(B375,Modules!$B$5:$E$496,4,0)=1)=TRUE,VLOOKUP('Hours Detail'!E375,'BASE_FUNCOES (hide)'!A:S,18,0),IF(AND('General Information'!$D$17=9,VLOOKUP(B375,Modules!$B$5:$E$496,4,0)=1)=TRUE,VLOOKUP('Hours Detail'!E375,'BASE_FUNCOES (hide)'!A:S,19,0),"No")))</f>
        <v>No</v>
      </c>
      <c r="H375" s="544" t="str">
        <f t="shared" si="7"/>
        <v>No</v>
      </c>
      <c r="I375" s="75">
        <f>IF('General Information'!$C$4="Mexico",(ROUNDUP(VLOOKUP(E375,'BASE_FUNCOES (hide)'!A:X,21,0),0)),(ROUNDUP(VLOOKUP(E375,'BASE_FUNCOES (hide)'!A:L,9,0),0)))</f>
        <v>8</v>
      </c>
      <c r="J375" s="75">
        <f>ROUNDUP(SUMIF(Questions!$E$5:$E$558,'Hours Detail'!E375,Questions!$F$5:$F$558),0)</f>
        <v>0</v>
      </c>
      <c r="K375" s="76">
        <f>IF(H375="Yes",ROUNDUP(IF(VLOOKUP(E375,'BASE_FUNCOES (hide)'!A:T,16,FALSE)&lt;&gt;"No",IF('General Information'!$C$19="HTML5",(I375+J375)*'BASE_FUNCOES (hide)'!$T$2,I375+J375),I375+J375),I375+J375),I375+J375)</f>
        <v>8</v>
      </c>
      <c r="L375" s="163" t="str">
        <f>IF(ISERROR(VLOOKUP(E375,Questions!$E$5:$L$568,6,0))=FALSE,VLOOKUP(E375,Questions!$E$5:$L$568,6,0),"")</f>
        <v/>
      </c>
      <c r="M375" s="164" t="s">
        <v>2396</v>
      </c>
      <c r="N375" s="369" t="s">
        <v>2377</v>
      </c>
    </row>
    <row r="376" spans="1:14" ht="14.5" customHeight="1">
      <c r="A376" s="59"/>
      <c r="B376" s="72">
        <f>VLOOKUP('Hours Detail'!E376,'BASE_FUNCOES (hide)'!A:W,5,FALSE)</f>
        <v>379</v>
      </c>
      <c r="C376" s="72" t="s">
        <v>5887</v>
      </c>
      <c r="D376" s="73" t="str">
        <f>IF('General Information'!$C$6="Português",VLOOKUP(B376,'ESTRUTURA_MODULO(hide)'!A:D,2,0),IF('General Information'!$C$6="English",VLOOKUP(B376,'ESTRUTURA_MODULO(hide)'!A:D,3,0),IF('General Information'!$C$6="Español",VLOOKUP(B376,'ESTRUTURA_MODULO(hide)'!A:D,4,0))))</f>
        <v>Mensalidades</v>
      </c>
      <c r="E376" s="74">
        <v>1269</v>
      </c>
      <c r="F376" s="73" t="str">
        <f>IF('General Information'!$C$6="Português",VLOOKUP(E376,'BASE_FUNCOES (hide)'!A:H,2,0),IF('General Information'!$C$6="English",VLOOKUP(E376,'BASE_FUNCOES (hide)'!A:H,3,0),IF('General Information'!$C$6="Español",VLOOKUP(E376,'BASE_FUNCOES (hide)'!A:H,4,0))))</f>
        <v>OPS - Localizador de Pagadores</v>
      </c>
      <c r="G376" s="73" t="str">
        <f>IF(AND('General Information'!$D$17=7,VLOOKUP(B376,Modules!$B$5:$E$496,4,0)=1)=TRUE,VLOOKUP('Hours Detail'!E376,'BASE_FUNCOES (hide)'!A:S,17,0),IF(AND('General Information'!$D$17=8,VLOOKUP(B376,Modules!$B$5:$E$496,4,0)=1)=TRUE,VLOOKUP('Hours Detail'!E376,'BASE_FUNCOES (hide)'!A:S,18,0),IF(AND('General Information'!$D$17=9,VLOOKUP(B376,Modules!$B$5:$E$496,4,0)=1)=TRUE,VLOOKUP('Hours Detail'!E376,'BASE_FUNCOES (hide)'!A:S,19,0),"No")))</f>
        <v>No</v>
      </c>
      <c r="H376" s="544" t="str">
        <f t="shared" si="7"/>
        <v>No</v>
      </c>
      <c r="I376" s="75">
        <f>IF('General Information'!$C$4="Mexico",(ROUNDUP(VLOOKUP(E376,'BASE_FUNCOES (hide)'!A:X,21,0),0)),(ROUNDUP(VLOOKUP(E376,'BASE_FUNCOES (hide)'!A:L,9,0),0)))</f>
        <v>0</v>
      </c>
      <c r="J376" s="75">
        <f>ROUNDUP(SUMIF(Questions!$E$5:$E$558,'Hours Detail'!E376,Questions!$F$5:$F$558),0)</f>
        <v>0</v>
      </c>
      <c r="K376" s="76">
        <f>IF(H376="Yes",ROUNDUP(IF(VLOOKUP(E376,'BASE_FUNCOES (hide)'!A:T,16,FALSE)&lt;&gt;"No",IF('General Information'!$C$19="HTML5",(I376+J376)*'BASE_FUNCOES (hide)'!$T$2,I376+J376),I376+J376),I376+J376),I376+J376)</f>
        <v>0</v>
      </c>
      <c r="L376" s="163" t="str">
        <f>IF(ISERROR(VLOOKUP(E376,Questions!$E$5:$L$568,6,0))=FALSE,VLOOKUP(E376,Questions!$E$5:$L$568,6,0),"")</f>
        <v/>
      </c>
      <c r="M376" s="164" t="s">
        <v>2396</v>
      </c>
      <c r="N376" s="369" t="s">
        <v>2377</v>
      </c>
    </row>
    <row r="377" spans="1:14" ht="14.5" customHeight="1">
      <c r="A377" s="59"/>
      <c r="B377" s="72">
        <f>VLOOKUP('Hours Detail'!E377,'BASE_FUNCOES (hide)'!A:W,5,FALSE)</f>
        <v>379</v>
      </c>
      <c r="C377" s="72" t="s">
        <v>5887</v>
      </c>
      <c r="D377" s="73" t="str">
        <f>IF('General Information'!$C$6="Português",VLOOKUP(B377,'ESTRUTURA_MODULO(hide)'!A:D,2,0),IF('General Information'!$C$6="English",VLOOKUP(B377,'ESTRUTURA_MODULO(hide)'!A:D,3,0),IF('General Information'!$C$6="Español",VLOOKUP(B377,'ESTRUTURA_MODULO(hide)'!A:D,4,0))))</f>
        <v>Mensalidades</v>
      </c>
      <c r="E377" s="74">
        <v>1205</v>
      </c>
      <c r="F377" s="73" t="str">
        <f>IF('General Information'!$C$6="Português",VLOOKUP(E377,'BASE_FUNCOES (hide)'!A:H,2,0),IF('General Information'!$C$6="English",VLOOKUP(E377,'BASE_FUNCOES (hide)'!A:H,3,0),IF('General Information'!$C$6="Español",VLOOKUP(E377,'BASE_FUNCOES (hide)'!A:H,4,0))))</f>
        <v>OPS - Mensalidade</v>
      </c>
      <c r="G377" s="73" t="str">
        <f>IF(AND('General Information'!$D$17=7,VLOOKUP(B377,Modules!$B$5:$E$496,4,0)=1)=TRUE,VLOOKUP('Hours Detail'!E377,'BASE_FUNCOES (hide)'!A:S,17,0),IF(AND('General Information'!$D$17=8,VLOOKUP(B377,Modules!$B$5:$E$496,4,0)=1)=TRUE,VLOOKUP('Hours Detail'!E377,'BASE_FUNCOES (hide)'!A:S,18,0),IF(AND('General Information'!$D$17=9,VLOOKUP(B377,Modules!$B$5:$E$496,4,0)=1)=TRUE,VLOOKUP('Hours Detail'!E377,'BASE_FUNCOES (hide)'!A:S,19,0),"No")))</f>
        <v>No</v>
      </c>
      <c r="H377" s="544" t="str">
        <f t="shared" si="7"/>
        <v>No</v>
      </c>
      <c r="I377" s="75">
        <f>IF('General Information'!$C$4="Mexico",(ROUNDUP(VLOOKUP(E377,'BASE_FUNCOES (hide)'!A:X,21,0),0)),(ROUNDUP(VLOOKUP(E377,'BASE_FUNCOES (hide)'!A:L,9,0),0)))</f>
        <v>40</v>
      </c>
      <c r="J377" s="75">
        <f>ROUNDUP(SUMIF(Questions!$E$5:$E$558,'Hours Detail'!E377,Questions!$F$5:$F$558),0)</f>
        <v>0</v>
      </c>
      <c r="K377" s="76">
        <f>IF(H377="Yes",ROUNDUP(IF(VLOOKUP(E377,'BASE_FUNCOES (hide)'!A:T,16,FALSE)&lt;&gt;"No",IF('General Information'!$C$19="HTML5",(I377+J377)*'BASE_FUNCOES (hide)'!$T$2,I377+J377),I377+J377),I377+J377),I377+J377)</f>
        <v>40</v>
      </c>
      <c r="L377" s="163" t="str">
        <f>IF(ISERROR(VLOOKUP(E377,Questions!$E$5:$L$568,6,0))=FALSE,VLOOKUP(E377,Questions!$E$5:$L$568,6,0),"")</f>
        <v/>
      </c>
      <c r="M377" s="164" t="s">
        <v>2396</v>
      </c>
      <c r="N377" s="369" t="s">
        <v>2377</v>
      </c>
    </row>
    <row r="378" spans="1:14" ht="14.5" customHeight="1">
      <c r="A378" s="59"/>
      <c r="B378" s="72">
        <f>VLOOKUP('Hours Detail'!E378,'BASE_FUNCOES (hide)'!A:W,5,FALSE)</f>
        <v>379</v>
      </c>
      <c r="C378" s="72" t="s">
        <v>5887</v>
      </c>
      <c r="D378" s="73" t="str">
        <f>IF('General Information'!$C$6="Português",VLOOKUP(B378,'ESTRUTURA_MODULO(hide)'!A:D,2,0),IF('General Information'!$C$6="English",VLOOKUP(B378,'ESTRUTURA_MODULO(hide)'!A:D,3,0),IF('General Information'!$C$6="Español",VLOOKUP(B378,'ESTRUTURA_MODULO(hide)'!A:D,4,0))))</f>
        <v>Mensalidades</v>
      </c>
      <c r="E378" s="74">
        <v>1241</v>
      </c>
      <c r="F378" s="73" t="str">
        <f>IF('General Information'!$C$6="Português",VLOOKUP(E378,'BASE_FUNCOES (hide)'!A:H,2,0),IF('General Information'!$C$6="English",VLOOKUP(E378,'BASE_FUNCOES (hide)'!A:H,3,0),IF('General Information'!$C$6="Español",VLOOKUP(E378,'BASE_FUNCOES (hide)'!A:H,4,0))))</f>
        <v>OPS - Controle de Notificações de Atraso</v>
      </c>
      <c r="G378" s="73" t="str">
        <f>IF(AND('General Information'!$D$17=7,VLOOKUP(B378,Modules!$B$5:$E$496,4,0)=1)=TRUE,VLOOKUP('Hours Detail'!E378,'BASE_FUNCOES (hide)'!A:S,17,0),IF(AND('General Information'!$D$17=8,VLOOKUP(B378,Modules!$B$5:$E$496,4,0)=1)=TRUE,VLOOKUP('Hours Detail'!E378,'BASE_FUNCOES (hide)'!A:S,18,0),IF(AND('General Information'!$D$17=9,VLOOKUP(B378,Modules!$B$5:$E$496,4,0)=1)=TRUE,VLOOKUP('Hours Detail'!E378,'BASE_FUNCOES (hide)'!A:S,19,0),"No")))</f>
        <v>No</v>
      </c>
      <c r="H378" s="544" t="str">
        <f t="shared" si="7"/>
        <v>No</v>
      </c>
      <c r="I378" s="75">
        <f>IF('General Information'!$C$4="Mexico",(ROUNDUP(VLOOKUP(E378,'BASE_FUNCOES (hide)'!A:X,21,0),0)),(ROUNDUP(VLOOKUP(E378,'BASE_FUNCOES (hide)'!A:L,9,0),0)))</f>
        <v>12</v>
      </c>
      <c r="J378" s="75">
        <f>ROUNDUP(SUMIF(Questions!$E$5:$E$558,'Hours Detail'!E378,Questions!$F$5:$F$558),0)</f>
        <v>0</v>
      </c>
      <c r="K378" s="76">
        <f>IF(H378="Yes",ROUNDUP(IF(VLOOKUP(E378,'BASE_FUNCOES (hide)'!A:T,16,FALSE)&lt;&gt;"No",IF('General Information'!$C$19="HTML5",(I378+J378)*'BASE_FUNCOES (hide)'!$T$2,I378+J378),I378+J378),I378+J378),I378+J378)</f>
        <v>12</v>
      </c>
      <c r="L378" s="163" t="str">
        <f>IF(ISERROR(VLOOKUP(E378,Questions!$E$5:$L$568,6,0))=FALSE,VLOOKUP(E378,Questions!$E$5:$L$568,6,0),"")</f>
        <v/>
      </c>
      <c r="M378" s="164" t="s">
        <v>2396</v>
      </c>
      <c r="N378" s="369" t="s">
        <v>2377</v>
      </c>
    </row>
    <row r="379" spans="1:14" ht="14.5" customHeight="1">
      <c r="A379" s="59"/>
      <c r="B379" s="72">
        <f>VLOOKUP('Hours Detail'!E379,'BASE_FUNCOES (hide)'!A:W,5,FALSE)</f>
        <v>379</v>
      </c>
      <c r="C379" s="72" t="s">
        <v>5887</v>
      </c>
      <c r="D379" s="73" t="str">
        <f>IF('General Information'!$C$6="Português",VLOOKUP(B379,'ESTRUTURA_MODULO(hide)'!A:D,2,0),IF('General Information'!$C$6="English",VLOOKUP(B379,'ESTRUTURA_MODULO(hide)'!A:D,3,0),IF('General Information'!$C$6="Español",VLOOKUP(B379,'ESTRUTURA_MODULO(hide)'!A:D,4,0))))</f>
        <v>Mensalidades</v>
      </c>
      <c r="E379" s="74">
        <v>1260</v>
      </c>
      <c r="F379" s="73" t="str">
        <f>IF('General Information'!$C$6="Português",VLOOKUP(E379,'BASE_FUNCOES (hide)'!A:H,2,0),IF('General Information'!$C$6="English",VLOOKUP(E379,'BASE_FUNCOES (hide)'!A:H,3,0),IF('General Information'!$C$6="Español",VLOOKUP(E379,'BASE_FUNCOES (hide)'!A:H,4,0))))</f>
        <v>OPS - Lançamentos Programados</v>
      </c>
      <c r="G379" s="73" t="str">
        <f>IF(AND('General Information'!$D$17=7,VLOOKUP(B379,Modules!$B$5:$E$496,4,0)=1)=TRUE,VLOOKUP('Hours Detail'!E379,'BASE_FUNCOES (hide)'!A:S,17,0),IF(AND('General Information'!$D$17=8,VLOOKUP(B379,Modules!$B$5:$E$496,4,0)=1)=TRUE,VLOOKUP('Hours Detail'!E379,'BASE_FUNCOES (hide)'!A:S,18,0),IF(AND('General Information'!$D$17=9,VLOOKUP(B379,Modules!$B$5:$E$496,4,0)=1)=TRUE,VLOOKUP('Hours Detail'!E379,'BASE_FUNCOES (hide)'!A:S,19,0),"No")))</f>
        <v>No</v>
      </c>
      <c r="H379" s="544" t="str">
        <f t="shared" si="7"/>
        <v>No</v>
      </c>
      <c r="I379" s="75">
        <f>IF('General Information'!$C$4="Mexico",(ROUNDUP(VLOOKUP(E379,'BASE_FUNCOES (hide)'!A:X,21,0),0)),(ROUNDUP(VLOOKUP(E379,'BASE_FUNCOES (hide)'!A:L,9,0),0)))</f>
        <v>4</v>
      </c>
      <c r="J379" s="75">
        <f>ROUNDUP(SUMIF(Questions!$E$5:$E$558,'Hours Detail'!E379,Questions!$F$5:$F$558),0)</f>
        <v>0</v>
      </c>
      <c r="K379" s="76">
        <f>IF(H379="Yes",ROUNDUP(IF(VLOOKUP(E379,'BASE_FUNCOES (hide)'!A:T,16,FALSE)&lt;&gt;"No",IF('General Information'!$C$19="HTML5",(I379+J379)*'BASE_FUNCOES (hide)'!$T$2,I379+J379),I379+J379),I379+J379),I379+J379)</f>
        <v>4</v>
      </c>
      <c r="L379" s="163" t="str">
        <f>IF(ISERROR(VLOOKUP(E379,Questions!$E$5:$L$568,6,0))=FALSE,VLOOKUP(E379,Questions!$E$5:$L$568,6,0),"")</f>
        <v/>
      </c>
      <c r="M379" s="164" t="s">
        <v>2396</v>
      </c>
      <c r="N379" s="369" t="s">
        <v>2377</v>
      </c>
    </row>
    <row r="380" spans="1:14" ht="14.5" customHeight="1">
      <c r="A380" s="59"/>
      <c r="B380" s="72">
        <f>VLOOKUP('Hours Detail'!E380,'BASE_FUNCOES (hide)'!A:W,5,FALSE)</f>
        <v>379</v>
      </c>
      <c r="C380" s="72" t="s">
        <v>5887</v>
      </c>
      <c r="D380" s="73" t="str">
        <f>IF('General Information'!$C$6="Português",VLOOKUP(B380,'ESTRUTURA_MODULO(hide)'!A:D,2,0),IF('General Information'!$C$6="English",VLOOKUP(B380,'ESTRUTURA_MODULO(hide)'!A:D,3,0),IF('General Information'!$C$6="Español",VLOOKUP(B380,'ESTRUTURA_MODULO(hide)'!A:D,4,0))))</f>
        <v>Mensalidades</v>
      </c>
      <c r="E380" s="74">
        <v>1384</v>
      </c>
      <c r="F380" s="73" t="str">
        <f>IF('General Information'!$C$6="Português",VLOOKUP(E380,'BASE_FUNCOES (hide)'!A:H,2,0),IF('General Information'!$C$6="English",VLOOKUP(E380,'BASE_FUNCOES (hide)'!A:H,3,0),IF('General Information'!$C$6="Español",VLOOKUP(E380,'BASE_FUNCOES (hide)'!A:H,4,0))))</f>
        <v>OPS - Geração de Boletos</v>
      </c>
      <c r="G380" s="73" t="str">
        <f>IF(AND('General Information'!$D$17=7,VLOOKUP(B380,Modules!$B$5:$E$496,4,0)=1)=TRUE,VLOOKUP('Hours Detail'!E380,'BASE_FUNCOES (hide)'!A:S,17,0),IF(AND('General Information'!$D$17=8,VLOOKUP(B380,Modules!$B$5:$E$496,4,0)=1)=TRUE,VLOOKUP('Hours Detail'!E380,'BASE_FUNCOES (hide)'!A:S,18,0),IF(AND('General Information'!$D$17=9,VLOOKUP(B380,Modules!$B$5:$E$496,4,0)=1)=TRUE,VLOOKUP('Hours Detail'!E380,'BASE_FUNCOES (hide)'!A:S,19,0),"No")))</f>
        <v>No</v>
      </c>
      <c r="H380" s="544" t="str">
        <f t="shared" si="7"/>
        <v>No</v>
      </c>
      <c r="I380" s="75">
        <f>IF('General Information'!$C$4="Mexico",(ROUNDUP(VLOOKUP(E380,'BASE_FUNCOES (hide)'!A:X,21,0),0)),(ROUNDUP(VLOOKUP(E380,'BASE_FUNCOES (hide)'!A:L,9,0),0)))</f>
        <v>0</v>
      </c>
      <c r="J380" s="75">
        <f>ROUNDUP(SUMIF(Questions!$E$5:$E$558,'Hours Detail'!E380,Questions!$F$5:$F$558),0)</f>
        <v>0</v>
      </c>
      <c r="K380" s="76">
        <f>IF(H380="Yes",ROUNDUP(IF(VLOOKUP(E380,'BASE_FUNCOES (hide)'!A:T,16,FALSE)&lt;&gt;"No",IF('General Information'!$C$19="HTML5",(I380+J380)*'BASE_FUNCOES (hide)'!$T$2,I380+J380),I380+J380),I380+J380),I380+J380)</f>
        <v>0</v>
      </c>
      <c r="L380" s="163" t="str">
        <f>IF(ISERROR(VLOOKUP(E380,Questions!$E$5:$L$568,6,0))=FALSE,VLOOKUP(E380,Questions!$E$5:$L$568,6,0),"")</f>
        <v/>
      </c>
      <c r="M380" s="164" t="s">
        <v>2396</v>
      </c>
      <c r="N380" s="369" t="s">
        <v>2377</v>
      </c>
    </row>
    <row r="381" spans="1:14" ht="14.5" customHeight="1">
      <c r="A381" s="59"/>
      <c r="B381" s="72">
        <f>VLOOKUP('Hours Detail'!E381,'BASE_FUNCOES (hide)'!A:W,5,FALSE)</f>
        <v>379</v>
      </c>
      <c r="C381" s="72" t="s">
        <v>5887</v>
      </c>
      <c r="D381" s="73" t="str">
        <f>IF('General Information'!$C$6="Português",VLOOKUP(B381,'ESTRUTURA_MODULO(hide)'!A:D,2,0),IF('General Information'!$C$6="English",VLOOKUP(B381,'ESTRUTURA_MODULO(hide)'!A:D,3,0),IF('General Information'!$C$6="Español",VLOOKUP(B381,'ESTRUTURA_MODULO(hide)'!A:D,4,0))))</f>
        <v>Mensalidades</v>
      </c>
      <c r="E381" s="74">
        <v>1389</v>
      </c>
      <c r="F381" s="73" t="str">
        <f>IF('General Information'!$C$6="Português",VLOOKUP(E381,'BASE_FUNCOES (hide)'!A:H,2,0),IF('General Information'!$C$6="English",VLOOKUP(E381,'BASE_FUNCOES (hide)'!A:H,3,0),IF('General Information'!$C$6="Español",VLOOKUP(E381,'BASE_FUNCOES (hide)'!A:H,4,0))))</f>
        <v>OPS - AME - Arquivos de Mensalidade Empresarial</v>
      </c>
      <c r="G381" s="73" t="str">
        <f>IF(AND('General Information'!$D$17=7,VLOOKUP(B381,Modules!$B$5:$E$496,4,0)=1)=TRUE,VLOOKUP('Hours Detail'!E381,'BASE_FUNCOES (hide)'!A:S,17,0),IF(AND('General Information'!$D$17=8,VLOOKUP(B381,Modules!$B$5:$E$496,4,0)=1)=TRUE,VLOOKUP('Hours Detail'!E381,'BASE_FUNCOES (hide)'!A:S,18,0),IF(AND('General Information'!$D$17=9,VLOOKUP(B381,Modules!$B$5:$E$496,4,0)=1)=TRUE,VLOOKUP('Hours Detail'!E381,'BASE_FUNCOES (hide)'!A:S,19,0),"No")))</f>
        <v>No</v>
      </c>
      <c r="H381" s="544" t="str">
        <f t="shared" si="7"/>
        <v>No</v>
      </c>
      <c r="I381" s="75">
        <f>IF('General Information'!$C$4="Mexico",(ROUNDUP(VLOOKUP(E381,'BASE_FUNCOES (hide)'!A:X,21,0),0)),(ROUNDUP(VLOOKUP(E381,'BASE_FUNCOES (hide)'!A:L,9,0),0)))</f>
        <v>24</v>
      </c>
      <c r="J381" s="75">
        <f>ROUNDUP(SUMIF(Questions!$E$5:$E$558,'Hours Detail'!E381,Questions!$F$5:$F$558),0)</f>
        <v>0</v>
      </c>
      <c r="K381" s="76">
        <f>IF(H381="Yes",ROUNDUP(IF(VLOOKUP(E381,'BASE_FUNCOES (hide)'!A:T,16,FALSE)&lt;&gt;"No",IF('General Information'!$C$19="HTML5",(I381+J381)*'BASE_FUNCOES (hide)'!$T$2,I381+J381),I381+J381),I381+J381),I381+J381)</f>
        <v>24</v>
      </c>
      <c r="L381" s="163" t="str">
        <f>IF(ISERROR(VLOOKUP(E381,Questions!$E$5:$L$568,6,0))=FALSE,VLOOKUP(E381,Questions!$E$5:$L$568,6,0),"")</f>
        <v/>
      </c>
      <c r="M381" s="164" t="s">
        <v>2396</v>
      </c>
      <c r="N381" s="369" t="s">
        <v>2377</v>
      </c>
    </row>
    <row r="382" spans="1:14" ht="14.5" customHeight="1">
      <c r="A382" s="59"/>
      <c r="B382" s="72">
        <f>VLOOKUP('Hours Detail'!E382,'BASE_FUNCOES (hide)'!A:W,5,FALSE)</f>
        <v>379</v>
      </c>
      <c r="C382" s="72" t="s">
        <v>5887</v>
      </c>
      <c r="D382" s="73" t="str">
        <f>IF('General Information'!$C$6="Português",VLOOKUP(B382,'ESTRUTURA_MODULO(hide)'!A:D,2,0),IF('General Information'!$C$6="English",VLOOKUP(B382,'ESTRUTURA_MODULO(hide)'!A:D,3,0),IF('General Information'!$C$6="Español",VLOOKUP(B382,'ESTRUTURA_MODULO(hide)'!A:D,4,0))))</f>
        <v>Mensalidades</v>
      </c>
      <c r="E382" s="74">
        <v>261</v>
      </c>
      <c r="F382" s="73" t="str">
        <f>IF('General Information'!$C$6="Português",VLOOKUP(E382,'BASE_FUNCOES (hide)'!A:H,2,0),IF('General Information'!$C$6="English",VLOOKUP(E382,'BASE_FUNCOES (hide)'!A:H,3,0),IF('General Information'!$C$6="Español",VLOOKUP(E382,'BASE_FUNCOES (hide)'!A:H,4,0))))</f>
        <v>OPS - Gestão de Envio de E-mails</v>
      </c>
      <c r="G382" s="73" t="str">
        <f>IF(AND('General Information'!$D$17=7,VLOOKUP(B382,Modules!$B$5:$E$496,4,0)=1)=TRUE,VLOOKUP('Hours Detail'!E382,'BASE_FUNCOES (hide)'!A:S,17,0),IF(AND('General Information'!$D$17=8,VLOOKUP(B382,Modules!$B$5:$E$496,4,0)=1)=TRUE,VLOOKUP('Hours Detail'!E382,'BASE_FUNCOES (hide)'!A:S,18,0),IF(AND('General Information'!$D$17=9,VLOOKUP(B382,Modules!$B$5:$E$496,4,0)=1)=TRUE,VLOOKUP('Hours Detail'!E382,'BASE_FUNCOES (hide)'!A:S,19,0),"No")))</f>
        <v>No</v>
      </c>
      <c r="H382" s="544" t="str">
        <f t="shared" si="7"/>
        <v>No</v>
      </c>
      <c r="I382" s="75">
        <f>IF('General Information'!$C$4="Mexico",(ROUNDUP(VLOOKUP(E382,'BASE_FUNCOES (hide)'!A:X,21,0),0)),(ROUNDUP(VLOOKUP(E382,'BASE_FUNCOES (hide)'!A:L,9,0),0)))</f>
        <v>8</v>
      </c>
      <c r="J382" s="75">
        <f>ROUNDUP(SUMIF(Questions!$E$5:$E$558,'Hours Detail'!E382,Questions!$F$5:$F$558),0)</f>
        <v>0</v>
      </c>
      <c r="K382" s="76">
        <f>IF(H382="Yes",ROUNDUP(IF(VLOOKUP(E382,'BASE_FUNCOES (hide)'!A:T,16,FALSE)&lt;&gt;"No",IF('General Information'!$C$19="HTML5",(I382+J382)*'BASE_FUNCOES (hide)'!$T$2,I382+J382),I382+J382),I382+J382),I382+J382)</f>
        <v>8</v>
      </c>
      <c r="L382" s="163" t="str">
        <f>IF(ISERROR(VLOOKUP(E382,Questions!$E$5:$L$568,6,0))=FALSE,VLOOKUP(E382,Questions!$E$5:$L$568,6,0),"")</f>
        <v/>
      </c>
      <c r="M382" s="164" t="s">
        <v>2396</v>
      </c>
      <c r="N382" s="369" t="s">
        <v>2377</v>
      </c>
    </row>
    <row r="383" spans="1:14" ht="14.5" customHeight="1">
      <c r="A383" s="59"/>
      <c r="B383" s="72">
        <f>VLOOKUP('Hours Detail'!E383,'BASE_FUNCOES (hide)'!A:W,5,FALSE)</f>
        <v>379</v>
      </c>
      <c r="C383" s="72" t="s">
        <v>5887</v>
      </c>
      <c r="D383" s="73" t="str">
        <f>IF('General Information'!$C$6="Português",VLOOKUP(B383,'ESTRUTURA_MODULO(hide)'!A:D,2,0),IF('General Information'!$C$6="English",VLOOKUP(B383,'ESTRUTURA_MODULO(hide)'!A:D,3,0),IF('General Information'!$C$6="Español",VLOOKUP(B383,'ESTRUTURA_MODULO(hide)'!A:D,4,0))))</f>
        <v>Mensalidades</v>
      </c>
      <c r="E383" s="74">
        <v>1245</v>
      </c>
      <c r="F383" s="73" t="str">
        <f>IF('General Information'!$C$6="Português",VLOOKUP(E383,'BASE_FUNCOES (hide)'!A:H,2,0),IF('General Information'!$C$6="English",VLOOKUP(E383,'BASE_FUNCOES (hide)'!A:H,3,0),IF('General Information'!$C$6="Español",VLOOKUP(E383,'BASE_FUNCOES (hide)'!A:H,4,0))))</f>
        <v>OPS - Valores Pendentes</v>
      </c>
      <c r="G383" s="73" t="str">
        <f>IF(AND('General Information'!$D$17=7,VLOOKUP(B383,Modules!$B$5:$E$496,4,0)=1)=TRUE,VLOOKUP('Hours Detail'!E383,'BASE_FUNCOES (hide)'!A:S,17,0),IF(AND('General Information'!$D$17=8,VLOOKUP(B383,Modules!$B$5:$E$496,4,0)=1)=TRUE,VLOOKUP('Hours Detail'!E383,'BASE_FUNCOES (hide)'!A:S,18,0),IF(AND('General Information'!$D$17=9,VLOOKUP(B383,Modules!$B$5:$E$496,4,0)=1)=TRUE,VLOOKUP('Hours Detail'!E383,'BASE_FUNCOES (hide)'!A:S,19,0),"No")))</f>
        <v>No</v>
      </c>
      <c r="H383" s="544" t="str">
        <f t="shared" si="7"/>
        <v>No</v>
      </c>
      <c r="I383" s="75">
        <f>IF('General Information'!$C$4="Mexico",(ROUNDUP(VLOOKUP(E383,'BASE_FUNCOES (hide)'!A:X,21,0),0)),(ROUNDUP(VLOOKUP(E383,'BASE_FUNCOES (hide)'!A:L,9,0),0)))</f>
        <v>4</v>
      </c>
      <c r="J383" s="75">
        <f>ROUNDUP(SUMIF(Questions!$E$5:$E$558,'Hours Detail'!E383,Questions!$F$5:$F$558),0)</f>
        <v>0</v>
      </c>
      <c r="K383" s="76">
        <f>IF(H383="Yes",ROUNDUP(IF(VLOOKUP(E383,'BASE_FUNCOES (hide)'!A:T,16,FALSE)&lt;&gt;"No",IF('General Information'!$C$19="HTML5",(I383+J383)*'BASE_FUNCOES (hide)'!$T$2,I383+J383),I383+J383),I383+J383),I383+J383)</f>
        <v>4</v>
      </c>
      <c r="L383" s="163" t="str">
        <f>IF(ISERROR(VLOOKUP(E383,Questions!$E$5:$L$568,6,0))=FALSE,VLOOKUP(E383,Questions!$E$5:$L$568,6,0),"")</f>
        <v/>
      </c>
      <c r="M383" s="164" t="s">
        <v>2396</v>
      </c>
      <c r="N383" s="369" t="s">
        <v>2377</v>
      </c>
    </row>
    <row r="384" spans="1:14" ht="14.5" customHeight="1">
      <c r="A384" s="59"/>
      <c r="B384" s="72">
        <f>VLOOKUP('Hours Detail'!E384,'BASE_FUNCOES (hide)'!A:W,5,FALSE)</f>
        <v>379</v>
      </c>
      <c r="C384" s="72" t="s">
        <v>5887</v>
      </c>
      <c r="D384" s="73" t="str">
        <f>IF('General Information'!$C$6="Português",VLOOKUP(B384,'ESTRUTURA_MODULO(hide)'!A:D,2,0),IF('General Information'!$C$6="English",VLOOKUP(B384,'ESTRUTURA_MODULO(hide)'!A:D,3,0),IF('General Information'!$C$6="Español",VLOOKUP(B384,'ESTRUTURA_MODULO(hide)'!A:D,4,0))))</f>
        <v>Mensalidades</v>
      </c>
      <c r="E384" s="74">
        <v>1354</v>
      </c>
      <c r="F384" s="73" t="str">
        <f>IF('General Information'!$C$6="Português",VLOOKUP(E384,'BASE_FUNCOES (hide)'!A:H,2,0),IF('General Information'!$C$6="English",VLOOKUP(E384,'BASE_FUNCOES (hide)'!A:H,3,0),IF('General Information'!$C$6="Español",VLOOKUP(E384,'BASE_FUNCOES (hide)'!A:H,4,0))))</f>
        <v>OPS - Manutenção do Cadastro do Pagador</v>
      </c>
      <c r="G384" s="73" t="str">
        <f>IF(AND('General Information'!$D$17=7,VLOOKUP(B384,Modules!$B$5:$E$496,4,0)=1)=TRUE,VLOOKUP('Hours Detail'!E384,'BASE_FUNCOES (hide)'!A:S,17,0),IF(AND('General Information'!$D$17=8,VLOOKUP(B384,Modules!$B$5:$E$496,4,0)=1)=TRUE,VLOOKUP('Hours Detail'!E384,'BASE_FUNCOES (hide)'!A:S,18,0),IF(AND('General Information'!$D$17=9,VLOOKUP(B384,Modules!$B$5:$E$496,4,0)=1)=TRUE,VLOOKUP('Hours Detail'!E384,'BASE_FUNCOES (hide)'!A:S,19,0),"No")))</f>
        <v>No</v>
      </c>
      <c r="H384" s="544" t="str">
        <f t="shared" si="7"/>
        <v>No</v>
      </c>
      <c r="I384" s="75">
        <f>IF('General Information'!$C$4="Mexico",(ROUNDUP(VLOOKUP(E384,'BASE_FUNCOES (hide)'!A:X,21,0),0)),(ROUNDUP(VLOOKUP(E384,'BASE_FUNCOES (hide)'!A:L,9,0),0)))</f>
        <v>4</v>
      </c>
      <c r="J384" s="75">
        <f>ROUNDUP(SUMIF(Questions!$E$5:$E$558,'Hours Detail'!E384,Questions!$F$5:$F$558),0)</f>
        <v>0</v>
      </c>
      <c r="K384" s="76">
        <f>IF(H384="Yes",ROUNDUP(IF(VLOOKUP(E384,'BASE_FUNCOES (hide)'!A:T,16,FALSE)&lt;&gt;"No",IF('General Information'!$C$19="HTML5",(I384+J384)*'BASE_FUNCOES (hide)'!$T$2,I384+J384),I384+J384),I384+J384),I384+J384)</f>
        <v>4</v>
      </c>
      <c r="L384" s="163" t="str">
        <f>IF(ISERROR(VLOOKUP(E384,Questions!$E$5:$L$568,6,0))=FALSE,VLOOKUP(E384,Questions!$E$5:$L$568,6,0),"")</f>
        <v/>
      </c>
      <c r="M384" s="164" t="s">
        <v>2396</v>
      </c>
      <c r="N384" s="369" t="s">
        <v>2377</v>
      </c>
    </row>
    <row r="385" spans="1:14" ht="14.5" customHeight="1">
      <c r="A385" s="59"/>
      <c r="B385" s="72">
        <f>VLOOKUP('Hours Detail'!E385,'BASE_FUNCOES (hide)'!A:W,5,FALSE)</f>
        <v>380</v>
      </c>
      <c r="C385" s="72" t="s">
        <v>5887</v>
      </c>
      <c r="D385" s="73" t="str">
        <f>IF('General Information'!$C$6="Português",VLOOKUP(B385,'ESTRUTURA_MODULO(hide)'!A:D,2,0),IF('General Information'!$C$6="English",VLOOKUP(B385,'ESTRUTURA_MODULO(hide)'!A:D,3,0),IF('General Information'!$C$6="Español",VLOOKUP(B385,'ESTRUTURA_MODULO(hide)'!A:D,4,0))))</f>
        <v>Informações ANS</v>
      </c>
      <c r="E385" s="74">
        <v>1386</v>
      </c>
      <c r="F385" s="73" t="str">
        <f>IF('General Information'!$C$6="Português",VLOOKUP(E385,'BASE_FUNCOES (hide)'!A:H,2,0),IF('General Information'!$C$6="English",VLOOKUP(E385,'BASE_FUNCOES (hide)'!A:H,3,0),IF('General Information'!$C$6="Español",VLOOKUP(E385,'BASE_FUNCOES (hide)'!A:H,4,0))))</f>
        <v>OPS - Monitoramento ANS - Envio de dados para ANS</v>
      </c>
      <c r="G385" s="73" t="str">
        <f>IF(AND('General Information'!$D$17=7,VLOOKUP(B385,Modules!$B$5:$E$496,4,0)=1)=TRUE,VLOOKUP('Hours Detail'!E385,'BASE_FUNCOES (hide)'!A:S,17,0),IF(AND('General Information'!$D$17=8,VLOOKUP(B385,Modules!$B$5:$E$496,4,0)=1)=TRUE,VLOOKUP('Hours Detail'!E385,'BASE_FUNCOES (hide)'!A:S,18,0),IF(AND('General Information'!$D$17=9,VLOOKUP(B385,Modules!$B$5:$E$496,4,0)=1)=TRUE,VLOOKUP('Hours Detail'!E385,'BASE_FUNCOES (hide)'!A:S,19,0),"No")))</f>
        <v>No</v>
      </c>
      <c r="H385" s="544" t="str">
        <f t="shared" si="7"/>
        <v>No</v>
      </c>
      <c r="I385" s="75">
        <f>IF('General Information'!$C$4="Mexico",(ROUNDUP(VLOOKUP(E385,'BASE_FUNCOES (hide)'!A:X,21,0),0)),(ROUNDUP(VLOOKUP(E385,'BASE_FUNCOES (hide)'!A:L,9,0),0)))</f>
        <v>32</v>
      </c>
      <c r="J385" s="75">
        <f>ROUNDUP(SUMIF(Questions!$E$5:$E$558,'Hours Detail'!E385,Questions!$F$5:$F$558),0)</f>
        <v>0</v>
      </c>
      <c r="K385" s="76">
        <f>IF(H385="Yes",ROUNDUP(IF(VLOOKUP(E385,'BASE_FUNCOES (hide)'!A:T,16,FALSE)&lt;&gt;"No",IF('General Information'!$C$19="HTML5",(I385+J385)*'BASE_FUNCOES (hide)'!$T$2,I385+J385),I385+J385),I385+J385),I385+J385)</f>
        <v>32</v>
      </c>
      <c r="L385" s="163" t="str">
        <f>IF(ISERROR(VLOOKUP(E385,Questions!$E$5:$L$568,6,0))=FALSE,VLOOKUP(E385,Questions!$E$5:$L$568,6,0),"")</f>
        <v/>
      </c>
      <c r="M385" s="164" t="s">
        <v>2396</v>
      </c>
      <c r="N385" s="369" t="s">
        <v>2377</v>
      </c>
    </row>
    <row r="386" spans="1:14" ht="14.5" customHeight="1">
      <c r="A386" s="59"/>
      <c r="B386" s="72">
        <f>VLOOKUP('Hours Detail'!E386,'BASE_FUNCOES (hide)'!A:W,5,FALSE)</f>
        <v>380</v>
      </c>
      <c r="C386" s="72" t="s">
        <v>5887</v>
      </c>
      <c r="D386" s="73" t="str">
        <f>IF('General Information'!$C$6="Português",VLOOKUP(B386,'ESTRUTURA_MODULO(hide)'!A:D,2,0),IF('General Information'!$C$6="English",VLOOKUP(B386,'ESTRUTURA_MODULO(hide)'!A:D,3,0),IF('General Information'!$C$6="Español",VLOOKUP(B386,'ESTRUTURA_MODULO(hide)'!A:D,4,0))))</f>
        <v>Informações ANS</v>
      </c>
      <c r="E386" s="74">
        <v>280</v>
      </c>
      <c r="F386" s="73" t="str">
        <f>IF('General Information'!$C$6="Português",VLOOKUP(E386,'BASE_FUNCOES (hide)'!A:H,2,0),IF('General Information'!$C$6="English",VLOOKUP(E386,'BASE_FUNCOES (hide)'!A:H,3,0),IF('General Information'!$C$6="Español",VLOOKUP(E386,'BASE_FUNCOES (hide)'!A:H,4,0))))</f>
        <v>OPS - SIB ANS - Sistema de Informação de Beneficiários</v>
      </c>
      <c r="G386" s="73" t="str">
        <f>IF(AND('General Information'!$D$17=7,VLOOKUP(B386,Modules!$B$5:$E$496,4,0)=1)=TRUE,VLOOKUP('Hours Detail'!E386,'BASE_FUNCOES (hide)'!A:S,17,0),IF(AND('General Information'!$D$17=8,VLOOKUP(B386,Modules!$B$5:$E$496,4,0)=1)=TRUE,VLOOKUP('Hours Detail'!E386,'BASE_FUNCOES (hide)'!A:S,18,0),IF(AND('General Information'!$D$17=9,VLOOKUP(B386,Modules!$B$5:$E$496,4,0)=1)=TRUE,VLOOKUP('Hours Detail'!E386,'BASE_FUNCOES (hide)'!A:S,19,0),"No")))</f>
        <v>No</v>
      </c>
      <c r="H386" s="544" t="str">
        <f t="shared" si="7"/>
        <v>No</v>
      </c>
      <c r="I386" s="75">
        <f>IF('General Information'!$C$4="Mexico",(ROUNDUP(VLOOKUP(E386,'BASE_FUNCOES (hide)'!A:X,21,0),0)),(ROUNDUP(VLOOKUP(E386,'BASE_FUNCOES (hide)'!A:L,9,0),0)))</f>
        <v>40</v>
      </c>
      <c r="J386" s="75">
        <f>ROUNDUP(SUMIF(Questions!$E$5:$E$558,'Hours Detail'!E386,Questions!$F$5:$F$558),0)</f>
        <v>0</v>
      </c>
      <c r="K386" s="76">
        <f>IF(H386="Yes",ROUNDUP(IF(VLOOKUP(E386,'BASE_FUNCOES (hide)'!A:T,16,FALSE)&lt;&gt;"No",IF('General Information'!$C$19="HTML5",(I386+J386)*'BASE_FUNCOES (hide)'!$T$2,I386+J386),I386+J386),I386+J386),I386+J386)</f>
        <v>40</v>
      </c>
      <c r="L386" s="163" t="str">
        <f>IF(ISERROR(VLOOKUP(E386,Questions!$E$5:$L$568,6,0))=FALSE,VLOOKUP(E386,Questions!$E$5:$L$568,6,0),"")</f>
        <v/>
      </c>
      <c r="M386" s="164" t="s">
        <v>2396</v>
      </c>
      <c r="N386" s="369" t="s">
        <v>2377</v>
      </c>
    </row>
    <row r="387" spans="1:14" ht="14.5" customHeight="1">
      <c r="A387" s="59"/>
      <c r="B387" s="72">
        <f>VLOOKUP('Hours Detail'!E387,'BASE_FUNCOES (hide)'!A:W,5,FALSE)</f>
        <v>380</v>
      </c>
      <c r="C387" s="72" t="s">
        <v>5887</v>
      </c>
      <c r="D387" s="73" t="str">
        <f>IF('General Information'!$C$6="Português",VLOOKUP(B387,'ESTRUTURA_MODULO(hide)'!A:D,2,0),IF('General Information'!$C$6="English",VLOOKUP(B387,'ESTRUTURA_MODULO(hide)'!A:D,3,0),IF('General Information'!$C$6="Español",VLOOKUP(B387,'ESTRUTURA_MODULO(hide)'!A:D,4,0))))</f>
        <v>Informações ANS</v>
      </c>
      <c r="E387" s="74">
        <v>1239</v>
      </c>
      <c r="F387" s="73" t="str">
        <f>IF('General Information'!$C$6="Português",VLOOKUP(E387,'BASE_FUNCOES (hide)'!A:H,2,0),IF('General Information'!$C$6="English",VLOOKUP(E387,'BASE_FUNCOES (hide)'!A:H,3,0),IF('General Information'!$C$6="Español",VLOOKUP(E387,'BASE_FUNCOES (hide)'!A:H,4,0))))</f>
        <v>OPS - Taxa de Saúde Suplementar</v>
      </c>
      <c r="G387" s="73" t="str">
        <f>IF(AND('General Information'!$D$17=7,VLOOKUP(B387,Modules!$B$5:$E$496,4,0)=1)=TRUE,VLOOKUP('Hours Detail'!E387,'BASE_FUNCOES (hide)'!A:S,17,0),IF(AND('General Information'!$D$17=8,VLOOKUP(B387,Modules!$B$5:$E$496,4,0)=1)=TRUE,VLOOKUP('Hours Detail'!E387,'BASE_FUNCOES (hide)'!A:S,18,0),IF(AND('General Information'!$D$17=9,VLOOKUP(B387,Modules!$B$5:$E$496,4,0)=1)=TRUE,VLOOKUP('Hours Detail'!E387,'BASE_FUNCOES (hide)'!A:S,19,0),"No")))</f>
        <v>No</v>
      </c>
      <c r="H387" s="544" t="str">
        <f t="shared" si="7"/>
        <v>No</v>
      </c>
      <c r="I387" s="75">
        <f>IF('General Information'!$C$4="Mexico",(ROUNDUP(VLOOKUP(E387,'BASE_FUNCOES (hide)'!A:X,21,0),0)),(ROUNDUP(VLOOKUP(E387,'BASE_FUNCOES (hide)'!A:L,9,0),0)))</f>
        <v>8</v>
      </c>
      <c r="J387" s="75">
        <f>ROUNDUP(SUMIF(Questions!$E$5:$E$558,'Hours Detail'!E387,Questions!$F$5:$F$558),0)</f>
        <v>0</v>
      </c>
      <c r="K387" s="76">
        <f>IF(H387="Yes",ROUNDUP(IF(VLOOKUP(E387,'BASE_FUNCOES (hide)'!A:T,16,FALSE)&lt;&gt;"No",IF('General Information'!$C$19="HTML5",(I387+J387)*'BASE_FUNCOES (hide)'!$T$2,I387+J387),I387+J387),I387+J387),I387+J387)</f>
        <v>8</v>
      </c>
      <c r="L387" s="163" t="str">
        <f>IF(ISERROR(VLOOKUP(E387,Questions!$E$5:$L$568,6,0))=FALSE,VLOOKUP(E387,Questions!$E$5:$L$568,6,0),"")</f>
        <v/>
      </c>
      <c r="M387" s="164" t="s">
        <v>2396</v>
      </c>
      <c r="N387" s="369" t="s">
        <v>2377</v>
      </c>
    </row>
    <row r="388" spans="1:14" ht="14.5" customHeight="1">
      <c r="A388" s="59"/>
      <c r="B388" s="72">
        <f>VLOOKUP('Hours Detail'!E388,'BASE_FUNCOES (hide)'!A:W,5,FALSE)</f>
        <v>380</v>
      </c>
      <c r="C388" s="72" t="s">
        <v>5887</v>
      </c>
      <c r="D388" s="73" t="str">
        <f>IF('General Information'!$C$6="Português",VLOOKUP(B388,'ESTRUTURA_MODULO(hide)'!A:D,2,0),IF('General Information'!$C$6="English",VLOOKUP(B388,'ESTRUTURA_MODULO(hide)'!A:D,3,0),IF('General Information'!$C$6="Español",VLOOKUP(B388,'ESTRUTURA_MODULO(hide)'!A:D,4,0))))</f>
        <v>Informações ANS</v>
      </c>
      <c r="E388" s="74">
        <v>1227</v>
      </c>
      <c r="F388" s="73" t="str">
        <f>IF('General Information'!$C$6="Português",VLOOKUP(E388,'BASE_FUNCOES (hide)'!A:H,2,0),IF('General Information'!$C$6="English",VLOOKUP(E388,'BASE_FUNCOES (hide)'!A:H,3,0),IF('General Information'!$C$6="Español",VLOOKUP(E388,'BASE_FUNCOES (hide)'!A:H,4,0))))</f>
        <v>OPS - DIOPS - Documento de Informações Periódicas</v>
      </c>
      <c r="G388" s="73" t="str">
        <f>IF(AND('General Information'!$D$17=7,VLOOKUP(B388,Modules!$B$5:$E$496,4,0)=1)=TRUE,VLOOKUP('Hours Detail'!E388,'BASE_FUNCOES (hide)'!A:S,17,0),IF(AND('General Information'!$D$17=8,VLOOKUP(B388,Modules!$B$5:$E$496,4,0)=1)=TRUE,VLOOKUP('Hours Detail'!E388,'BASE_FUNCOES (hide)'!A:S,18,0),IF(AND('General Information'!$D$17=9,VLOOKUP(B388,Modules!$B$5:$E$496,4,0)=1)=TRUE,VLOOKUP('Hours Detail'!E388,'BASE_FUNCOES (hide)'!A:S,19,0),"No")))</f>
        <v>No</v>
      </c>
      <c r="H388" s="544" t="str">
        <f t="shared" si="7"/>
        <v>No</v>
      </c>
      <c r="I388" s="75">
        <f>IF('General Information'!$C$4="Mexico",(ROUNDUP(VLOOKUP(E388,'BASE_FUNCOES (hide)'!A:X,21,0),0)),(ROUNDUP(VLOOKUP(E388,'BASE_FUNCOES (hide)'!A:L,9,0),0)))</f>
        <v>48</v>
      </c>
      <c r="J388" s="75">
        <f>ROUNDUP(SUMIF(Questions!$E$5:$E$558,'Hours Detail'!E388,Questions!$F$5:$F$558),0)</f>
        <v>0</v>
      </c>
      <c r="K388" s="76">
        <f>IF(H388="Yes",ROUNDUP(IF(VLOOKUP(E388,'BASE_FUNCOES (hide)'!A:T,16,FALSE)&lt;&gt;"No",IF('General Information'!$C$19="HTML5",(I388+J388)*'BASE_FUNCOES (hide)'!$T$2,I388+J388),I388+J388),I388+J388),I388+J388)</f>
        <v>48</v>
      </c>
      <c r="L388" s="163" t="str">
        <f>IF(ISERROR(VLOOKUP(E388,Questions!$E$5:$L$568,6,0))=FALSE,VLOOKUP(E388,Questions!$E$5:$L$568,6,0),"")</f>
        <v/>
      </c>
      <c r="M388" s="164" t="s">
        <v>2396</v>
      </c>
      <c r="N388" s="369" t="s">
        <v>2377</v>
      </c>
    </row>
    <row r="389" spans="1:14" ht="14.5" customHeight="1">
      <c r="A389" s="59"/>
      <c r="B389" s="72">
        <f>VLOOKUP('Hours Detail'!E389,'BASE_FUNCOES (hide)'!A:W,5,FALSE)</f>
        <v>380</v>
      </c>
      <c r="C389" s="72" t="s">
        <v>5887</v>
      </c>
      <c r="D389" s="73" t="str">
        <f>IF('General Information'!$C$6="Português",VLOOKUP(B389,'ESTRUTURA_MODULO(hide)'!A:D,2,0),IF('General Information'!$C$6="English",VLOOKUP(B389,'ESTRUTURA_MODULO(hide)'!A:D,3,0),IF('General Information'!$C$6="Español",VLOOKUP(B389,'ESTRUTURA_MODULO(hide)'!A:D,4,0))))</f>
        <v>Informações ANS</v>
      </c>
      <c r="E389" s="74">
        <v>1259</v>
      </c>
      <c r="F389" s="73" t="str">
        <f>IF('General Information'!$C$6="Português",VLOOKUP(E389,'BASE_FUNCOES (hide)'!A:H,2,0),IF('General Information'!$C$6="English",VLOOKUP(E389,'BASE_FUNCOES (hide)'!A:H,3,0),IF('General Information'!$C$6="Español",VLOOKUP(E389,'BASE_FUNCOES (hide)'!A:H,4,0))))</f>
        <v>OPS - Provisões Técnicas</v>
      </c>
      <c r="G389" s="73" t="str">
        <f>IF(AND('General Information'!$D$17=7,VLOOKUP(B389,Modules!$B$5:$E$496,4,0)=1)=TRUE,VLOOKUP('Hours Detail'!E389,'BASE_FUNCOES (hide)'!A:S,17,0),IF(AND('General Information'!$D$17=8,VLOOKUP(B389,Modules!$B$5:$E$496,4,0)=1)=TRUE,VLOOKUP('Hours Detail'!E389,'BASE_FUNCOES (hide)'!A:S,18,0),IF(AND('General Information'!$D$17=9,VLOOKUP(B389,Modules!$B$5:$E$496,4,0)=1)=TRUE,VLOOKUP('Hours Detail'!E389,'BASE_FUNCOES (hide)'!A:S,19,0),"No")))</f>
        <v>No</v>
      </c>
      <c r="H389" s="544" t="str">
        <f t="shared" si="7"/>
        <v>No</v>
      </c>
      <c r="I389" s="75">
        <f>IF('General Information'!$C$4="Mexico",(ROUNDUP(VLOOKUP(E389,'BASE_FUNCOES (hide)'!A:X,21,0),0)),(ROUNDUP(VLOOKUP(E389,'BASE_FUNCOES (hide)'!A:L,9,0),0)))</f>
        <v>24</v>
      </c>
      <c r="J389" s="75">
        <f>ROUNDUP(SUMIF(Questions!$E$5:$E$558,'Hours Detail'!E389,Questions!$F$5:$F$558),0)</f>
        <v>0</v>
      </c>
      <c r="K389" s="76">
        <f>IF(H389="Yes",ROUNDUP(IF(VLOOKUP(E389,'BASE_FUNCOES (hide)'!A:T,16,FALSE)&lt;&gt;"No",IF('General Information'!$C$19="HTML5",(I389+J389)*'BASE_FUNCOES (hide)'!$T$2,I389+J389),I389+J389),I389+J389),I389+J389)</f>
        <v>24</v>
      </c>
      <c r="L389" s="163" t="str">
        <f>IF(ISERROR(VLOOKUP(E389,Questions!$E$5:$L$568,6,0))=FALSE,VLOOKUP(E389,Questions!$E$5:$L$568,6,0),"")</f>
        <v/>
      </c>
      <c r="M389" s="164" t="s">
        <v>2396</v>
      </c>
      <c r="N389" s="369" t="s">
        <v>2377</v>
      </c>
    </row>
    <row r="390" spans="1:14" ht="14.5" customHeight="1">
      <c r="A390" s="59"/>
      <c r="B390" s="72">
        <f>VLOOKUP('Hours Detail'!E390,'BASE_FUNCOES (hide)'!A:W,5,FALSE)</f>
        <v>380</v>
      </c>
      <c r="C390" s="72" t="s">
        <v>5887</v>
      </c>
      <c r="D390" s="73" t="str">
        <f>IF('General Information'!$C$6="Português",VLOOKUP(B390,'ESTRUTURA_MODULO(hide)'!A:D,2,0),IF('General Information'!$C$6="English",VLOOKUP(B390,'ESTRUTURA_MODULO(hide)'!A:D,3,0),IF('General Information'!$C$6="Español",VLOOKUP(B390,'ESTRUTURA_MODULO(hide)'!A:D,4,0))))</f>
        <v>Informações ANS</v>
      </c>
      <c r="E390" s="74">
        <v>1375</v>
      </c>
      <c r="F390" s="73" t="str">
        <f>IF('General Information'!$C$6="Português",VLOOKUP(E390,'BASE_FUNCOES (hide)'!A:H,2,0),IF('General Information'!$C$6="English",VLOOKUP(E390,'BASE_FUNCOES (hide)'!A:H,3,0),IF('General Information'!$C$6="Español",VLOOKUP(E390,'BASE_FUNCOES (hide)'!A:H,4,0))))</f>
        <v>OPS - Registro de Planos de Saúde (RPS)</v>
      </c>
      <c r="G390" s="73" t="str">
        <f>IF(AND('General Information'!$D$17=7,VLOOKUP(B390,Modules!$B$5:$E$496,4,0)=1)=TRUE,VLOOKUP('Hours Detail'!E390,'BASE_FUNCOES (hide)'!A:S,17,0),IF(AND('General Information'!$D$17=8,VLOOKUP(B390,Modules!$B$5:$E$496,4,0)=1)=TRUE,VLOOKUP('Hours Detail'!E390,'BASE_FUNCOES (hide)'!A:S,18,0),IF(AND('General Information'!$D$17=9,VLOOKUP(B390,Modules!$B$5:$E$496,4,0)=1)=TRUE,VLOOKUP('Hours Detail'!E390,'BASE_FUNCOES (hide)'!A:S,19,0),"No")))</f>
        <v>No</v>
      </c>
      <c r="H390" s="544" t="str">
        <f t="shared" si="7"/>
        <v>No</v>
      </c>
      <c r="I390" s="75">
        <f>IF('General Information'!$C$4="Mexico",(ROUNDUP(VLOOKUP(E390,'BASE_FUNCOES (hide)'!A:X,21,0),0)),(ROUNDUP(VLOOKUP(E390,'BASE_FUNCOES (hide)'!A:L,9,0),0)))</f>
        <v>16</v>
      </c>
      <c r="J390" s="75">
        <f>ROUNDUP(SUMIF(Questions!$E$5:$E$558,'Hours Detail'!E390,Questions!$F$5:$F$558),0)</f>
        <v>0</v>
      </c>
      <c r="K390" s="76">
        <f>IF(H390="Yes",ROUNDUP(IF(VLOOKUP(E390,'BASE_FUNCOES (hide)'!A:T,16,FALSE)&lt;&gt;"No",IF('General Information'!$C$19="HTML5",(I390+J390)*'BASE_FUNCOES (hide)'!$T$2,I390+J390),I390+J390),I390+J390),I390+J390)</f>
        <v>16</v>
      </c>
      <c r="L390" s="163" t="str">
        <f>IF(ISERROR(VLOOKUP(E390,Questions!$E$5:$L$568,6,0))=FALSE,VLOOKUP(E390,Questions!$E$5:$L$568,6,0),"")</f>
        <v/>
      </c>
      <c r="M390" s="164" t="s">
        <v>2396</v>
      </c>
      <c r="N390" s="369" t="s">
        <v>2377</v>
      </c>
    </row>
    <row r="391" spans="1:14" ht="14.5" customHeight="1">
      <c r="A391" s="59"/>
      <c r="B391" s="72">
        <f>VLOOKUP('Hours Detail'!E391,'BASE_FUNCOES (hide)'!A:W,5,FALSE)</f>
        <v>380</v>
      </c>
      <c r="C391" s="72" t="s">
        <v>5887</v>
      </c>
      <c r="D391" s="73" t="str">
        <f>IF('General Information'!$C$6="Português",VLOOKUP(B391,'ESTRUTURA_MODULO(hide)'!A:D,2,0),IF('General Information'!$C$6="English",VLOOKUP(B391,'ESTRUTURA_MODULO(hide)'!A:D,3,0),IF('General Information'!$C$6="Español",VLOOKUP(B391,'ESTRUTURA_MODULO(hide)'!A:D,4,0))))</f>
        <v>Informações ANS</v>
      </c>
      <c r="E391" s="74">
        <v>1380</v>
      </c>
      <c r="F391" s="73" t="str">
        <f>IF('General Information'!$C$6="Português",VLOOKUP(E391,'BASE_FUNCOES (hide)'!A:H,2,0),IF('General Information'!$C$6="English",VLOOKUP(E391,'BASE_FUNCOES (hide)'!A:H,3,0),IF('General Information'!$C$6="Español",VLOOKUP(E391,'BASE_FUNCOES (hide)'!A:H,4,0))))</f>
        <v>OPS - Radar TISS</v>
      </c>
      <c r="G391" s="73" t="str">
        <f>IF(AND('General Information'!$D$17=7,VLOOKUP(B391,Modules!$B$5:$E$496,4,0)=1)=TRUE,VLOOKUP('Hours Detail'!E391,'BASE_FUNCOES (hide)'!A:S,17,0),IF(AND('General Information'!$D$17=8,VLOOKUP(B391,Modules!$B$5:$E$496,4,0)=1)=TRUE,VLOOKUP('Hours Detail'!E391,'BASE_FUNCOES (hide)'!A:S,18,0),IF(AND('General Information'!$D$17=9,VLOOKUP(B391,Modules!$B$5:$E$496,4,0)=1)=TRUE,VLOOKUP('Hours Detail'!E391,'BASE_FUNCOES (hide)'!A:S,19,0),"No")))</f>
        <v>No</v>
      </c>
      <c r="H391" s="544" t="str">
        <f t="shared" si="7"/>
        <v>No</v>
      </c>
      <c r="I391" s="75">
        <f>IF('General Information'!$C$4="Mexico",(ROUNDUP(VLOOKUP(E391,'BASE_FUNCOES (hide)'!A:X,21,0),0)),(ROUNDUP(VLOOKUP(E391,'BASE_FUNCOES (hide)'!A:L,9,0),0)))</f>
        <v>0</v>
      </c>
      <c r="J391" s="75">
        <f>ROUNDUP(SUMIF(Questions!$E$5:$E$558,'Hours Detail'!E391,Questions!$F$5:$F$558),0)</f>
        <v>0</v>
      </c>
      <c r="K391" s="76">
        <f>IF(H391="Yes",ROUNDUP(IF(VLOOKUP(E391,'BASE_FUNCOES (hide)'!A:T,16,FALSE)&lt;&gt;"No",IF('General Information'!$C$19="HTML5",(I391+J391)*'BASE_FUNCOES (hide)'!$T$2,I391+J391),I391+J391),I391+J391),I391+J391)</f>
        <v>0</v>
      </c>
      <c r="L391" s="163" t="str">
        <f>IF(ISERROR(VLOOKUP(E391,Questions!$E$5:$L$568,6,0))=FALSE,VLOOKUP(E391,Questions!$E$5:$L$568,6,0),"")</f>
        <v/>
      </c>
      <c r="M391" s="164" t="s">
        <v>2396</v>
      </c>
      <c r="N391" s="369" t="s">
        <v>2377</v>
      </c>
    </row>
    <row r="392" spans="1:14" ht="14.5" customHeight="1">
      <c r="A392" s="59"/>
      <c r="B392" s="72">
        <f>VLOOKUP('Hours Detail'!E392,'BASE_FUNCOES (hide)'!A:W,5,FALSE)</f>
        <v>380</v>
      </c>
      <c r="C392" s="72" t="s">
        <v>5887</v>
      </c>
      <c r="D392" s="73" t="str">
        <f>IF('General Information'!$C$6="Português",VLOOKUP(B392,'ESTRUTURA_MODULO(hide)'!A:D,2,0),IF('General Information'!$C$6="English",VLOOKUP(B392,'ESTRUTURA_MODULO(hide)'!A:D,3,0),IF('General Information'!$C$6="Español",VLOOKUP(B392,'ESTRUTURA_MODULO(hide)'!A:D,4,0))))</f>
        <v>Informações ANS</v>
      </c>
      <c r="E392" s="74">
        <v>1231</v>
      </c>
      <c r="F392" s="73" t="str">
        <f>IF('General Information'!$C$6="Português",VLOOKUP(E392,'BASE_FUNCOES (hide)'!A:H,2,0),IF('General Information'!$C$6="English",VLOOKUP(E392,'BASE_FUNCOES (hide)'!A:H,3,0),IF('General Information'!$C$6="Español",VLOOKUP(E392,'BASE_FUNCOES (hide)'!A:H,4,0))))</f>
        <v>OPS - SIP - Sistema de Informações de Produtos</v>
      </c>
      <c r="G392" s="73" t="str">
        <f>IF(AND('General Information'!$D$17=7,VLOOKUP(B392,Modules!$B$5:$E$496,4,0)=1)=TRUE,VLOOKUP('Hours Detail'!E392,'BASE_FUNCOES (hide)'!A:S,17,0),IF(AND('General Information'!$D$17=8,VLOOKUP(B392,Modules!$B$5:$E$496,4,0)=1)=TRUE,VLOOKUP('Hours Detail'!E392,'BASE_FUNCOES (hide)'!A:S,18,0),IF(AND('General Information'!$D$17=9,VLOOKUP(B392,Modules!$B$5:$E$496,4,0)=1)=TRUE,VLOOKUP('Hours Detail'!E392,'BASE_FUNCOES (hide)'!A:S,19,0),"No")))</f>
        <v>No</v>
      </c>
      <c r="H392" s="544" t="str">
        <f t="shared" si="7"/>
        <v>No</v>
      </c>
      <c r="I392" s="75">
        <f>IF('General Information'!$C$4="Mexico",(ROUNDUP(VLOOKUP(E392,'BASE_FUNCOES (hide)'!A:X,21,0),0)),(ROUNDUP(VLOOKUP(E392,'BASE_FUNCOES (hide)'!A:L,9,0),0)))</f>
        <v>32</v>
      </c>
      <c r="J392" s="75">
        <f>ROUNDUP(SUMIF(Questions!$E$5:$E$558,'Hours Detail'!E392,Questions!$F$5:$F$558),0)</f>
        <v>0</v>
      </c>
      <c r="K392" s="76">
        <f>IF(H392="Yes",ROUNDUP(IF(VLOOKUP(E392,'BASE_FUNCOES (hide)'!A:T,16,FALSE)&lt;&gt;"No",IF('General Information'!$C$19="HTML5",(I392+J392)*'BASE_FUNCOES (hide)'!$T$2,I392+J392),I392+J392),I392+J392),I392+J392)</f>
        <v>32</v>
      </c>
      <c r="L392" s="163" t="str">
        <f>IF(ISERROR(VLOOKUP(E392,Questions!$E$5:$L$568,6,0))=FALSE,VLOOKUP(E392,Questions!$E$5:$L$568,6,0),"")</f>
        <v/>
      </c>
      <c r="M392" s="164" t="s">
        <v>2396</v>
      </c>
      <c r="N392" s="369" t="s">
        <v>2377</v>
      </c>
    </row>
    <row r="393" spans="1:14" ht="14.5" customHeight="1">
      <c r="A393" s="59"/>
      <c r="B393" s="72">
        <f>VLOOKUP('Hours Detail'!E393,'BASE_FUNCOES (hide)'!A:W,5,FALSE)</f>
        <v>380</v>
      </c>
      <c r="C393" s="72" t="s">
        <v>5887</v>
      </c>
      <c r="D393" s="73" t="str">
        <f>IF('General Information'!$C$6="Português",VLOOKUP(B393,'ESTRUTURA_MODULO(hide)'!A:D,2,0),IF('General Information'!$C$6="English",VLOOKUP(B393,'ESTRUTURA_MODULO(hide)'!A:D,3,0),IF('General Information'!$C$6="Español",VLOOKUP(B393,'ESTRUTURA_MODULO(hide)'!A:D,4,0))))</f>
        <v>Informações ANS</v>
      </c>
      <c r="E393" s="74">
        <v>1370</v>
      </c>
      <c r="F393" s="73" t="str">
        <f>IF('General Information'!$C$6="Português",VLOOKUP(E393,'BASE_FUNCOES (hide)'!A:H,2,0),IF('General Information'!$C$6="English",VLOOKUP(E393,'BASE_FUNCOES (hide)'!A:H,3,0),IF('General Information'!$C$6="Español",VLOOKUP(E393,'BASE_FUNCOES (hide)'!A:H,4,0))))</f>
        <v>OPS - Envio de Informações Cadastrais de Prestadores Médicos (CPM)</v>
      </c>
      <c r="G393" s="73" t="str">
        <f>IF(AND('General Information'!$D$17=7,VLOOKUP(B393,Modules!$B$5:$E$496,4,0)=1)=TRUE,VLOOKUP('Hours Detail'!E393,'BASE_FUNCOES (hide)'!A:S,17,0),IF(AND('General Information'!$D$17=8,VLOOKUP(B393,Modules!$B$5:$E$496,4,0)=1)=TRUE,VLOOKUP('Hours Detail'!E393,'BASE_FUNCOES (hide)'!A:S,18,0),IF(AND('General Information'!$D$17=9,VLOOKUP(B393,Modules!$B$5:$E$496,4,0)=1)=TRUE,VLOOKUP('Hours Detail'!E393,'BASE_FUNCOES (hide)'!A:S,19,0),"No")))</f>
        <v>No</v>
      </c>
      <c r="H393" s="544" t="str">
        <f t="shared" si="7"/>
        <v>No</v>
      </c>
      <c r="I393" s="75">
        <f>IF('General Information'!$C$4="Mexico",(ROUNDUP(VLOOKUP(E393,'BASE_FUNCOES (hide)'!A:X,21,0),0)),(ROUNDUP(VLOOKUP(E393,'BASE_FUNCOES (hide)'!A:L,9,0),0)))</f>
        <v>0</v>
      </c>
      <c r="J393" s="75">
        <f>ROUNDUP(SUMIF(Questions!$E$5:$E$558,'Hours Detail'!E393,Questions!$F$5:$F$558),0)</f>
        <v>0</v>
      </c>
      <c r="K393" s="76">
        <f>IF(H393="Yes",ROUNDUP(IF(VLOOKUP(E393,'BASE_FUNCOES (hide)'!A:T,16,FALSE)&lt;&gt;"No",IF('General Information'!$C$19="HTML5",(I393+J393)*'BASE_FUNCOES (hide)'!$T$2,I393+J393),I393+J393),I393+J393),I393+J393)</f>
        <v>0</v>
      </c>
      <c r="L393" s="163" t="str">
        <f>IF(ISERROR(VLOOKUP(E393,Questions!$E$5:$L$568,6,0))=FALSE,VLOOKUP(E393,Questions!$E$5:$L$568,6,0),"")</f>
        <v/>
      </c>
      <c r="M393" s="164" t="s">
        <v>2396</v>
      </c>
      <c r="N393" s="369" t="s">
        <v>2377</v>
      </c>
    </row>
    <row r="394" spans="1:14" ht="14.5" customHeight="1">
      <c r="A394" s="59"/>
      <c r="B394" s="72">
        <f>VLOOKUP('Hours Detail'!E394,'BASE_FUNCOES (hide)'!A:W,5,FALSE)</f>
        <v>381</v>
      </c>
      <c r="C394" s="72" t="s">
        <v>5887</v>
      </c>
      <c r="D394" s="73" t="str">
        <f>IF('General Information'!$C$6="Português",VLOOKUP(B394,'ESTRUTURA_MODULO(hide)'!A:D,2,0),IF('General Information'!$C$6="English",VLOOKUP(B394,'ESTRUTURA_MODULO(hide)'!A:D,3,0),IF('General Information'!$C$6="Español",VLOOKUP(B394,'ESTRUTURA_MODULO(hide)'!A:D,4,0))))</f>
        <v>Portal Web</v>
      </c>
      <c r="E394" s="74">
        <v>110</v>
      </c>
      <c r="F394" s="73" t="str">
        <f>IF('General Information'!$C$6="Português",VLOOKUP(E394,'BASE_FUNCOES (hide)'!A:H,2,0),IF('General Information'!$C$6="English",VLOOKUP(E394,'BASE_FUNCOES (hide)'!A:H,3,0),IF('General Information'!$C$6="Español",VLOOKUP(E394,'BASE_FUNCOES (hide)'!A:H,4,0))))</f>
        <v>OPS - Portal Web</v>
      </c>
      <c r="G394" s="73" t="str">
        <f>IF(AND('General Information'!$D$17=7,VLOOKUP(B394,Modules!$B$5:$E$496,4,0)=1)=TRUE,VLOOKUP('Hours Detail'!E394,'BASE_FUNCOES (hide)'!A:S,17,0),IF(AND('General Information'!$D$17=8,VLOOKUP(B394,Modules!$B$5:$E$496,4,0)=1)=TRUE,VLOOKUP('Hours Detail'!E394,'BASE_FUNCOES (hide)'!A:S,18,0),IF(AND('General Information'!$D$17=9,VLOOKUP(B394,Modules!$B$5:$E$496,4,0)=1)=TRUE,VLOOKUP('Hours Detail'!E394,'BASE_FUNCOES (hide)'!A:S,19,0),"No")))</f>
        <v>No</v>
      </c>
      <c r="H394" s="544" t="str">
        <f t="shared" si="7"/>
        <v>No</v>
      </c>
      <c r="I394" s="75">
        <f>IF('General Information'!$C$4="Mexico",(ROUNDUP(VLOOKUP(E394,'BASE_FUNCOES (hide)'!A:X,21,0),0)),(ROUNDUP(VLOOKUP(E394,'BASE_FUNCOES (hide)'!A:L,9,0),0)))</f>
        <v>4</v>
      </c>
      <c r="J394" s="75">
        <f>ROUNDUP(SUMIF(Questions!$E$5:$E$558,'Hours Detail'!E394,Questions!$F$5:$F$558),0)</f>
        <v>0</v>
      </c>
      <c r="K394" s="76">
        <f>IF(H394="Yes",ROUNDUP(IF(VLOOKUP(E394,'BASE_FUNCOES (hide)'!A:T,16,FALSE)&lt;&gt;"No",IF('General Information'!$C$19="HTML5",(I394+J394)*'BASE_FUNCOES (hide)'!$T$2,I394+J394),I394+J394),I394+J394),I394+J394)</f>
        <v>4</v>
      </c>
      <c r="L394" s="163" t="str">
        <f>IF(ISERROR(VLOOKUP(E394,Questions!$E$5:$L$568,6,0))=FALSE,VLOOKUP(E394,Questions!$E$5:$L$568,6,0),"")</f>
        <v/>
      </c>
      <c r="M394" s="164" t="s">
        <v>2396</v>
      </c>
      <c r="N394" s="369" t="s">
        <v>2377</v>
      </c>
    </row>
    <row r="395" spans="1:14" ht="14.5" customHeight="1">
      <c r="A395" s="59"/>
      <c r="B395" s="72">
        <f>VLOOKUP('Hours Detail'!E395,'BASE_FUNCOES (hide)'!A:W,5,FALSE)</f>
        <v>582</v>
      </c>
      <c r="C395" s="72" t="s">
        <v>5887</v>
      </c>
      <c r="D395" s="73" t="str">
        <f>IF('General Information'!$C$6="Português",VLOOKUP(B395,'ESTRUTURA_MODULO(hide)'!A:D,2,0),IF('General Information'!$C$6="English",VLOOKUP(B395,'ESTRUTURA_MODULO(hide)'!A:D,3,0),IF('General Information'!$C$6="Español",VLOOKUP(B395,'ESTRUTURA_MODULO(hide)'!A:D,4,0))))</f>
        <v>Relacionamento</v>
      </c>
      <c r="E395" s="74">
        <v>1278</v>
      </c>
      <c r="F395" s="73" t="str">
        <f>IF('General Information'!$C$6="Português",VLOOKUP(E395,'BASE_FUNCOES (hide)'!A:H,2,0),IF('General Information'!$C$6="English",VLOOKUP(E395,'BASE_FUNCOES (hide)'!A:H,3,0),IF('General Information'!$C$6="Español",VLOOKUP(E395,'BASE_FUNCOES (hide)'!A:H,4,0))))</f>
        <v>OPS - Gestão de Contratos Coletivos para Relacionamento</v>
      </c>
      <c r="G395" s="73" t="str">
        <f>IF(AND('General Information'!$D$17=7,VLOOKUP(B395,Modules!$B$5:$E$496,4,0)=1)=TRUE,VLOOKUP('Hours Detail'!E395,'BASE_FUNCOES (hide)'!A:S,17,0),IF(AND('General Information'!$D$17=8,VLOOKUP(B395,Modules!$B$5:$E$496,4,0)=1)=TRUE,VLOOKUP('Hours Detail'!E395,'BASE_FUNCOES (hide)'!A:S,18,0),IF(AND('General Information'!$D$17=9,VLOOKUP(B395,Modules!$B$5:$E$496,4,0)=1)=TRUE,VLOOKUP('Hours Detail'!E395,'BASE_FUNCOES (hide)'!A:S,19,0),"No")))</f>
        <v>No</v>
      </c>
      <c r="H395" s="544" t="str">
        <f t="shared" si="7"/>
        <v>No</v>
      </c>
      <c r="I395" s="75">
        <f>IF('General Information'!$C$4="Mexico",(ROUNDUP(VLOOKUP(E395,'BASE_FUNCOES (hide)'!A:X,21,0),0)),(ROUNDUP(VLOOKUP(E395,'BASE_FUNCOES (hide)'!A:L,9,0),0)))</f>
        <v>16</v>
      </c>
      <c r="J395" s="75">
        <f>ROUNDUP(SUMIF(Questions!$E$5:$E$558,'Hours Detail'!E395,Questions!$F$5:$F$558),0)</f>
        <v>0</v>
      </c>
      <c r="K395" s="76">
        <f>IF(H395="Yes",ROUNDUP(IF(VLOOKUP(E395,'BASE_FUNCOES (hide)'!A:T,16,FALSE)&lt;&gt;"No",IF('General Information'!$C$19="HTML5",(I395+J395)*'BASE_FUNCOES (hide)'!$T$2,I395+J395),I395+J395),I395+J395),I395+J395)</f>
        <v>16</v>
      </c>
      <c r="L395" s="163" t="str">
        <f>IF(ISERROR(VLOOKUP(E395,Questions!$E$5:$L$568,6,0))=FALSE,VLOOKUP(E395,Questions!$E$5:$L$568,6,0),"")</f>
        <v/>
      </c>
      <c r="M395" s="164" t="s">
        <v>2396</v>
      </c>
      <c r="N395" s="369" t="s">
        <v>2377</v>
      </c>
    </row>
    <row r="396" spans="1:14" ht="14.5" customHeight="1">
      <c r="A396" s="59"/>
      <c r="B396" s="72">
        <f>VLOOKUP('Hours Detail'!E396,'BASE_FUNCOES (hide)'!A:W,5,FALSE)</f>
        <v>583</v>
      </c>
      <c r="C396" s="72" t="s">
        <v>5887</v>
      </c>
      <c r="D396" s="73" t="str">
        <f>IF('General Information'!$C$6="Português",VLOOKUP(B396,'ESTRUTURA_MODULO(hide)'!A:D,2,0),IF('General Information'!$C$6="English",VLOOKUP(B396,'ESTRUTURA_MODULO(hide)'!A:D,3,0),IF('General Information'!$C$6="Español",VLOOKUP(B396,'ESTRUTURA_MODULO(hide)'!A:D,4,0))))</f>
        <v>Gestão de Cooperados</v>
      </c>
      <c r="E396" s="74">
        <v>1387</v>
      </c>
      <c r="F396" s="73" t="str">
        <f>IF('General Information'!$C$6="Português",VLOOKUP(E396,'BASE_FUNCOES (hide)'!A:H,2,0),IF('General Information'!$C$6="English",VLOOKUP(E396,'BASE_FUNCOES (hide)'!A:H,3,0),IF('General Information'!$C$6="Español",VLOOKUP(E396,'BASE_FUNCOES (hide)'!A:H,4,0))))</f>
        <v>OPS - Escriturações de Quotas de Cooperados</v>
      </c>
      <c r="G396" s="73" t="str">
        <f>IF(AND('General Information'!$D$17=7,VLOOKUP(B396,Modules!$B$5:$E$496,4,0)=1)=TRUE,VLOOKUP('Hours Detail'!E396,'BASE_FUNCOES (hide)'!A:S,17,0),IF(AND('General Information'!$D$17=8,VLOOKUP(B396,Modules!$B$5:$E$496,4,0)=1)=TRUE,VLOOKUP('Hours Detail'!E396,'BASE_FUNCOES (hide)'!A:S,18,0),IF(AND('General Information'!$D$17=9,VLOOKUP(B396,Modules!$B$5:$E$496,4,0)=1)=TRUE,VLOOKUP('Hours Detail'!E396,'BASE_FUNCOES (hide)'!A:S,19,0),"No")))</f>
        <v>No</v>
      </c>
      <c r="H396" s="544" t="str">
        <f t="shared" si="7"/>
        <v>No</v>
      </c>
      <c r="I396" s="75">
        <f>IF('General Information'!$C$4="Mexico",(ROUNDUP(VLOOKUP(E396,'BASE_FUNCOES (hide)'!A:X,21,0),0)),(ROUNDUP(VLOOKUP(E396,'BASE_FUNCOES (hide)'!A:L,9,0),0)))</f>
        <v>12</v>
      </c>
      <c r="J396" s="75">
        <f>ROUNDUP(SUMIF(Questions!$E$5:$E$558,'Hours Detail'!E396,Questions!$F$5:$F$558),0)</f>
        <v>0</v>
      </c>
      <c r="K396" s="76">
        <f>IF(H396="Yes",ROUNDUP(IF(VLOOKUP(E396,'BASE_FUNCOES (hide)'!A:T,16,FALSE)&lt;&gt;"No",IF('General Information'!$C$19="HTML5",(I396+J396)*'BASE_FUNCOES (hide)'!$T$2,I396+J396),I396+J396),I396+J396),I396+J396)</f>
        <v>12</v>
      </c>
      <c r="L396" s="163" t="str">
        <f>IF(ISERROR(VLOOKUP(E396,Questions!$E$5:$L$568,6,0))=FALSE,VLOOKUP(E396,Questions!$E$5:$L$568,6,0),"")</f>
        <v/>
      </c>
      <c r="M396" s="164" t="s">
        <v>2396</v>
      </c>
      <c r="N396" s="369" t="s">
        <v>2377</v>
      </c>
    </row>
    <row r="397" spans="1:14" ht="14.5" customHeight="1">
      <c r="A397" s="59"/>
      <c r="B397" s="72">
        <f>VLOOKUP('Hours Detail'!E397,'BASE_FUNCOES (hide)'!A:W,5,FALSE)</f>
        <v>583</v>
      </c>
      <c r="C397" s="72" t="s">
        <v>5887</v>
      </c>
      <c r="D397" s="73" t="str">
        <f>IF('General Information'!$C$6="Português",VLOOKUP(B397,'ESTRUTURA_MODULO(hide)'!A:D,2,0),IF('General Information'!$C$6="English",VLOOKUP(B397,'ESTRUTURA_MODULO(hide)'!A:D,3,0),IF('General Information'!$C$6="Español",VLOOKUP(B397,'ESTRUTURA_MODULO(hide)'!A:D,4,0))))</f>
        <v>Gestão de Cooperados</v>
      </c>
      <c r="E397" s="74">
        <v>1279</v>
      </c>
      <c r="F397" s="73" t="str">
        <f>IF('General Information'!$C$6="Português",VLOOKUP(E397,'BASE_FUNCOES (hide)'!A:H,2,0),IF('General Information'!$C$6="English",VLOOKUP(E397,'BASE_FUNCOES (hide)'!A:H,3,0),IF('General Information'!$C$6="Español",VLOOKUP(E397,'BASE_FUNCOES (hide)'!A:H,4,0))))</f>
        <v>OPS - Gestão de Cooperados</v>
      </c>
      <c r="G397" s="73" t="str">
        <f>IF(AND('General Information'!$D$17=7,VLOOKUP(B397,Modules!$B$5:$E$496,4,0)=1)=TRUE,VLOOKUP('Hours Detail'!E397,'BASE_FUNCOES (hide)'!A:S,17,0),IF(AND('General Information'!$D$17=8,VLOOKUP(B397,Modules!$B$5:$E$496,4,0)=1)=TRUE,VLOOKUP('Hours Detail'!E397,'BASE_FUNCOES (hide)'!A:S,18,0),IF(AND('General Information'!$D$17=9,VLOOKUP(B397,Modules!$B$5:$E$496,4,0)=1)=TRUE,VLOOKUP('Hours Detail'!E397,'BASE_FUNCOES (hide)'!A:S,19,0),"No")))</f>
        <v>No</v>
      </c>
      <c r="H397" s="544" t="str">
        <f t="shared" si="7"/>
        <v>No</v>
      </c>
      <c r="I397" s="75">
        <f>IF('General Information'!$C$4="Mexico",(ROUNDUP(VLOOKUP(E397,'BASE_FUNCOES (hide)'!A:X,21,0),0)),(ROUNDUP(VLOOKUP(E397,'BASE_FUNCOES (hide)'!A:L,9,0),0)))</f>
        <v>16</v>
      </c>
      <c r="J397" s="75">
        <f>ROUNDUP(SUMIF(Questions!$E$5:$E$558,'Hours Detail'!E397,Questions!$F$5:$F$558),0)</f>
        <v>0</v>
      </c>
      <c r="K397" s="76">
        <f>IF(H397="Yes",ROUNDUP(IF(VLOOKUP(E397,'BASE_FUNCOES (hide)'!A:T,16,FALSE)&lt;&gt;"No",IF('General Information'!$C$19="HTML5",(I397+J397)*'BASE_FUNCOES (hide)'!$T$2,I397+J397),I397+J397),I397+J397),I397+J397)</f>
        <v>16</v>
      </c>
      <c r="L397" s="163" t="str">
        <f>IF(ISERROR(VLOOKUP(E397,Questions!$E$5:$L$568,6,0))=FALSE,VLOOKUP(E397,Questions!$E$5:$L$568,6,0),"")</f>
        <v/>
      </c>
      <c r="M397" s="164" t="s">
        <v>2396</v>
      </c>
      <c r="N397" s="369" t="s">
        <v>2377</v>
      </c>
    </row>
    <row r="398" spans="1:14" ht="14.5" customHeight="1">
      <c r="A398" s="59"/>
      <c r="B398" s="72">
        <f>VLOOKUP('Hours Detail'!E398,'BASE_FUNCOES (hide)'!A:W,5,FALSE)</f>
        <v>685</v>
      </c>
      <c r="C398" s="72" t="s">
        <v>5887</v>
      </c>
      <c r="D398" s="73" t="str">
        <f>IF('General Information'!$C$6="Português",VLOOKUP(B398,'ESTRUTURA_MODULO(hide)'!A:D,2,0),IF('General Information'!$C$6="English",VLOOKUP(B398,'ESTRUTURA_MODULO(hide)'!A:D,3,0),IF('General Information'!$C$6="Español",VLOOKUP(B398,'ESTRUTURA_MODULO(hide)'!A:D,4,0))))</f>
        <v>Fiscal</v>
      </c>
      <c r="E398" s="74">
        <v>1328</v>
      </c>
      <c r="F398" s="73" t="str">
        <f>IF('General Information'!$C$6="Português",VLOOKUP(E398,'BASE_FUNCOES (hide)'!A:H,2,0),IF('General Information'!$C$6="English",VLOOKUP(E398,'BASE_FUNCOES (hide)'!A:H,3,0),IF('General Information'!$C$6="Español",VLOOKUP(E398,'BASE_FUNCOES (hide)'!A:H,4,0))))</f>
        <v>OPS - Geração do SEFIP e E-Social</v>
      </c>
      <c r="G398" s="73" t="str">
        <f>IF(AND('General Information'!$D$17=7,VLOOKUP(B398,Modules!$B$5:$E$496,4,0)=1)=TRUE,VLOOKUP('Hours Detail'!E398,'BASE_FUNCOES (hide)'!A:S,17,0),IF(AND('General Information'!$D$17=8,VLOOKUP(B398,Modules!$B$5:$E$496,4,0)=1)=TRUE,VLOOKUP('Hours Detail'!E398,'BASE_FUNCOES (hide)'!A:S,18,0),IF(AND('General Information'!$D$17=9,VLOOKUP(B398,Modules!$B$5:$E$496,4,0)=1)=TRUE,VLOOKUP('Hours Detail'!E398,'BASE_FUNCOES (hide)'!A:S,19,0),"No")))</f>
        <v>No</v>
      </c>
      <c r="H398" s="544" t="str">
        <f t="shared" si="7"/>
        <v>No</v>
      </c>
      <c r="I398" s="75">
        <f>IF('General Information'!$C$4="Mexico",(ROUNDUP(VLOOKUP(E398,'BASE_FUNCOES (hide)'!A:X,21,0),0)),(ROUNDUP(VLOOKUP(E398,'BASE_FUNCOES (hide)'!A:L,9,0),0)))</f>
        <v>48</v>
      </c>
      <c r="J398" s="75">
        <f>ROUNDUP(SUMIF(Questions!$E$5:$E$558,'Hours Detail'!E398,Questions!$F$5:$F$558),0)</f>
        <v>0</v>
      </c>
      <c r="K398" s="76">
        <f>IF(H398="Yes",ROUNDUP(IF(VLOOKUP(E398,'BASE_FUNCOES (hide)'!A:T,16,FALSE)&lt;&gt;"No",IF('General Information'!$C$19="HTML5",(I398+J398)*'BASE_FUNCOES (hide)'!$T$2,I398+J398),I398+J398),I398+J398),I398+J398)</f>
        <v>48</v>
      </c>
      <c r="L398" s="163" t="str">
        <f>IF(ISERROR(VLOOKUP(E398,Questions!$E$5:$L$568,6,0))=FALSE,VLOOKUP(E398,Questions!$E$5:$L$568,6,0),"")</f>
        <v/>
      </c>
      <c r="M398" s="164" t="s">
        <v>2396</v>
      </c>
      <c r="N398" s="369" t="s">
        <v>2377</v>
      </c>
    </row>
    <row r="399" spans="1:14" ht="14.5" customHeight="1">
      <c r="A399" s="59"/>
      <c r="B399" s="72">
        <f>VLOOKUP('Hours Detail'!E399,'BASE_FUNCOES (hide)'!A:W,5,FALSE)</f>
        <v>690</v>
      </c>
      <c r="C399" s="72" t="s">
        <v>5887</v>
      </c>
      <c r="D399" s="73" t="str">
        <f>IF('General Information'!$C$6="Português",VLOOKUP(B399,'ESTRUTURA_MODULO(hide)'!A:D,2,0),IF('General Information'!$C$6="English",VLOOKUP(B399,'ESTRUTURA_MODULO(hide)'!A:D,3,0),IF('General Information'!$C$6="Español",VLOOKUP(B399,'ESTRUTURA_MODULO(hide)'!A:D,4,0))))</f>
        <v>Prestadores</v>
      </c>
      <c r="E399" s="74">
        <v>1203</v>
      </c>
      <c r="F399" s="73" t="str">
        <f>IF('General Information'!$C$6="Português",VLOOKUP(E399,'BASE_FUNCOES (hide)'!A:H,2,0),IF('General Information'!$C$6="English",VLOOKUP(E399,'BASE_FUNCOES (hide)'!A:H,3,0),IF('General Information'!$C$6="Español",VLOOKUP(E399,'BASE_FUNCOES (hide)'!A:H,4,0))))</f>
        <v>OPS - Prestadores</v>
      </c>
      <c r="G399" s="73" t="str">
        <f>IF(AND('General Information'!$D$17=7,VLOOKUP(B399,Modules!$B$5:$E$496,4,0)=1)=TRUE,VLOOKUP('Hours Detail'!E399,'BASE_FUNCOES (hide)'!A:S,17,0),IF(AND('General Information'!$D$17=8,VLOOKUP(B399,Modules!$B$5:$E$496,4,0)=1)=TRUE,VLOOKUP('Hours Detail'!E399,'BASE_FUNCOES (hide)'!A:S,18,0),IF(AND('General Information'!$D$17=9,VLOOKUP(B399,Modules!$B$5:$E$496,4,0)=1)=TRUE,VLOOKUP('Hours Detail'!E399,'BASE_FUNCOES (hide)'!A:S,19,0),"No")))</f>
        <v>No</v>
      </c>
      <c r="H399" s="544" t="str">
        <f t="shared" ref="H399:H462" si="8">G399</f>
        <v>No</v>
      </c>
      <c r="I399" s="75">
        <f>IF('General Information'!$C$4="Mexico",(ROUNDUP(VLOOKUP(E399,'BASE_FUNCOES (hide)'!A:X,21,0),0)),(ROUNDUP(VLOOKUP(E399,'BASE_FUNCOES (hide)'!A:L,9,0),0)))</f>
        <v>40</v>
      </c>
      <c r="J399" s="75">
        <f>ROUNDUP(SUMIF(Questions!$E$5:$E$558,'Hours Detail'!E399,Questions!$F$5:$F$558),0)</f>
        <v>0</v>
      </c>
      <c r="K399" s="76">
        <f>IF(H399="Yes",ROUNDUP(IF(VLOOKUP(E399,'BASE_FUNCOES (hide)'!A:T,16,FALSE)&lt;&gt;"No",IF('General Information'!$C$19="HTML5",(I399+J399)*'BASE_FUNCOES (hide)'!$T$2,I399+J399),I399+J399),I399+J399),I399+J399)</f>
        <v>40</v>
      </c>
      <c r="L399" s="163" t="str">
        <f>IF(ISERROR(VLOOKUP(E399,Questions!$E$5:$L$568,6,0))=FALSE,VLOOKUP(E399,Questions!$E$5:$L$568,6,0),"")</f>
        <v xml:space="preserve">(aumentar 10% das horas dos módulos prestadores, contas médicas e autorizações a cada 2000)
Só na função OPS Prestadores. Aumentar 10% das horas aqui. Pra cada 2000 prestadores, 10% a mais. 
Na função glosas e ocorrências. Aumentar 10% a cada 2000. </v>
      </c>
      <c r="M399" s="164" t="s">
        <v>2396</v>
      </c>
      <c r="N399" s="369" t="s">
        <v>2377</v>
      </c>
    </row>
    <row r="400" spans="1:14" ht="14.5" customHeight="1">
      <c r="A400" s="59"/>
      <c r="B400" s="72">
        <f>VLOOKUP('Hours Detail'!E400,'BASE_FUNCOES (hide)'!A:W,5,FALSE)</f>
        <v>690</v>
      </c>
      <c r="C400" s="72" t="s">
        <v>5887</v>
      </c>
      <c r="D400" s="73" t="str">
        <f>IF('General Information'!$C$6="Português",VLOOKUP(B400,'ESTRUTURA_MODULO(hide)'!A:D,2,0),IF('General Information'!$C$6="English",VLOOKUP(B400,'ESTRUTURA_MODULO(hide)'!A:D,3,0),IF('General Information'!$C$6="Español",VLOOKUP(B400,'ESTRUTURA_MODULO(hide)'!A:D,4,0))))</f>
        <v>Prestadores</v>
      </c>
      <c r="E400" s="74">
        <v>1346</v>
      </c>
      <c r="F400" s="73" t="str">
        <f>IF('General Information'!$C$6="Português",VLOOKUP(E400,'BASE_FUNCOES (hide)'!A:H,2,0),IF('General Information'!$C$6="English",VLOOKUP(E400,'BASE_FUNCOES (hide)'!A:H,3,0),IF('General Information'!$C$6="Español",VLOOKUP(E400,'BASE_FUNCOES (hide)'!A:H,4,0))))</f>
        <v>OPS - Localizador de Grupos de Prestadores</v>
      </c>
      <c r="G400" s="73" t="str">
        <f>IF(AND('General Information'!$D$17=7,VLOOKUP(B400,Modules!$B$5:$E$496,4,0)=1)=TRUE,VLOOKUP('Hours Detail'!E400,'BASE_FUNCOES (hide)'!A:S,17,0),IF(AND('General Information'!$D$17=8,VLOOKUP(B400,Modules!$B$5:$E$496,4,0)=1)=TRUE,VLOOKUP('Hours Detail'!E400,'BASE_FUNCOES (hide)'!A:S,18,0),IF(AND('General Information'!$D$17=9,VLOOKUP(B400,Modules!$B$5:$E$496,4,0)=1)=TRUE,VLOOKUP('Hours Detail'!E400,'BASE_FUNCOES (hide)'!A:S,19,0),"No")))</f>
        <v>No</v>
      </c>
      <c r="H400" s="544" t="str">
        <f t="shared" si="8"/>
        <v>No</v>
      </c>
      <c r="I400" s="75">
        <f>IF('General Information'!$C$4="Mexico",(ROUNDUP(VLOOKUP(E400,'BASE_FUNCOES (hide)'!A:X,21,0),0)),(ROUNDUP(VLOOKUP(E400,'BASE_FUNCOES (hide)'!A:L,9,0),0)))</f>
        <v>0</v>
      </c>
      <c r="J400" s="75">
        <f>ROUNDUP(SUMIF(Questions!$E$5:$E$558,'Hours Detail'!E400,Questions!$F$5:$F$558),0)</f>
        <v>0</v>
      </c>
      <c r="K400" s="76">
        <f>IF(H400="Yes",ROUNDUP(IF(VLOOKUP(E400,'BASE_FUNCOES (hide)'!A:T,16,FALSE)&lt;&gt;"No",IF('General Information'!$C$19="HTML5",(I400+J400)*'BASE_FUNCOES (hide)'!$T$2,I400+J400),I400+J400),I400+J400),I400+J400)</f>
        <v>0</v>
      </c>
      <c r="L400" s="163" t="str">
        <f>IF(ISERROR(VLOOKUP(E400,Questions!$E$5:$L$568,6,0))=FALSE,VLOOKUP(E400,Questions!$E$5:$L$568,6,0),"")</f>
        <v/>
      </c>
      <c r="M400" s="164" t="s">
        <v>2396</v>
      </c>
      <c r="N400" s="369" t="s">
        <v>2377</v>
      </c>
    </row>
    <row r="401" spans="1:14" ht="14.5" customHeight="1">
      <c r="A401" s="59"/>
      <c r="B401" s="72">
        <f>VLOOKUP('Hours Detail'!E401,'BASE_FUNCOES (hide)'!A:W,5,FALSE)</f>
        <v>690</v>
      </c>
      <c r="C401" s="72" t="s">
        <v>5887</v>
      </c>
      <c r="D401" s="73" t="str">
        <f>IF('General Information'!$C$6="Português",VLOOKUP(B401,'ESTRUTURA_MODULO(hide)'!A:D,2,0),IF('General Information'!$C$6="English",VLOOKUP(B401,'ESTRUTURA_MODULO(hide)'!A:D,3,0),IF('General Information'!$C$6="Español",VLOOKUP(B401,'ESTRUTURA_MODULO(hide)'!A:D,4,0))))</f>
        <v>Prestadores</v>
      </c>
      <c r="E401" s="74">
        <v>1363</v>
      </c>
      <c r="F401" s="73" t="str">
        <f>IF('General Information'!$C$6="Português",VLOOKUP(E401,'BASE_FUNCOES (hide)'!A:H,2,0),IF('General Information'!$C$6="English",VLOOKUP(E401,'BASE_FUNCOES (hide)'!A:H,3,0),IF('General Information'!$C$6="Español",VLOOKUP(E401,'BASE_FUNCOES (hide)'!A:H,4,0))))</f>
        <v>OPS - Manutenção de Conversões de Itens</v>
      </c>
      <c r="G401" s="73" t="str">
        <f>IF(AND('General Information'!$D$17=7,VLOOKUP(B401,Modules!$B$5:$E$496,4,0)=1)=TRUE,VLOOKUP('Hours Detail'!E401,'BASE_FUNCOES (hide)'!A:S,17,0),IF(AND('General Information'!$D$17=8,VLOOKUP(B401,Modules!$B$5:$E$496,4,0)=1)=TRUE,VLOOKUP('Hours Detail'!E401,'BASE_FUNCOES (hide)'!A:S,18,0),IF(AND('General Information'!$D$17=9,VLOOKUP(B401,Modules!$B$5:$E$496,4,0)=1)=TRUE,VLOOKUP('Hours Detail'!E401,'BASE_FUNCOES (hide)'!A:S,19,0),"No")))</f>
        <v>No</v>
      </c>
      <c r="H401" s="544" t="str">
        <f t="shared" si="8"/>
        <v>No</v>
      </c>
      <c r="I401" s="75">
        <f>IF('General Information'!$C$4="Mexico",(ROUNDUP(VLOOKUP(E401,'BASE_FUNCOES (hide)'!A:X,21,0),0)),(ROUNDUP(VLOOKUP(E401,'BASE_FUNCOES (hide)'!A:L,9,0),0)))</f>
        <v>8</v>
      </c>
      <c r="J401" s="75">
        <f>ROUNDUP(SUMIF(Questions!$E$5:$E$558,'Hours Detail'!E401,Questions!$F$5:$F$558),0)</f>
        <v>0</v>
      </c>
      <c r="K401" s="76">
        <f>IF(H401="Yes",ROUNDUP(IF(VLOOKUP(E401,'BASE_FUNCOES (hide)'!A:T,16,FALSE)&lt;&gt;"No",IF('General Information'!$C$19="HTML5",(I401+J401)*'BASE_FUNCOES (hide)'!$T$2,I401+J401),I401+J401),I401+J401),I401+J401)</f>
        <v>8</v>
      </c>
      <c r="L401" s="163" t="str">
        <f>IF(ISERROR(VLOOKUP(E401,Questions!$E$5:$L$568,6,0))=FALSE,VLOOKUP(E401,Questions!$E$5:$L$568,6,0),"")</f>
        <v/>
      </c>
      <c r="M401" s="164" t="s">
        <v>2396</v>
      </c>
      <c r="N401" s="369" t="s">
        <v>2377</v>
      </c>
    </row>
    <row r="402" spans="1:14" ht="14.5" customHeight="1">
      <c r="A402" s="59"/>
      <c r="B402" s="72">
        <f>VLOOKUP('Hours Detail'!E402,'BASE_FUNCOES (hide)'!A:W,5,FALSE)</f>
        <v>690</v>
      </c>
      <c r="C402" s="72" t="s">
        <v>5887</v>
      </c>
      <c r="D402" s="73" t="str">
        <f>IF('General Information'!$C$6="Português",VLOOKUP(B402,'ESTRUTURA_MODULO(hide)'!A:D,2,0),IF('General Information'!$C$6="English",VLOOKUP(B402,'ESTRUTURA_MODULO(hide)'!A:D,3,0),IF('General Information'!$C$6="Español",VLOOKUP(B402,'ESTRUTURA_MODULO(hide)'!A:D,4,0))))</f>
        <v>Prestadores</v>
      </c>
      <c r="E402" s="74">
        <v>1336</v>
      </c>
      <c r="F402" s="73" t="str">
        <f>IF('General Information'!$C$6="Português",VLOOKUP(E402,'BASE_FUNCOES (hide)'!A:H,2,0),IF('General Information'!$C$6="English",VLOOKUP(E402,'BASE_FUNCOES (hide)'!A:H,3,0),IF('General Information'!$C$6="Español",VLOOKUP(E402,'BASE_FUNCOES (hide)'!A:H,4,0))))</f>
        <v>OPS - Localizador de Grupos de Serviços</v>
      </c>
      <c r="G402" s="73" t="str">
        <f>IF(AND('General Information'!$D$17=7,VLOOKUP(B402,Modules!$B$5:$E$496,4,0)=1)=TRUE,VLOOKUP('Hours Detail'!E402,'BASE_FUNCOES (hide)'!A:S,17,0),IF(AND('General Information'!$D$17=8,VLOOKUP(B402,Modules!$B$5:$E$496,4,0)=1)=TRUE,VLOOKUP('Hours Detail'!E402,'BASE_FUNCOES (hide)'!A:S,18,0),IF(AND('General Information'!$D$17=9,VLOOKUP(B402,Modules!$B$5:$E$496,4,0)=1)=TRUE,VLOOKUP('Hours Detail'!E402,'BASE_FUNCOES (hide)'!A:S,19,0),"No")))</f>
        <v>No</v>
      </c>
      <c r="H402" s="544" t="str">
        <f t="shared" si="8"/>
        <v>No</v>
      </c>
      <c r="I402" s="75">
        <f>IF('General Information'!$C$4="Mexico",(ROUNDUP(VLOOKUP(E402,'BASE_FUNCOES (hide)'!A:X,21,0),0)),(ROUNDUP(VLOOKUP(E402,'BASE_FUNCOES (hide)'!A:L,9,0),0)))</f>
        <v>0</v>
      </c>
      <c r="J402" s="75">
        <f>ROUNDUP(SUMIF(Questions!$E$5:$E$558,'Hours Detail'!E402,Questions!$F$5:$F$558),0)</f>
        <v>0</v>
      </c>
      <c r="K402" s="76">
        <f>IF(H402="Yes",ROUNDUP(IF(VLOOKUP(E402,'BASE_FUNCOES (hide)'!A:T,16,FALSE)&lt;&gt;"No",IF('General Information'!$C$19="HTML5",(I402+J402)*'BASE_FUNCOES (hide)'!$T$2,I402+J402),I402+J402),I402+J402),I402+J402)</f>
        <v>0</v>
      </c>
      <c r="L402" s="163" t="str">
        <f>IF(ISERROR(VLOOKUP(E402,Questions!$E$5:$L$568,6,0))=FALSE,VLOOKUP(E402,Questions!$E$5:$L$568,6,0),"")</f>
        <v/>
      </c>
      <c r="M402" s="164" t="s">
        <v>2396</v>
      </c>
      <c r="N402" s="369" t="s">
        <v>2377</v>
      </c>
    </row>
    <row r="403" spans="1:14" ht="14.5" customHeight="1">
      <c r="A403" s="59"/>
      <c r="B403" s="72">
        <f>VLOOKUP('Hours Detail'!E403,'BASE_FUNCOES (hide)'!A:W,5,FALSE)</f>
        <v>690</v>
      </c>
      <c r="C403" s="72" t="s">
        <v>5887</v>
      </c>
      <c r="D403" s="73" t="str">
        <f>IF('General Information'!$C$6="Português",VLOOKUP(B403,'ESTRUTURA_MODULO(hide)'!A:D,2,0),IF('General Information'!$C$6="English",VLOOKUP(B403,'ESTRUTURA_MODULO(hide)'!A:D,3,0),IF('General Information'!$C$6="Español",VLOOKUP(B403,'ESTRUTURA_MODULO(hide)'!A:D,4,0))))</f>
        <v>Prestadores</v>
      </c>
      <c r="E403" s="74">
        <v>1321</v>
      </c>
      <c r="F403" s="73" t="str">
        <f>IF('General Information'!$C$6="Português",VLOOKUP(E403,'BASE_FUNCOES (hide)'!A:H,2,0),IF('General Information'!$C$6="English",VLOOKUP(E403,'BASE_FUNCOES (hide)'!A:H,3,0),IF('General Information'!$C$6="Español",VLOOKUP(E403,'BASE_FUNCOES (hide)'!A:H,4,0))))</f>
        <v>OPS - Gestão de Pacotes</v>
      </c>
      <c r="G403" s="73" t="str">
        <f>IF(AND('General Information'!$D$17=7,VLOOKUP(B403,Modules!$B$5:$E$496,4,0)=1)=TRUE,VLOOKUP('Hours Detail'!E403,'BASE_FUNCOES (hide)'!A:S,17,0),IF(AND('General Information'!$D$17=8,VLOOKUP(B403,Modules!$B$5:$E$496,4,0)=1)=TRUE,VLOOKUP('Hours Detail'!E403,'BASE_FUNCOES (hide)'!A:S,18,0),IF(AND('General Information'!$D$17=9,VLOOKUP(B403,Modules!$B$5:$E$496,4,0)=1)=TRUE,VLOOKUP('Hours Detail'!E403,'BASE_FUNCOES (hide)'!A:S,19,0),"No")))</f>
        <v>No</v>
      </c>
      <c r="H403" s="544" t="str">
        <f t="shared" si="8"/>
        <v>No</v>
      </c>
      <c r="I403" s="75">
        <f>IF('General Information'!$C$4="Mexico",(ROUNDUP(VLOOKUP(E403,'BASE_FUNCOES (hide)'!A:X,21,0),0)),(ROUNDUP(VLOOKUP(E403,'BASE_FUNCOES (hide)'!A:L,9,0),0)))</f>
        <v>32</v>
      </c>
      <c r="J403" s="75">
        <f>ROUNDUP(SUMIF(Questions!$E$5:$E$558,'Hours Detail'!E403,Questions!$F$5:$F$558),0)</f>
        <v>0</v>
      </c>
      <c r="K403" s="76">
        <f>IF(H403="Yes",ROUNDUP(IF(VLOOKUP(E403,'BASE_FUNCOES (hide)'!A:T,16,FALSE)&lt;&gt;"No",IF('General Information'!$C$19="HTML5",(I403+J403)*'BASE_FUNCOES (hide)'!$T$2,I403+J403),I403+J403),I403+J403),I403+J403)</f>
        <v>32</v>
      </c>
      <c r="L403" s="163" t="str">
        <f>IF(ISERROR(VLOOKUP(E403,Questions!$E$5:$L$568,6,0))=FALSE,VLOOKUP(E403,Questions!$E$5:$L$568,6,0),"")</f>
        <v/>
      </c>
      <c r="M403" s="164" t="s">
        <v>2396</v>
      </c>
      <c r="N403" s="369" t="s">
        <v>2377</v>
      </c>
    </row>
    <row r="404" spans="1:14" ht="14.5" customHeight="1">
      <c r="A404" s="59"/>
      <c r="B404" s="72">
        <f>VLOOKUP('Hours Detail'!E404,'BASE_FUNCOES (hide)'!A:W,5,FALSE)</f>
        <v>690</v>
      </c>
      <c r="C404" s="72" t="s">
        <v>5887</v>
      </c>
      <c r="D404" s="73" t="str">
        <f>IF('General Information'!$C$6="Português",VLOOKUP(B404,'ESTRUTURA_MODULO(hide)'!A:D,2,0),IF('General Information'!$C$6="English",VLOOKUP(B404,'ESTRUTURA_MODULO(hide)'!A:D,3,0),IF('General Information'!$C$6="Español",VLOOKUP(B404,'ESTRUTURA_MODULO(hide)'!A:D,4,0))))</f>
        <v>Prestadores</v>
      </c>
      <c r="E404" s="74">
        <v>1341</v>
      </c>
      <c r="F404" s="73" t="str">
        <f>IF('General Information'!$C$6="Português",VLOOKUP(E404,'BASE_FUNCOES (hide)'!A:H,2,0),IF('General Information'!$C$6="English",VLOOKUP(E404,'BASE_FUNCOES (hide)'!A:H,3,0),IF('General Information'!$C$6="Español",VLOOKUP(E404,'BASE_FUNCOES (hide)'!A:H,4,0))))</f>
        <v>OPS - Controle de Locais de Atendimento</v>
      </c>
      <c r="G404" s="73" t="str">
        <f>IF(AND('General Information'!$D$17=7,VLOOKUP(B404,Modules!$B$5:$E$496,4,0)=1)=TRUE,VLOOKUP('Hours Detail'!E404,'BASE_FUNCOES (hide)'!A:S,17,0),IF(AND('General Information'!$D$17=8,VLOOKUP(B404,Modules!$B$5:$E$496,4,0)=1)=TRUE,VLOOKUP('Hours Detail'!E404,'BASE_FUNCOES (hide)'!A:S,18,0),IF(AND('General Information'!$D$17=9,VLOOKUP(B404,Modules!$B$5:$E$496,4,0)=1)=TRUE,VLOOKUP('Hours Detail'!E404,'BASE_FUNCOES (hide)'!A:S,19,0),"No")))</f>
        <v>No</v>
      </c>
      <c r="H404" s="544" t="str">
        <f t="shared" si="8"/>
        <v>No</v>
      </c>
      <c r="I404" s="75">
        <f>IF('General Information'!$C$4="Mexico",(ROUNDUP(VLOOKUP(E404,'BASE_FUNCOES (hide)'!A:X,21,0),0)),(ROUNDUP(VLOOKUP(E404,'BASE_FUNCOES (hide)'!A:L,9,0),0)))</f>
        <v>4</v>
      </c>
      <c r="J404" s="75">
        <f>ROUNDUP(SUMIF(Questions!$E$5:$E$558,'Hours Detail'!E404,Questions!$F$5:$F$558),0)</f>
        <v>0</v>
      </c>
      <c r="K404" s="76">
        <f>IF(H404="Yes",ROUNDUP(IF(VLOOKUP(E404,'BASE_FUNCOES (hide)'!A:T,16,FALSE)&lt;&gt;"No",IF('General Information'!$C$19="HTML5",(I404+J404)*'BASE_FUNCOES (hide)'!$T$2,I404+J404),I404+J404),I404+J404),I404+J404)</f>
        <v>4</v>
      </c>
      <c r="L404" s="163" t="str">
        <f>IF(ISERROR(VLOOKUP(E404,Questions!$E$5:$L$568,6,0))=FALSE,VLOOKUP(E404,Questions!$E$5:$L$568,6,0),"")</f>
        <v/>
      </c>
      <c r="M404" s="164" t="s">
        <v>2396</v>
      </c>
      <c r="N404" s="369" t="s">
        <v>2377</v>
      </c>
    </row>
    <row r="405" spans="1:14" ht="14.5" customHeight="1">
      <c r="A405" s="59"/>
      <c r="B405" s="72">
        <f>VLOOKUP('Hours Detail'!E405,'BASE_FUNCOES (hide)'!A:W,5,FALSE)</f>
        <v>690</v>
      </c>
      <c r="C405" s="72" t="s">
        <v>5887</v>
      </c>
      <c r="D405" s="73" t="str">
        <f>IF('General Information'!$C$6="Português",VLOOKUP(B405,'ESTRUTURA_MODULO(hide)'!A:D,2,0),IF('General Information'!$C$6="English",VLOOKUP(B405,'ESTRUTURA_MODULO(hide)'!A:D,3,0),IF('General Information'!$C$6="Español",VLOOKUP(B405,'ESTRUTURA_MODULO(hide)'!A:D,4,0))))</f>
        <v>Prestadores</v>
      </c>
      <c r="E405" s="74">
        <v>1323</v>
      </c>
      <c r="F405" s="73" t="str">
        <f>IF('General Information'!$C$6="Português",VLOOKUP(E405,'BASE_FUNCOES (hide)'!A:H,2,0),IF('General Information'!$C$6="English",VLOOKUP(E405,'BASE_FUNCOES (hide)'!A:H,3,0),IF('General Information'!$C$6="Español",VLOOKUP(E405,'BASE_FUNCOES (hide)'!A:H,4,0))))</f>
        <v>OPS - Movimentação Cadastral de Prestador (A400)</v>
      </c>
      <c r="G405" s="73" t="str">
        <f>IF(AND('General Information'!$D$17=7,VLOOKUP(B405,Modules!$B$5:$E$496,4,0)=1)=TRUE,VLOOKUP('Hours Detail'!E405,'BASE_FUNCOES (hide)'!A:S,17,0),IF(AND('General Information'!$D$17=8,VLOOKUP(B405,Modules!$B$5:$E$496,4,0)=1)=TRUE,VLOOKUP('Hours Detail'!E405,'BASE_FUNCOES (hide)'!A:S,18,0),IF(AND('General Information'!$D$17=9,VLOOKUP(B405,Modules!$B$5:$E$496,4,0)=1)=TRUE,VLOOKUP('Hours Detail'!E405,'BASE_FUNCOES (hide)'!A:S,19,0),"No")))</f>
        <v>No</v>
      </c>
      <c r="H405" s="544" t="str">
        <f t="shared" si="8"/>
        <v>No</v>
      </c>
      <c r="I405" s="75">
        <f>IF('General Information'!$C$4="Mexico",(ROUNDUP(VLOOKUP(E405,'BASE_FUNCOES (hide)'!A:X,21,0),0)),(ROUNDUP(VLOOKUP(E405,'BASE_FUNCOES (hide)'!A:L,9,0),0)))</f>
        <v>48</v>
      </c>
      <c r="J405" s="75">
        <f>ROUNDUP(SUMIF(Questions!$E$5:$E$558,'Hours Detail'!E405,Questions!$F$5:$F$558),0)</f>
        <v>0</v>
      </c>
      <c r="K405" s="76">
        <f>IF(H405="Yes",ROUNDUP(IF(VLOOKUP(E405,'BASE_FUNCOES (hide)'!A:T,16,FALSE)&lt;&gt;"No",IF('General Information'!$C$19="HTML5",(I405+J405)*'BASE_FUNCOES (hide)'!$T$2,I405+J405),I405+J405),I405+J405),I405+J405)</f>
        <v>48</v>
      </c>
      <c r="L405" s="163" t="str">
        <f>IF(ISERROR(VLOOKUP(E405,Questions!$E$5:$L$568,6,0))=FALSE,VLOOKUP(E405,Questions!$E$5:$L$568,6,0),"")</f>
        <v/>
      </c>
      <c r="M405" s="164" t="s">
        <v>2396</v>
      </c>
      <c r="N405" s="369" t="s">
        <v>2377</v>
      </c>
    </row>
    <row r="406" spans="1:14" ht="14.5" customHeight="1">
      <c r="A406" s="59"/>
      <c r="B406" s="72">
        <f>VLOOKUP('Hours Detail'!E406,'BASE_FUNCOES (hide)'!A:W,5,FALSE)</f>
        <v>690</v>
      </c>
      <c r="C406" s="72" t="s">
        <v>5887</v>
      </c>
      <c r="D406" s="73" t="str">
        <f>IF('General Information'!$C$6="Português",VLOOKUP(B406,'ESTRUTURA_MODULO(hide)'!A:D,2,0),IF('General Information'!$C$6="English",VLOOKUP(B406,'ESTRUTURA_MODULO(hide)'!A:D,3,0),IF('General Information'!$C$6="Español",VLOOKUP(B406,'ESTRUTURA_MODULO(hide)'!A:D,4,0))))</f>
        <v>Prestadores</v>
      </c>
      <c r="E406" s="74">
        <v>1212</v>
      </c>
      <c r="F406" s="73" t="str">
        <f>IF('General Information'!$C$6="Português",VLOOKUP(E406,'BASE_FUNCOES (hide)'!A:H,2,0),IF('General Information'!$C$6="English",VLOOKUP(E406,'BASE_FUNCOES (hide)'!A:H,3,0),IF('General Information'!$C$6="Español",VLOOKUP(E406,'BASE_FUNCOES (hide)'!A:H,4,0))))</f>
        <v>OPS - Tabelas de Preços</v>
      </c>
      <c r="G406" s="73" t="str">
        <f>IF(AND('General Information'!$D$17=7,VLOOKUP(B406,Modules!$B$5:$E$496,4,0)=1)=TRUE,VLOOKUP('Hours Detail'!E406,'BASE_FUNCOES (hide)'!A:S,17,0),IF(AND('General Information'!$D$17=8,VLOOKUP(B406,Modules!$B$5:$E$496,4,0)=1)=TRUE,VLOOKUP('Hours Detail'!E406,'BASE_FUNCOES (hide)'!A:S,18,0),IF(AND('General Information'!$D$17=9,VLOOKUP(B406,Modules!$B$5:$E$496,4,0)=1)=TRUE,VLOOKUP('Hours Detail'!E406,'BASE_FUNCOES (hide)'!A:S,19,0),"No")))</f>
        <v>No</v>
      </c>
      <c r="H406" s="544" t="str">
        <f t="shared" si="8"/>
        <v>No</v>
      </c>
      <c r="I406" s="75">
        <f>IF('General Information'!$C$4="Mexico",(ROUNDUP(VLOOKUP(E406,'BASE_FUNCOES (hide)'!A:X,21,0),0)),(ROUNDUP(VLOOKUP(E406,'BASE_FUNCOES (hide)'!A:L,9,0),0)))</f>
        <v>16</v>
      </c>
      <c r="J406" s="75">
        <f>ROUNDUP(SUMIF(Questions!$E$5:$E$558,'Hours Detail'!E406,Questions!$F$5:$F$558),0)</f>
        <v>0</v>
      </c>
      <c r="K406" s="76">
        <f>IF(H406="Yes",ROUNDUP(IF(VLOOKUP(E406,'BASE_FUNCOES (hide)'!A:T,16,FALSE)&lt;&gt;"No",IF('General Information'!$C$19="HTML5",(I406+J406)*'BASE_FUNCOES (hide)'!$T$2,I406+J406),I406+J406),I406+J406),I406+J406)</f>
        <v>16</v>
      </c>
      <c r="L406" s="163" t="str">
        <f>IF(ISERROR(VLOOKUP(E406,Questions!$E$5:$L$568,6,0))=FALSE,VLOOKUP(E406,Questions!$E$5:$L$568,6,0),"")</f>
        <v/>
      </c>
      <c r="M406" s="164" t="s">
        <v>2396</v>
      </c>
      <c r="N406" s="369" t="s">
        <v>2377</v>
      </c>
    </row>
    <row r="407" spans="1:14" ht="14.5" customHeight="1">
      <c r="A407" s="59"/>
      <c r="B407" s="72">
        <f>VLOOKUP('Hours Detail'!E407,'BASE_FUNCOES (hide)'!A:W,5,FALSE)</f>
        <v>690</v>
      </c>
      <c r="C407" s="72" t="s">
        <v>5887</v>
      </c>
      <c r="D407" s="73" t="str">
        <f>IF('General Information'!$C$6="Português",VLOOKUP(B407,'ESTRUTURA_MODULO(hide)'!A:D,2,0),IF('General Information'!$C$6="English",VLOOKUP(B407,'ESTRUTURA_MODULO(hide)'!A:D,3,0),IF('General Information'!$C$6="Español",VLOOKUP(B407,'ESTRUTURA_MODULO(hide)'!A:D,4,0))))</f>
        <v>Prestadores</v>
      </c>
      <c r="E407" s="74">
        <v>1222</v>
      </c>
      <c r="F407" s="73" t="str">
        <f>IF('General Information'!$C$6="Português",VLOOKUP(E407,'BASE_FUNCOES (hide)'!A:H,2,0),IF('General Information'!$C$6="English",VLOOKUP(E407,'BASE_FUNCOES (hide)'!A:H,3,0),IF('General Information'!$C$6="Español",VLOOKUP(E407,'BASE_FUNCOES (hide)'!A:H,4,0))))</f>
        <v>OPS - Localizador de Prestadores</v>
      </c>
      <c r="G407" s="73" t="str">
        <f>IF(AND('General Information'!$D$17=7,VLOOKUP(B407,Modules!$B$5:$E$496,4,0)=1)=TRUE,VLOOKUP('Hours Detail'!E407,'BASE_FUNCOES (hide)'!A:S,17,0),IF(AND('General Information'!$D$17=8,VLOOKUP(B407,Modules!$B$5:$E$496,4,0)=1)=TRUE,VLOOKUP('Hours Detail'!E407,'BASE_FUNCOES (hide)'!A:S,18,0),IF(AND('General Information'!$D$17=9,VLOOKUP(B407,Modules!$B$5:$E$496,4,0)=1)=TRUE,VLOOKUP('Hours Detail'!E407,'BASE_FUNCOES (hide)'!A:S,19,0),"No")))</f>
        <v>No</v>
      </c>
      <c r="H407" s="544" t="str">
        <f t="shared" si="8"/>
        <v>No</v>
      </c>
      <c r="I407" s="75">
        <f>IF('General Information'!$C$4="Mexico",(ROUNDUP(VLOOKUP(E407,'BASE_FUNCOES (hide)'!A:X,21,0),0)),(ROUNDUP(VLOOKUP(E407,'BASE_FUNCOES (hide)'!A:L,9,0),0)))</f>
        <v>0</v>
      </c>
      <c r="J407" s="75">
        <f>ROUNDUP(SUMIF(Questions!$E$5:$E$558,'Hours Detail'!E407,Questions!$F$5:$F$558),0)</f>
        <v>0</v>
      </c>
      <c r="K407" s="76">
        <f>IF(H407="Yes",ROUNDUP(IF(VLOOKUP(E407,'BASE_FUNCOES (hide)'!A:T,16,FALSE)&lt;&gt;"No",IF('General Information'!$C$19="HTML5",(I407+J407)*'BASE_FUNCOES (hide)'!$T$2,I407+J407),I407+J407),I407+J407),I407+J407)</f>
        <v>0</v>
      </c>
      <c r="L407" s="163" t="str">
        <f>IF(ISERROR(VLOOKUP(E407,Questions!$E$5:$L$568,6,0))=FALSE,VLOOKUP(E407,Questions!$E$5:$L$568,6,0),"")</f>
        <v/>
      </c>
      <c r="M407" s="164" t="s">
        <v>2396</v>
      </c>
      <c r="N407" s="369" t="s">
        <v>2377</v>
      </c>
    </row>
    <row r="408" spans="1:14" ht="14.5" customHeight="1">
      <c r="A408" s="59"/>
      <c r="B408" s="72">
        <f>VLOOKUP('Hours Detail'!E408,'BASE_FUNCOES (hide)'!A:W,5,FALSE)</f>
        <v>690</v>
      </c>
      <c r="C408" s="72" t="s">
        <v>5887</v>
      </c>
      <c r="D408" s="73" t="str">
        <f>IF('General Information'!$C$6="Português",VLOOKUP(B408,'ESTRUTURA_MODULO(hide)'!A:D,2,0),IF('General Information'!$C$6="English",VLOOKUP(B408,'ESTRUTURA_MODULO(hide)'!A:D,3,0),IF('General Information'!$C$6="Español",VLOOKUP(B408,'ESTRUTURA_MODULO(hide)'!A:D,4,0))))</f>
        <v>Prestadores</v>
      </c>
      <c r="E408" s="74">
        <v>1230</v>
      </c>
      <c r="F408" s="73" t="str">
        <f>IF('General Information'!$C$6="Português",VLOOKUP(E408,'BASE_FUNCOES (hide)'!A:H,2,0),IF('General Information'!$C$6="English",VLOOKUP(E408,'BASE_FUNCOES (hide)'!A:H,3,0),IF('General Information'!$C$6="Español",VLOOKUP(E408,'BASE_FUNCOES (hide)'!A:H,4,0))))</f>
        <v>OPS - Guia Médico</v>
      </c>
      <c r="G408" s="73" t="str">
        <f>IF(AND('General Information'!$D$17=7,VLOOKUP(B408,Modules!$B$5:$E$496,4,0)=1)=TRUE,VLOOKUP('Hours Detail'!E408,'BASE_FUNCOES (hide)'!A:S,17,0),IF(AND('General Information'!$D$17=8,VLOOKUP(B408,Modules!$B$5:$E$496,4,0)=1)=TRUE,VLOOKUP('Hours Detail'!E408,'BASE_FUNCOES (hide)'!A:S,18,0),IF(AND('General Information'!$D$17=9,VLOOKUP(B408,Modules!$B$5:$E$496,4,0)=1)=TRUE,VLOOKUP('Hours Detail'!E408,'BASE_FUNCOES (hide)'!A:S,19,0),"No")))</f>
        <v>No</v>
      </c>
      <c r="H408" s="544" t="str">
        <f t="shared" si="8"/>
        <v>No</v>
      </c>
      <c r="I408" s="75">
        <f>IF('General Information'!$C$4="Mexico",(ROUNDUP(VLOOKUP(E408,'BASE_FUNCOES (hide)'!A:X,21,0),0)),(ROUNDUP(VLOOKUP(E408,'BASE_FUNCOES (hide)'!A:L,9,0),0)))</f>
        <v>16</v>
      </c>
      <c r="J408" s="75">
        <f>ROUNDUP(SUMIF(Questions!$E$5:$E$558,'Hours Detail'!E408,Questions!$F$5:$F$558),0)</f>
        <v>0</v>
      </c>
      <c r="K408" s="76">
        <f>IF(H408="Yes",ROUNDUP(IF(VLOOKUP(E408,'BASE_FUNCOES (hide)'!A:T,16,FALSE)&lt;&gt;"No",IF('General Information'!$C$19="HTML5",(I408+J408)*'BASE_FUNCOES (hide)'!$T$2,I408+J408),I408+J408),I408+J408),I408+J408)</f>
        <v>16</v>
      </c>
      <c r="L408" s="163" t="str">
        <f>IF(ISERROR(VLOOKUP(E408,Questions!$E$5:$L$568,6,0))=FALSE,VLOOKUP(E408,Questions!$E$5:$L$568,6,0),"")</f>
        <v/>
      </c>
      <c r="M408" s="164" t="s">
        <v>2396</v>
      </c>
      <c r="N408" s="369" t="s">
        <v>2377</v>
      </c>
    </row>
    <row r="409" spans="1:14" ht="14.5" customHeight="1">
      <c r="A409" s="59"/>
      <c r="B409" s="72">
        <f>VLOOKUP('Hours Detail'!E409,'BASE_FUNCOES (hide)'!A:W,5,FALSE)</f>
        <v>690</v>
      </c>
      <c r="C409" s="72" t="s">
        <v>5887</v>
      </c>
      <c r="D409" s="73" t="str">
        <f>IF('General Information'!$C$6="Português",VLOOKUP(B409,'ESTRUTURA_MODULO(hide)'!A:D,2,0),IF('General Information'!$C$6="English",VLOOKUP(B409,'ESTRUTURA_MODULO(hide)'!A:D,3,0),IF('General Information'!$C$6="Español",VLOOKUP(B409,'ESTRUTURA_MODULO(hide)'!A:D,4,0))))</f>
        <v>Prestadores</v>
      </c>
      <c r="E409" s="74">
        <v>1211</v>
      </c>
      <c r="F409" s="73" t="str">
        <f>IF('General Information'!$C$6="Português",VLOOKUP(E409,'BASE_FUNCOES (hide)'!A:H,2,0),IF('General Information'!$C$6="English",VLOOKUP(E409,'BASE_FUNCOES (hide)'!A:H,3,0),IF('General Information'!$C$6="Español",VLOOKUP(E409,'BASE_FUNCOES (hide)'!A:H,4,0))))</f>
        <v>OPS - Cadastro de Materiais</v>
      </c>
      <c r="G409" s="73" t="str">
        <f>IF(AND('General Information'!$D$17=7,VLOOKUP(B409,Modules!$B$5:$E$496,4,0)=1)=TRUE,VLOOKUP('Hours Detail'!E409,'BASE_FUNCOES (hide)'!A:S,17,0),IF(AND('General Information'!$D$17=8,VLOOKUP(B409,Modules!$B$5:$E$496,4,0)=1)=TRUE,VLOOKUP('Hours Detail'!E409,'BASE_FUNCOES (hide)'!A:S,18,0),IF(AND('General Information'!$D$17=9,VLOOKUP(B409,Modules!$B$5:$E$496,4,0)=1)=TRUE,VLOOKUP('Hours Detail'!E409,'BASE_FUNCOES (hide)'!A:S,19,0),"No")))</f>
        <v>No</v>
      </c>
      <c r="H409" s="544" t="str">
        <f t="shared" si="8"/>
        <v>No</v>
      </c>
      <c r="I409" s="75">
        <f>IF('General Information'!$C$4="Mexico",(ROUNDUP(VLOOKUP(E409,'BASE_FUNCOES (hide)'!A:X,21,0),0)),(ROUNDUP(VLOOKUP(E409,'BASE_FUNCOES (hide)'!A:L,9,0),0)))</f>
        <v>32</v>
      </c>
      <c r="J409" s="75">
        <f>ROUNDUP(SUMIF(Questions!$E$5:$E$558,'Hours Detail'!E409,Questions!$F$5:$F$558),0)</f>
        <v>0</v>
      </c>
      <c r="K409" s="76">
        <f>IF(H409="Yes",ROUNDUP(IF(VLOOKUP(E409,'BASE_FUNCOES (hide)'!A:T,16,FALSE)&lt;&gt;"No",IF('General Information'!$C$19="HTML5",(I409+J409)*'BASE_FUNCOES (hide)'!$T$2,I409+J409),I409+J409),I409+J409),I409+J409)</f>
        <v>32</v>
      </c>
      <c r="L409" s="163" t="str">
        <f>IF(ISERROR(VLOOKUP(E409,Questions!$E$5:$L$568,6,0))=FALSE,VLOOKUP(E409,Questions!$E$5:$L$568,6,0),"")</f>
        <v/>
      </c>
      <c r="M409" s="164" t="s">
        <v>2396</v>
      </c>
      <c r="N409" s="369" t="s">
        <v>2377</v>
      </c>
    </row>
    <row r="410" spans="1:14" ht="14.5" customHeight="1">
      <c r="A410" s="59"/>
      <c r="B410" s="72">
        <f>VLOOKUP('Hours Detail'!E410,'BASE_FUNCOES (hide)'!A:W,5,FALSE)</f>
        <v>690</v>
      </c>
      <c r="C410" s="72" t="s">
        <v>5887</v>
      </c>
      <c r="D410" s="73" t="str">
        <f>IF('General Information'!$C$6="Português",VLOOKUP(B410,'ESTRUTURA_MODULO(hide)'!A:D,2,0),IF('General Information'!$C$6="English",VLOOKUP(B410,'ESTRUTURA_MODULO(hide)'!A:D,3,0),IF('General Information'!$C$6="Español",VLOOKUP(B410,'ESTRUTURA_MODULO(hide)'!A:D,4,0))))</f>
        <v>Prestadores</v>
      </c>
      <c r="E410" s="74">
        <v>1210</v>
      </c>
      <c r="F410" s="73" t="str">
        <f>IF('General Information'!$C$6="Português",VLOOKUP(E410,'BASE_FUNCOES (hide)'!A:H,2,0),IF('General Information'!$C$6="English",VLOOKUP(E410,'BASE_FUNCOES (hide)'!A:H,3,0),IF('General Information'!$C$6="Español",VLOOKUP(E410,'BASE_FUNCOES (hide)'!A:H,4,0))))</f>
        <v>OPS - Consulta de Preços</v>
      </c>
      <c r="G410" s="73" t="str">
        <f>IF(AND('General Information'!$D$17=7,VLOOKUP(B410,Modules!$B$5:$E$496,4,0)=1)=TRUE,VLOOKUP('Hours Detail'!E410,'BASE_FUNCOES (hide)'!A:S,17,0),IF(AND('General Information'!$D$17=8,VLOOKUP(B410,Modules!$B$5:$E$496,4,0)=1)=TRUE,VLOOKUP('Hours Detail'!E410,'BASE_FUNCOES (hide)'!A:S,18,0),IF(AND('General Information'!$D$17=9,VLOOKUP(B410,Modules!$B$5:$E$496,4,0)=1)=TRUE,VLOOKUP('Hours Detail'!E410,'BASE_FUNCOES (hide)'!A:S,19,0),"No")))</f>
        <v>No</v>
      </c>
      <c r="H410" s="544" t="str">
        <f t="shared" si="8"/>
        <v>No</v>
      </c>
      <c r="I410" s="75">
        <f>IF('General Information'!$C$4="Mexico",(ROUNDUP(VLOOKUP(E410,'BASE_FUNCOES (hide)'!A:X,21,0),0)),(ROUNDUP(VLOOKUP(E410,'BASE_FUNCOES (hide)'!A:L,9,0),0)))</f>
        <v>2</v>
      </c>
      <c r="J410" s="75">
        <f>ROUNDUP(SUMIF(Questions!$E$5:$E$558,'Hours Detail'!E410,Questions!$F$5:$F$558),0)</f>
        <v>0</v>
      </c>
      <c r="K410" s="76">
        <f>IF(H410="Yes",ROUNDUP(IF(VLOOKUP(E410,'BASE_FUNCOES (hide)'!A:T,16,FALSE)&lt;&gt;"No",IF('General Information'!$C$19="HTML5",(I410+J410)*'BASE_FUNCOES (hide)'!$T$2,I410+J410),I410+J410),I410+J410),I410+J410)</f>
        <v>2</v>
      </c>
      <c r="L410" s="163" t="str">
        <f>IF(ISERROR(VLOOKUP(E410,Questions!$E$5:$L$568,6,0))=FALSE,VLOOKUP(E410,Questions!$E$5:$L$568,6,0),"")</f>
        <v/>
      </c>
      <c r="M410" s="164" t="s">
        <v>2396</v>
      </c>
      <c r="N410" s="369" t="s">
        <v>2377</v>
      </c>
    </row>
    <row r="411" spans="1:14" ht="14.5" customHeight="1">
      <c r="A411" s="59"/>
      <c r="B411" s="72">
        <f>VLOOKUP('Hours Detail'!E411,'BASE_FUNCOES (hide)'!A:W,5,FALSE)</f>
        <v>690</v>
      </c>
      <c r="C411" s="72" t="s">
        <v>5887</v>
      </c>
      <c r="D411" s="73" t="str">
        <f>IF('General Information'!$C$6="Português",VLOOKUP(B411,'ESTRUTURA_MODULO(hide)'!A:D,2,0),IF('General Information'!$C$6="English",VLOOKUP(B411,'ESTRUTURA_MODULO(hide)'!A:D,3,0),IF('General Information'!$C$6="Español",VLOOKUP(B411,'ESTRUTURA_MODULO(hide)'!A:D,4,0))))</f>
        <v>Prestadores</v>
      </c>
      <c r="E411" s="74">
        <v>1243</v>
      </c>
      <c r="F411" s="73" t="str">
        <f>IF('General Information'!$C$6="Português",VLOOKUP(E411,'BASE_FUNCOES (hide)'!A:H,2,0),IF('General Information'!$C$6="English",VLOOKUP(E411,'BASE_FUNCOES (hide)'!A:H,3,0),IF('General Information'!$C$6="Español",VLOOKUP(E411,'BASE_FUNCOES (hide)'!A:H,4,0))))</f>
        <v>OPS - Cargas</v>
      </c>
      <c r="G411" s="73" t="str">
        <f>IF(AND('General Information'!$D$17=7,VLOOKUP(B411,Modules!$B$5:$E$496,4,0)=1)=TRUE,VLOOKUP('Hours Detail'!E411,'BASE_FUNCOES (hide)'!A:S,17,0),IF(AND('General Information'!$D$17=8,VLOOKUP(B411,Modules!$B$5:$E$496,4,0)=1)=TRUE,VLOOKUP('Hours Detail'!E411,'BASE_FUNCOES (hide)'!A:S,18,0),IF(AND('General Information'!$D$17=9,VLOOKUP(B411,Modules!$B$5:$E$496,4,0)=1)=TRUE,VLOOKUP('Hours Detail'!E411,'BASE_FUNCOES (hide)'!A:S,19,0),"No")))</f>
        <v>No</v>
      </c>
      <c r="H411" s="544" t="str">
        <f t="shared" si="8"/>
        <v>No</v>
      </c>
      <c r="I411" s="75">
        <f>IF('General Information'!$C$4="Mexico",(ROUNDUP(VLOOKUP(E411,'BASE_FUNCOES (hide)'!A:X,21,0),0)),(ROUNDUP(VLOOKUP(E411,'BASE_FUNCOES (hide)'!A:L,9,0),0)))</f>
        <v>0</v>
      </c>
      <c r="J411" s="75">
        <f>ROUNDUP(SUMIF(Questions!$E$5:$E$558,'Hours Detail'!E411,Questions!$F$5:$F$558),0)</f>
        <v>0</v>
      </c>
      <c r="K411" s="76">
        <f>IF(H411="Yes",ROUNDUP(IF(VLOOKUP(E411,'BASE_FUNCOES (hide)'!A:T,16,FALSE)&lt;&gt;"No",IF('General Information'!$C$19="HTML5",(I411+J411)*'BASE_FUNCOES (hide)'!$T$2,I411+J411),I411+J411),I411+J411),I411+J411)</f>
        <v>0</v>
      </c>
      <c r="L411" s="163" t="str">
        <f>IF(ISERROR(VLOOKUP(E411,Questions!$E$5:$L$568,6,0))=FALSE,VLOOKUP(E411,Questions!$E$5:$L$568,6,0),"")</f>
        <v/>
      </c>
      <c r="M411" s="164" t="s">
        <v>2396</v>
      </c>
      <c r="N411" s="369" t="s">
        <v>2377</v>
      </c>
    </row>
    <row r="412" spans="1:14" ht="14.5" customHeight="1">
      <c r="A412" s="59"/>
      <c r="B412" s="72">
        <f>VLOOKUP('Hours Detail'!E412,'BASE_FUNCOES (hide)'!A:W,5,FALSE)</f>
        <v>690</v>
      </c>
      <c r="C412" s="72" t="s">
        <v>5887</v>
      </c>
      <c r="D412" s="73" t="str">
        <f>IF('General Information'!$C$6="Português",VLOOKUP(B412,'ESTRUTURA_MODULO(hide)'!A:D,2,0),IF('General Information'!$C$6="English",VLOOKUP(B412,'ESTRUTURA_MODULO(hide)'!A:D,3,0),IF('General Information'!$C$6="Español",VLOOKUP(B412,'ESTRUTURA_MODULO(hide)'!A:D,4,0))))</f>
        <v>Prestadores</v>
      </c>
      <c r="E412" s="74">
        <v>1360</v>
      </c>
      <c r="F412" s="73" t="str">
        <f>IF('General Information'!$C$6="Português",VLOOKUP(E412,'BASE_FUNCOES (hide)'!A:H,2,0),IF('General Information'!$C$6="English",VLOOKUP(E412,'BASE_FUNCOES (hide)'!A:H,3,0),IF('General Information'!$C$6="Español",VLOOKUP(E412,'BASE_FUNCOES (hide)'!A:H,4,0))))</f>
        <v>OPS - Localizador de Operadoras</v>
      </c>
      <c r="G412" s="73" t="str">
        <f>IF(AND('General Information'!$D$17=7,VLOOKUP(B412,Modules!$B$5:$E$496,4,0)=1)=TRUE,VLOOKUP('Hours Detail'!E412,'BASE_FUNCOES (hide)'!A:S,17,0),IF(AND('General Information'!$D$17=8,VLOOKUP(B412,Modules!$B$5:$E$496,4,0)=1)=TRUE,VLOOKUP('Hours Detail'!E412,'BASE_FUNCOES (hide)'!A:S,18,0),IF(AND('General Information'!$D$17=9,VLOOKUP(B412,Modules!$B$5:$E$496,4,0)=1)=TRUE,VLOOKUP('Hours Detail'!E412,'BASE_FUNCOES (hide)'!A:S,19,0),"No")))</f>
        <v>No</v>
      </c>
      <c r="H412" s="544" t="str">
        <f t="shared" si="8"/>
        <v>No</v>
      </c>
      <c r="I412" s="75">
        <f>IF('General Information'!$C$4="Mexico",(ROUNDUP(VLOOKUP(E412,'BASE_FUNCOES (hide)'!A:X,21,0),0)),(ROUNDUP(VLOOKUP(E412,'BASE_FUNCOES (hide)'!A:L,9,0),0)))</f>
        <v>0</v>
      </c>
      <c r="J412" s="75">
        <f>ROUNDUP(SUMIF(Questions!$E$5:$E$558,'Hours Detail'!E412,Questions!$F$5:$F$558),0)</f>
        <v>0</v>
      </c>
      <c r="K412" s="76">
        <f>IF(H412="Yes",ROUNDUP(IF(VLOOKUP(E412,'BASE_FUNCOES (hide)'!A:T,16,FALSE)&lt;&gt;"No",IF('General Information'!$C$19="HTML5",(I412+J412)*'BASE_FUNCOES (hide)'!$T$2,I412+J412),I412+J412),I412+J412),I412+J412)</f>
        <v>0</v>
      </c>
      <c r="L412" s="163" t="str">
        <f>IF(ISERROR(VLOOKUP(E412,Questions!$E$5:$L$568,6,0))=FALSE,VLOOKUP(E412,Questions!$E$5:$L$568,6,0),"")</f>
        <v/>
      </c>
      <c r="M412" s="164" t="s">
        <v>2396</v>
      </c>
      <c r="N412" s="369" t="s">
        <v>2377</v>
      </c>
    </row>
    <row r="413" spans="1:14" ht="14.5" customHeight="1">
      <c r="A413" s="59"/>
      <c r="B413" s="72">
        <f>VLOOKUP('Hours Detail'!E413,'BASE_FUNCOES (hide)'!A:W,5,FALSE)</f>
        <v>690</v>
      </c>
      <c r="C413" s="72" t="s">
        <v>5887</v>
      </c>
      <c r="D413" s="73" t="str">
        <f>IF('General Information'!$C$6="Português",VLOOKUP(B413,'ESTRUTURA_MODULO(hide)'!A:D,2,0),IF('General Information'!$C$6="English",VLOOKUP(B413,'ESTRUTURA_MODULO(hide)'!A:D,3,0),IF('General Information'!$C$6="Español",VLOOKUP(B413,'ESTRUTURA_MODULO(hide)'!A:D,4,0))))</f>
        <v>Prestadores</v>
      </c>
      <c r="E413" s="74">
        <v>1261</v>
      </c>
      <c r="F413" s="73" t="str">
        <f>IF('General Information'!$C$6="Português",VLOOKUP(E413,'BASE_FUNCOES (hide)'!A:H,2,0),IF('General Information'!$C$6="English",VLOOKUP(E413,'BASE_FUNCOES (hide)'!A:H,3,0),IF('General Information'!$C$6="Español",VLOOKUP(E413,'BASE_FUNCOES (hide)'!A:H,4,0))))</f>
        <v>OPS - Cooperativas Médicas</v>
      </c>
      <c r="G413" s="73" t="str">
        <f>IF(AND('General Information'!$D$17=7,VLOOKUP(B413,Modules!$B$5:$E$496,4,0)=1)=TRUE,VLOOKUP('Hours Detail'!E413,'BASE_FUNCOES (hide)'!A:S,17,0),IF(AND('General Information'!$D$17=8,VLOOKUP(B413,Modules!$B$5:$E$496,4,0)=1)=TRUE,VLOOKUP('Hours Detail'!E413,'BASE_FUNCOES (hide)'!A:S,18,0),IF(AND('General Information'!$D$17=9,VLOOKUP(B413,Modules!$B$5:$E$496,4,0)=1)=TRUE,VLOOKUP('Hours Detail'!E413,'BASE_FUNCOES (hide)'!A:S,19,0),"No")))</f>
        <v>No</v>
      </c>
      <c r="H413" s="544" t="str">
        <f t="shared" si="8"/>
        <v>No</v>
      </c>
      <c r="I413" s="75">
        <f>IF('General Information'!$C$4="Mexico",(ROUNDUP(VLOOKUP(E413,'BASE_FUNCOES (hide)'!A:X,21,0),0)),(ROUNDUP(VLOOKUP(E413,'BASE_FUNCOES (hide)'!A:L,9,0),0)))</f>
        <v>8</v>
      </c>
      <c r="J413" s="75">
        <f>ROUNDUP(SUMIF(Questions!$E$5:$E$558,'Hours Detail'!E413,Questions!$F$5:$F$558),0)</f>
        <v>0</v>
      </c>
      <c r="K413" s="76">
        <f>IF(H413="Yes",ROUNDUP(IF(VLOOKUP(E413,'BASE_FUNCOES (hide)'!A:T,16,FALSE)&lt;&gt;"No",IF('General Information'!$C$19="HTML5",(I413+J413)*'BASE_FUNCOES (hide)'!$T$2,I413+J413),I413+J413),I413+J413),I413+J413)</f>
        <v>8</v>
      </c>
      <c r="L413" s="163" t="str">
        <f>IF(ISERROR(VLOOKUP(E413,Questions!$E$5:$L$568,6,0))=FALSE,VLOOKUP(E413,Questions!$E$5:$L$568,6,0),"")</f>
        <v/>
      </c>
      <c r="M413" s="164" t="s">
        <v>2396</v>
      </c>
      <c r="N413" s="369" t="s">
        <v>2377</v>
      </c>
    </row>
    <row r="414" spans="1:14" ht="14.5" customHeight="1">
      <c r="A414" s="59"/>
      <c r="B414" s="72">
        <f>VLOOKUP('Hours Detail'!E414,'BASE_FUNCOES (hide)'!A:W,5,FALSE)</f>
        <v>691</v>
      </c>
      <c r="C414" s="72" t="s">
        <v>5887</v>
      </c>
      <c r="D414" s="73" t="str">
        <f>IF('General Information'!$C$6="Português",VLOOKUP(B414,'ESTRUTURA_MODULO(hide)'!A:D,2,0),IF('General Information'!$C$6="English",VLOOKUP(B414,'ESTRUTURA_MODULO(hide)'!A:D,3,0),IF('General Information'!$C$6="Español",VLOOKUP(B414,'ESTRUTURA_MODULO(hide)'!A:D,4,0))))</f>
        <v>Autorizações</v>
      </c>
      <c r="E414" s="74">
        <v>1337</v>
      </c>
      <c r="F414" s="73" t="str">
        <f>IF('General Information'!$C$6="Português",VLOOKUP(E414,'BASE_FUNCOES (hide)'!A:H,2,0),IF('General Information'!$C$6="English",VLOOKUP(E414,'BASE_FUNCOES (hide)'!A:H,3,0),IF('General Information'!$C$6="Español",VLOOKUP(E414,'BASE_FUNCOES (hide)'!A:H,4,0))))</f>
        <v>OPS - Processo Judicial</v>
      </c>
      <c r="G414" s="73" t="str">
        <f>IF(AND('General Information'!$D$17=7,VLOOKUP(B414,Modules!$B$5:$E$496,4,0)=1)=TRUE,VLOOKUP('Hours Detail'!E414,'BASE_FUNCOES (hide)'!A:S,17,0),IF(AND('General Information'!$D$17=8,VLOOKUP(B414,Modules!$B$5:$E$496,4,0)=1)=TRUE,VLOOKUP('Hours Detail'!E414,'BASE_FUNCOES (hide)'!A:S,18,0),IF(AND('General Information'!$D$17=9,VLOOKUP(B414,Modules!$B$5:$E$496,4,0)=1)=TRUE,VLOOKUP('Hours Detail'!E414,'BASE_FUNCOES (hide)'!A:S,19,0),"No")))</f>
        <v>No</v>
      </c>
      <c r="H414" s="544" t="str">
        <f t="shared" si="8"/>
        <v>No</v>
      </c>
      <c r="I414" s="75">
        <f>IF('General Information'!$C$4="Mexico",(ROUNDUP(VLOOKUP(E414,'BASE_FUNCOES (hide)'!A:X,21,0),0)),(ROUNDUP(VLOOKUP(E414,'BASE_FUNCOES (hide)'!A:L,9,0),0)))</f>
        <v>24</v>
      </c>
      <c r="J414" s="75">
        <f>ROUNDUP(SUMIF(Questions!$E$5:$E$558,'Hours Detail'!E414,Questions!$F$5:$F$558),0)</f>
        <v>0</v>
      </c>
      <c r="K414" s="76">
        <f>IF(H414="Yes",ROUNDUP(IF(VLOOKUP(E414,'BASE_FUNCOES (hide)'!A:T,16,FALSE)&lt;&gt;"No",IF('General Information'!$C$19="HTML5",(I414+J414)*'BASE_FUNCOES (hide)'!$T$2,I414+J414),I414+J414),I414+J414),I414+J414)</f>
        <v>24</v>
      </c>
      <c r="L414" s="163" t="str">
        <f>IF(ISERROR(VLOOKUP(E414,Questions!$E$5:$L$568,6,0))=FALSE,VLOOKUP(E414,Questions!$E$5:$L$568,6,0),"")</f>
        <v/>
      </c>
      <c r="M414" s="164" t="s">
        <v>2396</v>
      </c>
      <c r="N414" s="369" t="s">
        <v>2377</v>
      </c>
    </row>
    <row r="415" spans="1:14" ht="14.5" customHeight="1">
      <c r="A415" s="59"/>
      <c r="B415" s="72">
        <f>VLOOKUP('Hours Detail'!E415,'BASE_FUNCOES (hide)'!A:W,5,FALSE)</f>
        <v>691</v>
      </c>
      <c r="C415" s="72" t="s">
        <v>5887</v>
      </c>
      <c r="D415" s="73" t="str">
        <f>IF('General Information'!$C$6="Português",VLOOKUP(B415,'ESTRUTURA_MODULO(hide)'!A:D,2,0),IF('General Information'!$C$6="English",VLOOKUP(B415,'ESTRUTURA_MODULO(hide)'!A:D,3,0),IF('General Information'!$C$6="Español",VLOOKUP(B415,'ESTRUTURA_MODULO(hide)'!A:D,4,0))))</f>
        <v>Autorizações</v>
      </c>
      <c r="E415" s="74">
        <v>1204</v>
      </c>
      <c r="F415" s="73" t="str">
        <f>IF('General Information'!$C$6="Português",VLOOKUP(E415,'BASE_FUNCOES (hide)'!A:H,2,0),IF('General Information'!$C$6="English",VLOOKUP(E415,'BASE_FUNCOES (hide)'!A:H,3,0),IF('General Information'!$C$6="Español",VLOOKUP(E415,'BASE_FUNCOES (hide)'!A:H,4,0))))</f>
        <v>OPS - Autorizações</v>
      </c>
      <c r="G415" s="73" t="str">
        <f>IF(AND('General Information'!$D$17=7,VLOOKUP(B415,Modules!$B$5:$E$496,4,0)=1)=TRUE,VLOOKUP('Hours Detail'!E415,'BASE_FUNCOES (hide)'!A:S,17,0),IF(AND('General Information'!$D$17=8,VLOOKUP(B415,Modules!$B$5:$E$496,4,0)=1)=TRUE,VLOOKUP('Hours Detail'!E415,'BASE_FUNCOES (hide)'!A:S,18,0),IF(AND('General Information'!$D$17=9,VLOOKUP(B415,Modules!$B$5:$E$496,4,0)=1)=TRUE,VLOOKUP('Hours Detail'!E415,'BASE_FUNCOES (hide)'!A:S,19,0),"No")))</f>
        <v>No</v>
      </c>
      <c r="H415" s="544" t="str">
        <f t="shared" si="8"/>
        <v>No</v>
      </c>
      <c r="I415" s="75">
        <f>IF('General Information'!$C$4="Mexico",(ROUNDUP(VLOOKUP(E415,'BASE_FUNCOES (hide)'!A:X,21,0),0)),(ROUNDUP(VLOOKUP(E415,'BASE_FUNCOES (hide)'!A:L,9,0),0)))</f>
        <v>40</v>
      </c>
      <c r="J415" s="75">
        <f>ROUNDUP(SUMIF(Questions!$E$5:$E$558,'Hours Detail'!E415,Questions!$F$5:$F$558),0)</f>
        <v>0</v>
      </c>
      <c r="K415" s="76">
        <f>IF(H415="Yes",ROUNDUP(IF(VLOOKUP(E415,'BASE_FUNCOES (hide)'!A:T,16,FALSE)&lt;&gt;"No",IF('General Information'!$C$19="HTML5",(I415+J415)*'BASE_FUNCOES (hide)'!$T$2,I415+J415),I415+J415),I415+J415),I415+J415)</f>
        <v>40</v>
      </c>
      <c r="L415" s="163" t="str">
        <f>IF(ISERROR(VLOOKUP(E415,Questions!$E$5:$L$568,6,0))=FALSE,VLOOKUP(E415,Questions!$E$5:$L$568,6,0),"")</f>
        <v/>
      </c>
      <c r="M415" s="164" t="s">
        <v>2396</v>
      </c>
      <c r="N415" s="369" t="s">
        <v>2377</v>
      </c>
    </row>
    <row r="416" spans="1:14" ht="14.5" customHeight="1">
      <c r="A416" s="59"/>
      <c r="B416" s="72">
        <f>VLOOKUP('Hours Detail'!E416,'BASE_FUNCOES (hide)'!A:W,5,FALSE)</f>
        <v>691</v>
      </c>
      <c r="C416" s="72" t="s">
        <v>5887</v>
      </c>
      <c r="D416" s="73" t="str">
        <f>IF('General Information'!$C$6="Português",VLOOKUP(B416,'ESTRUTURA_MODULO(hide)'!A:D,2,0),IF('General Information'!$C$6="English",VLOOKUP(B416,'ESTRUTURA_MODULO(hide)'!A:D,3,0),IF('General Information'!$C$6="Español",VLOOKUP(B416,'ESTRUTURA_MODULO(hide)'!A:D,4,0))))</f>
        <v>Autorizações</v>
      </c>
      <c r="E416" s="74">
        <v>1213</v>
      </c>
      <c r="F416" s="73" t="str">
        <f>IF('General Information'!$C$6="Português",VLOOKUP(E416,'BASE_FUNCOES (hide)'!A:H,2,0),IF('General Information'!$C$6="English",VLOOKUP(E416,'BASE_FUNCOES (hide)'!A:H,3,0),IF('General Information'!$C$6="Español",VLOOKUP(E416,'BASE_FUNCOES (hide)'!A:H,4,0))))</f>
        <v>OPS - Solicitações Elegibilidade TISS</v>
      </c>
      <c r="G416" s="73" t="str">
        <f>IF(AND('General Information'!$D$17=7,VLOOKUP(B416,Modules!$B$5:$E$496,4,0)=1)=TRUE,VLOOKUP('Hours Detail'!E416,'BASE_FUNCOES (hide)'!A:S,17,0),IF(AND('General Information'!$D$17=8,VLOOKUP(B416,Modules!$B$5:$E$496,4,0)=1)=TRUE,VLOOKUP('Hours Detail'!E416,'BASE_FUNCOES (hide)'!A:S,18,0),IF(AND('General Information'!$D$17=9,VLOOKUP(B416,Modules!$B$5:$E$496,4,0)=1)=TRUE,VLOOKUP('Hours Detail'!E416,'BASE_FUNCOES (hide)'!A:S,19,0),"No")))</f>
        <v>No</v>
      </c>
      <c r="H416" s="544" t="str">
        <f t="shared" si="8"/>
        <v>No</v>
      </c>
      <c r="I416" s="75">
        <f>IF('General Information'!$C$4="Mexico",(ROUNDUP(VLOOKUP(E416,'BASE_FUNCOES (hide)'!A:X,21,0),0)),(ROUNDUP(VLOOKUP(E416,'BASE_FUNCOES (hide)'!A:L,9,0),0)))</f>
        <v>4</v>
      </c>
      <c r="J416" s="75">
        <f>ROUNDUP(SUMIF(Questions!$E$5:$E$558,'Hours Detail'!E416,Questions!$F$5:$F$558),0)</f>
        <v>0</v>
      </c>
      <c r="K416" s="76">
        <f>IF(H416="Yes",ROUNDUP(IF(VLOOKUP(E416,'BASE_FUNCOES (hide)'!A:T,16,FALSE)&lt;&gt;"No",IF('General Information'!$C$19="HTML5",(I416+J416)*'BASE_FUNCOES (hide)'!$T$2,I416+J416),I416+J416),I416+J416),I416+J416)</f>
        <v>4</v>
      </c>
      <c r="L416" s="163" t="str">
        <f>IF(ISERROR(VLOOKUP(E416,Questions!$E$5:$L$568,6,0))=FALSE,VLOOKUP(E416,Questions!$E$5:$L$568,6,0),"")</f>
        <v/>
      </c>
      <c r="M416" s="164" t="s">
        <v>2396</v>
      </c>
      <c r="N416" s="369" t="s">
        <v>2377</v>
      </c>
    </row>
    <row r="417" spans="1:14" ht="14.5" customHeight="1">
      <c r="A417" s="59"/>
      <c r="B417" s="72">
        <f>VLOOKUP('Hours Detail'!E417,'BASE_FUNCOES (hide)'!A:W,5,FALSE)</f>
        <v>691</v>
      </c>
      <c r="C417" s="72" t="s">
        <v>5887</v>
      </c>
      <c r="D417" s="73" t="str">
        <f>IF('General Information'!$C$6="Português",VLOOKUP(B417,'ESTRUTURA_MODULO(hide)'!A:D,2,0),IF('General Information'!$C$6="English",VLOOKUP(B417,'ESTRUTURA_MODULO(hide)'!A:D,3,0),IF('General Information'!$C$6="Español",VLOOKUP(B417,'ESTRUTURA_MODULO(hide)'!A:D,4,0))))</f>
        <v>Autorizações</v>
      </c>
      <c r="E417" s="74">
        <v>1291</v>
      </c>
      <c r="F417" s="73" t="str">
        <f>IF('General Information'!$C$6="Português",VLOOKUP(E417,'BASE_FUNCOES (hide)'!A:H,2,0),IF('General Information'!$C$6="English",VLOOKUP(E417,'BASE_FUNCOES (hide)'!A:H,3,0),IF('General Information'!$C$6="Español",VLOOKUP(E417,'BASE_FUNCOES (hide)'!A:H,4,0))))</f>
        <v>OPS - Execução da Requisição para Autorização</v>
      </c>
      <c r="G417" s="73" t="str">
        <f>IF(AND('General Information'!$D$17=7,VLOOKUP(B417,Modules!$B$5:$E$496,4,0)=1)=TRUE,VLOOKUP('Hours Detail'!E417,'BASE_FUNCOES (hide)'!A:S,17,0),IF(AND('General Information'!$D$17=8,VLOOKUP(B417,Modules!$B$5:$E$496,4,0)=1)=TRUE,VLOOKUP('Hours Detail'!E417,'BASE_FUNCOES (hide)'!A:S,18,0),IF(AND('General Information'!$D$17=9,VLOOKUP(B417,Modules!$B$5:$E$496,4,0)=1)=TRUE,VLOOKUP('Hours Detail'!E417,'BASE_FUNCOES (hide)'!A:S,19,0),"No")))</f>
        <v>No</v>
      </c>
      <c r="H417" s="544" t="str">
        <f t="shared" si="8"/>
        <v>No</v>
      </c>
      <c r="I417" s="75">
        <f>IF('General Information'!$C$4="Mexico",(ROUNDUP(VLOOKUP(E417,'BASE_FUNCOES (hide)'!A:X,21,0),0)),(ROUNDUP(VLOOKUP(E417,'BASE_FUNCOES (hide)'!A:L,9,0),0)))</f>
        <v>40</v>
      </c>
      <c r="J417" s="75">
        <f>ROUNDUP(SUMIF(Questions!$E$5:$E$558,'Hours Detail'!E417,Questions!$F$5:$F$558),0)</f>
        <v>0</v>
      </c>
      <c r="K417" s="76">
        <f>IF(H417="Yes",ROUNDUP(IF(VLOOKUP(E417,'BASE_FUNCOES (hide)'!A:T,16,FALSE)&lt;&gt;"No",IF('General Information'!$C$19="HTML5",(I417+J417)*'BASE_FUNCOES (hide)'!$T$2,I417+J417),I417+J417),I417+J417),I417+J417)</f>
        <v>40</v>
      </c>
      <c r="L417" s="163" t="str">
        <f>IF(ISERROR(VLOOKUP(E417,Questions!$E$5:$L$568,6,0))=FALSE,VLOOKUP(E417,Questions!$E$5:$L$568,6,0),"")</f>
        <v/>
      </c>
      <c r="M417" s="164" t="s">
        <v>2396</v>
      </c>
      <c r="N417" s="369" t="s">
        <v>2377</v>
      </c>
    </row>
    <row r="418" spans="1:14" ht="14.5" customHeight="1">
      <c r="A418" s="59"/>
      <c r="B418" s="72">
        <f>VLOOKUP('Hours Detail'!E418,'BASE_FUNCOES (hide)'!A:W,5,FALSE)</f>
        <v>691</v>
      </c>
      <c r="C418" s="72" t="s">
        <v>5887</v>
      </c>
      <c r="D418" s="73" t="str">
        <f>IF('General Information'!$C$6="Português",VLOOKUP(B418,'ESTRUTURA_MODULO(hide)'!A:D,2,0),IF('General Information'!$C$6="English",VLOOKUP(B418,'ESTRUTURA_MODULO(hide)'!A:D,3,0),IF('General Information'!$C$6="Español",VLOOKUP(B418,'ESTRUTURA_MODULO(hide)'!A:D,4,0))))</f>
        <v>Autorizações</v>
      </c>
      <c r="E418" s="74">
        <v>1374</v>
      </c>
      <c r="F418" s="73" t="str">
        <f>IF('General Information'!$C$6="Português",VLOOKUP(E418,'BASE_FUNCOES (hide)'!A:H,2,0),IF('General Information'!$C$6="English",VLOOKUP(E418,'BASE_FUNCOES (hide)'!A:H,3,0),IF('General Information'!$C$6="Español",VLOOKUP(E418,'BASE_FUNCOES (hide)'!A:H,4,0))))</f>
        <v>OPS - Autorização Anexo Guias</v>
      </c>
      <c r="G418" s="73" t="str">
        <f>IF(AND('General Information'!$D$17=7,VLOOKUP(B418,Modules!$B$5:$E$496,4,0)=1)=TRUE,VLOOKUP('Hours Detail'!E418,'BASE_FUNCOES (hide)'!A:S,17,0),IF(AND('General Information'!$D$17=8,VLOOKUP(B418,Modules!$B$5:$E$496,4,0)=1)=TRUE,VLOOKUP('Hours Detail'!E418,'BASE_FUNCOES (hide)'!A:S,18,0),IF(AND('General Information'!$D$17=9,VLOOKUP(B418,Modules!$B$5:$E$496,4,0)=1)=TRUE,VLOOKUP('Hours Detail'!E418,'BASE_FUNCOES (hide)'!A:S,19,0),"No")))</f>
        <v>No</v>
      </c>
      <c r="H418" s="544" t="str">
        <f t="shared" si="8"/>
        <v>No</v>
      </c>
      <c r="I418" s="75">
        <f>IF('General Information'!$C$4="Mexico",(ROUNDUP(VLOOKUP(E418,'BASE_FUNCOES (hide)'!A:X,21,0),0)),(ROUNDUP(VLOOKUP(E418,'BASE_FUNCOES (hide)'!A:L,9,0),0)))</f>
        <v>4</v>
      </c>
      <c r="J418" s="75">
        <f>ROUNDUP(SUMIF(Questions!$E$5:$E$558,'Hours Detail'!E418,Questions!$F$5:$F$558),0)</f>
        <v>0</v>
      </c>
      <c r="K418" s="76">
        <f>IF(H418="Yes",ROUNDUP(IF(VLOOKUP(E418,'BASE_FUNCOES (hide)'!A:T,16,FALSE)&lt;&gt;"No",IF('General Information'!$C$19="HTML5",(I418+J418)*'BASE_FUNCOES (hide)'!$T$2,I418+J418),I418+J418),I418+J418),I418+J418)</f>
        <v>4</v>
      </c>
      <c r="L418" s="163" t="str">
        <f>IF(ISERROR(VLOOKUP(E418,Questions!$E$5:$L$568,6,0))=FALSE,VLOOKUP(E418,Questions!$E$5:$L$568,6,0),"")</f>
        <v/>
      </c>
      <c r="M418" s="164" t="s">
        <v>2396</v>
      </c>
      <c r="N418" s="369" t="s">
        <v>2377</v>
      </c>
    </row>
    <row r="419" spans="1:14" ht="14.5" customHeight="1">
      <c r="A419" s="59"/>
      <c r="B419" s="72">
        <f>VLOOKUP('Hours Detail'!E419,'BASE_FUNCOES (hide)'!A:W,5,FALSE)</f>
        <v>691</v>
      </c>
      <c r="C419" s="72" t="s">
        <v>5887</v>
      </c>
      <c r="D419" s="73" t="str">
        <f>IF('General Information'!$C$6="Português",VLOOKUP(B419,'ESTRUTURA_MODULO(hide)'!A:D,2,0),IF('General Information'!$C$6="English",VLOOKUP(B419,'ESTRUTURA_MODULO(hide)'!A:D,3,0),IF('General Information'!$C$6="Español",VLOOKUP(B419,'ESTRUTURA_MODULO(hide)'!A:D,4,0))))</f>
        <v>Autorizações</v>
      </c>
      <c r="E419" s="74">
        <v>1385</v>
      </c>
      <c r="F419" s="73" t="str">
        <f>IF('General Information'!$C$6="Português",VLOOKUP(E419,'BASE_FUNCOES (hide)'!A:H,2,0),IF('General Information'!$C$6="English",VLOOKUP(E419,'BASE_FUNCOES (hide)'!A:H,3,0),IF('General Information'!$C$6="Español",VLOOKUP(E419,'BASE_FUNCOES (hide)'!A:H,4,0))))</f>
        <v>OPS - Emissão de Requisição/Guia em Lote</v>
      </c>
      <c r="G419" s="73" t="str">
        <f>IF(AND('General Information'!$D$17=7,VLOOKUP(B419,Modules!$B$5:$E$496,4,0)=1)=TRUE,VLOOKUP('Hours Detail'!E419,'BASE_FUNCOES (hide)'!A:S,17,0),IF(AND('General Information'!$D$17=8,VLOOKUP(B419,Modules!$B$5:$E$496,4,0)=1)=TRUE,VLOOKUP('Hours Detail'!E419,'BASE_FUNCOES (hide)'!A:S,18,0),IF(AND('General Information'!$D$17=9,VLOOKUP(B419,Modules!$B$5:$E$496,4,0)=1)=TRUE,VLOOKUP('Hours Detail'!E419,'BASE_FUNCOES (hide)'!A:S,19,0),"No")))</f>
        <v>No</v>
      </c>
      <c r="H419" s="544" t="str">
        <f t="shared" si="8"/>
        <v>No</v>
      </c>
      <c r="I419" s="75">
        <f>IF('General Information'!$C$4="Mexico",(ROUNDUP(VLOOKUP(E419,'BASE_FUNCOES (hide)'!A:X,21,0),0)),(ROUNDUP(VLOOKUP(E419,'BASE_FUNCOES (hide)'!A:L,9,0),0)))</f>
        <v>8</v>
      </c>
      <c r="J419" s="75">
        <f>ROUNDUP(SUMIF(Questions!$E$5:$E$558,'Hours Detail'!E419,Questions!$F$5:$F$558),0)</f>
        <v>0</v>
      </c>
      <c r="K419" s="76">
        <f>IF(H419="Yes",ROUNDUP(IF(VLOOKUP(E419,'BASE_FUNCOES (hide)'!A:T,16,FALSE)&lt;&gt;"No",IF('General Information'!$C$19="HTML5",(I419+J419)*'BASE_FUNCOES (hide)'!$T$2,I419+J419),I419+J419),I419+J419),I419+J419)</f>
        <v>8</v>
      </c>
      <c r="L419" s="163" t="str">
        <f>IF(ISERROR(VLOOKUP(E419,Questions!$E$5:$L$568,6,0))=FALSE,VLOOKUP(E419,Questions!$E$5:$L$568,6,0),"")</f>
        <v/>
      </c>
      <c r="M419" s="164" t="s">
        <v>2396</v>
      </c>
      <c r="N419" s="369" t="s">
        <v>2377</v>
      </c>
    </row>
    <row r="420" spans="1:14" ht="14.5" customHeight="1">
      <c r="A420" s="59"/>
      <c r="B420" s="72">
        <f>VLOOKUP('Hours Detail'!E420,'BASE_FUNCOES (hide)'!A:W,5,FALSE)</f>
        <v>691</v>
      </c>
      <c r="C420" s="72" t="s">
        <v>5887</v>
      </c>
      <c r="D420" s="73" t="str">
        <f>IF('General Information'!$C$6="Português",VLOOKUP(B420,'ESTRUTURA_MODULO(hide)'!A:D,2,0),IF('General Information'!$C$6="English",VLOOKUP(B420,'ESTRUTURA_MODULO(hide)'!A:D,3,0),IF('General Information'!$C$6="Español",VLOOKUP(B420,'ESTRUTURA_MODULO(hide)'!A:D,4,0))))</f>
        <v>Autorizações</v>
      </c>
      <c r="E420" s="74">
        <v>1362</v>
      </c>
      <c r="F420" s="73" t="str">
        <f>IF('General Information'!$C$6="Português",VLOOKUP(E420,'BASE_FUNCOES (hide)'!A:H,2,0),IF('General Information'!$C$6="English",VLOOKUP(E420,'BASE_FUNCOES (hide)'!A:H,3,0),IF('General Information'!$C$6="Español",VLOOKUP(E420,'BASE_FUNCOES (hide)'!A:H,4,0))))</f>
        <v>OPS - Controle de Liberação de Atendimento Web</v>
      </c>
      <c r="G420" s="73" t="str">
        <f>IF(AND('General Information'!$D$17=7,VLOOKUP(B420,Modules!$B$5:$E$496,4,0)=1)=TRUE,VLOOKUP('Hours Detail'!E420,'BASE_FUNCOES (hide)'!A:S,17,0),IF(AND('General Information'!$D$17=8,VLOOKUP(B420,Modules!$B$5:$E$496,4,0)=1)=TRUE,VLOOKUP('Hours Detail'!E420,'BASE_FUNCOES (hide)'!A:S,18,0),IF(AND('General Information'!$D$17=9,VLOOKUP(B420,Modules!$B$5:$E$496,4,0)=1)=TRUE,VLOOKUP('Hours Detail'!E420,'BASE_FUNCOES (hide)'!A:S,19,0),"No")))</f>
        <v>No</v>
      </c>
      <c r="H420" s="544" t="str">
        <f t="shared" si="8"/>
        <v>No</v>
      </c>
      <c r="I420" s="75">
        <f>IF('General Information'!$C$4="Mexico",(ROUNDUP(VLOOKUP(E420,'BASE_FUNCOES (hide)'!A:X,21,0),0)),(ROUNDUP(VLOOKUP(E420,'BASE_FUNCOES (hide)'!A:L,9,0),0)))</f>
        <v>4</v>
      </c>
      <c r="J420" s="75">
        <f>ROUNDUP(SUMIF(Questions!$E$5:$E$558,'Hours Detail'!E420,Questions!$F$5:$F$558),0)</f>
        <v>0</v>
      </c>
      <c r="K420" s="76">
        <f>IF(H420="Yes",ROUNDUP(IF(VLOOKUP(E420,'BASE_FUNCOES (hide)'!A:T,16,FALSE)&lt;&gt;"No",IF('General Information'!$C$19="HTML5",(I420+J420)*'BASE_FUNCOES (hide)'!$T$2,I420+J420),I420+J420),I420+J420),I420+J420)</f>
        <v>4</v>
      </c>
      <c r="L420" s="163" t="str">
        <f>IF(ISERROR(VLOOKUP(E420,Questions!$E$5:$L$568,6,0))=FALSE,VLOOKUP(E420,Questions!$E$5:$L$568,6,0),"")</f>
        <v/>
      </c>
      <c r="M420" s="164" t="s">
        <v>2396</v>
      </c>
      <c r="N420" s="369" t="s">
        <v>2377</v>
      </c>
    </row>
    <row r="421" spans="1:14" ht="14.5" customHeight="1">
      <c r="A421" s="59"/>
      <c r="B421" s="72">
        <f>VLOOKUP('Hours Detail'!E421,'BASE_FUNCOES (hide)'!A:W,5,FALSE)</f>
        <v>691</v>
      </c>
      <c r="C421" s="72" t="s">
        <v>5887</v>
      </c>
      <c r="D421" s="73" t="str">
        <f>IF('General Information'!$C$6="Português",VLOOKUP(B421,'ESTRUTURA_MODULO(hide)'!A:D,2,0),IF('General Information'!$C$6="English",VLOOKUP(B421,'ESTRUTURA_MODULO(hide)'!A:D,3,0),IF('General Information'!$C$6="Español",VLOOKUP(B421,'ESTRUTURA_MODULO(hide)'!A:D,4,0))))</f>
        <v>Autorizações</v>
      </c>
      <c r="E421" s="74">
        <v>1371</v>
      </c>
      <c r="F421" s="73" t="str">
        <f>IF('General Information'!$C$6="Português",VLOOKUP(E421,'BASE_FUNCOES (hide)'!A:H,2,0),IF('General Information'!$C$6="English",VLOOKUP(E421,'BASE_FUNCOES (hide)'!A:H,3,0),IF('General Information'!$C$6="Español",VLOOKUP(E421,'BASE_FUNCOES (hide)'!A:H,4,0))))</f>
        <v>OPS - Comunicação de Internação ou Alta do Beneficiário</v>
      </c>
      <c r="G421" s="73" t="str">
        <f>IF(AND('General Information'!$D$17=7,VLOOKUP(B421,Modules!$B$5:$E$496,4,0)=1)=TRUE,VLOOKUP('Hours Detail'!E421,'BASE_FUNCOES (hide)'!A:S,17,0),IF(AND('General Information'!$D$17=8,VLOOKUP(B421,Modules!$B$5:$E$496,4,0)=1)=TRUE,VLOOKUP('Hours Detail'!E421,'BASE_FUNCOES (hide)'!A:S,18,0),IF(AND('General Information'!$D$17=9,VLOOKUP(B421,Modules!$B$5:$E$496,4,0)=1)=TRUE,VLOOKUP('Hours Detail'!E421,'BASE_FUNCOES (hide)'!A:S,19,0),"No")))</f>
        <v>No</v>
      </c>
      <c r="H421" s="544" t="str">
        <f t="shared" si="8"/>
        <v>No</v>
      </c>
      <c r="I421" s="75">
        <f>IF('General Information'!$C$4="Mexico",(ROUNDUP(VLOOKUP(E421,'BASE_FUNCOES (hide)'!A:X,21,0),0)),(ROUNDUP(VLOOKUP(E421,'BASE_FUNCOES (hide)'!A:L,9,0),0)))</f>
        <v>4</v>
      </c>
      <c r="J421" s="75">
        <f>ROUNDUP(SUMIF(Questions!$E$5:$E$558,'Hours Detail'!E421,Questions!$F$5:$F$558),0)</f>
        <v>0</v>
      </c>
      <c r="K421" s="76">
        <f>IF(H421="Yes",ROUNDUP(IF(VLOOKUP(E421,'BASE_FUNCOES (hide)'!A:T,16,FALSE)&lt;&gt;"No",IF('General Information'!$C$19="HTML5",(I421+J421)*'BASE_FUNCOES (hide)'!$T$2,I421+J421),I421+J421),I421+J421),I421+J421)</f>
        <v>4</v>
      </c>
      <c r="L421" s="163" t="str">
        <f>IF(ISERROR(VLOOKUP(E421,Questions!$E$5:$L$568,6,0))=FALSE,VLOOKUP(E421,Questions!$E$5:$L$568,6,0),"")</f>
        <v/>
      </c>
      <c r="M421" s="164" t="s">
        <v>2396</v>
      </c>
      <c r="N421" s="369" t="s">
        <v>2377</v>
      </c>
    </row>
    <row r="422" spans="1:14" ht="14.5" customHeight="1">
      <c r="A422" s="59"/>
      <c r="B422" s="72">
        <f>VLOOKUP('Hours Detail'!E422,'BASE_FUNCOES (hide)'!A:W,5,FALSE)</f>
        <v>691</v>
      </c>
      <c r="C422" s="72" t="s">
        <v>5887</v>
      </c>
      <c r="D422" s="73" t="str">
        <f>IF('General Information'!$C$6="Português",VLOOKUP(B422,'ESTRUTURA_MODULO(hide)'!A:D,2,0),IF('General Information'!$C$6="English",VLOOKUP(B422,'ESTRUTURA_MODULO(hide)'!A:D,3,0),IF('General Information'!$C$6="Español",VLOOKUP(B422,'ESTRUTURA_MODULO(hide)'!A:D,4,0))))</f>
        <v>Autorizações</v>
      </c>
      <c r="E422" s="74">
        <v>1240</v>
      </c>
      <c r="F422" s="73" t="str">
        <f>IF('General Information'!$C$6="Português",VLOOKUP(E422,'BASE_FUNCOES (hide)'!A:H,2,0),IF('General Information'!$C$6="English",VLOOKUP(E422,'BASE_FUNCOES (hide)'!A:H,3,0),IF('General Information'!$C$6="Español",VLOOKUP(E422,'BASE_FUNCOES (hide)'!A:H,4,0))))</f>
        <v>OPS - Comunicação de Acidente de Trabalho (CAT)</v>
      </c>
      <c r="G422" s="73" t="str">
        <f>IF(AND('General Information'!$D$17=7,VLOOKUP(B422,Modules!$B$5:$E$496,4,0)=1)=TRUE,VLOOKUP('Hours Detail'!E422,'BASE_FUNCOES (hide)'!A:S,17,0),IF(AND('General Information'!$D$17=8,VLOOKUP(B422,Modules!$B$5:$E$496,4,0)=1)=TRUE,VLOOKUP('Hours Detail'!E422,'BASE_FUNCOES (hide)'!A:S,18,0),IF(AND('General Information'!$D$17=9,VLOOKUP(B422,Modules!$B$5:$E$496,4,0)=1)=TRUE,VLOOKUP('Hours Detail'!E422,'BASE_FUNCOES (hide)'!A:S,19,0),"No")))</f>
        <v>No</v>
      </c>
      <c r="H422" s="544" t="str">
        <f t="shared" si="8"/>
        <v>No</v>
      </c>
      <c r="I422" s="75">
        <f>IF('General Information'!$C$4="Mexico",(ROUNDUP(VLOOKUP(E422,'BASE_FUNCOES (hide)'!A:X,21,0),0)),(ROUNDUP(VLOOKUP(E422,'BASE_FUNCOES (hide)'!A:L,9,0),0)))</f>
        <v>4</v>
      </c>
      <c r="J422" s="75">
        <f>ROUNDUP(SUMIF(Questions!$E$5:$E$558,'Hours Detail'!E422,Questions!$F$5:$F$558),0)</f>
        <v>0</v>
      </c>
      <c r="K422" s="76">
        <f>IF(H422="Yes",ROUNDUP(IF(VLOOKUP(E422,'BASE_FUNCOES (hide)'!A:T,16,FALSE)&lt;&gt;"No",IF('General Information'!$C$19="HTML5",(I422+J422)*'BASE_FUNCOES (hide)'!$T$2,I422+J422),I422+J422),I422+J422),I422+J422)</f>
        <v>4</v>
      </c>
      <c r="L422" s="163" t="str">
        <f>IF(ISERROR(VLOOKUP(E422,Questions!$E$5:$L$568,6,0))=FALSE,VLOOKUP(E422,Questions!$E$5:$L$568,6,0),"")</f>
        <v/>
      </c>
      <c r="M422" s="164" t="s">
        <v>2396</v>
      </c>
      <c r="N422" s="369" t="s">
        <v>2377</v>
      </c>
    </row>
    <row r="423" spans="1:14" ht="14.5" customHeight="1">
      <c r="A423" s="59"/>
      <c r="B423" s="72">
        <f>VLOOKUP('Hours Detail'!E423,'BASE_FUNCOES (hide)'!A:W,5,FALSE)</f>
        <v>691</v>
      </c>
      <c r="C423" s="72" t="s">
        <v>5887</v>
      </c>
      <c r="D423" s="73" t="str">
        <f>IF('General Information'!$C$6="Português",VLOOKUP(B423,'ESTRUTURA_MODULO(hide)'!A:D,2,0),IF('General Information'!$C$6="English",VLOOKUP(B423,'ESTRUTURA_MODULO(hide)'!A:D,3,0),IF('General Information'!$C$6="Español",VLOOKUP(B423,'ESTRUTURA_MODULO(hide)'!A:D,4,0))))</f>
        <v>Autorizações</v>
      </c>
      <c r="E423" s="74">
        <v>1271</v>
      </c>
      <c r="F423" s="73" t="str">
        <f>IF('General Information'!$C$6="Português",VLOOKUP(E423,'BASE_FUNCOES (hide)'!A:H,2,0),IF('General Information'!$C$6="English",VLOOKUP(E423,'BASE_FUNCOES (hide)'!A:H,3,0),IF('General Information'!$C$6="Español",VLOOKUP(E423,'BASE_FUNCOES (hide)'!A:H,4,0))))</f>
        <v>OPS - Requisições para Autorização</v>
      </c>
      <c r="G423" s="73" t="str">
        <f>IF(AND('General Information'!$D$17=7,VLOOKUP(B423,Modules!$B$5:$E$496,4,0)=1)=TRUE,VLOOKUP('Hours Detail'!E423,'BASE_FUNCOES (hide)'!A:S,17,0),IF(AND('General Information'!$D$17=8,VLOOKUP(B423,Modules!$B$5:$E$496,4,0)=1)=TRUE,VLOOKUP('Hours Detail'!E423,'BASE_FUNCOES (hide)'!A:S,18,0),IF(AND('General Information'!$D$17=9,VLOOKUP(B423,Modules!$B$5:$E$496,4,0)=1)=TRUE,VLOOKUP('Hours Detail'!E423,'BASE_FUNCOES (hide)'!A:S,19,0),"No")))</f>
        <v>No</v>
      </c>
      <c r="H423" s="544" t="str">
        <f t="shared" si="8"/>
        <v>No</v>
      </c>
      <c r="I423" s="75">
        <f>IF('General Information'!$C$4="Mexico",(ROUNDUP(VLOOKUP(E423,'BASE_FUNCOES (hide)'!A:X,21,0),0)),(ROUNDUP(VLOOKUP(E423,'BASE_FUNCOES (hide)'!A:L,9,0),0)))</f>
        <v>40</v>
      </c>
      <c r="J423" s="75">
        <f>ROUNDUP(SUMIF(Questions!$E$5:$E$558,'Hours Detail'!E423,Questions!$F$5:$F$558),0)</f>
        <v>0</v>
      </c>
      <c r="K423" s="76">
        <f>IF(H423="Yes",ROUNDUP(IF(VLOOKUP(E423,'BASE_FUNCOES (hide)'!A:T,16,FALSE)&lt;&gt;"No",IF('General Information'!$C$19="HTML5",(I423+J423)*'BASE_FUNCOES (hide)'!$T$2,I423+J423),I423+J423),I423+J423),I423+J423)</f>
        <v>40</v>
      </c>
      <c r="L423" s="163" t="str">
        <f>IF(ISERROR(VLOOKUP(E423,Questions!$E$5:$L$568,6,0))=FALSE,VLOOKUP(E423,Questions!$E$5:$L$568,6,0),"")</f>
        <v/>
      </c>
      <c r="M423" s="164" t="s">
        <v>2396</v>
      </c>
      <c r="N423" s="369" t="s">
        <v>2377</v>
      </c>
    </row>
    <row r="424" spans="1:14" ht="14.5" customHeight="1">
      <c r="A424" s="59"/>
      <c r="B424" s="72">
        <f>VLOOKUP('Hours Detail'!E424,'BASE_FUNCOES (hide)'!A:W,5,FALSE)</f>
        <v>691</v>
      </c>
      <c r="C424" s="72" t="s">
        <v>5887</v>
      </c>
      <c r="D424" s="73" t="str">
        <f>IF('General Information'!$C$6="Português",VLOOKUP(B424,'ESTRUTURA_MODULO(hide)'!A:D,2,0),IF('General Information'!$C$6="English",VLOOKUP(B424,'ESTRUTURA_MODULO(hide)'!A:D,3,0),IF('General Information'!$C$6="Español",VLOOKUP(B424,'ESTRUTURA_MODULO(hide)'!A:D,4,0))))</f>
        <v>Autorizações</v>
      </c>
      <c r="E424" s="74">
        <v>1270</v>
      </c>
      <c r="F424" s="73" t="str">
        <f>IF('General Information'!$C$6="Português",VLOOKUP(E424,'BASE_FUNCOES (hide)'!A:H,2,0),IF('General Information'!$C$6="English",VLOOKUP(E424,'BASE_FUNCOES (hide)'!A:H,3,0),IF('General Information'!$C$6="Español",VLOOKUP(E424,'BASE_FUNCOES (hide)'!A:H,4,0))))</f>
        <v>OPS - Gestão de Análise de Autorizações</v>
      </c>
      <c r="G424" s="73" t="str">
        <f>IF(AND('General Information'!$D$17=7,VLOOKUP(B424,Modules!$B$5:$E$496,4,0)=1)=TRUE,VLOOKUP('Hours Detail'!E424,'BASE_FUNCOES (hide)'!A:S,17,0),IF(AND('General Information'!$D$17=8,VLOOKUP(B424,Modules!$B$5:$E$496,4,0)=1)=TRUE,VLOOKUP('Hours Detail'!E424,'BASE_FUNCOES (hide)'!A:S,18,0),IF(AND('General Information'!$D$17=9,VLOOKUP(B424,Modules!$B$5:$E$496,4,0)=1)=TRUE,VLOOKUP('Hours Detail'!E424,'BASE_FUNCOES (hide)'!A:S,19,0),"No")))</f>
        <v>No</v>
      </c>
      <c r="H424" s="544" t="str">
        <f t="shared" si="8"/>
        <v>No</v>
      </c>
      <c r="I424" s="75">
        <f>IF('General Information'!$C$4="Mexico",(ROUNDUP(VLOOKUP(E424,'BASE_FUNCOES (hide)'!A:X,21,0),0)),(ROUNDUP(VLOOKUP(E424,'BASE_FUNCOES (hide)'!A:L,9,0),0)))</f>
        <v>24</v>
      </c>
      <c r="J424" s="75">
        <f>ROUNDUP(SUMIF(Questions!$E$5:$E$558,'Hours Detail'!E424,Questions!$F$5:$F$558),0)</f>
        <v>0</v>
      </c>
      <c r="K424" s="76">
        <f>IF(H424="Yes",ROUNDUP(IF(VLOOKUP(E424,'BASE_FUNCOES (hide)'!A:T,16,FALSE)&lt;&gt;"No",IF('General Information'!$C$19="HTML5",(I424+J424)*'BASE_FUNCOES (hide)'!$T$2,I424+J424),I424+J424),I424+J424),I424+J424)</f>
        <v>24</v>
      </c>
      <c r="L424" s="163" t="str">
        <f>IF(ISERROR(VLOOKUP(E424,Questions!$E$5:$L$568,6,0))=FALSE,VLOOKUP(E424,Questions!$E$5:$L$568,6,0),"")</f>
        <v/>
      </c>
      <c r="M424" s="164" t="s">
        <v>2396</v>
      </c>
      <c r="N424" s="369" t="s">
        <v>2377</v>
      </c>
    </row>
    <row r="425" spans="1:14" ht="14.5" customHeight="1">
      <c r="A425" s="59"/>
      <c r="B425" s="72">
        <f>VLOOKUP('Hours Detail'!E425,'BASE_FUNCOES (hide)'!A:W,5,FALSE)</f>
        <v>691</v>
      </c>
      <c r="C425" s="72" t="s">
        <v>5887</v>
      </c>
      <c r="D425" s="73" t="str">
        <f>IF('General Information'!$C$6="Português",VLOOKUP(B425,'ESTRUTURA_MODULO(hide)'!A:D,2,0),IF('General Information'!$C$6="English",VLOOKUP(B425,'ESTRUTURA_MODULO(hide)'!A:D,3,0),IF('General Information'!$C$6="Español",VLOOKUP(B425,'ESTRUTURA_MODULO(hide)'!A:D,4,0))))</f>
        <v>Autorizações</v>
      </c>
      <c r="E425" s="74">
        <v>1352</v>
      </c>
      <c r="F425" s="73" t="str">
        <f>IF('General Information'!$C$6="Português",VLOOKUP(E425,'BASE_FUNCOES (hide)'!A:H,2,0),IF('General Information'!$C$6="English",VLOOKUP(E425,'BASE_FUNCOES (hide)'!A:H,3,0),IF('General Information'!$C$6="Español",VLOOKUP(E425,'BASE_FUNCOES (hide)'!A:H,4,0))))</f>
        <v>OPS - Orçamento</v>
      </c>
      <c r="G425" s="73" t="str">
        <f>IF(AND('General Information'!$D$17=7,VLOOKUP(B425,Modules!$B$5:$E$496,4,0)=1)=TRUE,VLOOKUP('Hours Detail'!E425,'BASE_FUNCOES (hide)'!A:S,17,0),IF(AND('General Information'!$D$17=8,VLOOKUP(B425,Modules!$B$5:$E$496,4,0)=1)=TRUE,VLOOKUP('Hours Detail'!E425,'BASE_FUNCOES (hide)'!A:S,18,0),IF(AND('General Information'!$D$17=9,VLOOKUP(B425,Modules!$B$5:$E$496,4,0)=1)=TRUE,VLOOKUP('Hours Detail'!E425,'BASE_FUNCOES (hide)'!A:S,19,0),"No")))</f>
        <v>No</v>
      </c>
      <c r="H425" s="544" t="str">
        <f t="shared" si="8"/>
        <v>No</v>
      </c>
      <c r="I425" s="75">
        <f>IF('General Information'!$C$4="Mexico",(ROUNDUP(VLOOKUP(E425,'BASE_FUNCOES (hide)'!A:X,21,0),0)),(ROUNDUP(VLOOKUP(E425,'BASE_FUNCOES (hide)'!A:L,9,0),0)))</f>
        <v>4</v>
      </c>
      <c r="J425" s="75">
        <f>ROUNDUP(SUMIF(Questions!$E$5:$E$558,'Hours Detail'!E425,Questions!$F$5:$F$558),0)</f>
        <v>0</v>
      </c>
      <c r="K425" s="76">
        <f>IF(H425="Yes",ROUNDUP(IF(VLOOKUP(E425,'BASE_FUNCOES (hide)'!A:T,16,FALSE)&lt;&gt;"No",IF('General Information'!$C$19="HTML5",(I425+J425)*'BASE_FUNCOES (hide)'!$T$2,I425+J425),I425+J425),I425+J425),I425+J425)</f>
        <v>4</v>
      </c>
      <c r="L425" s="163" t="str">
        <f>IF(ISERROR(VLOOKUP(E425,Questions!$E$5:$L$568,6,0))=FALSE,VLOOKUP(E425,Questions!$E$5:$L$568,6,0),"")</f>
        <v/>
      </c>
      <c r="M425" s="164" t="s">
        <v>2396</v>
      </c>
      <c r="N425" s="369" t="s">
        <v>2377</v>
      </c>
    </row>
    <row r="426" spans="1:14" ht="14.5" customHeight="1">
      <c r="A426" s="59"/>
      <c r="B426" s="72">
        <f>VLOOKUP('Hours Detail'!E426,'BASE_FUNCOES (hide)'!A:W,5,FALSE)</f>
        <v>691</v>
      </c>
      <c r="C426" s="72" t="s">
        <v>5887</v>
      </c>
      <c r="D426" s="73" t="str">
        <f>IF('General Information'!$C$6="Português",VLOOKUP(B426,'ESTRUTURA_MODULO(hide)'!A:D,2,0),IF('General Information'!$C$6="English",VLOOKUP(B426,'ESTRUTURA_MODULO(hide)'!A:D,3,0),IF('General Information'!$C$6="Español",VLOOKUP(B426,'ESTRUTURA_MODULO(hide)'!A:D,4,0))))</f>
        <v>Autorizações</v>
      </c>
      <c r="E426" s="74">
        <v>1330</v>
      </c>
      <c r="F426" s="73" t="str">
        <f>IF('General Information'!$C$6="Português",VLOOKUP(E426,'BASE_FUNCOES (hide)'!A:H,2,0),IF('General Information'!$C$6="English",VLOOKUP(E426,'BASE_FUNCOES (hide)'!A:H,3,0),IF('General Information'!$C$6="Español",VLOOKUP(E426,'BASE_FUNCOES (hide)'!A:H,4,0))))</f>
        <v>OPS - Comunicação Externa Web</v>
      </c>
      <c r="G426" s="73" t="str">
        <f>IF(AND('General Information'!$D$17=7,VLOOKUP(B426,Modules!$B$5:$E$496,4,0)=1)=TRUE,VLOOKUP('Hours Detail'!E426,'BASE_FUNCOES (hide)'!A:S,17,0),IF(AND('General Information'!$D$17=8,VLOOKUP(B426,Modules!$B$5:$E$496,4,0)=1)=TRUE,VLOOKUP('Hours Detail'!E426,'BASE_FUNCOES (hide)'!A:S,18,0),IF(AND('General Information'!$D$17=9,VLOOKUP(B426,Modules!$B$5:$E$496,4,0)=1)=TRUE,VLOOKUP('Hours Detail'!E426,'BASE_FUNCOES (hide)'!A:S,19,0),"No")))</f>
        <v>No</v>
      </c>
      <c r="H426" s="544" t="str">
        <f t="shared" si="8"/>
        <v>No</v>
      </c>
      <c r="I426" s="75">
        <f>IF('General Information'!$C$4="Mexico",(ROUNDUP(VLOOKUP(E426,'BASE_FUNCOES (hide)'!A:X,21,0),0)),(ROUNDUP(VLOOKUP(E426,'BASE_FUNCOES (hide)'!A:L,9,0),0)))</f>
        <v>4</v>
      </c>
      <c r="J426" s="75">
        <f>ROUNDUP(SUMIF(Questions!$E$5:$E$558,'Hours Detail'!E426,Questions!$F$5:$F$558),0)</f>
        <v>0</v>
      </c>
      <c r="K426" s="76">
        <f>IF(H426="Yes",ROUNDUP(IF(VLOOKUP(E426,'BASE_FUNCOES (hide)'!A:T,16,FALSE)&lt;&gt;"No",IF('General Information'!$C$19="HTML5",(I426+J426)*'BASE_FUNCOES (hide)'!$T$2,I426+J426),I426+J426),I426+J426),I426+J426)</f>
        <v>4</v>
      </c>
      <c r="L426" s="163" t="str">
        <f>IF(ISERROR(VLOOKUP(E426,Questions!$E$5:$L$568,6,0))=FALSE,VLOOKUP(E426,Questions!$E$5:$L$568,6,0),"")</f>
        <v/>
      </c>
      <c r="M426" s="164" t="s">
        <v>2396</v>
      </c>
      <c r="N426" s="369" t="s">
        <v>2377</v>
      </c>
    </row>
    <row r="427" spans="1:14" ht="14.5" customHeight="1">
      <c r="A427" s="59"/>
      <c r="B427" s="72">
        <f>VLOOKUP('Hours Detail'!E427,'BASE_FUNCOES (hide)'!A:W,5,FALSE)</f>
        <v>691</v>
      </c>
      <c r="C427" s="72" t="s">
        <v>5887</v>
      </c>
      <c r="D427" s="73" t="str">
        <f>IF('General Information'!$C$6="Português",VLOOKUP(B427,'ESTRUTURA_MODULO(hide)'!A:D,2,0),IF('General Information'!$C$6="English",VLOOKUP(B427,'ESTRUTURA_MODULO(hide)'!A:D,3,0),IF('General Information'!$C$6="Español",VLOOKUP(B427,'ESTRUTURA_MODULO(hide)'!A:D,4,0))))</f>
        <v>Autorizações</v>
      </c>
      <c r="E427" s="74">
        <v>1333</v>
      </c>
      <c r="F427" s="73" t="str">
        <f>IF('General Information'!$C$6="Português",VLOOKUP(E427,'BASE_FUNCOES (hide)'!A:H,2,0),IF('General Information'!$C$6="English",VLOOKUP(E427,'BASE_FUNCOES (hide)'!A:H,3,0),IF('General Information'!$C$6="Español",VLOOKUP(E427,'BASE_FUNCOES (hide)'!A:H,4,0))))</f>
        <v>OPS - Beneficiário em Tratamento</v>
      </c>
      <c r="G427" s="73" t="str">
        <f>IF(AND('General Information'!$D$17=7,VLOOKUP(B427,Modules!$B$5:$E$496,4,0)=1)=TRUE,VLOOKUP('Hours Detail'!E427,'BASE_FUNCOES (hide)'!A:S,17,0),IF(AND('General Information'!$D$17=8,VLOOKUP(B427,Modules!$B$5:$E$496,4,0)=1)=TRUE,VLOOKUP('Hours Detail'!E427,'BASE_FUNCOES (hide)'!A:S,18,0),IF(AND('General Information'!$D$17=9,VLOOKUP(B427,Modules!$B$5:$E$496,4,0)=1)=TRUE,VLOOKUP('Hours Detail'!E427,'BASE_FUNCOES (hide)'!A:S,19,0),"No")))</f>
        <v>No</v>
      </c>
      <c r="H427" s="544" t="str">
        <f t="shared" si="8"/>
        <v>No</v>
      </c>
      <c r="I427" s="75">
        <f>IF('General Information'!$C$4="Mexico",(ROUNDUP(VLOOKUP(E427,'BASE_FUNCOES (hide)'!A:X,21,0),0)),(ROUNDUP(VLOOKUP(E427,'BASE_FUNCOES (hide)'!A:L,9,0),0)))</f>
        <v>4</v>
      </c>
      <c r="J427" s="75">
        <f>ROUNDUP(SUMIF(Questions!$E$5:$E$558,'Hours Detail'!E427,Questions!$F$5:$F$558),0)</f>
        <v>0</v>
      </c>
      <c r="K427" s="76">
        <f>IF(H427="Yes",ROUNDUP(IF(VLOOKUP(E427,'BASE_FUNCOES (hide)'!A:T,16,FALSE)&lt;&gt;"No",IF('General Information'!$C$19="HTML5",(I427+J427)*'BASE_FUNCOES (hide)'!$T$2,I427+J427),I427+J427),I427+J427),I427+J427)</f>
        <v>4</v>
      </c>
      <c r="L427" s="163" t="str">
        <f>IF(ISERROR(VLOOKUP(E427,Questions!$E$5:$L$568,6,0))=FALSE,VLOOKUP(E427,Questions!$E$5:$L$568,6,0),"")</f>
        <v/>
      </c>
      <c r="M427" s="164" t="s">
        <v>2396</v>
      </c>
      <c r="N427" s="369" t="s">
        <v>2377</v>
      </c>
    </row>
    <row r="428" spans="1:14" ht="14.5" customHeight="1">
      <c r="A428" s="59"/>
      <c r="B428" s="72">
        <f>VLOOKUP('Hours Detail'!E428,'BASE_FUNCOES (hide)'!A:W,5,FALSE)</f>
        <v>691</v>
      </c>
      <c r="C428" s="72" t="s">
        <v>5887</v>
      </c>
      <c r="D428" s="73" t="str">
        <f>IF('General Information'!$C$6="Português",VLOOKUP(B428,'ESTRUTURA_MODULO(hide)'!A:D,2,0),IF('General Information'!$C$6="English",VLOOKUP(B428,'ESTRUTURA_MODULO(hide)'!A:D,3,0),IF('General Information'!$C$6="Español",VLOOKUP(B428,'ESTRUTURA_MODULO(hide)'!A:D,4,0))))</f>
        <v>Autorizações</v>
      </c>
      <c r="E428" s="74">
        <v>1357</v>
      </c>
      <c r="F428" s="73" t="str">
        <f>IF('General Information'!$C$6="Português",VLOOKUP(E428,'BASE_FUNCOES (hide)'!A:H,2,0),IF('General Information'!$C$6="English",VLOOKUP(E428,'BASE_FUNCOES (hide)'!A:H,3,0),IF('General Information'!$C$6="Español",VLOOKUP(E428,'BASE_FUNCOES (hide)'!A:H,4,0))))</f>
        <v>OPS - Gestão de Alertas e Eventos</v>
      </c>
      <c r="G428" s="73" t="str">
        <f>IF(AND('General Information'!$D$17=7,VLOOKUP(B428,Modules!$B$5:$E$496,4,0)=1)=TRUE,VLOOKUP('Hours Detail'!E428,'BASE_FUNCOES (hide)'!A:S,17,0),IF(AND('General Information'!$D$17=8,VLOOKUP(B428,Modules!$B$5:$E$496,4,0)=1)=TRUE,VLOOKUP('Hours Detail'!E428,'BASE_FUNCOES (hide)'!A:S,18,0),IF(AND('General Information'!$D$17=9,VLOOKUP(B428,Modules!$B$5:$E$496,4,0)=1)=TRUE,VLOOKUP('Hours Detail'!E428,'BASE_FUNCOES (hide)'!A:S,19,0),"No")))</f>
        <v>No</v>
      </c>
      <c r="H428" s="544" t="str">
        <f t="shared" si="8"/>
        <v>No</v>
      </c>
      <c r="I428" s="75">
        <f>IF('General Information'!$C$4="Mexico",(ROUNDUP(VLOOKUP(E428,'BASE_FUNCOES (hide)'!A:X,21,0),0)),(ROUNDUP(VLOOKUP(E428,'BASE_FUNCOES (hide)'!A:L,9,0),0)))</f>
        <v>8</v>
      </c>
      <c r="J428" s="75">
        <f>ROUNDUP(SUMIF(Questions!$E$5:$E$558,'Hours Detail'!E428,Questions!$F$5:$F$558),0)</f>
        <v>0</v>
      </c>
      <c r="K428" s="76">
        <f>IF(H428="Yes",ROUNDUP(IF(VLOOKUP(E428,'BASE_FUNCOES (hide)'!A:T,16,FALSE)&lt;&gt;"No",IF('General Information'!$C$19="HTML5",(I428+J428)*'BASE_FUNCOES (hide)'!$T$2,I428+J428),I428+J428),I428+J428),I428+J428)</f>
        <v>8</v>
      </c>
      <c r="L428" s="163" t="str">
        <f>IF(ISERROR(VLOOKUP(E428,Questions!$E$5:$L$568,6,0))=FALSE,VLOOKUP(E428,Questions!$E$5:$L$568,6,0),"")</f>
        <v/>
      </c>
      <c r="M428" s="164" t="s">
        <v>2396</v>
      </c>
      <c r="N428" s="369" t="s">
        <v>2377</v>
      </c>
    </row>
    <row r="429" spans="1:14" ht="14.5" customHeight="1">
      <c r="A429" s="59"/>
      <c r="B429" s="72">
        <f>VLOOKUP('Hours Detail'!E429,'BASE_FUNCOES (hide)'!A:W,5,FALSE)</f>
        <v>691</v>
      </c>
      <c r="C429" s="72" t="s">
        <v>5887</v>
      </c>
      <c r="D429" s="73" t="str">
        <f>IF('General Information'!$C$6="Português",VLOOKUP(B429,'ESTRUTURA_MODULO(hide)'!A:D,2,0),IF('General Information'!$C$6="English",VLOOKUP(B429,'ESTRUTURA_MODULO(hide)'!A:D,3,0),IF('General Information'!$C$6="Español",VLOOKUP(B429,'ESTRUTURA_MODULO(hide)'!A:D,4,0))))</f>
        <v>Autorizações</v>
      </c>
      <c r="E429" s="74">
        <v>1359</v>
      </c>
      <c r="F429" s="73" t="str">
        <f>IF('General Information'!$C$6="Português",VLOOKUP(E429,'BASE_FUNCOES (hide)'!A:H,2,0),IF('General Information'!$C$6="English",VLOOKUP(E429,'BASE_FUNCOES (hide)'!A:H,3,0),IF('General Information'!$C$6="Español",VLOOKUP(E429,'BASE_FUNCOES (hide)'!A:H,4,0))))</f>
        <v>OPS - Localizador de Guia Referência</v>
      </c>
      <c r="G429" s="73" t="str">
        <f>IF(AND('General Information'!$D$17=7,VLOOKUP(B429,Modules!$B$5:$E$496,4,0)=1)=TRUE,VLOOKUP('Hours Detail'!E429,'BASE_FUNCOES (hide)'!A:S,17,0),IF(AND('General Information'!$D$17=8,VLOOKUP(B429,Modules!$B$5:$E$496,4,0)=1)=TRUE,VLOOKUP('Hours Detail'!E429,'BASE_FUNCOES (hide)'!A:S,18,0),IF(AND('General Information'!$D$17=9,VLOOKUP(B429,Modules!$B$5:$E$496,4,0)=1)=TRUE,VLOOKUP('Hours Detail'!E429,'BASE_FUNCOES (hide)'!A:S,19,0),"No")))</f>
        <v>No</v>
      </c>
      <c r="H429" s="544" t="str">
        <f t="shared" si="8"/>
        <v>No</v>
      </c>
      <c r="I429" s="75">
        <f>IF('General Information'!$C$4="Mexico",(ROUNDUP(VLOOKUP(E429,'BASE_FUNCOES (hide)'!A:X,21,0),0)),(ROUNDUP(VLOOKUP(E429,'BASE_FUNCOES (hide)'!A:L,9,0),0)))</f>
        <v>0</v>
      </c>
      <c r="J429" s="75">
        <f>ROUNDUP(SUMIF(Questions!$E$5:$E$558,'Hours Detail'!E429,Questions!$F$5:$F$558),0)</f>
        <v>0</v>
      </c>
      <c r="K429" s="76">
        <f>IF(H429="Yes",ROUNDUP(IF(VLOOKUP(E429,'BASE_FUNCOES (hide)'!A:T,16,FALSE)&lt;&gt;"No",IF('General Information'!$C$19="HTML5",(I429+J429)*'BASE_FUNCOES (hide)'!$T$2,I429+J429),I429+J429),I429+J429),I429+J429)</f>
        <v>0</v>
      </c>
      <c r="L429" s="163" t="str">
        <f>IF(ISERROR(VLOOKUP(E429,Questions!$E$5:$L$568,6,0))=FALSE,VLOOKUP(E429,Questions!$E$5:$L$568,6,0),"")</f>
        <v/>
      </c>
      <c r="M429" s="164" t="s">
        <v>2396</v>
      </c>
      <c r="N429" s="369" t="s">
        <v>2377</v>
      </c>
    </row>
    <row r="430" spans="1:14" ht="14.5" customHeight="1">
      <c r="A430" s="59"/>
      <c r="B430" s="72">
        <f>VLOOKUP('Hours Detail'!E430,'BASE_FUNCOES (hide)'!A:W,5,FALSE)</f>
        <v>692</v>
      </c>
      <c r="C430" s="72" t="s">
        <v>5887</v>
      </c>
      <c r="D430" s="73" t="str">
        <f>IF('General Information'!$C$6="Português",VLOOKUP(B430,'ESTRUTURA_MODULO(hide)'!A:D,2,0),IF('General Information'!$C$6="English",VLOOKUP(B430,'ESTRUTURA_MODULO(hide)'!A:D,3,0),IF('General Information'!$C$6="Español",VLOOKUP(B430,'ESTRUTURA_MODULO(hide)'!A:D,4,0))))</f>
        <v>Autorizações de Intercâmbio</v>
      </c>
      <c r="E430" s="74">
        <v>1327</v>
      </c>
      <c r="F430" s="73" t="str">
        <f>IF('General Information'!$C$6="Português",VLOOKUP(E430,'BASE_FUNCOES (hide)'!A:H,2,0),IF('General Information'!$C$6="English",VLOOKUP(E430,'BASE_FUNCOES (hide)'!A:H,3,0),IF('General Information'!$C$6="Español",VLOOKUP(E430,'BASE_FUNCOES (hide)'!A:H,4,0))))</f>
        <v>OPS - Serviço SCS</v>
      </c>
      <c r="G430" s="73" t="str">
        <f>IF(AND('General Information'!$D$17=7,VLOOKUP(B430,Modules!$B$5:$E$496,4,0)=1)=TRUE,VLOOKUP('Hours Detail'!E430,'BASE_FUNCOES (hide)'!A:S,17,0),IF(AND('General Information'!$D$17=8,VLOOKUP(B430,Modules!$B$5:$E$496,4,0)=1)=TRUE,VLOOKUP('Hours Detail'!E430,'BASE_FUNCOES (hide)'!A:S,18,0),IF(AND('General Information'!$D$17=9,VLOOKUP(B430,Modules!$B$5:$E$496,4,0)=1)=TRUE,VLOOKUP('Hours Detail'!E430,'BASE_FUNCOES (hide)'!A:S,19,0),"No")))</f>
        <v>No</v>
      </c>
      <c r="H430" s="544" t="str">
        <f t="shared" si="8"/>
        <v>No</v>
      </c>
      <c r="I430" s="75">
        <f>IF('General Information'!$C$4="Mexico",(ROUNDUP(VLOOKUP(E430,'BASE_FUNCOES (hide)'!A:X,21,0),0)),(ROUNDUP(VLOOKUP(E430,'BASE_FUNCOES (hide)'!A:L,9,0),0)))</f>
        <v>0</v>
      </c>
      <c r="J430" s="75">
        <f>ROUNDUP(SUMIF(Questions!$E$5:$E$558,'Hours Detail'!E430,Questions!$F$5:$F$558),0)</f>
        <v>0</v>
      </c>
      <c r="K430" s="76">
        <f>IF(H430="Yes",ROUNDUP(IF(VLOOKUP(E430,'BASE_FUNCOES (hide)'!A:T,16,FALSE)&lt;&gt;"No",IF('General Information'!$C$19="HTML5",(I430+J430)*'BASE_FUNCOES (hide)'!$T$2,I430+J430),I430+J430),I430+J430),I430+J430)</f>
        <v>0</v>
      </c>
      <c r="L430" s="163" t="str">
        <f>IF(ISERROR(VLOOKUP(E430,Questions!$E$5:$L$568,6,0))=FALSE,VLOOKUP(E430,Questions!$E$5:$L$568,6,0),"")</f>
        <v/>
      </c>
      <c r="M430" s="164" t="s">
        <v>2396</v>
      </c>
      <c r="N430" s="369" t="s">
        <v>2377</v>
      </c>
    </row>
    <row r="431" spans="1:14" ht="14.5" customHeight="1">
      <c r="A431" s="59"/>
      <c r="B431" s="72">
        <f>VLOOKUP('Hours Detail'!E431,'BASE_FUNCOES (hide)'!A:W,5,FALSE)</f>
        <v>692</v>
      </c>
      <c r="C431" s="72" t="s">
        <v>5887</v>
      </c>
      <c r="D431" s="73" t="str">
        <f>IF('General Information'!$C$6="Português",VLOOKUP(B431,'ESTRUTURA_MODULO(hide)'!A:D,2,0),IF('General Information'!$C$6="English",VLOOKUP(B431,'ESTRUTURA_MODULO(hide)'!A:D,3,0),IF('General Information'!$C$6="Español",VLOOKUP(B431,'ESTRUTURA_MODULO(hide)'!A:D,4,0))))</f>
        <v>Autorizações de Intercâmbio</v>
      </c>
      <c r="E431" s="74">
        <v>1316</v>
      </c>
      <c r="F431" s="73" t="str">
        <f>IF('General Information'!$C$6="Português",VLOOKUP(E431,'BASE_FUNCOES (hide)'!A:H,2,0),IF('General Information'!$C$6="English",VLOOKUP(E431,'BASE_FUNCOES (hide)'!A:H,3,0),IF('General Information'!$C$6="Español",VLOOKUP(E431,'BASE_FUNCOES (hide)'!A:H,4,0))))</f>
        <v>OPS - Software de Comunicação Segura (SCS)</v>
      </c>
      <c r="G431" s="73" t="str">
        <f>IF(AND('General Information'!$D$17=7,VLOOKUP(B431,Modules!$B$5:$E$496,4,0)=1)=TRUE,VLOOKUP('Hours Detail'!E431,'BASE_FUNCOES (hide)'!A:S,17,0),IF(AND('General Information'!$D$17=8,VLOOKUP(B431,Modules!$B$5:$E$496,4,0)=1)=TRUE,VLOOKUP('Hours Detail'!E431,'BASE_FUNCOES (hide)'!A:S,18,0),IF(AND('General Information'!$D$17=9,VLOOKUP(B431,Modules!$B$5:$E$496,4,0)=1)=TRUE,VLOOKUP('Hours Detail'!E431,'BASE_FUNCOES (hide)'!A:S,19,0),"No")))</f>
        <v>No</v>
      </c>
      <c r="H431" s="544" t="str">
        <f t="shared" si="8"/>
        <v>No</v>
      </c>
      <c r="I431" s="75">
        <f>IF('General Information'!$C$4="Mexico",(ROUNDUP(VLOOKUP(E431,'BASE_FUNCOES (hide)'!A:X,21,0),0)),(ROUNDUP(VLOOKUP(E431,'BASE_FUNCOES (hide)'!A:L,9,0),0)))</f>
        <v>40</v>
      </c>
      <c r="J431" s="75">
        <f>ROUNDUP(SUMIF(Questions!$E$5:$E$558,'Hours Detail'!E431,Questions!$F$5:$F$558),0)</f>
        <v>0</v>
      </c>
      <c r="K431" s="76">
        <f>IF(H431="Yes",ROUNDUP(IF(VLOOKUP(E431,'BASE_FUNCOES (hide)'!A:T,16,FALSE)&lt;&gt;"No",IF('General Information'!$C$19="HTML5",(I431+J431)*'BASE_FUNCOES (hide)'!$T$2,I431+J431),I431+J431),I431+J431),I431+J431)</f>
        <v>40</v>
      </c>
      <c r="L431" s="163" t="str">
        <f>IF(ISERROR(VLOOKUP(E431,Questions!$E$5:$L$568,6,0))=FALSE,VLOOKUP(E431,Questions!$E$5:$L$568,6,0),"")</f>
        <v/>
      </c>
      <c r="M431" s="164" t="s">
        <v>2396</v>
      </c>
      <c r="N431" s="369" t="s">
        <v>2377</v>
      </c>
    </row>
    <row r="432" spans="1:14" ht="14.5" customHeight="1">
      <c r="A432" s="59"/>
      <c r="B432" s="72">
        <f>VLOOKUP('Hours Detail'!E432,'BASE_FUNCOES (hide)'!A:W,5,FALSE)</f>
        <v>692</v>
      </c>
      <c r="C432" s="72" t="s">
        <v>5887</v>
      </c>
      <c r="D432" s="73" t="str">
        <f>IF('General Information'!$C$6="Português",VLOOKUP(B432,'ESTRUTURA_MODULO(hide)'!A:D,2,0),IF('General Information'!$C$6="English",VLOOKUP(B432,'ESTRUTURA_MODULO(hide)'!A:D,3,0),IF('General Information'!$C$6="Español",VLOOKUP(B432,'ESTRUTURA_MODULO(hide)'!A:D,4,0))))</f>
        <v>Autorizações de Intercâmbio</v>
      </c>
      <c r="E432" s="74">
        <v>1343</v>
      </c>
      <c r="F432" s="73" t="str">
        <f>IF('General Information'!$C$6="Português",VLOOKUP(E432,'BASE_FUNCOES (hide)'!A:H,2,0),IF('General Information'!$C$6="English",VLOOKUP(E432,'BASE_FUNCOES (hide)'!A:H,3,0),IF('General Information'!$C$6="Español",VLOOKUP(E432,'BASE_FUNCOES (hide)'!A:H,4,0))))</f>
        <v>OPS - Autorizações Intercâmbio</v>
      </c>
      <c r="G432" s="73" t="str">
        <f>IF(AND('General Information'!$D$17=7,VLOOKUP(B432,Modules!$B$5:$E$496,4,0)=1)=TRUE,VLOOKUP('Hours Detail'!E432,'BASE_FUNCOES (hide)'!A:S,17,0),IF(AND('General Information'!$D$17=8,VLOOKUP(B432,Modules!$B$5:$E$496,4,0)=1)=TRUE,VLOOKUP('Hours Detail'!E432,'BASE_FUNCOES (hide)'!A:S,18,0),IF(AND('General Information'!$D$17=9,VLOOKUP(B432,Modules!$B$5:$E$496,4,0)=1)=TRUE,VLOOKUP('Hours Detail'!E432,'BASE_FUNCOES (hide)'!A:S,19,0),"No")))</f>
        <v>No</v>
      </c>
      <c r="H432" s="544" t="str">
        <f t="shared" si="8"/>
        <v>No</v>
      </c>
      <c r="I432" s="75">
        <f>IF('General Information'!$C$4="Mexico",(ROUNDUP(VLOOKUP(E432,'BASE_FUNCOES (hide)'!A:X,21,0),0)),(ROUNDUP(VLOOKUP(E432,'BASE_FUNCOES (hide)'!A:L,9,0),0)))</f>
        <v>16</v>
      </c>
      <c r="J432" s="75">
        <f>ROUNDUP(SUMIF(Questions!$E$5:$E$558,'Hours Detail'!E432,Questions!$F$5:$F$558),0)</f>
        <v>0</v>
      </c>
      <c r="K432" s="76">
        <f>IF(H432="Yes",ROUNDUP(IF(VLOOKUP(E432,'BASE_FUNCOES (hide)'!A:T,16,FALSE)&lt;&gt;"No",IF('General Information'!$C$19="HTML5",(I432+J432)*'BASE_FUNCOES (hide)'!$T$2,I432+J432),I432+J432),I432+J432),I432+J432)</f>
        <v>16</v>
      </c>
      <c r="L432" s="163" t="str">
        <f>IF(ISERROR(VLOOKUP(E432,Questions!$E$5:$L$568,6,0))=FALSE,VLOOKUP(E432,Questions!$E$5:$L$568,6,0),"")</f>
        <v/>
      </c>
      <c r="M432" s="164" t="s">
        <v>2396</v>
      </c>
      <c r="N432" s="369" t="s">
        <v>2377</v>
      </c>
    </row>
    <row r="433" spans="1:14" ht="14.5" customHeight="1">
      <c r="A433" s="59"/>
      <c r="B433" s="72">
        <f>VLOOKUP('Hours Detail'!E433,'BASE_FUNCOES (hide)'!A:W,5,FALSE)</f>
        <v>692</v>
      </c>
      <c r="C433" s="72" t="s">
        <v>5887</v>
      </c>
      <c r="D433" s="73" t="str">
        <f>IF('General Information'!$C$6="Português",VLOOKUP(B433,'ESTRUTURA_MODULO(hide)'!A:D,2,0),IF('General Information'!$C$6="English",VLOOKUP(B433,'ESTRUTURA_MODULO(hide)'!A:D,3,0),IF('General Information'!$C$6="Español",VLOOKUP(B433,'ESTRUTURA_MODULO(hide)'!A:D,4,0))))</f>
        <v>Autorizações de Intercâmbio</v>
      </c>
      <c r="E433" s="74">
        <v>1281</v>
      </c>
      <c r="F433" s="73" t="str">
        <f>IF('General Information'!$C$6="Português",VLOOKUP(E433,'BASE_FUNCOES (hide)'!A:H,2,0),IF('General Information'!$C$6="English",VLOOKUP(E433,'BASE_FUNCOES (hide)'!A:H,3,0),IF('General Information'!$C$6="Español",VLOOKUP(E433,'BASE_FUNCOES (hide)'!A:H,4,0))))</f>
        <v>OPS - Controle de Usuários Eventuais</v>
      </c>
      <c r="G433" s="73" t="str">
        <f>IF(AND('General Information'!$D$17=7,VLOOKUP(B433,Modules!$B$5:$E$496,4,0)=1)=TRUE,VLOOKUP('Hours Detail'!E433,'BASE_FUNCOES (hide)'!A:S,17,0),IF(AND('General Information'!$D$17=8,VLOOKUP(B433,Modules!$B$5:$E$496,4,0)=1)=TRUE,VLOOKUP('Hours Detail'!E433,'BASE_FUNCOES (hide)'!A:S,18,0),IF(AND('General Information'!$D$17=9,VLOOKUP(B433,Modules!$B$5:$E$496,4,0)=1)=TRUE,VLOOKUP('Hours Detail'!E433,'BASE_FUNCOES (hide)'!A:S,19,0),"No")))</f>
        <v>No</v>
      </c>
      <c r="H433" s="544" t="str">
        <f t="shared" si="8"/>
        <v>No</v>
      </c>
      <c r="I433" s="75">
        <f>IF('General Information'!$C$4="Mexico",(ROUNDUP(VLOOKUP(E433,'BASE_FUNCOES (hide)'!A:X,21,0),0)),(ROUNDUP(VLOOKUP(E433,'BASE_FUNCOES (hide)'!A:L,9,0),0)))</f>
        <v>8</v>
      </c>
      <c r="J433" s="75">
        <f>ROUNDUP(SUMIF(Questions!$E$5:$E$558,'Hours Detail'!E433,Questions!$F$5:$F$558),0)</f>
        <v>0</v>
      </c>
      <c r="K433" s="76">
        <f>IF(H433="Yes",ROUNDUP(IF(VLOOKUP(E433,'BASE_FUNCOES (hide)'!A:T,16,FALSE)&lt;&gt;"No",IF('General Information'!$C$19="HTML5",(I433+J433)*'BASE_FUNCOES (hide)'!$T$2,I433+J433),I433+J433),I433+J433),I433+J433)</f>
        <v>8</v>
      </c>
      <c r="L433" s="163" t="str">
        <f>IF(ISERROR(VLOOKUP(E433,Questions!$E$5:$L$568,6,0))=FALSE,VLOOKUP(E433,Questions!$E$5:$L$568,6,0),"")</f>
        <v/>
      </c>
      <c r="M433" s="164" t="s">
        <v>2396</v>
      </c>
      <c r="N433" s="369" t="s">
        <v>2377</v>
      </c>
    </row>
    <row r="434" spans="1:14" ht="14.5" customHeight="1">
      <c r="A434" s="59"/>
      <c r="B434" s="72">
        <f>VLOOKUP('Hours Detail'!E434,'BASE_FUNCOES (hide)'!A:W,5,FALSE)</f>
        <v>692</v>
      </c>
      <c r="C434" s="72" t="s">
        <v>5887</v>
      </c>
      <c r="D434" s="73" t="str">
        <f>IF('General Information'!$C$6="Português",VLOOKUP(B434,'ESTRUTURA_MODULO(hide)'!A:D,2,0),IF('General Information'!$C$6="English",VLOOKUP(B434,'ESTRUTURA_MODULO(hide)'!A:D,3,0),IF('General Information'!$C$6="Español",VLOOKUP(B434,'ESTRUTURA_MODULO(hide)'!A:D,4,0))))</f>
        <v>Autorizações de Intercâmbio</v>
      </c>
      <c r="E434" s="74">
        <v>1393</v>
      </c>
      <c r="F434" s="73" t="str">
        <f>IF('General Information'!$C$6="Português",VLOOKUP(E434,'BASE_FUNCOES (hide)'!A:H,2,0),IF('General Information'!$C$6="English",VLOOKUP(E434,'BASE_FUNCOES (hide)'!A:H,3,0),IF('General Information'!$C$6="Español",VLOOKUP(E434,'BASE_FUNCOES (hide)'!A:H,4,0))))</f>
        <v>OPS - Ordem de Serviço Intercâmbio</v>
      </c>
      <c r="G434" s="73" t="str">
        <f>IF(AND('General Information'!$D$17=7,VLOOKUP(B434,Modules!$B$5:$E$496,4,0)=1)=TRUE,VLOOKUP('Hours Detail'!E434,'BASE_FUNCOES (hide)'!A:S,17,0),IF(AND('General Information'!$D$17=8,VLOOKUP(B434,Modules!$B$5:$E$496,4,0)=1)=TRUE,VLOOKUP('Hours Detail'!E434,'BASE_FUNCOES (hide)'!A:S,18,0),IF(AND('General Information'!$D$17=9,VLOOKUP(B434,Modules!$B$5:$E$496,4,0)=1)=TRUE,VLOOKUP('Hours Detail'!E434,'BASE_FUNCOES (hide)'!A:S,19,0),"No")))</f>
        <v>No</v>
      </c>
      <c r="H434" s="544" t="str">
        <f t="shared" si="8"/>
        <v>No</v>
      </c>
      <c r="I434" s="75">
        <f>IF('General Information'!$C$4="Mexico",(ROUNDUP(VLOOKUP(E434,'BASE_FUNCOES (hide)'!A:X,21,0),0)),(ROUNDUP(VLOOKUP(E434,'BASE_FUNCOES (hide)'!A:L,9,0),0)))</f>
        <v>8</v>
      </c>
      <c r="J434" s="75">
        <f>ROUNDUP(SUMIF(Questions!$E$5:$E$558,'Hours Detail'!E434,Questions!$F$5:$F$558),0)</f>
        <v>0</v>
      </c>
      <c r="K434" s="76">
        <f>IF(H434="Yes",ROUNDUP(IF(VLOOKUP(E434,'BASE_FUNCOES (hide)'!A:T,16,FALSE)&lt;&gt;"No",IF('General Information'!$C$19="HTML5",(I434+J434)*'BASE_FUNCOES (hide)'!$T$2,I434+J434),I434+J434),I434+J434),I434+J434)</f>
        <v>8</v>
      </c>
      <c r="L434" s="163" t="str">
        <f>IF(ISERROR(VLOOKUP(E434,Questions!$E$5:$L$568,6,0))=FALSE,VLOOKUP(E434,Questions!$E$5:$L$568,6,0),"")</f>
        <v/>
      </c>
      <c r="M434" s="164" t="s">
        <v>2396</v>
      </c>
      <c r="N434" s="369" t="s">
        <v>2377</v>
      </c>
    </row>
    <row r="435" spans="1:14" ht="14.5" customHeight="1">
      <c r="A435" s="59"/>
      <c r="B435" s="72">
        <f>VLOOKUP('Hours Detail'!E435,'BASE_FUNCOES (hide)'!A:W,5,FALSE)</f>
        <v>692</v>
      </c>
      <c r="C435" s="72" t="s">
        <v>5887</v>
      </c>
      <c r="D435" s="73" t="str">
        <f>IF('General Information'!$C$6="Português",VLOOKUP(B435,'ESTRUTURA_MODULO(hide)'!A:D,2,0),IF('General Information'!$C$6="English",VLOOKUP(B435,'ESTRUTURA_MODULO(hide)'!A:D,3,0),IF('General Information'!$C$6="Español",VLOOKUP(B435,'ESTRUTURA_MODULO(hide)'!A:D,4,0))))</f>
        <v>Autorizações de Intercâmbio</v>
      </c>
      <c r="E435" s="74">
        <v>1364</v>
      </c>
      <c r="F435" s="73" t="str">
        <f>IF('General Information'!$C$6="Português",VLOOKUP(E435,'BASE_FUNCOES (hide)'!A:H,2,0),IF('General Information'!$C$6="English",VLOOKUP(E435,'BASE_FUNCOES (hide)'!A:H,3,0),IF('General Information'!$C$6="Español",VLOOKUP(E435,'BASE_FUNCOES (hide)'!A:H,4,0))))</f>
        <v>OPS - Manutenção de Processos Operacionais do Autorizador</v>
      </c>
      <c r="G435" s="73" t="str">
        <f>IF(AND('General Information'!$D$17=7,VLOOKUP(B435,Modules!$B$5:$E$496,4,0)=1)=TRUE,VLOOKUP('Hours Detail'!E435,'BASE_FUNCOES (hide)'!A:S,17,0),IF(AND('General Information'!$D$17=8,VLOOKUP(B435,Modules!$B$5:$E$496,4,0)=1)=TRUE,VLOOKUP('Hours Detail'!E435,'BASE_FUNCOES (hide)'!A:S,18,0),IF(AND('General Information'!$D$17=9,VLOOKUP(B435,Modules!$B$5:$E$496,4,0)=1)=TRUE,VLOOKUP('Hours Detail'!E435,'BASE_FUNCOES (hide)'!A:S,19,0),"No")))</f>
        <v>No</v>
      </c>
      <c r="H435" s="544" t="str">
        <f t="shared" si="8"/>
        <v>No</v>
      </c>
      <c r="I435" s="75">
        <f>IF('General Information'!$C$4="Mexico",(ROUNDUP(VLOOKUP(E435,'BASE_FUNCOES (hide)'!A:X,21,0),0)),(ROUNDUP(VLOOKUP(E435,'BASE_FUNCOES (hide)'!A:L,9,0),0)))</f>
        <v>4</v>
      </c>
      <c r="J435" s="75">
        <f>ROUNDUP(SUMIF(Questions!$E$5:$E$558,'Hours Detail'!E435,Questions!$F$5:$F$558),0)</f>
        <v>0</v>
      </c>
      <c r="K435" s="76">
        <f>IF(H435="Yes",ROUNDUP(IF(VLOOKUP(E435,'BASE_FUNCOES (hide)'!A:T,16,FALSE)&lt;&gt;"No",IF('General Information'!$C$19="HTML5",(I435+J435)*'BASE_FUNCOES (hide)'!$T$2,I435+J435),I435+J435),I435+J435),I435+J435)</f>
        <v>4</v>
      </c>
      <c r="L435" s="163" t="str">
        <f>IF(ISERROR(VLOOKUP(E435,Questions!$E$5:$L$568,6,0))=FALSE,VLOOKUP(E435,Questions!$E$5:$L$568,6,0),"")</f>
        <v/>
      </c>
      <c r="M435" s="164" t="s">
        <v>2396</v>
      </c>
      <c r="N435" s="369" t="s">
        <v>2377</v>
      </c>
    </row>
    <row r="436" spans="1:14" ht="14.5" customHeight="1">
      <c r="A436" s="59"/>
      <c r="B436" s="72">
        <f>VLOOKUP('Hours Detail'!E436,'BASE_FUNCOES (hide)'!A:W,5,FALSE)</f>
        <v>693</v>
      </c>
      <c r="C436" s="72" t="s">
        <v>5887</v>
      </c>
      <c r="D436" s="73" t="str">
        <f>IF('General Information'!$C$6="Português",VLOOKUP(B436,'ESTRUTURA_MODULO(hide)'!A:D,2,0),IF('General Information'!$C$6="English",VLOOKUP(B436,'ESTRUTURA_MODULO(hide)'!A:D,3,0),IF('General Information'!$C$6="Español",VLOOKUP(B436,'ESTRUTURA_MODULO(hide)'!A:D,4,0))))</f>
        <v>Call Center</v>
      </c>
      <c r="E436" s="74">
        <v>209</v>
      </c>
      <c r="F436" s="73" t="str">
        <f>IF('General Information'!$C$6="Português",VLOOKUP(E436,'BASE_FUNCOES (hide)'!A:H,2,0),IF('General Information'!$C$6="English",VLOOKUP(E436,'BASE_FUNCOES (hide)'!A:H,3,0),IF('General Information'!$C$6="Español",VLOOKUP(E436,'BASE_FUNCOES (hide)'!A:H,4,0))))</f>
        <v>OPS - Gestão de Protocolos de Atendimento</v>
      </c>
      <c r="G436" s="73" t="e">
        <f>IF(AND('General Information'!$D$17=7,VLOOKUP(B436,Modules!$B$5:$E$496,4,0)=1)=TRUE,VLOOKUP('Hours Detail'!E436,'BASE_FUNCOES (hide)'!A:S,17,0),IF(AND('General Information'!$D$17=8,VLOOKUP(B436,Modules!$B$5:$E$496,4,0)=1)=TRUE,VLOOKUP('Hours Detail'!E436,'BASE_FUNCOES (hide)'!A:S,18,0),IF(AND('General Information'!$D$17=9,VLOOKUP(B436,Modules!$B$5:$E$496,4,0)=1)=TRUE,VLOOKUP('Hours Detail'!E436,'BASE_FUNCOES (hide)'!A:S,19,0),"No")))</f>
        <v>#N/A</v>
      </c>
      <c r="H436" s="544" t="e">
        <f t="shared" si="8"/>
        <v>#N/A</v>
      </c>
      <c r="I436" s="75">
        <f>IF('General Information'!$C$4="Mexico",(ROUNDUP(VLOOKUP(E436,'BASE_FUNCOES (hide)'!A:X,21,0),0)),(ROUNDUP(VLOOKUP(E436,'BASE_FUNCOES (hide)'!A:L,9,0),0)))</f>
        <v>4</v>
      </c>
      <c r="J436" s="75">
        <f>ROUNDUP(SUMIF(Questions!$E$5:$E$558,'Hours Detail'!E436,Questions!$F$5:$F$558),0)</f>
        <v>0</v>
      </c>
      <c r="K436" s="76" t="e">
        <f>IF(H436="Yes",ROUNDUP(IF(VLOOKUP(E436,'BASE_FUNCOES (hide)'!A:T,16,FALSE)&lt;&gt;"No",IF('General Information'!$C$19="HTML5",(I436+J436)*'BASE_FUNCOES (hide)'!$T$2,I436+J436),I436+J436),I436+J436),I436+J436)</f>
        <v>#N/A</v>
      </c>
      <c r="L436" s="163" t="str">
        <f>IF(ISERROR(VLOOKUP(E436,Questions!$E$5:$L$568,6,0))=FALSE,VLOOKUP(E436,Questions!$E$5:$L$568,6,0),"")</f>
        <v/>
      </c>
      <c r="M436" s="164" t="s">
        <v>2396</v>
      </c>
      <c r="N436" s="369" t="s">
        <v>2377</v>
      </c>
    </row>
    <row r="437" spans="1:14" ht="14.5" customHeight="1">
      <c r="A437" s="59"/>
      <c r="B437" s="72">
        <f>VLOOKUP('Hours Detail'!E437,'BASE_FUNCOES (hide)'!A:W,5,FALSE)</f>
        <v>693</v>
      </c>
      <c r="C437" s="72" t="s">
        <v>5887</v>
      </c>
      <c r="D437" s="73" t="str">
        <f>IF('General Information'!$C$6="Português",VLOOKUP(B437,'ESTRUTURA_MODULO(hide)'!A:D,2,0),IF('General Information'!$C$6="English",VLOOKUP(B437,'ESTRUTURA_MODULO(hide)'!A:D,3,0),IF('General Information'!$C$6="Español",VLOOKUP(B437,'ESTRUTURA_MODULO(hide)'!A:D,4,0))))</f>
        <v>Call Center</v>
      </c>
      <c r="E437" s="74">
        <v>1266</v>
      </c>
      <c r="F437" s="73" t="str">
        <f>IF('General Information'!$C$6="Português",VLOOKUP(E437,'BASE_FUNCOES (hide)'!A:H,2,0),IF('General Information'!$C$6="English",VLOOKUP(E437,'BASE_FUNCOES (hide)'!A:H,3,0),IF('General Information'!$C$6="Español",VLOOKUP(E437,'BASE_FUNCOES (hide)'!A:H,4,0))))</f>
        <v>OPS - Painel de Ocorrências</v>
      </c>
      <c r="G437" s="73" t="e">
        <f>IF(AND('General Information'!$D$17=7,VLOOKUP(B437,Modules!$B$5:$E$496,4,0)=1)=TRUE,VLOOKUP('Hours Detail'!E437,'BASE_FUNCOES (hide)'!A:S,17,0),IF(AND('General Information'!$D$17=8,VLOOKUP(B437,Modules!$B$5:$E$496,4,0)=1)=TRUE,VLOOKUP('Hours Detail'!E437,'BASE_FUNCOES (hide)'!A:S,18,0),IF(AND('General Information'!$D$17=9,VLOOKUP(B437,Modules!$B$5:$E$496,4,0)=1)=TRUE,VLOOKUP('Hours Detail'!E437,'BASE_FUNCOES (hide)'!A:S,19,0),"No")))</f>
        <v>#N/A</v>
      </c>
      <c r="H437" s="544" t="e">
        <f t="shared" si="8"/>
        <v>#N/A</v>
      </c>
      <c r="I437" s="75">
        <f>IF('General Information'!$C$4="Mexico",(ROUNDUP(VLOOKUP(E437,'BASE_FUNCOES (hide)'!A:X,21,0),0)),(ROUNDUP(VLOOKUP(E437,'BASE_FUNCOES (hide)'!A:L,9,0),0)))</f>
        <v>0</v>
      </c>
      <c r="J437" s="75">
        <f>ROUNDUP(SUMIF(Questions!$E$5:$E$558,'Hours Detail'!E437,Questions!$F$5:$F$558),0)</f>
        <v>0</v>
      </c>
      <c r="K437" s="76" t="e">
        <f>IF(H437="Yes",ROUNDUP(IF(VLOOKUP(E437,'BASE_FUNCOES (hide)'!A:T,16,FALSE)&lt;&gt;"No",IF('General Information'!$C$19="HTML5",(I437+J437)*'BASE_FUNCOES (hide)'!$T$2,I437+J437),I437+J437),I437+J437),I437+J437)</f>
        <v>#N/A</v>
      </c>
      <c r="L437" s="163" t="str">
        <f>IF(ISERROR(VLOOKUP(E437,Questions!$E$5:$L$568,6,0))=FALSE,VLOOKUP(E437,Questions!$E$5:$L$568,6,0),"")</f>
        <v/>
      </c>
      <c r="M437" s="164" t="s">
        <v>2396</v>
      </c>
      <c r="N437" s="369" t="s">
        <v>2377</v>
      </c>
    </row>
    <row r="438" spans="1:14" ht="14.5" customHeight="1">
      <c r="A438" s="59"/>
      <c r="B438" s="72">
        <f>VLOOKUP('Hours Detail'!E438,'BASE_FUNCOES (hide)'!A:W,5,FALSE)</f>
        <v>695</v>
      </c>
      <c r="C438" s="72" t="s">
        <v>5887</v>
      </c>
      <c r="D438" s="73" t="str">
        <f>IF('General Information'!$C$6="Português",VLOOKUP(B438,'ESTRUTURA_MODULO(hide)'!A:D,2,0),IF('General Information'!$C$6="English",VLOOKUP(B438,'ESTRUTURA_MODULO(hide)'!A:D,3,0),IF('General Information'!$C$6="Español",VLOOKUP(B438,'ESTRUTURA_MODULO(hide)'!A:D,4,0))))</f>
        <v>Análise de Contas Médicas</v>
      </c>
      <c r="E438" s="74">
        <v>1284</v>
      </c>
      <c r="F438" s="73" t="str">
        <f>IF('General Information'!$C$6="Português",VLOOKUP(E438,'BASE_FUNCOES (hide)'!A:H,2,0),IF('General Information'!$C$6="English",VLOOKUP(E438,'BASE_FUNCOES (hide)'!A:H,3,0),IF('General Information'!$C$6="Español",VLOOKUP(E438,'BASE_FUNCOES (hide)'!A:H,4,0))))</f>
        <v>OPS - Gestão de Análise de Produção Médica</v>
      </c>
      <c r="G438" s="73" t="str">
        <f>IF(AND('General Information'!$D$17=7,VLOOKUP(B438,Modules!$B$5:$E$496,4,0)=1)=TRUE,VLOOKUP('Hours Detail'!E438,'BASE_FUNCOES (hide)'!A:S,17,0),IF(AND('General Information'!$D$17=8,VLOOKUP(B438,Modules!$B$5:$E$496,4,0)=1)=TRUE,VLOOKUP('Hours Detail'!E438,'BASE_FUNCOES (hide)'!A:S,18,0),IF(AND('General Information'!$D$17=9,VLOOKUP(B438,Modules!$B$5:$E$496,4,0)=1)=TRUE,VLOOKUP('Hours Detail'!E438,'BASE_FUNCOES (hide)'!A:S,19,0),"No")))</f>
        <v>No</v>
      </c>
      <c r="H438" s="544" t="str">
        <f t="shared" si="8"/>
        <v>No</v>
      </c>
      <c r="I438" s="75">
        <f>IF('General Information'!$C$4="Mexico",(ROUNDUP(VLOOKUP(E438,'BASE_FUNCOES (hide)'!A:X,21,0),0)),(ROUNDUP(VLOOKUP(E438,'BASE_FUNCOES (hide)'!A:L,9,0),0)))</f>
        <v>32</v>
      </c>
      <c r="J438" s="75">
        <f>ROUNDUP(SUMIF(Questions!$E$5:$E$558,'Hours Detail'!E438,Questions!$F$5:$F$558),0)</f>
        <v>0</v>
      </c>
      <c r="K438" s="76">
        <f>IF(H438="Yes",ROUNDUP(IF(VLOOKUP(E438,'BASE_FUNCOES (hide)'!A:T,16,FALSE)&lt;&gt;"No",IF('General Information'!$C$19="HTML5",(I438+J438)*'BASE_FUNCOES (hide)'!$T$2,I438+J438),I438+J438),I438+J438),I438+J438)</f>
        <v>32</v>
      </c>
      <c r="L438" s="163" t="str">
        <f>IF(ISERROR(VLOOKUP(E438,Questions!$E$5:$L$568,6,0))=FALSE,VLOOKUP(E438,Questions!$E$5:$L$568,6,0),"")</f>
        <v/>
      </c>
      <c r="M438" s="164" t="s">
        <v>2396</v>
      </c>
      <c r="N438" s="369" t="s">
        <v>2377</v>
      </c>
    </row>
    <row r="439" spans="1:14" ht="14.5" customHeight="1">
      <c r="A439" s="59"/>
      <c r="B439" s="72">
        <f>VLOOKUP('Hours Detail'!E439,'BASE_FUNCOES (hide)'!A:W,5,FALSE)</f>
        <v>695</v>
      </c>
      <c r="C439" s="72" t="s">
        <v>5887</v>
      </c>
      <c r="D439" s="73" t="str">
        <f>IF('General Information'!$C$6="Português",VLOOKUP(B439,'ESTRUTURA_MODULO(hide)'!A:D,2,0),IF('General Information'!$C$6="English",VLOOKUP(B439,'ESTRUTURA_MODULO(hide)'!A:D,3,0),IF('General Information'!$C$6="Español",VLOOKUP(B439,'ESTRUTURA_MODULO(hide)'!A:D,4,0))))</f>
        <v>Análise de Contas Médicas</v>
      </c>
      <c r="E439" s="74">
        <v>1365</v>
      </c>
      <c r="F439" s="73" t="str">
        <f>IF('General Information'!$C$6="Português",VLOOKUP(E439,'BASE_FUNCOES (hide)'!A:H,2,0),IF('General Information'!$C$6="English",VLOOKUP(E439,'BASE_FUNCOES (hide)'!A:H,3,0),IF('General Information'!$C$6="Español",VLOOKUP(E439,'BASE_FUNCOES (hide)'!A:H,4,0))))</f>
        <v>OPS - Análise de Contas Médicas (Nova)</v>
      </c>
      <c r="G439" s="73" t="str">
        <f>IF(AND('General Information'!$D$17=7,VLOOKUP(B439,Modules!$B$5:$E$496,4,0)=1)=TRUE,VLOOKUP('Hours Detail'!E439,'BASE_FUNCOES (hide)'!A:S,17,0),IF(AND('General Information'!$D$17=8,VLOOKUP(B439,Modules!$B$5:$E$496,4,0)=1)=TRUE,VLOOKUP('Hours Detail'!E439,'BASE_FUNCOES (hide)'!A:S,18,0),IF(AND('General Information'!$D$17=9,VLOOKUP(B439,Modules!$B$5:$E$496,4,0)=1)=TRUE,VLOOKUP('Hours Detail'!E439,'BASE_FUNCOES (hide)'!A:S,19,0),"No")))</f>
        <v>No</v>
      </c>
      <c r="H439" s="544" t="str">
        <f t="shared" si="8"/>
        <v>No</v>
      </c>
      <c r="I439" s="75">
        <f>IF('General Information'!$C$4="Mexico",(ROUNDUP(VLOOKUP(E439,'BASE_FUNCOES (hide)'!A:X,21,0),0)),(ROUNDUP(VLOOKUP(E439,'BASE_FUNCOES (hide)'!A:L,9,0),0)))</f>
        <v>32</v>
      </c>
      <c r="J439" s="75">
        <f>ROUNDUP(SUMIF(Questions!$E$5:$E$558,'Hours Detail'!E439,Questions!$F$5:$F$558),0)</f>
        <v>0</v>
      </c>
      <c r="K439" s="76">
        <f>IF(H439="Yes",ROUNDUP(IF(VLOOKUP(E439,'BASE_FUNCOES (hide)'!A:T,16,FALSE)&lt;&gt;"No",IF('General Information'!$C$19="HTML5",(I439+J439)*'BASE_FUNCOES (hide)'!$T$2,I439+J439),I439+J439),I439+J439),I439+J439)</f>
        <v>32</v>
      </c>
      <c r="L439" s="163" t="str">
        <f>IF(ISERROR(VLOOKUP(E439,Questions!$E$5:$L$568,6,0))=FALSE,VLOOKUP(E439,Questions!$E$5:$L$568,6,0),"")</f>
        <v/>
      </c>
      <c r="M439" s="164" t="s">
        <v>2396</v>
      </c>
      <c r="N439" s="369" t="s">
        <v>2377</v>
      </c>
    </row>
    <row r="440" spans="1:14" ht="14.5" customHeight="1">
      <c r="A440" s="59"/>
      <c r="B440" s="72">
        <f>VLOOKUP('Hours Detail'!E440,'BASE_FUNCOES (hide)'!A:W,5,FALSE)</f>
        <v>695</v>
      </c>
      <c r="C440" s="72" t="s">
        <v>5887</v>
      </c>
      <c r="D440" s="73" t="str">
        <f>IF('General Information'!$C$6="Português",VLOOKUP(B440,'ESTRUTURA_MODULO(hide)'!A:D,2,0),IF('General Information'!$C$6="English",VLOOKUP(B440,'ESTRUTURA_MODULO(hide)'!A:D,3,0),IF('General Information'!$C$6="Español",VLOOKUP(B440,'ESTRUTURA_MODULO(hide)'!A:D,4,0))))</f>
        <v>Análise de Contas Médicas</v>
      </c>
      <c r="E440" s="74">
        <v>1348</v>
      </c>
      <c r="F440" s="73" t="str">
        <f>IF('General Information'!$C$6="Português",VLOOKUP(E440,'BASE_FUNCOES (hide)'!A:H,2,0),IF('General Information'!$C$6="English",VLOOKUP(E440,'BASE_FUNCOES (hide)'!A:H,3,0),IF('General Information'!$C$6="Español",VLOOKUP(E440,'BASE_FUNCOES (hide)'!A:H,4,0))))</f>
        <v>OPS - Análise de Custo Pós-Estabelecido</v>
      </c>
      <c r="G440" s="73" t="str">
        <f>IF(AND('General Information'!$D$17=7,VLOOKUP(B440,Modules!$B$5:$E$496,4,0)=1)=TRUE,VLOOKUP('Hours Detail'!E440,'BASE_FUNCOES (hide)'!A:S,17,0),IF(AND('General Information'!$D$17=8,VLOOKUP(B440,Modules!$B$5:$E$496,4,0)=1)=TRUE,VLOOKUP('Hours Detail'!E440,'BASE_FUNCOES (hide)'!A:S,18,0),IF(AND('General Information'!$D$17=9,VLOOKUP(B440,Modules!$B$5:$E$496,4,0)=1)=TRUE,VLOOKUP('Hours Detail'!E440,'BASE_FUNCOES (hide)'!A:S,19,0),"No")))</f>
        <v>No</v>
      </c>
      <c r="H440" s="544" t="str">
        <f t="shared" si="8"/>
        <v>No</v>
      </c>
      <c r="I440" s="75">
        <f>IF('General Information'!$C$4="Mexico",(ROUNDUP(VLOOKUP(E440,'BASE_FUNCOES (hide)'!A:X,21,0),0)),(ROUNDUP(VLOOKUP(E440,'BASE_FUNCOES (hide)'!A:L,9,0),0)))</f>
        <v>32</v>
      </c>
      <c r="J440" s="75">
        <f>ROUNDUP(SUMIF(Questions!$E$5:$E$558,'Hours Detail'!E440,Questions!$F$5:$F$558),0)</f>
        <v>0</v>
      </c>
      <c r="K440" s="76">
        <f>IF(H440="Yes",ROUNDUP(IF(VLOOKUP(E440,'BASE_FUNCOES (hide)'!A:T,16,FALSE)&lt;&gt;"No",IF('General Information'!$C$19="HTML5",(I440+J440)*'BASE_FUNCOES (hide)'!$T$2,I440+J440),I440+J440),I440+J440),I440+J440)</f>
        <v>32</v>
      </c>
      <c r="L440" s="163" t="str">
        <f>IF(ISERROR(VLOOKUP(E440,Questions!$E$5:$L$568,6,0))=FALSE,VLOOKUP(E440,Questions!$E$5:$L$568,6,0),"")</f>
        <v/>
      </c>
      <c r="M440" s="164" t="s">
        <v>2396</v>
      </c>
      <c r="N440" s="369" t="s">
        <v>2377</v>
      </c>
    </row>
    <row r="441" spans="1:14" ht="14.5" customHeight="1">
      <c r="A441" s="59"/>
      <c r="B441" s="72">
        <f>VLOOKUP('Hours Detail'!E441,'BASE_FUNCOES (hide)'!A:W,5,FALSE)</f>
        <v>695</v>
      </c>
      <c r="C441" s="72" t="s">
        <v>5887</v>
      </c>
      <c r="D441" s="73" t="str">
        <f>IF('General Information'!$C$6="Português",VLOOKUP(B441,'ESTRUTURA_MODULO(hide)'!A:D,2,0),IF('General Information'!$C$6="English",VLOOKUP(B441,'ESTRUTURA_MODULO(hide)'!A:D,3,0),IF('General Information'!$C$6="Español",VLOOKUP(B441,'ESTRUTURA_MODULO(hide)'!A:D,4,0))))</f>
        <v>Análise de Contas Médicas</v>
      </c>
      <c r="E441" s="74">
        <v>1326</v>
      </c>
      <c r="F441" s="73" t="str">
        <f>IF('General Information'!$C$6="Português",VLOOKUP(E441,'BASE_FUNCOES (hide)'!A:H,2,0),IF('General Information'!$C$6="English",VLOOKUP(E441,'BASE_FUNCOES (hide)'!A:H,3,0),IF('General Information'!$C$6="Español",VLOOKUP(E441,'BASE_FUNCOES (hide)'!A:H,4,0))))</f>
        <v>OPS - Controle dos Grupos de Análise</v>
      </c>
      <c r="G441" s="73" t="str">
        <f>IF(AND('General Information'!$D$17=7,VLOOKUP(B441,Modules!$B$5:$E$496,4,0)=1)=TRUE,VLOOKUP('Hours Detail'!E441,'BASE_FUNCOES (hide)'!A:S,17,0),IF(AND('General Information'!$D$17=8,VLOOKUP(B441,Modules!$B$5:$E$496,4,0)=1)=TRUE,VLOOKUP('Hours Detail'!E441,'BASE_FUNCOES (hide)'!A:S,18,0),IF(AND('General Information'!$D$17=9,VLOOKUP(B441,Modules!$B$5:$E$496,4,0)=1)=TRUE,VLOOKUP('Hours Detail'!E441,'BASE_FUNCOES (hide)'!A:S,19,0),"No")))</f>
        <v>No</v>
      </c>
      <c r="H441" s="544" t="str">
        <f t="shared" si="8"/>
        <v>No</v>
      </c>
      <c r="I441" s="75">
        <f>IF('General Information'!$C$4="Mexico",(ROUNDUP(VLOOKUP(E441,'BASE_FUNCOES (hide)'!A:X,21,0),0)),(ROUNDUP(VLOOKUP(E441,'BASE_FUNCOES (hide)'!A:L,9,0),0)))</f>
        <v>16</v>
      </c>
      <c r="J441" s="75">
        <f>ROUNDUP(SUMIF(Questions!$E$5:$E$558,'Hours Detail'!E441,Questions!$F$5:$F$558),0)</f>
        <v>0</v>
      </c>
      <c r="K441" s="76">
        <f>IF(H441="Yes",ROUNDUP(IF(VLOOKUP(E441,'BASE_FUNCOES (hide)'!A:T,16,FALSE)&lt;&gt;"No",IF('General Information'!$C$19="HTML5",(I441+J441)*'BASE_FUNCOES (hide)'!$T$2,I441+J441),I441+J441),I441+J441),I441+J441)</f>
        <v>16</v>
      </c>
      <c r="L441" s="163" t="str">
        <f>IF(ISERROR(VLOOKUP(E441,Questions!$E$5:$L$568,6,0))=FALSE,VLOOKUP(E441,Questions!$E$5:$L$568,6,0),"")</f>
        <v/>
      </c>
      <c r="M441" s="164" t="s">
        <v>2396</v>
      </c>
      <c r="N441" s="369" t="s">
        <v>2377</v>
      </c>
    </row>
    <row r="442" spans="1:14" ht="14.5" customHeight="1">
      <c r="A442" s="59"/>
      <c r="B442" s="72">
        <f>VLOOKUP('Hours Detail'!E442,'BASE_FUNCOES (hide)'!A:W,5,FALSE)</f>
        <v>706</v>
      </c>
      <c r="C442" s="72" t="s">
        <v>5887</v>
      </c>
      <c r="D442" s="73" t="str">
        <f>IF('General Information'!$C$6="Português",VLOOKUP(B442,'ESTRUTURA_MODULO(hide)'!A:D,2,0),IF('General Information'!$C$6="English",VLOOKUP(B442,'ESTRUTURA_MODULO(hide)'!A:D,3,0),IF('General Information'!$C$6="Español",VLOOKUP(B442,'ESTRUTURA_MODULO(hide)'!A:D,4,0))))</f>
        <v>Contratos de Intercâmbio</v>
      </c>
      <c r="E442" s="74">
        <v>1286</v>
      </c>
      <c r="F442" s="73" t="str">
        <f>IF('General Information'!$C$6="Português",VLOOKUP(E442,'BASE_FUNCOES (hide)'!A:H,2,0),IF('General Information'!$C$6="English",VLOOKUP(E442,'BASE_FUNCOES (hide)'!A:H,3,0),IF('General Information'!$C$6="Español",VLOOKUP(E442,'BASE_FUNCOES (hide)'!A:H,4,0))))</f>
        <v>OPS - Movimentação Cadastral de Beneficiários</v>
      </c>
      <c r="G442" s="73" t="str">
        <f>IF(AND('General Information'!$D$17=7,VLOOKUP(B442,Modules!$B$5:$E$496,4,0)=1)=TRUE,VLOOKUP('Hours Detail'!E442,'BASE_FUNCOES (hide)'!A:S,17,0),IF(AND('General Information'!$D$17=8,VLOOKUP(B442,Modules!$B$5:$E$496,4,0)=1)=TRUE,VLOOKUP('Hours Detail'!E442,'BASE_FUNCOES (hide)'!A:S,18,0),IF(AND('General Information'!$D$17=9,VLOOKUP(B442,Modules!$B$5:$E$496,4,0)=1)=TRUE,VLOOKUP('Hours Detail'!E442,'BASE_FUNCOES (hide)'!A:S,19,0),"No")))</f>
        <v>No</v>
      </c>
      <c r="H442" s="544" t="str">
        <f t="shared" si="8"/>
        <v>No</v>
      </c>
      <c r="I442" s="75">
        <f>IF('General Information'!$C$4="Mexico",(ROUNDUP(VLOOKUP(E442,'BASE_FUNCOES (hide)'!A:X,21,0),0)),(ROUNDUP(VLOOKUP(E442,'BASE_FUNCOES (hide)'!A:L,9,0),0)))</f>
        <v>24</v>
      </c>
      <c r="J442" s="75">
        <f>ROUNDUP(SUMIF(Questions!$E$5:$E$558,'Hours Detail'!E442,Questions!$F$5:$F$558),0)</f>
        <v>0</v>
      </c>
      <c r="K442" s="76">
        <f>IF(H442="Yes",ROUNDUP(IF(VLOOKUP(E442,'BASE_FUNCOES (hide)'!A:T,16,FALSE)&lt;&gt;"No",IF('General Information'!$C$19="HTML5",(I442+J442)*'BASE_FUNCOES (hide)'!$T$2,I442+J442),I442+J442),I442+J442),I442+J442)</f>
        <v>24</v>
      </c>
      <c r="L442" s="163" t="str">
        <f>IF(ISERROR(VLOOKUP(E442,Questions!$E$5:$L$568,6,0))=FALSE,VLOOKUP(E442,Questions!$E$5:$L$568,6,0),"")</f>
        <v/>
      </c>
      <c r="M442" s="164" t="s">
        <v>2396</v>
      </c>
      <c r="N442" s="369" t="s">
        <v>2377</v>
      </c>
    </row>
    <row r="443" spans="1:14" ht="14.5" customHeight="1">
      <c r="A443" s="59"/>
      <c r="B443" s="72">
        <f>VLOOKUP('Hours Detail'!E443,'BASE_FUNCOES (hide)'!A:W,5,FALSE)</f>
        <v>706</v>
      </c>
      <c r="C443" s="72" t="s">
        <v>5887</v>
      </c>
      <c r="D443" s="73" t="str">
        <f>IF('General Information'!$C$6="Português",VLOOKUP(B443,'ESTRUTURA_MODULO(hide)'!A:D,2,0),IF('General Information'!$C$6="English",VLOOKUP(B443,'ESTRUTURA_MODULO(hide)'!A:D,3,0),IF('General Information'!$C$6="Español",VLOOKUP(B443,'ESTRUTURA_MODULO(hide)'!A:D,4,0))))</f>
        <v>Contratos de Intercâmbio</v>
      </c>
      <c r="E443" s="74">
        <v>1318</v>
      </c>
      <c r="F443" s="73" t="str">
        <f>IF('General Information'!$C$6="Português",VLOOKUP(E443,'BASE_FUNCOES (hide)'!A:H,2,0),IF('General Information'!$C$6="English",VLOOKUP(E443,'BASE_FUNCOES (hide)'!A:H,3,0),IF('General Information'!$C$6="Español",VLOOKUP(E443,'BASE_FUNCOES (hide)'!A:H,4,0))))</f>
        <v>OPS - Consulta Dados Beneficiário Intercâmbio</v>
      </c>
      <c r="G443" s="73" t="str">
        <f>IF(AND('General Information'!$D$17=7,VLOOKUP(B443,Modules!$B$5:$E$496,4,0)=1)=TRUE,VLOOKUP('Hours Detail'!E443,'BASE_FUNCOES (hide)'!A:S,17,0),IF(AND('General Information'!$D$17=8,VLOOKUP(B443,Modules!$B$5:$E$496,4,0)=1)=TRUE,VLOOKUP('Hours Detail'!E443,'BASE_FUNCOES (hide)'!A:S,18,0),IF(AND('General Information'!$D$17=9,VLOOKUP(B443,Modules!$B$5:$E$496,4,0)=1)=TRUE,VLOOKUP('Hours Detail'!E443,'BASE_FUNCOES (hide)'!A:S,19,0),"No")))</f>
        <v>No</v>
      </c>
      <c r="H443" s="544" t="str">
        <f t="shared" si="8"/>
        <v>No</v>
      </c>
      <c r="I443" s="75">
        <f>IF('General Information'!$C$4="Mexico",(ROUNDUP(VLOOKUP(E443,'BASE_FUNCOES (hide)'!A:X,21,0),0)),(ROUNDUP(VLOOKUP(E443,'BASE_FUNCOES (hide)'!A:L,9,0),0)))</f>
        <v>4</v>
      </c>
      <c r="J443" s="75">
        <f>ROUNDUP(SUMIF(Questions!$E$5:$E$558,'Hours Detail'!E443,Questions!$F$5:$F$558),0)</f>
        <v>0</v>
      </c>
      <c r="K443" s="76">
        <f>IF(H443="Yes",ROUNDUP(IF(VLOOKUP(E443,'BASE_FUNCOES (hide)'!A:T,16,FALSE)&lt;&gt;"No",IF('General Information'!$C$19="HTML5",(I443+J443)*'BASE_FUNCOES (hide)'!$T$2,I443+J443),I443+J443),I443+J443),I443+J443)</f>
        <v>4</v>
      </c>
      <c r="L443" s="163" t="str">
        <f>IF(ISERROR(VLOOKUP(E443,Questions!$E$5:$L$568,6,0))=FALSE,VLOOKUP(E443,Questions!$E$5:$L$568,6,0),"")</f>
        <v/>
      </c>
      <c r="M443" s="164" t="s">
        <v>2396</v>
      </c>
      <c r="N443" s="369" t="s">
        <v>2377</v>
      </c>
    </row>
    <row r="444" spans="1:14" ht="14.5" customHeight="1">
      <c r="A444" s="59"/>
      <c r="B444" s="72">
        <f>VLOOKUP('Hours Detail'!E444,'BASE_FUNCOES (hide)'!A:W,5,FALSE)</f>
        <v>706</v>
      </c>
      <c r="C444" s="72" t="s">
        <v>5887</v>
      </c>
      <c r="D444" s="73" t="str">
        <f>IF('General Information'!$C$6="Português",VLOOKUP(B444,'ESTRUTURA_MODULO(hide)'!A:D,2,0),IF('General Information'!$C$6="English",VLOOKUP(B444,'ESTRUTURA_MODULO(hide)'!A:D,3,0),IF('General Information'!$C$6="Español",VLOOKUP(B444,'ESTRUTURA_MODULO(hide)'!A:D,4,0))))</f>
        <v>Contratos de Intercâmbio</v>
      </c>
      <c r="E444" s="74">
        <v>1305</v>
      </c>
      <c r="F444" s="73" t="str">
        <f>IF('General Information'!$C$6="Português",VLOOKUP(E444,'BASE_FUNCOES (hide)'!A:H,2,0),IF('General Information'!$C$6="English",VLOOKUP(E444,'BASE_FUNCOES (hide)'!A:H,3,0),IF('General Information'!$C$6="Español",VLOOKUP(E444,'BASE_FUNCOES (hide)'!A:H,4,0))))</f>
        <v>OPS - Operadoras Congêneres</v>
      </c>
      <c r="G444" s="73" t="str">
        <f>IF(AND('General Information'!$D$17=7,VLOOKUP(B444,Modules!$B$5:$E$496,4,0)=1)=TRUE,VLOOKUP('Hours Detail'!E444,'BASE_FUNCOES (hide)'!A:S,17,0),IF(AND('General Information'!$D$17=8,VLOOKUP(B444,Modules!$B$5:$E$496,4,0)=1)=TRUE,VLOOKUP('Hours Detail'!E444,'BASE_FUNCOES (hide)'!A:S,18,0),IF(AND('General Information'!$D$17=9,VLOOKUP(B444,Modules!$B$5:$E$496,4,0)=1)=TRUE,VLOOKUP('Hours Detail'!E444,'BASE_FUNCOES (hide)'!A:S,19,0),"No")))</f>
        <v>No</v>
      </c>
      <c r="H444" s="544" t="str">
        <f t="shared" si="8"/>
        <v>No</v>
      </c>
      <c r="I444" s="75">
        <f>IF('General Information'!$C$4="Mexico",(ROUNDUP(VLOOKUP(E444,'BASE_FUNCOES (hide)'!A:X,21,0),0)),(ROUNDUP(VLOOKUP(E444,'BASE_FUNCOES (hide)'!A:L,9,0),0)))</f>
        <v>16</v>
      </c>
      <c r="J444" s="75">
        <f>ROUNDUP(SUMIF(Questions!$E$5:$E$558,'Hours Detail'!E444,Questions!$F$5:$F$558),0)</f>
        <v>0</v>
      </c>
      <c r="K444" s="76">
        <f>IF(H444="Yes",ROUNDUP(IF(VLOOKUP(E444,'BASE_FUNCOES (hide)'!A:T,16,FALSE)&lt;&gt;"No",IF('General Information'!$C$19="HTML5",(I444+J444)*'BASE_FUNCOES (hide)'!$T$2,I444+J444),I444+J444),I444+J444),I444+J444)</f>
        <v>16</v>
      </c>
      <c r="L444" s="163" t="str">
        <f>IF(ISERROR(VLOOKUP(E444,Questions!$E$5:$L$568,6,0))=FALSE,VLOOKUP(E444,Questions!$E$5:$L$568,6,0),"")</f>
        <v/>
      </c>
      <c r="M444" s="164" t="s">
        <v>2396</v>
      </c>
      <c r="N444" s="369" t="s">
        <v>2377</v>
      </c>
    </row>
    <row r="445" spans="1:14" ht="14.5" customHeight="1">
      <c r="A445" s="59"/>
      <c r="B445" s="72">
        <f>VLOOKUP('Hours Detail'!E445,'BASE_FUNCOES (hide)'!A:W,5,FALSE)</f>
        <v>706</v>
      </c>
      <c r="C445" s="72" t="s">
        <v>5887</v>
      </c>
      <c r="D445" s="73" t="str">
        <f>IF('General Information'!$C$6="Português",VLOOKUP(B445,'ESTRUTURA_MODULO(hide)'!A:D,2,0),IF('General Information'!$C$6="English",VLOOKUP(B445,'ESTRUTURA_MODULO(hide)'!A:D,3,0),IF('General Information'!$C$6="Español",VLOOKUP(B445,'ESTRUTURA_MODULO(hide)'!A:D,4,0))))</f>
        <v>Contratos de Intercâmbio</v>
      </c>
      <c r="E445" s="74">
        <v>1277</v>
      </c>
      <c r="F445" s="73" t="str">
        <f>IF('General Information'!$C$6="Português",VLOOKUP(E445,'BASE_FUNCOES (hide)'!A:H,2,0),IF('General Information'!$C$6="English",VLOOKUP(E445,'BASE_FUNCOES (hide)'!A:H,3,0),IF('General Information'!$C$6="Español",VLOOKUP(E445,'BASE_FUNCOES (hide)'!A:H,4,0))))</f>
        <v>OPS - Contratos de Intercâmbio</v>
      </c>
      <c r="G445" s="73" t="str">
        <f>IF(AND('General Information'!$D$17=7,VLOOKUP(B445,Modules!$B$5:$E$496,4,0)=1)=TRUE,VLOOKUP('Hours Detail'!E445,'BASE_FUNCOES (hide)'!A:S,17,0),IF(AND('General Information'!$D$17=8,VLOOKUP(B445,Modules!$B$5:$E$496,4,0)=1)=TRUE,VLOOKUP('Hours Detail'!E445,'BASE_FUNCOES (hide)'!A:S,18,0),IF(AND('General Information'!$D$17=9,VLOOKUP(B445,Modules!$B$5:$E$496,4,0)=1)=TRUE,VLOOKUP('Hours Detail'!E445,'BASE_FUNCOES (hide)'!A:S,19,0),"No")))</f>
        <v>No</v>
      </c>
      <c r="H445" s="544" t="str">
        <f t="shared" si="8"/>
        <v>No</v>
      </c>
      <c r="I445" s="75">
        <f>IF('General Information'!$C$4="Mexico",(ROUNDUP(VLOOKUP(E445,'BASE_FUNCOES (hide)'!A:X,21,0),0)),(ROUNDUP(VLOOKUP(E445,'BASE_FUNCOES (hide)'!A:L,9,0),0)))</f>
        <v>24</v>
      </c>
      <c r="J445" s="75">
        <f>ROUNDUP(SUMIF(Questions!$E$5:$E$558,'Hours Detail'!E445,Questions!$F$5:$F$558),0)</f>
        <v>0</v>
      </c>
      <c r="K445" s="76">
        <f>IF(H445="Yes",ROUNDUP(IF(VLOOKUP(E445,'BASE_FUNCOES (hide)'!A:T,16,FALSE)&lt;&gt;"No",IF('General Information'!$C$19="HTML5",(I445+J445)*'BASE_FUNCOES (hide)'!$T$2,I445+J445),I445+J445),I445+J445),I445+J445)</f>
        <v>24</v>
      </c>
      <c r="L445" s="163" t="str">
        <f>IF(ISERROR(VLOOKUP(E445,Questions!$E$5:$L$568,6,0))=FALSE,VLOOKUP(E445,Questions!$E$5:$L$568,6,0),"")</f>
        <v/>
      </c>
      <c r="M445" s="164" t="s">
        <v>2396</v>
      </c>
      <c r="N445" s="369" t="s">
        <v>2377</v>
      </c>
    </row>
    <row r="446" spans="1:14" ht="14.5" customHeight="1">
      <c r="A446" s="59"/>
      <c r="B446" s="72">
        <f>VLOOKUP('Hours Detail'!E446,'BASE_FUNCOES (hide)'!A:W,5,FALSE)</f>
        <v>706</v>
      </c>
      <c r="C446" s="72" t="s">
        <v>5887</v>
      </c>
      <c r="D446" s="73" t="str">
        <f>IF('General Information'!$C$6="Português",VLOOKUP(B446,'ESTRUTURA_MODULO(hide)'!A:D,2,0),IF('General Information'!$C$6="English",VLOOKUP(B446,'ESTRUTURA_MODULO(hide)'!A:D,3,0),IF('General Information'!$C$6="Español",VLOOKUP(B446,'ESTRUTURA_MODULO(hide)'!A:D,4,0))))</f>
        <v>Contratos de Intercâmbio</v>
      </c>
      <c r="E446" s="74">
        <v>1292</v>
      </c>
      <c r="F446" s="73" t="str">
        <f>IF('General Information'!$C$6="Português",VLOOKUP(E446,'BASE_FUNCOES (hide)'!A:H,2,0),IF('General Information'!$C$6="English",VLOOKUP(E446,'BASE_FUNCOES (hide)'!A:H,3,0),IF('General Information'!$C$6="Español",VLOOKUP(E446,'BASE_FUNCOES (hide)'!A:H,4,0))))</f>
        <v>OPS - Movimentação Cadastral de SCA</v>
      </c>
      <c r="G446" s="73" t="str">
        <f>IF(AND('General Information'!$D$17=7,VLOOKUP(B446,Modules!$B$5:$E$496,4,0)=1)=TRUE,VLOOKUP('Hours Detail'!E446,'BASE_FUNCOES (hide)'!A:S,17,0),IF(AND('General Information'!$D$17=8,VLOOKUP(B446,Modules!$B$5:$E$496,4,0)=1)=TRUE,VLOOKUP('Hours Detail'!E446,'BASE_FUNCOES (hide)'!A:S,18,0),IF(AND('General Information'!$D$17=9,VLOOKUP(B446,Modules!$B$5:$E$496,4,0)=1)=TRUE,VLOOKUP('Hours Detail'!E446,'BASE_FUNCOES (hide)'!A:S,19,0),"No")))</f>
        <v>No</v>
      </c>
      <c r="H446" s="544" t="str">
        <f t="shared" si="8"/>
        <v>No</v>
      </c>
      <c r="I446" s="75">
        <f>IF('General Information'!$C$4="Mexico",(ROUNDUP(VLOOKUP(E446,'BASE_FUNCOES (hide)'!A:X,21,0),0)),(ROUNDUP(VLOOKUP(E446,'BASE_FUNCOES (hide)'!A:L,9,0),0)))</f>
        <v>16</v>
      </c>
      <c r="J446" s="75">
        <f>ROUNDUP(SUMIF(Questions!$E$5:$E$558,'Hours Detail'!E446,Questions!$F$5:$F$558),0)</f>
        <v>0</v>
      </c>
      <c r="K446" s="76">
        <f>IF(H446="Yes",ROUNDUP(IF(VLOOKUP(E446,'BASE_FUNCOES (hide)'!A:T,16,FALSE)&lt;&gt;"No",IF('General Information'!$C$19="HTML5",(I446+J446)*'BASE_FUNCOES (hide)'!$T$2,I446+J446),I446+J446),I446+J446),I446+J446)</f>
        <v>16</v>
      </c>
      <c r="L446" s="163" t="str">
        <f>IF(ISERROR(VLOOKUP(E446,Questions!$E$5:$L$568,6,0))=FALSE,VLOOKUP(E446,Questions!$E$5:$L$568,6,0),"")</f>
        <v/>
      </c>
      <c r="M446" s="164" t="s">
        <v>2396</v>
      </c>
      <c r="N446" s="369" t="s">
        <v>2377</v>
      </c>
    </row>
    <row r="447" spans="1:14" ht="14.5" customHeight="1">
      <c r="A447" s="59"/>
      <c r="B447" s="72">
        <f>VLOOKUP('Hours Detail'!E447,'BASE_FUNCOES (hide)'!A:W,5,FALSE)</f>
        <v>708</v>
      </c>
      <c r="C447" s="72" t="s">
        <v>5887</v>
      </c>
      <c r="D447" s="73" t="str">
        <f>IF('General Information'!$C$6="Português",VLOOKUP(B447,'ESTRUTURA_MODULO(hide)'!A:D,2,0),IF('General Information'!$C$6="English",VLOOKUP(B447,'ESTRUTURA_MODULO(hide)'!A:D,3,0),IF('General Information'!$C$6="Español",VLOOKUP(B447,'ESTRUTURA_MODULO(hide)'!A:D,4,0))))</f>
        <v>Regras</v>
      </c>
      <c r="E447" s="74">
        <v>1244</v>
      </c>
      <c r="F447" s="73" t="str">
        <f>IF('General Information'!$C$6="Português",VLOOKUP(E447,'BASE_FUNCOES (hide)'!A:H,2,0),IF('General Information'!$C$6="English",VLOOKUP(E447,'BASE_FUNCOES (hide)'!A:H,3,0),IF('General Information'!$C$6="Español",VLOOKUP(E447,'BASE_FUNCOES (hide)'!A:H,4,0))))</f>
        <v>OPS - Regras de Lançamento Automático</v>
      </c>
      <c r="G447" s="73" t="str">
        <f>IF(AND('General Information'!$D$17=7,VLOOKUP(B447,Modules!$B$5:$E$496,4,0)=1)=TRUE,VLOOKUP('Hours Detail'!E447,'BASE_FUNCOES (hide)'!A:S,17,0),IF(AND('General Information'!$D$17=8,VLOOKUP(B447,Modules!$B$5:$E$496,4,0)=1)=TRUE,VLOOKUP('Hours Detail'!E447,'BASE_FUNCOES (hide)'!A:S,18,0),IF(AND('General Information'!$D$17=9,VLOOKUP(B447,Modules!$B$5:$E$496,4,0)=1)=TRUE,VLOOKUP('Hours Detail'!E447,'BASE_FUNCOES (hide)'!A:S,19,0),"No")))</f>
        <v>No</v>
      </c>
      <c r="H447" s="544" t="str">
        <f t="shared" si="8"/>
        <v>No</v>
      </c>
      <c r="I447" s="75">
        <f>IF('General Information'!$C$4="Mexico",(ROUNDUP(VLOOKUP(E447,'BASE_FUNCOES (hide)'!A:X,21,0),0)),(ROUNDUP(VLOOKUP(E447,'BASE_FUNCOES (hide)'!A:L,9,0),0)))</f>
        <v>16</v>
      </c>
      <c r="J447" s="75">
        <f>ROUNDUP(SUMIF(Questions!$E$5:$E$558,'Hours Detail'!E447,Questions!$F$5:$F$558),0)</f>
        <v>0</v>
      </c>
      <c r="K447" s="76">
        <f>IF(H447="Yes",ROUNDUP(IF(VLOOKUP(E447,'BASE_FUNCOES (hide)'!A:T,16,FALSE)&lt;&gt;"No",IF('General Information'!$C$19="HTML5",(I447+J447)*'BASE_FUNCOES (hide)'!$T$2,I447+J447),I447+J447),I447+J447),I447+J447)</f>
        <v>16</v>
      </c>
      <c r="L447" s="163" t="str">
        <f>IF(ISERROR(VLOOKUP(E447,Questions!$E$5:$L$568,6,0))=FALSE,VLOOKUP(E447,Questions!$E$5:$L$568,6,0),"")</f>
        <v/>
      </c>
      <c r="M447" s="164" t="s">
        <v>2396</v>
      </c>
      <c r="N447" s="369" t="s">
        <v>2377</v>
      </c>
    </row>
    <row r="448" spans="1:14" ht="14.5" customHeight="1">
      <c r="A448" s="59"/>
      <c r="B448" s="72">
        <f>VLOOKUP('Hours Detail'!E448,'BASE_FUNCOES (hide)'!A:W,5,FALSE)</f>
        <v>708</v>
      </c>
      <c r="C448" s="72" t="s">
        <v>5887</v>
      </c>
      <c r="D448" s="73" t="str">
        <f>IF('General Information'!$C$6="Português",VLOOKUP(B448,'ESTRUTURA_MODULO(hide)'!A:D,2,0),IF('General Information'!$C$6="English",VLOOKUP(B448,'ESTRUTURA_MODULO(hide)'!A:D,3,0),IF('General Information'!$C$6="Español",VLOOKUP(B448,'ESTRUTURA_MODULO(hide)'!A:D,4,0))))</f>
        <v>Regras</v>
      </c>
      <c r="E448" s="74">
        <v>1209</v>
      </c>
      <c r="F448" s="73" t="str">
        <f>IF('General Information'!$C$6="Português",VLOOKUP(E448,'BASE_FUNCOES (hide)'!A:H,2,0),IF('General Information'!$C$6="English",VLOOKUP(E448,'BASE_FUNCOES (hide)'!A:H,3,0),IF('General Information'!$C$6="Español",VLOOKUP(E448,'BASE_FUNCOES (hide)'!A:H,4,0))))</f>
        <v>OPS - Cadastro de Regras</v>
      </c>
      <c r="G448" s="73" t="str">
        <f>IF(AND('General Information'!$D$17=7,VLOOKUP(B448,Modules!$B$5:$E$496,4,0)=1)=TRUE,VLOOKUP('Hours Detail'!E448,'BASE_FUNCOES (hide)'!A:S,17,0),IF(AND('General Information'!$D$17=8,VLOOKUP(B448,Modules!$B$5:$E$496,4,0)=1)=TRUE,VLOOKUP('Hours Detail'!E448,'BASE_FUNCOES (hide)'!A:S,18,0),IF(AND('General Information'!$D$17=9,VLOOKUP(B448,Modules!$B$5:$E$496,4,0)=1)=TRUE,VLOOKUP('Hours Detail'!E448,'BASE_FUNCOES (hide)'!A:S,19,0),"No")))</f>
        <v>No</v>
      </c>
      <c r="H448" s="544" t="str">
        <f t="shared" si="8"/>
        <v>No</v>
      </c>
      <c r="I448" s="75">
        <f>IF('General Information'!$C$4="Mexico",(ROUNDUP(VLOOKUP(E448,'BASE_FUNCOES (hide)'!A:X,21,0),0)),(ROUNDUP(VLOOKUP(E448,'BASE_FUNCOES (hide)'!A:L,9,0),0)))</f>
        <v>32</v>
      </c>
      <c r="J448" s="75">
        <f>ROUNDUP(SUMIF(Questions!$E$5:$E$558,'Hours Detail'!E448,Questions!$F$5:$F$558),0)</f>
        <v>0</v>
      </c>
      <c r="K448" s="76">
        <f>IF(H448="Yes",ROUNDUP(IF(VLOOKUP(E448,'BASE_FUNCOES (hide)'!A:T,16,FALSE)&lt;&gt;"No",IF('General Information'!$C$19="HTML5",(I448+J448)*'BASE_FUNCOES (hide)'!$T$2,I448+J448),I448+J448),I448+J448),I448+J448)</f>
        <v>32</v>
      </c>
      <c r="L448" s="163" t="str">
        <f>IF(ISERROR(VLOOKUP(E448,Questions!$E$5:$L$568,6,0))=FALSE,VLOOKUP(E448,Questions!$E$5:$L$568,6,0),"")</f>
        <v/>
      </c>
      <c r="M448" s="164" t="s">
        <v>2396</v>
      </c>
      <c r="N448" s="369" t="s">
        <v>2377</v>
      </c>
    </row>
    <row r="449" spans="1:14" ht="14.5" customHeight="1">
      <c r="A449" s="59"/>
      <c r="B449" s="72">
        <f>VLOOKUP('Hours Detail'!E449,'BASE_FUNCOES (hide)'!A:W,5,FALSE)</f>
        <v>708</v>
      </c>
      <c r="C449" s="72" t="s">
        <v>5887</v>
      </c>
      <c r="D449" s="73" t="str">
        <f>IF('General Information'!$C$6="Português",VLOOKUP(B449,'ESTRUTURA_MODULO(hide)'!A:D,2,0),IF('General Information'!$C$6="English",VLOOKUP(B449,'ESTRUTURA_MODULO(hide)'!A:D,3,0),IF('General Information'!$C$6="Español",VLOOKUP(B449,'ESTRUTURA_MODULO(hide)'!A:D,4,0))))</f>
        <v>Regras</v>
      </c>
      <c r="E449" s="74">
        <v>1306</v>
      </c>
      <c r="F449" s="73" t="str">
        <f>IF('General Information'!$C$6="Português",VLOOKUP(E449,'BASE_FUNCOES (hide)'!A:H,2,0),IF('General Information'!$C$6="English",VLOOKUP(E449,'BASE_FUNCOES (hide)'!A:H,3,0),IF('General Information'!$C$6="Español",VLOOKUP(E449,'BASE_FUNCOES (hide)'!A:H,4,0))))</f>
        <v>OPS - Glosas e Ocorrências</v>
      </c>
      <c r="G449" s="73" t="str">
        <f>IF(AND('General Information'!$D$17=7,VLOOKUP(B449,Modules!$B$5:$E$496,4,0)=1)=TRUE,VLOOKUP('Hours Detail'!E449,'BASE_FUNCOES (hide)'!A:S,17,0),IF(AND('General Information'!$D$17=8,VLOOKUP(B449,Modules!$B$5:$E$496,4,0)=1)=TRUE,VLOOKUP('Hours Detail'!E449,'BASE_FUNCOES (hide)'!A:S,18,0),IF(AND('General Information'!$D$17=9,VLOOKUP(B449,Modules!$B$5:$E$496,4,0)=1)=TRUE,VLOOKUP('Hours Detail'!E449,'BASE_FUNCOES (hide)'!A:S,19,0),"No")))</f>
        <v>No</v>
      </c>
      <c r="H449" s="544" t="str">
        <f t="shared" si="8"/>
        <v>No</v>
      </c>
      <c r="I449" s="75">
        <f>IF('General Information'!$C$4="Mexico",(ROUNDUP(VLOOKUP(E449,'BASE_FUNCOES (hide)'!A:X,21,0),0)),(ROUNDUP(VLOOKUP(E449,'BASE_FUNCOES (hide)'!A:L,9,0),0)))</f>
        <v>40</v>
      </c>
      <c r="J449" s="75">
        <f>ROUNDUP(SUMIF(Questions!$E$5:$E$558,'Hours Detail'!E449,Questions!$F$5:$F$558),0)</f>
        <v>0</v>
      </c>
      <c r="K449" s="76">
        <f>IF(H449="Yes",ROUNDUP(IF(VLOOKUP(E449,'BASE_FUNCOES (hide)'!A:T,16,FALSE)&lt;&gt;"No",IF('General Information'!$C$19="HTML5",(I449+J449)*'BASE_FUNCOES (hide)'!$T$2,I449+J449),I449+J449),I449+J449),I449+J449)</f>
        <v>40</v>
      </c>
      <c r="L449" s="163" t="str">
        <f>IF(ISERROR(VLOOKUP(E449,Questions!$E$5:$L$568,6,0))=FALSE,VLOOKUP(E449,Questions!$E$5:$L$568,6,0),"")</f>
        <v xml:space="preserve">(aumentar 10% das horas dos módulos prestadores, contas médicas e autorizações a cada 2000)
Só na função OPS Prestadores. Aumentar 10% das horas aqui. Pra cada 2000 prestadores, 10% a mais. 
Na função glosas e ocorrências. Aumentar 10% a cada 2000. </v>
      </c>
      <c r="M449" s="164" t="s">
        <v>2396</v>
      </c>
      <c r="N449" s="369" t="s">
        <v>2377</v>
      </c>
    </row>
    <row r="450" spans="1:14" ht="14.5" customHeight="1">
      <c r="A450" s="59"/>
      <c r="B450" s="72">
        <f>VLOOKUP('Hours Detail'!E450,'BASE_FUNCOES (hide)'!A:W,5,FALSE)</f>
        <v>708</v>
      </c>
      <c r="C450" s="72" t="s">
        <v>5887</v>
      </c>
      <c r="D450" s="73" t="str">
        <f>IF('General Information'!$C$6="Português",VLOOKUP(B450,'ESTRUTURA_MODULO(hide)'!A:D,2,0),IF('General Information'!$C$6="English",VLOOKUP(B450,'ESTRUTURA_MODULO(hide)'!A:D,3,0),IF('General Information'!$C$6="Español",VLOOKUP(B450,'ESTRUTURA_MODULO(hide)'!A:D,4,0))))</f>
        <v>Regras</v>
      </c>
      <c r="E450" s="74">
        <v>1298</v>
      </c>
      <c r="F450" s="73" t="str">
        <f>IF('General Information'!$C$6="Português",VLOOKUP(E450,'BASE_FUNCOES (hide)'!A:H,2,0),IF('General Information'!$C$6="English",VLOOKUP(E450,'BASE_FUNCOES (hide)'!A:H,3,0),IF('General Information'!$C$6="Español",VLOOKUP(E450,'BASE_FUNCOES (hide)'!A:H,4,0))))</f>
        <v>OPS - Regras e Critérios de Preço</v>
      </c>
      <c r="G450" s="73" t="str">
        <f>IF(AND('General Information'!$D$17=7,VLOOKUP(B450,Modules!$B$5:$E$496,4,0)=1)=TRUE,VLOOKUP('Hours Detail'!E450,'BASE_FUNCOES (hide)'!A:S,17,0),IF(AND('General Information'!$D$17=8,VLOOKUP(B450,Modules!$B$5:$E$496,4,0)=1)=TRUE,VLOOKUP('Hours Detail'!E450,'BASE_FUNCOES (hide)'!A:S,18,0),IF(AND('General Information'!$D$17=9,VLOOKUP(B450,Modules!$B$5:$E$496,4,0)=1)=TRUE,VLOOKUP('Hours Detail'!E450,'BASE_FUNCOES (hide)'!A:S,19,0),"No")))</f>
        <v>No</v>
      </c>
      <c r="H450" s="544" t="str">
        <f t="shared" si="8"/>
        <v>No</v>
      </c>
      <c r="I450" s="75">
        <f>IF('General Information'!$C$4="Mexico",(ROUNDUP(VLOOKUP(E450,'BASE_FUNCOES (hide)'!A:X,21,0),0)),(ROUNDUP(VLOOKUP(E450,'BASE_FUNCOES (hide)'!A:L,9,0),0)))</f>
        <v>24</v>
      </c>
      <c r="J450" s="75">
        <f>ROUNDUP(SUMIF(Questions!$E$5:$E$558,'Hours Detail'!E450,Questions!$F$5:$F$558),0)</f>
        <v>0</v>
      </c>
      <c r="K450" s="76">
        <f>IF(H450="Yes",ROUNDUP(IF(VLOOKUP(E450,'BASE_FUNCOES (hide)'!A:T,16,FALSE)&lt;&gt;"No",IF('General Information'!$C$19="HTML5",(I450+J450)*'BASE_FUNCOES (hide)'!$T$2,I450+J450),I450+J450),I450+J450),I450+J450)</f>
        <v>24</v>
      </c>
      <c r="L450" s="163" t="str">
        <f>IF(ISERROR(VLOOKUP(E450,Questions!$E$5:$L$568,6,0))=FALSE,VLOOKUP(E450,Questions!$E$5:$L$568,6,0),"")</f>
        <v/>
      </c>
      <c r="M450" s="164" t="s">
        <v>2396</v>
      </c>
      <c r="N450" s="369" t="s">
        <v>2377</v>
      </c>
    </row>
    <row r="451" spans="1:14" ht="14.5" customHeight="1">
      <c r="A451" s="59"/>
      <c r="B451" s="72">
        <f>VLOOKUP('Hours Detail'!E451,'BASE_FUNCOES (hide)'!A:W,5,FALSE)</f>
        <v>835</v>
      </c>
      <c r="C451" s="72" t="s">
        <v>5887</v>
      </c>
      <c r="D451" s="73" t="str">
        <f>IF('General Information'!$C$6="Português",VLOOKUP(B451,'ESTRUTURA_MODULO(hide)'!A:D,2,0),IF('General Information'!$C$6="English",VLOOKUP(B451,'ESTRUTURA_MODULO(hide)'!A:D,3,0),IF('General Information'!$C$6="Español",VLOOKUP(B451,'ESTRUTURA_MODULO(hide)'!A:D,4,0))))</f>
        <v>Produção de Contas Médicas - Intercâmbio</v>
      </c>
      <c r="E451" s="74">
        <v>1349</v>
      </c>
      <c r="F451" s="73" t="str">
        <f>IF('General Information'!$C$6="Português",VLOOKUP(E451,'BASE_FUNCOES (hide)'!A:H,2,0),IF('General Information'!$C$6="English",VLOOKUP(E451,'BASE_FUNCOES (hide)'!A:H,3,0),IF('General Information'!$C$6="Español",VLOOKUP(E451,'BASE_FUNCOES (hide)'!A:H,4,0))))</f>
        <v>OPS - Análise de Discussão da Contestação e Recurso de Glosa</v>
      </c>
      <c r="G451" s="73" t="str">
        <f>IF(AND('General Information'!$D$17=7,VLOOKUP(B451,Modules!$B$5:$E$496,4,0)=1)=TRUE,VLOOKUP('Hours Detail'!E451,'BASE_FUNCOES (hide)'!A:S,17,0),IF(AND('General Information'!$D$17=8,VLOOKUP(B451,Modules!$B$5:$E$496,4,0)=1)=TRUE,VLOOKUP('Hours Detail'!E451,'BASE_FUNCOES (hide)'!A:S,18,0),IF(AND('General Information'!$D$17=9,VLOOKUP(B451,Modules!$B$5:$E$496,4,0)=1)=TRUE,VLOOKUP('Hours Detail'!E451,'BASE_FUNCOES (hide)'!A:S,19,0),"No")))</f>
        <v>No</v>
      </c>
      <c r="H451" s="544" t="str">
        <f t="shared" si="8"/>
        <v>No</v>
      </c>
      <c r="I451" s="75">
        <f>IF('General Information'!$C$4="Mexico",(ROUNDUP(VLOOKUP(E451,'BASE_FUNCOES (hide)'!A:X,21,0),0)),(ROUNDUP(VLOOKUP(E451,'BASE_FUNCOES (hide)'!A:L,9,0),0)))</f>
        <v>16</v>
      </c>
      <c r="J451" s="75">
        <f>ROUNDUP(SUMIF(Questions!$E$5:$E$558,'Hours Detail'!E451,Questions!$F$5:$F$558),0)</f>
        <v>0</v>
      </c>
      <c r="K451" s="76">
        <f>IF(H451="Yes",ROUNDUP(IF(VLOOKUP(E451,'BASE_FUNCOES (hide)'!A:T,16,FALSE)&lt;&gt;"No",IF('General Information'!$C$19="HTML5",(I451+J451)*'BASE_FUNCOES (hide)'!$T$2,I451+J451),I451+J451),I451+J451),I451+J451)</f>
        <v>16</v>
      </c>
      <c r="L451" s="163" t="str">
        <f>IF(ISERROR(VLOOKUP(E451,Questions!$E$5:$L$568,6,0))=FALSE,VLOOKUP(E451,Questions!$E$5:$L$568,6,0),"")</f>
        <v/>
      </c>
      <c r="M451" s="164" t="s">
        <v>2396</v>
      </c>
      <c r="N451" s="369" t="s">
        <v>2377</v>
      </c>
    </row>
    <row r="452" spans="1:14" ht="14.5" customHeight="1">
      <c r="A452" s="59"/>
      <c r="B452" s="72">
        <f>VLOOKUP('Hours Detail'!E452,'BASE_FUNCOES (hide)'!A:W,5,FALSE)</f>
        <v>835</v>
      </c>
      <c r="C452" s="72" t="s">
        <v>5887</v>
      </c>
      <c r="D452" s="73" t="str">
        <f>IF('General Information'!$C$6="Português",VLOOKUP(B452,'ESTRUTURA_MODULO(hide)'!A:D,2,0),IF('General Information'!$C$6="English",VLOOKUP(B452,'ESTRUTURA_MODULO(hide)'!A:D,3,0),IF('General Information'!$C$6="Español",VLOOKUP(B452,'ESTRUTURA_MODULO(hide)'!A:D,4,0))))</f>
        <v>Produção de Contas Médicas - Intercâmbio</v>
      </c>
      <c r="E452" s="74">
        <v>1340</v>
      </c>
      <c r="F452" s="73" t="str">
        <f>IF('General Information'!$C$6="Português",VLOOKUP(E452,'BASE_FUNCOES (hide)'!A:H,2,0),IF('General Information'!$C$6="English",VLOOKUP(E452,'BASE_FUNCOES (hide)'!A:H,3,0),IF('General Information'!$C$6="Español",VLOOKUP(E452,'BASE_FUNCOES (hide)'!A:H,4,0))))</f>
        <v>OPS - Seleção de Itens da Contestação e Recurso de Glosa</v>
      </c>
      <c r="G452" s="73" t="str">
        <f>IF(AND('General Information'!$D$17=7,VLOOKUP(B452,Modules!$B$5:$E$496,4,0)=1)=TRUE,VLOOKUP('Hours Detail'!E452,'BASE_FUNCOES (hide)'!A:S,17,0),IF(AND('General Information'!$D$17=8,VLOOKUP(B452,Modules!$B$5:$E$496,4,0)=1)=TRUE,VLOOKUP('Hours Detail'!E452,'BASE_FUNCOES (hide)'!A:S,18,0),IF(AND('General Information'!$D$17=9,VLOOKUP(B452,Modules!$B$5:$E$496,4,0)=1)=TRUE,VLOOKUP('Hours Detail'!E452,'BASE_FUNCOES (hide)'!A:S,19,0),"No")))</f>
        <v>No</v>
      </c>
      <c r="H452" s="544" t="str">
        <f t="shared" si="8"/>
        <v>No</v>
      </c>
      <c r="I452" s="75">
        <f>IF('General Information'!$C$4="Mexico",(ROUNDUP(VLOOKUP(E452,'BASE_FUNCOES (hide)'!A:X,21,0),0)),(ROUNDUP(VLOOKUP(E452,'BASE_FUNCOES (hide)'!A:L,9,0),0)))</f>
        <v>16</v>
      </c>
      <c r="J452" s="75">
        <f>ROUNDUP(SUMIF(Questions!$E$5:$E$558,'Hours Detail'!E452,Questions!$F$5:$F$558),0)</f>
        <v>0</v>
      </c>
      <c r="K452" s="76">
        <f>IF(H452="Yes",ROUNDUP(IF(VLOOKUP(E452,'BASE_FUNCOES (hide)'!A:T,16,FALSE)&lt;&gt;"No",IF('General Information'!$C$19="HTML5",(I452+J452)*'BASE_FUNCOES (hide)'!$T$2,I452+J452),I452+J452),I452+J452),I452+J452)</f>
        <v>16</v>
      </c>
      <c r="L452" s="163" t="str">
        <f>IF(ISERROR(VLOOKUP(E452,Questions!$E$5:$L$568,6,0))=FALSE,VLOOKUP(E452,Questions!$E$5:$L$568,6,0),"")</f>
        <v/>
      </c>
      <c r="M452" s="164" t="s">
        <v>2396</v>
      </c>
      <c r="N452" s="369" t="s">
        <v>2377</v>
      </c>
    </row>
    <row r="453" spans="1:14" ht="14.5" customHeight="1">
      <c r="A453" s="59"/>
      <c r="B453" s="72">
        <f>VLOOKUP('Hours Detail'!E453,'BASE_FUNCOES (hide)'!A:W,5,FALSE)</f>
        <v>835</v>
      </c>
      <c r="C453" s="72" t="s">
        <v>5887</v>
      </c>
      <c r="D453" s="73" t="str">
        <f>IF('General Information'!$C$6="Português",VLOOKUP(B453,'ESTRUTURA_MODULO(hide)'!A:D,2,0),IF('General Information'!$C$6="English",VLOOKUP(B453,'ESTRUTURA_MODULO(hide)'!A:D,3,0),IF('General Information'!$C$6="Español",VLOOKUP(B453,'ESTRUTURA_MODULO(hide)'!A:D,4,0))))</f>
        <v>Produção de Contas Médicas - Intercâmbio</v>
      </c>
      <c r="E453" s="74">
        <v>1366</v>
      </c>
      <c r="F453" s="73" t="str">
        <f>IF('General Information'!$C$6="Português",VLOOKUP(E453,'BASE_FUNCOES (hide)'!A:H,2,0),IF('General Information'!$C$6="English",VLOOKUP(E453,'BASE_FUNCOES (hide)'!A:H,3,0),IF('General Information'!$C$6="Español",VLOOKUP(E453,'BASE_FUNCOES (hide)'!A:H,4,0))))</f>
        <v>OPS - Inconsistências de Intercâmbio</v>
      </c>
      <c r="G453" s="73" t="str">
        <f>IF(AND('General Information'!$D$17=7,VLOOKUP(B453,Modules!$B$5:$E$496,4,0)=1)=TRUE,VLOOKUP('Hours Detail'!E453,'BASE_FUNCOES (hide)'!A:S,17,0),IF(AND('General Information'!$D$17=8,VLOOKUP(B453,Modules!$B$5:$E$496,4,0)=1)=TRUE,VLOOKUP('Hours Detail'!E453,'BASE_FUNCOES (hide)'!A:S,18,0),IF(AND('General Information'!$D$17=9,VLOOKUP(B453,Modules!$B$5:$E$496,4,0)=1)=TRUE,VLOOKUP('Hours Detail'!E453,'BASE_FUNCOES (hide)'!A:S,19,0),"No")))</f>
        <v>No</v>
      </c>
      <c r="H453" s="544" t="str">
        <f t="shared" si="8"/>
        <v>No</v>
      </c>
      <c r="I453" s="75">
        <f>IF('General Information'!$C$4="Mexico",(ROUNDUP(VLOOKUP(E453,'BASE_FUNCOES (hide)'!A:X,21,0),0)),(ROUNDUP(VLOOKUP(E453,'BASE_FUNCOES (hide)'!A:L,9,0),0)))</f>
        <v>12</v>
      </c>
      <c r="J453" s="75">
        <f>ROUNDUP(SUMIF(Questions!$E$5:$E$558,'Hours Detail'!E453,Questions!$F$5:$F$558),0)</f>
        <v>0</v>
      </c>
      <c r="K453" s="76">
        <f>IF(H453="Yes",ROUNDUP(IF(VLOOKUP(E453,'BASE_FUNCOES (hide)'!A:T,16,FALSE)&lt;&gt;"No",IF('General Information'!$C$19="HTML5",(I453+J453)*'BASE_FUNCOES (hide)'!$T$2,I453+J453),I453+J453),I453+J453),I453+J453)</f>
        <v>12</v>
      </c>
      <c r="L453" s="163" t="str">
        <f>IF(ISERROR(VLOOKUP(E453,Questions!$E$5:$L$568,6,0))=FALSE,VLOOKUP(E453,Questions!$E$5:$L$568,6,0),"")</f>
        <v/>
      </c>
      <c r="M453" s="164" t="s">
        <v>2396</v>
      </c>
      <c r="N453" s="369" t="s">
        <v>2377</v>
      </c>
    </row>
    <row r="454" spans="1:14" ht="14.5" customHeight="1">
      <c r="A454" s="59"/>
      <c r="B454" s="72">
        <f>VLOOKUP('Hours Detail'!E454,'BASE_FUNCOES (hide)'!A:W,5,FALSE)</f>
        <v>835</v>
      </c>
      <c r="C454" s="72" t="s">
        <v>5887</v>
      </c>
      <c r="D454" s="73" t="str">
        <f>IF('General Information'!$C$6="Português",VLOOKUP(B454,'ESTRUTURA_MODULO(hide)'!A:D,2,0),IF('General Information'!$C$6="English",VLOOKUP(B454,'ESTRUTURA_MODULO(hide)'!A:D,3,0),IF('General Information'!$C$6="Español",VLOOKUP(B454,'ESTRUTURA_MODULO(hide)'!A:D,4,0))))</f>
        <v>Produção de Contas Médicas - Intercâmbio</v>
      </c>
      <c r="E454" s="74">
        <v>78</v>
      </c>
      <c r="F454" s="73" t="str">
        <f>IF('General Information'!$C$6="Português",VLOOKUP(E454,'BASE_FUNCOES (hide)'!A:H,2,0),IF('General Information'!$C$6="English",VLOOKUP(E454,'BASE_FUNCOES (hide)'!A:H,3,0),IF('General Information'!$C$6="Español",VLOOKUP(E454,'BASE_FUNCOES (hide)'!A:H,4,0))))</f>
        <v>OPS - Fatura de Uso Geral (A580)</v>
      </c>
      <c r="G454" s="73" t="str">
        <f>IF(AND('General Information'!$D$17=7,VLOOKUP(B454,Modules!$B$5:$E$496,4,0)=1)=TRUE,VLOOKUP('Hours Detail'!E454,'BASE_FUNCOES (hide)'!A:S,17,0),IF(AND('General Information'!$D$17=8,VLOOKUP(B454,Modules!$B$5:$E$496,4,0)=1)=TRUE,VLOOKUP('Hours Detail'!E454,'BASE_FUNCOES (hide)'!A:S,18,0),IF(AND('General Information'!$D$17=9,VLOOKUP(B454,Modules!$B$5:$E$496,4,0)=1)=TRUE,VLOOKUP('Hours Detail'!E454,'BASE_FUNCOES (hide)'!A:S,19,0),"No")))</f>
        <v>No</v>
      </c>
      <c r="H454" s="544" t="str">
        <f t="shared" si="8"/>
        <v>No</v>
      </c>
      <c r="I454" s="75">
        <f>IF('General Information'!$C$4="Mexico",(ROUNDUP(VLOOKUP(E454,'BASE_FUNCOES (hide)'!A:X,21,0),0)),(ROUNDUP(VLOOKUP(E454,'BASE_FUNCOES (hide)'!A:L,9,0),0)))</f>
        <v>12</v>
      </c>
      <c r="J454" s="75">
        <f>ROUNDUP(SUMIF(Questions!$E$5:$E$558,'Hours Detail'!E454,Questions!$F$5:$F$558),0)</f>
        <v>0</v>
      </c>
      <c r="K454" s="76">
        <f>IF(H454="Yes",ROUNDUP(IF(VLOOKUP(E454,'BASE_FUNCOES (hide)'!A:T,16,FALSE)&lt;&gt;"No",IF('General Information'!$C$19="HTML5",(I454+J454)*'BASE_FUNCOES (hide)'!$T$2,I454+J454),I454+J454),I454+J454),I454+J454)</f>
        <v>12</v>
      </c>
      <c r="L454" s="163" t="str">
        <f>IF(ISERROR(VLOOKUP(E454,Questions!$E$5:$L$568,6,0))=FALSE,VLOOKUP(E454,Questions!$E$5:$L$568,6,0),"")</f>
        <v/>
      </c>
      <c r="M454" s="164" t="s">
        <v>2396</v>
      </c>
      <c r="N454" s="369" t="s">
        <v>2377</v>
      </c>
    </row>
    <row r="455" spans="1:14" ht="14.5" customHeight="1">
      <c r="A455" s="59"/>
      <c r="B455" s="72">
        <f>VLOOKUP('Hours Detail'!E455,'BASE_FUNCOES (hide)'!A:W,5,FALSE)</f>
        <v>835</v>
      </c>
      <c r="C455" s="72" t="s">
        <v>5887</v>
      </c>
      <c r="D455" s="73" t="str">
        <f>IF('General Information'!$C$6="Português",VLOOKUP(B455,'ESTRUTURA_MODULO(hide)'!A:D,2,0),IF('General Information'!$C$6="English",VLOOKUP(B455,'ESTRUTURA_MODULO(hide)'!A:D,3,0),IF('General Information'!$C$6="Español",VLOOKUP(B455,'ESTRUTURA_MODULO(hide)'!A:D,4,0))))</f>
        <v>Produção de Contas Médicas - Intercâmbio</v>
      </c>
      <c r="E455" s="74">
        <v>1390</v>
      </c>
      <c r="F455" s="73" t="str">
        <f>IF('General Information'!$C$6="Português",VLOOKUP(E455,'BASE_FUNCOES (hide)'!A:H,2,0),IF('General Information'!$C$6="English",VLOOKUP(E455,'BASE_FUNCOES (hide)'!A:H,3,0),IF('General Information'!$C$6="Español",VLOOKUP(E455,'BASE_FUNCOES (hide)'!A:H,4,0))))</f>
        <v>OPS - Prestadores de Intercâmbio</v>
      </c>
      <c r="G455" s="73" t="str">
        <f>IF(AND('General Information'!$D$17=7,VLOOKUP(B455,Modules!$B$5:$E$496,4,0)=1)=TRUE,VLOOKUP('Hours Detail'!E455,'BASE_FUNCOES (hide)'!A:S,17,0),IF(AND('General Information'!$D$17=8,VLOOKUP(B455,Modules!$B$5:$E$496,4,0)=1)=TRUE,VLOOKUP('Hours Detail'!E455,'BASE_FUNCOES (hide)'!A:S,18,0),IF(AND('General Information'!$D$17=9,VLOOKUP(B455,Modules!$B$5:$E$496,4,0)=1)=TRUE,VLOOKUP('Hours Detail'!E455,'BASE_FUNCOES (hide)'!A:S,19,0),"No")))</f>
        <v>No</v>
      </c>
      <c r="H455" s="544" t="str">
        <f t="shared" si="8"/>
        <v>No</v>
      </c>
      <c r="I455" s="75">
        <f>IF('General Information'!$C$4="Mexico",(ROUNDUP(VLOOKUP(E455,'BASE_FUNCOES (hide)'!A:X,21,0),0)),(ROUNDUP(VLOOKUP(E455,'BASE_FUNCOES (hide)'!A:L,9,0),0)))</f>
        <v>24</v>
      </c>
      <c r="J455" s="75">
        <f>ROUNDUP(SUMIF(Questions!$E$5:$E$558,'Hours Detail'!E455,Questions!$F$5:$F$558),0)</f>
        <v>0</v>
      </c>
      <c r="K455" s="76">
        <f>IF(H455="Yes",ROUNDUP(IF(VLOOKUP(E455,'BASE_FUNCOES (hide)'!A:T,16,FALSE)&lt;&gt;"No",IF('General Information'!$C$19="HTML5",(I455+J455)*'BASE_FUNCOES (hide)'!$T$2,I455+J455),I455+J455),I455+J455),I455+J455)</f>
        <v>24</v>
      </c>
      <c r="L455" s="163" t="str">
        <f>IF(ISERROR(VLOOKUP(E455,Questions!$E$5:$L$568,6,0))=FALSE,VLOOKUP(E455,Questions!$E$5:$L$568,6,0),"")</f>
        <v/>
      </c>
      <c r="M455" s="164" t="s">
        <v>2396</v>
      </c>
      <c r="N455" s="369" t="s">
        <v>2377</v>
      </c>
    </row>
    <row r="456" spans="1:14" ht="14.5" customHeight="1">
      <c r="A456" s="59"/>
      <c r="B456" s="72">
        <f>VLOOKUP('Hours Detail'!E456,'BASE_FUNCOES (hide)'!A:W,5,FALSE)</f>
        <v>835</v>
      </c>
      <c r="C456" s="72" t="s">
        <v>5887</v>
      </c>
      <c r="D456" s="73" t="str">
        <f>IF('General Information'!$C$6="Português",VLOOKUP(B456,'ESTRUTURA_MODULO(hide)'!A:D,2,0),IF('General Information'!$C$6="English",VLOOKUP(B456,'ESTRUTURA_MODULO(hide)'!A:D,3,0),IF('General Information'!$C$6="Español",VLOOKUP(B456,'ESTRUTURA_MODULO(hide)'!A:D,4,0))))</f>
        <v>Produção de Contas Médicas - Intercâmbio</v>
      </c>
      <c r="E456" s="74">
        <v>1334</v>
      </c>
      <c r="F456" s="73" t="str">
        <f>IF('General Information'!$C$6="Português",VLOOKUP(E456,'BASE_FUNCOES (hide)'!A:H,2,0),IF('General Information'!$C$6="English",VLOOKUP(E456,'BASE_FUNCOES (hide)'!A:H,3,0),IF('General Information'!$C$6="Español",VLOOKUP(E456,'BASE_FUNCOES (hide)'!A:H,4,0))))</f>
        <v>OPS - Controle de Contestações</v>
      </c>
      <c r="G456" s="73" t="str">
        <f>IF(AND('General Information'!$D$17=7,VLOOKUP(B456,Modules!$B$5:$E$496,4,0)=1)=TRUE,VLOOKUP('Hours Detail'!E456,'BASE_FUNCOES (hide)'!A:S,17,0),IF(AND('General Information'!$D$17=8,VLOOKUP(B456,Modules!$B$5:$E$496,4,0)=1)=TRUE,VLOOKUP('Hours Detail'!E456,'BASE_FUNCOES (hide)'!A:S,18,0),IF(AND('General Information'!$D$17=9,VLOOKUP(B456,Modules!$B$5:$E$496,4,0)=1)=TRUE,VLOOKUP('Hours Detail'!E456,'BASE_FUNCOES (hide)'!A:S,19,0),"No")))</f>
        <v>No</v>
      </c>
      <c r="H456" s="544" t="str">
        <f t="shared" si="8"/>
        <v>No</v>
      </c>
      <c r="I456" s="75">
        <f>IF('General Information'!$C$4="Mexico",(ROUNDUP(VLOOKUP(E456,'BASE_FUNCOES (hide)'!A:X,21,0),0)),(ROUNDUP(VLOOKUP(E456,'BASE_FUNCOES (hide)'!A:L,9,0),0)))</f>
        <v>32</v>
      </c>
      <c r="J456" s="75">
        <f>ROUNDUP(SUMIF(Questions!$E$5:$E$558,'Hours Detail'!E456,Questions!$F$5:$F$558),0)</f>
        <v>0</v>
      </c>
      <c r="K456" s="76">
        <f>IF(H456="Yes",ROUNDUP(IF(VLOOKUP(E456,'BASE_FUNCOES (hide)'!A:T,16,FALSE)&lt;&gt;"No",IF('General Information'!$C$19="HTML5",(I456+J456)*'BASE_FUNCOES (hide)'!$T$2,I456+J456),I456+J456),I456+J456),I456+J456)</f>
        <v>32</v>
      </c>
      <c r="L456" s="163" t="str">
        <f>IF(ISERROR(VLOOKUP(E456,Questions!$E$5:$L$568,6,0))=FALSE,VLOOKUP(E456,Questions!$E$5:$L$568,6,0),"")</f>
        <v/>
      </c>
      <c r="M456" s="164" t="s">
        <v>2396</v>
      </c>
      <c r="N456" s="369" t="s">
        <v>2377</v>
      </c>
    </row>
    <row r="457" spans="1:14" ht="14.5" customHeight="1">
      <c r="A457" s="59"/>
      <c r="B457" s="72">
        <f>VLOOKUP('Hours Detail'!E457,'BASE_FUNCOES (hide)'!A:W,5,FALSE)</f>
        <v>835</v>
      </c>
      <c r="C457" s="72" t="s">
        <v>5887</v>
      </c>
      <c r="D457" s="73" t="str">
        <f>IF('General Information'!$C$6="Português",VLOOKUP(B457,'ESTRUTURA_MODULO(hide)'!A:D,2,0),IF('General Information'!$C$6="English",VLOOKUP(B457,'ESTRUTURA_MODULO(hide)'!A:D,3,0),IF('General Information'!$C$6="Español",VLOOKUP(B457,'ESTRUTURA_MODULO(hide)'!A:D,4,0))))</f>
        <v>Produção de Contas Médicas - Intercâmbio</v>
      </c>
      <c r="E457" s="74">
        <v>1319</v>
      </c>
      <c r="F457" s="73" t="str">
        <f>IF('General Information'!$C$6="Português",VLOOKUP(E457,'BASE_FUNCOES (hide)'!A:H,2,0),IF('General Information'!$C$6="English",VLOOKUP(E457,'BASE_FUNCOES (hide)'!A:H,3,0),IF('General Information'!$C$6="Español",VLOOKUP(E457,'BASE_FUNCOES (hide)'!A:H,4,0))))</f>
        <v>OPS - Consulta Dados Prestador Intercâmbio</v>
      </c>
      <c r="G457" s="73" t="str">
        <f>IF(AND('General Information'!$D$17=7,VLOOKUP(B457,Modules!$B$5:$E$496,4,0)=1)=TRUE,VLOOKUP('Hours Detail'!E457,'BASE_FUNCOES (hide)'!A:S,17,0),IF(AND('General Information'!$D$17=8,VLOOKUP(B457,Modules!$B$5:$E$496,4,0)=1)=TRUE,VLOOKUP('Hours Detail'!E457,'BASE_FUNCOES (hide)'!A:S,18,0),IF(AND('General Information'!$D$17=9,VLOOKUP(B457,Modules!$B$5:$E$496,4,0)=1)=TRUE,VLOOKUP('Hours Detail'!E457,'BASE_FUNCOES (hide)'!A:S,19,0),"No")))</f>
        <v>No</v>
      </c>
      <c r="H457" s="544" t="str">
        <f t="shared" si="8"/>
        <v>No</v>
      </c>
      <c r="I457" s="75">
        <f>IF('General Information'!$C$4="Mexico",(ROUNDUP(VLOOKUP(E457,'BASE_FUNCOES (hide)'!A:X,21,0),0)),(ROUNDUP(VLOOKUP(E457,'BASE_FUNCOES (hide)'!A:L,9,0),0)))</f>
        <v>4</v>
      </c>
      <c r="J457" s="75">
        <f>ROUNDUP(SUMIF(Questions!$E$5:$E$558,'Hours Detail'!E457,Questions!$F$5:$F$558),0)</f>
        <v>0</v>
      </c>
      <c r="K457" s="76">
        <f>IF(H457="Yes",ROUNDUP(IF(VLOOKUP(E457,'BASE_FUNCOES (hide)'!A:T,16,FALSE)&lt;&gt;"No",IF('General Information'!$C$19="HTML5",(I457+J457)*'BASE_FUNCOES (hide)'!$T$2,I457+J457),I457+J457),I457+J457),I457+J457)</f>
        <v>4</v>
      </c>
      <c r="L457" s="163" t="str">
        <f>IF(ISERROR(VLOOKUP(E457,Questions!$E$5:$L$568,6,0))=FALSE,VLOOKUP(E457,Questions!$E$5:$L$568,6,0),"")</f>
        <v/>
      </c>
      <c r="M457" s="164" t="s">
        <v>2396</v>
      </c>
      <c r="N457" s="369" t="s">
        <v>2377</v>
      </c>
    </row>
    <row r="458" spans="1:14" ht="14.5" customHeight="1">
      <c r="A458" s="59"/>
      <c r="B458" s="72">
        <f>VLOOKUP('Hours Detail'!E458,'BASE_FUNCOES (hide)'!A:W,5,FALSE)</f>
        <v>835</v>
      </c>
      <c r="C458" s="72" t="s">
        <v>5887</v>
      </c>
      <c r="D458" s="73" t="str">
        <f>IF('General Information'!$C$6="Português",VLOOKUP(B458,'ESTRUTURA_MODULO(hide)'!A:D,2,0),IF('General Information'!$C$6="English",VLOOKUP(B458,'ESTRUTURA_MODULO(hide)'!A:D,3,0),IF('General Information'!$C$6="Español",VLOOKUP(B458,'ESTRUTURA_MODULO(hide)'!A:D,4,0))))</f>
        <v>Produção de Contas Médicas - Intercâmbio</v>
      </c>
      <c r="E458" s="74">
        <v>1293</v>
      </c>
      <c r="F458" s="73" t="str">
        <f>IF('General Information'!$C$6="Português",VLOOKUP(E458,'BASE_FUNCOES (hide)'!A:H,2,0),IF('General Information'!$C$6="English",VLOOKUP(E458,'BASE_FUNCOES (hide)'!A:H,3,0),IF('General Information'!$C$6="Español",VLOOKUP(E458,'BASE_FUNCOES (hide)'!A:H,4,0))))</f>
        <v>OPS - Contas de Intercâmbio</v>
      </c>
      <c r="G458" s="73" t="str">
        <f>IF(AND('General Information'!$D$17=7,VLOOKUP(B458,Modules!$B$5:$E$496,4,0)=1)=TRUE,VLOOKUP('Hours Detail'!E458,'BASE_FUNCOES (hide)'!A:S,17,0),IF(AND('General Information'!$D$17=8,VLOOKUP(B458,Modules!$B$5:$E$496,4,0)=1)=TRUE,VLOOKUP('Hours Detail'!E458,'BASE_FUNCOES (hide)'!A:S,18,0),IF(AND('General Information'!$D$17=9,VLOOKUP(B458,Modules!$B$5:$E$496,4,0)=1)=TRUE,VLOOKUP('Hours Detail'!E458,'BASE_FUNCOES (hide)'!A:S,19,0),"No")))</f>
        <v>No</v>
      </c>
      <c r="H458" s="544" t="str">
        <f t="shared" si="8"/>
        <v>No</v>
      </c>
      <c r="I458" s="75">
        <f>IF('General Information'!$C$4="Mexico",(ROUNDUP(VLOOKUP(E458,'BASE_FUNCOES (hide)'!A:X,21,0),0)),(ROUNDUP(VLOOKUP(E458,'BASE_FUNCOES (hide)'!A:L,9,0),0)))</f>
        <v>24</v>
      </c>
      <c r="J458" s="75">
        <f>ROUNDUP(SUMIF(Questions!$E$5:$E$558,'Hours Detail'!E458,Questions!$F$5:$F$558),0)</f>
        <v>0</v>
      </c>
      <c r="K458" s="76">
        <f>IF(H458="Yes",ROUNDUP(IF(VLOOKUP(E458,'BASE_FUNCOES (hide)'!A:T,16,FALSE)&lt;&gt;"No",IF('General Information'!$C$19="HTML5",(I458+J458)*'BASE_FUNCOES (hide)'!$T$2,I458+J458),I458+J458),I458+J458),I458+J458)</f>
        <v>24</v>
      </c>
      <c r="L458" s="163" t="str">
        <f>IF(ISERROR(VLOOKUP(E458,Questions!$E$5:$L$568,6,0))=FALSE,VLOOKUP(E458,Questions!$E$5:$L$568,6,0),"")</f>
        <v/>
      </c>
      <c r="M458" s="164" t="s">
        <v>2396</v>
      </c>
      <c r="N458" s="369" t="s">
        <v>2377</v>
      </c>
    </row>
    <row r="459" spans="1:14" ht="14.5" customHeight="1">
      <c r="A459" s="59"/>
      <c r="B459" s="72">
        <f>VLOOKUP('Hours Detail'!E459,'BASE_FUNCOES (hide)'!A:W,5,FALSE)</f>
        <v>835</v>
      </c>
      <c r="C459" s="72" t="s">
        <v>5887</v>
      </c>
      <c r="D459" s="73" t="str">
        <f>IF('General Information'!$C$6="Português",VLOOKUP(B459,'ESTRUTURA_MODULO(hide)'!A:D,2,0),IF('General Information'!$C$6="English",VLOOKUP(B459,'ESTRUTURA_MODULO(hide)'!A:D,3,0),IF('General Information'!$C$6="Español",VLOOKUP(B459,'ESTRUTURA_MODULO(hide)'!A:D,4,0))))</f>
        <v>Produção de Contas Médicas - Intercâmbio</v>
      </c>
      <c r="E459" s="74">
        <v>1275</v>
      </c>
      <c r="F459" s="73" t="str">
        <f>IF('General Information'!$C$6="Português",VLOOKUP(E459,'BASE_FUNCOES (hide)'!A:H,2,0),IF('General Information'!$C$6="English",VLOOKUP(E459,'BASE_FUNCOES (hide)'!A:H,3,0),IF('General Information'!$C$6="Español",VLOOKUP(E459,'BASE_FUNCOES (hide)'!A:H,4,0))))</f>
        <v>OPS - Câmara de Compensação</v>
      </c>
      <c r="G459" s="73" t="str">
        <f>IF(AND('General Information'!$D$17=7,VLOOKUP(B459,Modules!$B$5:$E$496,4,0)=1)=TRUE,VLOOKUP('Hours Detail'!E459,'BASE_FUNCOES (hide)'!A:S,17,0),IF(AND('General Information'!$D$17=8,VLOOKUP(B459,Modules!$B$5:$E$496,4,0)=1)=TRUE,VLOOKUP('Hours Detail'!E459,'BASE_FUNCOES (hide)'!A:S,18,0),IF(AND('General Information'!$D$17=9,VLOOKUP(B459,Modules!$B$5:$E$496,4,0)=1)=TRUE,VLOOKUP('Hours Detail'!E459,'BASE_FUNCOES (hide)'!A:S,19,0),"No")))</f>
        <v>No</v>
      </c>
      <c r="H459" s="544" t="str">
        <f t="shared" si="8"/>
        <v>No</v>
      </c>
      <c r="I459" s="75">
        <f>IF('General Information'!$C$4="Mexico",(ROUNDUP(VLOOKUP(E459,'BASE_FUNCOES (hide)'!A:X,21,0),0)),(ROUNDUP(VLOOKUP(E459,'BASE_FUNCOES (hide)'!A:L,9,0),0)))</f>
        <v>32</v>
      </c>
      <c r="J459" s="75">
        <f>ROUNDUP(SUMIF(Questions!$E$5:$E$558,'Hours Detail'!E459,Questions!$F$5:$F$558),0)</f>
        <v>0</v>
      </c>
      <c r="K459" s="76">
        <f>IF(H459="Yes",ROUNDUP(IF(VLOOKUP(E459,'BASE_FUNCOES (hide)'!A:T,16,FALSE)&lt;&gt;"No",IF('General Information'!$C$19="HTML5",(I459+J459)*'BASE_FUNCOES (hide)'!$T$2,I459+J459),I459+J459),I459+J459),I459+J459)</f>
        <v>32</v>
      </c>
      <c r="L459" s="163" t="str">
        <f>IF(ISERROR(VLOOKUP(E459,Questions!$E$5:$L$568,6,0))=FALSE,VLOOKUP(E459,Questions!$E$5:$L$568,6,0),"")</f>
        <v/>
      </c>
      <c r="M459" s="164" t="s">
        <v>2396</v>
      </c>
      <c r="N459" s="369" t="s">
        <v>2377</v>
      </c>
    </row>
    <row r="460" spans="1:14" ht="14.5" customHeight="1">
      <c r="A460" s="59"/>
      <c r="B460" s="72">
        <f>VLOOKUP('Hours Detail'!E460,'BASE_FUNCOES (hide)'!A:W,5,FALSE)</f>
        <v>835</v>
      </c>
      <c r="C460" s="72" t="s">
        <v>5887</v>
      </c>
      <c r="D460" s="73" t="str">
        <f>IF('General Information'!$C$6="Português",VLOOKUP(B460,'ESTRUTURA_MODULO(hide)'!A:D,2,0),IF('General Information'!$C$6="English",VLOOKUP(B460,'ESTRUTURA_MODULO(hide)'!A:D,3,0),IF('General Information'!$C$6="Español",VLOOKUP(B460,'ESTRUTURA_MODULO(hide)'!A:D,4,0))))</f>
        <v>Produção de Contas Médicas - Intercâmbio</v>
      </c>
      <c r="E460" s="74">
        <v>1312</v>
      </c>
      <c r="F460" s="73" t="str">
        <f>IF('General Information'!$C$6="Português",VLOOKUP(E460,'BASE_FUNCOES (hide)'!A:H,2,0),IF('General Information'!$C$6="English",VLOOKUP(E460,'BASE_FUNCOES (hide)'!A:H,3,0),IF('General Information'!$C$6="Español",VLOOKUP(E460,'BASE_FUNCOES (hide)'!A:H,4,0))))</f>
        <v>OPS - Faturamento Intercâmbio de Pré-Pagamento</v>
      </c>
      <c r="G460" s="73" t="str">
        <f>IF(AND('General Information'!$D$17=7,VLOOKUP(B460,Modules!$B$5:$E$496,4,0)=1)=TRUE,VLOOKUP('Hours Detail'!E460,'BASE_FUNCOES (hide)'!A:S,17,0),IF(AND('General Information'!$D$17=8,VLOOKUP(B460,Modules!$B$5:$E$496,4,0)=1)=TRUE,VLOOKUP('Hours Detail'!E460,'BASE_FUNCOES (hide)'!A:S,18,0),IF(AND('General Information'!$D$17=9,VLOOKUP(B460,Modules!$B$5:$E$496,4,0)=1)=TRUE,VLOOKUP('Hours Detail'!E460,'BASE_FUNCOES (hide)'!A:S,19,0),"No")))</f>
        <v>No</v>
      </c>
      <c r="H460" s="544" t="str">
        <f t="shared" si="8"/>
        <v>No</v>
      </c>
      <c r="I460" s="75">
        <f>IF('General Information'!$C$4="Mexico",(ROUNDUP(VLOOKUP(E460,'BASE_FUNCOES (hide)'!A:X,21,0),0)),(ROUNDUP(VLOOKUP(E460,'BASE_FUNCOES (hide)'!A:L,9,0),0)))</f>
        <v>24</v>
      </c>
      <c r="J460" s="75">
        <f>ROUNDUP(SUMIF(Questions!$E$5:$E$558,'Hours Detail'!E460,Questions!$F$5:$F$558),0)</f>
        <v>0</v>
      </c>
      <c r="K460" s="76">
        <f>IF(H460="Yes",ROUNDUP(IF(VLOOKUP(E460,'BASE_FUNCOES (hide)'!A:T,16,FALSE)&lt;&gt;"No",IF('General Information'!$C$19="HTML5",(I460+J460)*'BASE_FUNCOES (hide)'!$T$2,I460+J460),I460+J460),I460+J460),I460+J460)</f>
        <v>24</v>
      </c>
      <c r="L460" s="163" t="str">
        <f>IF(ISERROR(VLOOKUP(E460,Questions!$E$5:$L$568,6,0))=FALSE,VLOOKUP(E460,Questions!$E$5:$L$568,6,0),"")</f>
        <v/>
      </c>
      <c r="M460" s="164" t="s">
        <v>2396</v>
      </c>
      <c r="N460" s="369" t="s">
        <v>2377</v>
      </c>
    </row>
    <row r="461" spans="1:14" ht="14.5" customHeight="1">
      <c r="A461" s="59"/>
      <c r="B461" s="72">
        <f>VLOOKUP('Hours Detail'!E461,'BASE_FUNCOES (hide)'!A:W,5,FALSE)</f>
        <v>835</v>
      </c>
      <c r="C461" s="72" t="s">
        <v>5887</v>
      </c>
      <c r="D461" s="73" t="str">
        <f>IF('General Information'!$C$6="Português",VLOOKUP(B461,'ESTRUTURA_MODULO(hide)'!A:D,2,0),IF('General Information'!$C$6="English",VLOOKUP(B461,'ESTRUTURA_MODULO(hide)'!A:D,3,0),IF('General Information'!$C$6="Español",VLOOKUP(B461,'ESTRUTURA_MODULO(hide)'!A:D,4,0))))</f>
        <v>Produção de Contas Médicas - Intercâmbio</v>
      </c>
      <c r="E461" s="74">
        <v>1311</v>
      </c>
      <c r="F461" s="73" t="str">
        <f>IF('General Information'!$C$6="Português",VLOOKUP(E461,'BASE_FUNCOES (hide)'!A:H,2,0),IF('General Information'!$C$6="English",VLOOKUP(E461,'BASE_FUNCOES (hide)'!A:H,3,0),IF('General Information'!$C$6="Español",VLOOKUP(E461,'BASE_FUNCOES (hide)'!A:H,4,0))))</f>
        <v>OPS - Movimentação de Serviços Prestados em Pré-Pagamento</v>
      </c>
      <c r="G461" s="73" t="str">
        <f>IF(AND('General Information'!$D$17=7,VLOOKUP(B461,Modules!$B$5:$E$496,4,0)=1)=TRUE,VLOOKUP('Hours Detail'!E461,'BASE_FUNCOES (hide)'!A:S,17,0),IF(AND('General Information'!$D$17=8,VLOOKUP(B461,Modules!$B$5:$E$496,4,0)=1)=TRUE,VLOOKUP('Hours Detail'!E461,'BASE_FUNCOES (hide)'!A:S,18,0),IF(AND('General Information'!$D$17=9,VLOOKUP(B461,Modules!$B$5:$E$496,4,0)=1)=TRUE,VLOOKUP('Hours Detail'!E461,'BASE_FUNCOES (hide)'!A:S,19,0),"No")))</f>
        <v>No</v>
      </c>
      <c r="H461" s="544" t="str">
        <f t="shared" si="8"/>
        <v>No</v>
      </c>
      <c r="I461" s="75">
        <f>IF('General Information'!$C$4="Mexico",(ROUNDUP(VLOOKUP(E461,'BASE_FUNCOES (hide)'!A:X,21,0),0)),(ROUNDUP(VLOOKUP(E461,'BASE_FUNCOES (hide)'!A:L,9,0),0)))</f>
        <v>24</v>
      </c>
      <c r="J461" s="75">
        <f>ROUNDUP(SUMIF(Questions!$E$5:$E$558,'Hours Detail'!E461,Questions!$F$5:$F$558),0)</f>
        <v>0</v>
      </c>
      <c r="K461" s="76">
        <f>IF(H461="Yes",ROUNDUP(IF(VLOOKUP(E461,'BASE_FUNCOES (hide)'!A:T,16,FALSE)&lt;&gt;"No",IF('General Information'!$C$19="HTML5",(I461+J461)*'BASE_FUNCOES (hide)'!$T$2,I461+J461),I461+J461),I461+J461),I461+J461)</f>
        <v>24</v>
      </c>
      <c r="L461" s="163" t="str">
        <f>IF(ISERROR(VLOOKUP(E461,Questions!$E$5:$L$568,6,0))=FALSE,VLOOKUP(E461,Questions!$E$5:$L$568,6,0),"")</f>
        <v/>
      </c>
      <c r="M461" s="164" t="s">
        <v>2396</v>
      </c>
      <c r="N461" s="369" t="s">
        <v>2377</v>
      </c>
    </row>
    <row r="462" spans="1:14" ht="14.5" customHeight="1">
      <c r="A462" s="59"/>
      <c r="B462" s="72">
        <f>VLOOKUP('Hours Detail'!E462,'BASE_FUNCOES (hide)'!A:W,5,FALSE)</f>
        <v>835</v>
      </c>
      <c r="C462" s="72" t="s">
        <v>5887</v>
      </c>
      <c r="D462" s="73" t="str">
        <f>IF('General Information'!$C$6="Português",VLOOKUP(B462,'ESTRUTURA_MODULO(hide)'!A:D,2,0),IF('General Information'!$C$6="English",VLOOKUP(B462,'ESTRUTURA_MODULO(hide)'!A:D,3,0),IF('General Information'!$C$6="Español",VLOOKUP(B462,'ESTRUTURA_MODULO(hide)'!A:D,4,0))))</f>
        <v>Produção de Contas Médicas - Intercâmbio</v>
      </c>
      <c r="E462" s="74">
        <v>1297</v>
      </c>
      <c r="F462" s="73" t="str">
        <f>IF('General Information'!$C$6="Português",VLOOKUP(E462,'BASE_FUNCOES (hide)'!A:H,2,0),IF('General Information'!$C$6="English",VLOOKUP(E462,'BASE_FUNCOES (hide)'!A:H,3,0),IF('General Information'!$C$6="Español",VLOOKUP(E462,'BASE_FUNCOES (hide)'!A:H,4,0))))</f>
        <v>OPS - Faturas para Câmara de Compensação (A600)</v>
      </c>
      <c r="G462" s="73" t="str">
        <f>IF(AND('General Information'!$D$17=7,VLOOKUP(B462,Modules!$B$5:$E$496,4,0)=1)=TRUE,VLOOKUP('Hours Detail'!E462,'BASE_FUNCOES (hide)'!A:S,17,0),IF(AND('General Information'!$D$17=8,VLOOKUP(B462,Modules!$B$5:$E$496,4,0)=1)=TRUE,VLOOKUP('Hours Detail'!E462,'BASE_FUNCOES (hide)'!A:S,18,0),IF(AND('General Information'!$D$17=9,VLOOKUP(B462,Modules!$B$5:$E$496,4,0)=1)=TRUE,VLOOKUP('Hours Detail'!E462,'BASE_FUNCOES (hide)'!A:S,19,0),"No")))</f>
        <v>No</v>
      </c>
      <c r="H462" s="544" t="str">
        <f t="shared" si="8"/>
        <v>No</v>
      </c>
      <c r="I462" s="75">
        <f>IF('General Information'!$C$4="Mexico",(ROUNDUP(VLOOKUP(E462,'BASE_FUNCOES (hide)'!A:X,21,0),0)),(ROUNDUP(VLOOKUP(E462,'BASE_FUNCOES (hide)'!A:L,9,0),0)))</f>
        <v>24</v>
      </c>
      <c r="J462" s="75">
        <f>ROUNDUP(SUMIF(Questions!$E$5:$E$558,'Hours Detail'!E462,Questions!$F$5:$F$558),0)</f>
        <v>0</v>
      </c>
      <c r="K462" s="76">
        <f>IF(H462="Yes",ROUNDUP(IF(VLOOKUP(E462,'BASE_FUNCOES (hide)'!A:T,16,FALSE)&lt;&gt;"No",IF('General Information'!$C$19="HTML5",(I462+J462)*'BASE_FUNCOES (hide)'!$T$2,I462+J462),I462+J462),I462+J462),I462+J462)</f>
        <v>24</v>
      </c>
      <c r="L462" s="163" t="str">
        <f>IF(ISERROR(VLOOKUP(E462,Questions!$E$5:$L$568,6,0))=FALSE,VLOOKUP(E462,Questions!$E$5:$L$568,6,0),"")</f>
        <v/>
      </c>
      <c r="M462" s="164" t="s">
        <v>2396</v>
      </c>
      <c r="N462" s="369" t="s">
        <v>2377</v>
      </c>
    </row>
    <row r="463" spans="1:14" ht="14.5" customHeight="1">
      <c r="A463" s="59"/>
      <c r="B463" s="72">
        <f>VLOOKUP('Hours Detail'!E463,'BASE_FUNCOES (hide)'!A:W,5,FALSE)</f>
        <v>836</v>
      </c>
      <c r="C463" s="72" t="s">
        <v>5887</v>
      </c>
      <c r="D463" s="73" t="str">
        <f>IF('General Information'!$C$6="Português",VLOOKUP(B463,'ESTRUTURA_MODULO(hide)'!A:D,2,0),IF('General Information'!$C$6="English",VLOOKUP(B463,'ESTRUTURA_MODULO(hide)'!A:D,3,0),IF('General Information'!$C$6="Español",VLOOKUP(B463,'ESTRUTURA_MODULO(hide)'!A:D,4,0))))</f>
        <v>Faturamento</v>
      </c>
      <c r="E463" s="74">
        <v>336</v>
      </c>
      <c r="F463" s="73" t="str">
        <f>IF('General Information'!$C$6="Português",VLOOKUP(E463,'BASE_FUNCOES (hide)'!A:H,2,0),IF('General Information'!$C$6="English",VLOOKUP(E463,'BASE_FUNCOES (hide)'!A:H,3,0),IF('General Information'!$C$6="Español",VLOOKUP(E463,'BASE_FUNCOES (hide)'!A:H,4,0))))</f>
        <v>OPS - Monitoramento Financeiro</v>
      </c>
      <c r="G463" s="73" t="str">
        <f>IF(AND('General Information'!$D$17=7,VLOOKUP(B463,Modules!$B$5:$E$496,4,0)=1)=TRUE,VLOOKUP('Hours Detail'!E463,'BASE_FUNCOES (hide)'!A:S,17,0),IF(AND('General Information'!$D$17=8,VLOOKUP(B463,Modules!$B$5:$E$496,4,0)=1)=TRUE,VLOOKUP('Hours Detail'!E463,'BASE_FUNCOES (hide)'!A:S,18,0),IF(AND('General Information'!$D$17=9,VLOOKUP(B463,Modules!$B$5:$E$496,4,0)=1)=TRUE,VLOOKUP('Hours Detail'!E463,'BASE_FUNCOES (hide)'!A:S,19,0),"No")))</f>
        <v>No</v>
      </c>
      <c r="H463" s="544" t="str">
        <f t="shared" ref="H463:H525" si="9">G463</f>
        <v>No</v>
      </c>
      <c r="I463" s="75">
        <f>IF('General Information'!$C$4="Mexico",(ROUNDUP(VLOOKUP(E463,'BASE_FUNCOES (hide)'!A:X,21,0),0)),(ROUNDUP(VLOOKUP(E463,'BASE_FUNCOES (hide)'!A:L,9,0),0)))</f>
        <v>8</v>
      </c>
      <c r="J463" s="75">
        <f>ROUNDUP(SUMIF(Questions!$E$5:$E$558,'Hours Detail'!E463,Questions!$F$5:$F$558),0)</f>
        <v>0</v>
      </c>
      <c r="K463" s="76">
        <f>IF(H463="Yes",ROUNDUP(IF(VLOOKUP(E463,'BASE_FUNCOES (hide)'!A:T,16,FALSE)&lt;&gt;"No",IF('General Information'!$C$19="HTML5",(I463+J463)*'BASE_FUNCOES (hide)'!$T$2,I463+J463),I463+J463),I463+J463),I463+J463)</f>
        <v>8</v>
      </c>
      <c r="L463" s="163" t="str">
        <f>IF(ISERROR(VLOOKUP(E463,Questions!$E$5:$L$568,6,0))=FALSE,VLOOKUP(E463,Questions!$E$5:$L$568,6,0),"")</f>
        <v/>
      </c>
      <c r="M463" s="164" t="s">
        <v>2396</v>
      </c>
      <c r="N463" s="369" t="s">
        <v>2377</v>
      </c>
    </row>
    <row r="464" spans="1:14" ht="14.5" customHeight="1">
      <c r="A464" s="59"/>
      <c r="B464" s="72">
        <f>VLOOKUP('Hours Detail'!E464,'BASE_FUNCOES (hide)'!A:W,5,FALSE)</f>
        <v>836</v>
      </c>
      <c r="C464" s="72" t="s">
        <v>5887</v>
      </c>
      <c r="D464" s="73" t="str">
        <f>IF('General Information'!$C$6="Português",VLOOKUP(B464,'ESTRUTURA_MODULO(hide)'!A:D,2,0),IF('General Information'!$C$6="English",VLOOKUP(B464,'ESTRUTURA_MODULO(hide)'!A:D,3,0),IF('General Information'!$C$6="Español",VLOOKUP(B464,'ESTRUTURA_MODULO(hide)'!A:D,4,0))))</f>
        <v>Faturamento</v>
      </c>
      <c r="E464" s="74">
        <v>1356</v>
      </c>
      <c r="F464" s="73" t="str">
        <f>IF('General Information'!$C$6="Português",VLOOKUP(E464,'BASE_FUNCOES (hide)'!A:H,2,0),IF('General Information'!$C$6="English",VLOOKUP(E464,'BASE_FUNCOES (hide)'!A:H,3,0),IF('General Information'!$C$6="Español",VLOOKUP(E464,'BASE_FUNCOES (hide)'!A:H,4,0))))</f>
        <v>OPS - Faturamento</v>
      </c>
      <c r="G464" s="73" t="str">
        <f>IF(AND('General Information'!$D$17=7,VLOOKUP(B464,Modules!$B$5:$E$496,4,0)=1)=TRUE,VLOOKUP('Hours Detail'!E464,'BASE_FUNCOES (hide)'!A:S,17,0),IF(AND('General Information'!$D$17=8,VLOOKUP(B464,Modules!$B$5:$E$496,4,0)=1)=TRUE,VLOOKUP('Hours Detail'!E464,'BASE_FUNCOES (hide)'!A:S,18,0),IF(AND('General Information'!$D$17=9,VLOOKUP(B464,Modules!$B$5:$E$496,4,0)=1)=TRUE,VLOOKUP('Hours Detail'!E464,'BASE_FUNCOES (hide)'!A:S,19,0),"No")))</f>
        <v>No</v>
      </c>
      <c r="H464" s="544" t="str">
        <f t="shared" si="9"/>
        <v>No</v>
      </c>
      <c r="I464" s="75">
        <f>IF('General Information'!$C$4="Mexico",(ROUNDUP(VLOOKUP(E464,'BASE_FUNCOES (hide)'!A:X,21,0),0)),(ROUNDUP(VLOOKUP(E464,'BASE_FUNCOES (hide)'!A:L,9,0),0)))</f>
        <v>32</v>
      </c>
      <c r="J464" s="75">
        <f>ROUNDUP(SUMIF(Questions!$E$5:$E$558,'Hours Detail'!E464,Questions!$F$5:$F$558),0)</f>
        <v>0</v>
      </c>
      <c r="K464" s="76">
        <f>IF(H464="Yes",ROUNDUP(IF(VLOOKUP(E464,'BASE_FUNCOES (hide)'!A:T,16,FALSE)&lt;&gt;"No",IF('General Information'!$C$19="HTML5",(I464+J464)*'BASE_FUNCOES (hide)'!$T$2,I464+J464),I464+J464),I464+J464),I464+J464)</f>
        <v>32</v>
      </c>
      <c r="L464" s="163" t="str">
        <f>IF(ISERROR(VLOOKUP(E464,Questions!$E$5:$L$568,6,0))=FALSE,VLOOKUP(E464,Questions!$E$5:$L$568,6,0),"")</f>
        <v/>
      </c>
      <c r="M464" s="164" t="s">
        <v>2396</v>
      </c>
      <c r="N464" s="369" t="s">
        <v>2377</v>
      </c>
    </row>
    <row r="465" spans="1:14" ht="14.5" customHeight="1">
      <c r="A465" s="59"/>
      <c r="B465" s="72">
        <f>VLOOKUP('Hours Detail'!E465,'BASE_FUNCOES (hide)'!A:W,5,FALSE)</f>
        <v>836</v>
      </c>
      <c r="C465" s="72" t="s">
        <v>5887</v>
      </c>
      <c r="D465" s="73" t="str">
        <f>IF('General Information'!$C$6="Português",VLOOKUP(B465,'ESTRUTURA_MODULO(hide)'!A:D,2,0),IF('General Information'!$C$6="English",VLOOKUP(B465,'ESTRUTURA_MODULO(hide)'!A:D,3,0),IF('General Information'!$C$6="Español",VLOOKUP(B465,'ESTRUTURA_MODULO(hide)'!A:D,4,0))))</f>
        <v>Faturamento</v>
      </c>
      <c r="E465" s="74">
        <v>1369</v>
      </c>
      <c r="F465" s="73" t="str">
        <f>IF('General Information'!$C$6="Português",VLOOKUP(E465,'BASE_FUNCOES (hide)'!A:H,2,0),IF('General Information'!$C$6="English",VLOOKUP(E465,'BASE_FUNCOES (hide)'!A:H,3,0),IF('General Information'!$C$6="Español",VLOOKUP(E465,'BASE_FUNCOES (hide)'!A:H,4,0))))</f>
        <v>OPS - Ajustes para Refaturamento</v>
      </c>
      <c r="G465" s="73" t="str">
        <f>IF(AND('General Information'!$D$17=7,VLOOKUP(B465,Modules!$B$5:$E$496,4,0)=1)=TRUE,VLOOKUP('Hours Detail'!E465,'BASE_FUNCOES (hide)'!A:S,17,0),IF(AND('General Information'!$D$17=8,VLOOKUP(B465,Modules!$B$5:$E$496,4,0)=1)=TRUE,VLOOKUP('Hours Detail'!E465,'BASE_FUNCOES (hide)'!A:S,18,0),IF(AND('General Information'!$D$17=9,VLOOKUP(B465,Modules!$B$5:$E$496,4,0)=1)=TRUE,VLOOKUP('Hours Detail'!E465,'BASE_FUNCOES (hide)'!A:S,19,0),"No")))</f>
        <v>No</v>
      </c>
      <c r="H465" s="544" t="str">
        <f t="shared" si="9"/>
        <v>No</v>
      </c>
      <c r="I465" s="75">
        <f>IF('General Information'!$C$4="Mexico",(ROUNDUP(VLOOKUP(E465,'BASE_FUNCOES (hide)'!A:X,21,0),0)),(ROUNDUP(VLOOKUP(E465,'BASE_FUNCOES (hide)'!A:L,9,0),0)))</f>
        <v>16</v>
      </c>
      <c r="J465" s="75">
        <f>ROUNDUP(SUMIF(Questions!$E$5:$E$558,'Hours Detail'!E465,Questions!$F$5:$F$558),0)</f>
        <v>0</v>
      </c>
      <c r="K465" s="76">
        <f>IF(H465="Yes",ROUNDUP(IF(VLOOKUP(E465,'BASE_FUNCOES (hide)'!A:T,16,FALSE)&lt;&gt;"No",IF('General Information'!$C$19="HTML5",(I465+J465)*'BASE_FUNCOES (hide)'!$T$2,I465+J465),I465+J465),I465+J465),I465+J465)</f>
        <v>16</v>
      </c>
      <c r="L465" s="163" t="str">
        <f>IF(ISERROR(VLOOKUP(E465,Questions!$E$5:$L$568,6,0))=FALSE,VLOOKUP(E465,Questions!$E$5:$L$568,6,0),"")</f>
        <v/>
      </c>
      <c r="M465" s="164" t="s">
        <v>2396</v>
      </c>
      <c r="N465" s="369" t="s">
        <v>2377</v>
      </c>
    </row>
    <row r="466" spans="1:14" ht="14.5" customHeight="1">
      <c r="A466" s="59"/>
      <c r="B466" s="72">
        <f>VLOOKUP('Hours Detail'!E466,'BASE_FUNCOES (hide)'!A:W,5,FALSE)</f>
        <v>836</v>
      </c>
      <c r="C466" s="72" t="s">
        <v>5887</v>
      </c>
      <c r="D466" s="73" t="str">
        <f>IF('General Information'!$C$6="Português",VLOOKUP(B466,'ESTRUTURA_MODULO(hide)'!A:D,2,0),IF('General Information'!$C$6="English",VLOOKUP(B466,'ESTRUTURA_MODULO(hide)'!A:D,3,0),IF('General Information'!$C$6="Español",VLOOKUP(B466,'ESTRUTURA_MODULO(hide)'!A:D,4,0))))</f>
        <v>Faturamento</v>
      </c>
      <c r="E466" s="74">
        <v>337</v>
      </c>
      <c r="F466" s="73" t="str">
        <f>IF('General Information'!$C$6="Português",VLOOKUP(E466,'BASE_FUNCOES (hide)'!A:H,2,0),IF('General Information'!$C$6="English",VLOOKUP(E466,'BASE_FUNCOES (hide)'!A:H,3,0),IF('General Information'!$C$6="Español",VLOOKUP(E466,'BASE_FUNCOES (hide)'!A:H,4,0))))</f>
        <v>OPS - Recursos de Glosas de Empresas</v>
      </c>
      <c r="G466" s="73" t="str">
        <f>IF(AND('General Information'!$D$17=7,VLOOKUP(B466,Modules!$B$5:$E$496,4,0)=1)=TRUE,VLOOKUP('Hours Detail'!E466,'BASE_FUNCOES (hide)'!A:S,17,0),IF(AND('General Information'!$D$17=8,VLOOKUP(B466,Modules!$B$5:$E$496,4,0)=1)=TRUE,VLOOKUP('Hours Detail'!E466,'BASE_FUNCOES (hide)'!A:S,18,0),IF(AND('General Information'!$D$17=9,VLOOKUP(B466,Modules!$B$5:$E$496,4,0)=1)=TRUE,VLOOKUP('Hours Detail'!E466,'BASE_FUNCOES (hide)'!A:S,19,0),"No")))</f>
        <v>No</v>
      </c>
      <c r="H466" s="544" t="str">
        <f t="shared" si="9"/>
        <v>No</v>
      </c>
      <c r="I466" s="75">
        <f>IF('General Information'!$C$4="Mexico",(ROUNDUP(VLOOKUP(E466,'BASE_FUNCOES (hide)'!A:X,21,0),0)),(ROUNDUP(VLOOKUP(E466,'BASE_FUNCOES (hide)'!A:L,9,0),0)))</f>
        <v>0</v>
      </c>
      <c r="J466" s="75">
        <f>ROUNDUP(SUMIF(Questions!$E$5:$E$558,'Hours Detail'!E466,Questions!$F$5:$F$558),0)</f>
        <v>0</v>
      </c>
      <c r="K466" s="76">
        <f>IF(H466="Yes",ROUNDUP(IF(VLOOKUP(E466,'BASE_FUNCOES (hide)'!A:T,16,FALSE)&lt;&gt;"No",IF('General Information'!$C$19="HTML5",(I466+J466)*'BASE_FUNCOES (hide)'!$T$2,I466+J466),I466+J466),I466+J466),I466+J466)</f>
        <v>0</v>
      </c>
      <c r="L466" s="163" t="str">
        <f>IF(ISERROR(VLOOKUP(E466,Questions!$E$5:$L$568,6,0))=FALSE,VLOOKUP(E466,Questions!$E$5:$L$568,6,0),"")</f>
        <v/>
      </c>
      <c r="M466" s="164" t="s">
        <v>2396</v>
      </c>
      <c r="N466" s="369" t="s">
        <v>2377</v>
      </c>
    </row>
    <row r="467" spans="1:14" ht="14.5" customHeight="1">
      <c r="A467" s="59"/>
      <c r="B467" s="72">
        <f>VLOOKUP('Hours Detail'!E467,'BASE_FUNCOES (hide)'!A:W,5,FALSE)</f>
        <v>836</v>
      </c>
      <c r="C467" s="72" t="s">
        <v>5887</v>
      </c>
      <c r="D467" s="73" t="str">
        <f>IF('General Information'!$C$6="Português",VLOOKUP(B467,'ESTRUTURA_MODULO(hide)'!A:D,2,0),IF('General Information'!$C$6="English",VLOOKUP(B467,'ESTRUTURA_MODULO(hide)'!A:D,3,0),IF('General Information'!$C$6="Español",VLOOKUP(B467,'ESTRUTURA_MODULO(hide)'!A:D,4,0))))</f>
        <v>Faturamento</v>
      </c>
      <c r="E467" s="74">
        <v>262</v>
      </c>
      <c r="F467" s="73" t="str">
        <f>IF('General Information'!$C$6="Português",VLOOKUP(E467,'BASE_FUNCOES (hide)'!A:H,2,0),IF('General Information'!$C$6="English",VLOOKUP(E467,'BASE_FUNCOES (hide)'!A:H,3,0),IF('General Information'!$C$6="Español",VLOOKUP(E467,'BASE_FUNCOES (hide)'!A:H,4,0))))</f>
        <v>OPS - Módulo de Inadimplência (A510)</v>
      </c>
      <c r="G467" s="73" t="str">
        <f>IF(AND('General Information'!$D$17=7,VLOOKUP(B467,Modules!$B$5:$E$496,4,0)=1)=TRUE,VLOOKUP('Hours Detail'!E467,'BASE_FUNCOES (hide)'!A:S,17,0),IF(AND('General Information'!$D$17=8,VLOOKUP(B467,Modules!$B$5:$E$496,4,0)=1)=TRUE,VLOOKUP('Hours Detail'!E467,'BASE_FUNCOES (hide)'!A:S,18,0),IF(AND('General Information'!$D$17=9,VLOOKUP(B467,Modules!$B$5:$E$496,4,0)=1)=TRUE,VLOOKUP('Hours Detail'!E467,'BASE_FUNCOES (hide)'!A:S,19,0),"No")))</f>
        <v>No</v>
      </c>
      <c r="H467" s="544" t="str">
        <f t="shared" si="9"/>
        <v>No</v>
      </c>
      <c r="I467" s="75">
        <f>IF('General Information'!$C$4="Mexico",(ROUNDUP(VLOOKUP(E467,'BASE_FUNCOES (hide)'!A:X,21,0),0)),(ROUNDUP(VLOOKUP(E467,'BASE_FUNCOES (hide)'!A:L,9,0),0)))</f>
        <v>8</v>
      </c>
      <c r="J467" s="75">
        <f>ROUNDUP(SUMIF(Questions!$E$5:$E$558,'Hours Detail'!E467,Questions!$F$5:$F$558),0)</f>
        <v>0</v>
      </c>
      <c r="K467" s="76">
        <f>IF(H467="Yes",ROUNDUP(IF(VLOOKUP(E467,'BASE_FUNCOES (hide)'!A:T,16,FALSE)&lt;&gt;"No",IF('General Information'!$C$19="HTML5",(I467+J467)*'BASE_FUNCOES (hide)'!$T$2,I467+J467),I467+J467),I467+J467),I467+J467)</f>
        <v>8</v>
      </c>
      <c r="L467" s="163" t="str">
        <f>IF(ISERROR(VLOOKUP(E467,Questions!$E$5:$L$568,6,0))=FALSE,VLOOKUP(E467,Questions!$E$5:$L$568,6,0),"")</f>
        <v/>
      </c>
      <c r="M467" s="164" t="s">
        <v>2396</v>
      </c>
      <c r="N467" s="369" t="s">
        <v>2377</v>
      </c>
    </row>
    <row r="468" spans="1:14" ht="14.5" customHeight="1">
      <c r="A468" s="59"/>
      <c r="B468" s="72">
        <f>VLOOKUP('Hours Detail'!E468,'BASE_FUNCOES (hide)'!A:W,5,FALSE)</f>
        <v>836</v>
      </c>
      <c r="C468" s="72" t="s">
        <v>5887</v>
      </c>
      <c r="D468" s="73" t="str">
        <f>IF('General Information'!$C$6="Português",VLOOKUP(B468,'ESTRUTURA_MODULO(hide)'!A:D,2,0),IF('General Information'!$C$6="English",VLOOKUP(B468,'ESTRUTURA_MODULO(hide)'!A:D,3,0),IF('General Information'!$C$6="Español",VLOOKUP(B468,'ESTRUTURA_MODULO(hide)'!A:D,4,0))))</f>
        <v>Faturamento</v>
      </c>
      <c r="E468" s="74">
        <v>1382</v>
      </c>
      <c r="F468" s="73" t="str">
        <f>IF('General Information'!$C$6="Português",VLOOKUP(E468,'BASE_FUNCOES (hide)'!A:H,2,0),IF('General Information'!$C$6="English",VLOOKUP(E468,'BASE_FUNCOES (hide)'!A:H,3,0),IF('General Information'!$C$6="Español",VLOOKUP(E468,'BASE_FUNCOES (hide)'!A:H,4,0))))</f>
        <v>OPS - Controle de Coparticipações e Pós-estabelecidos</v>
      </c>
      <c r="G468" s="73" t="str">
        <f>IF(AND('General Information'!$D$17=7,VLOOKUP(B468,Modules!$B$5:$E$496,4,0)=1)=TRUE,VLOOKUP('Hours Detail'!E468,'BASE_FUNCOES (hide)'!A:S,17,0),IF(AND('General Information'!$D$17=8,VLOOKUP(B468,Modules!$B$5:$E$496,4,0)=1)=TRUE,VLOOKUP('Hours Detail'!E468,'BASE_FUNCOES (hide)'!A:S,18,0),IF(AND('General Information'!$D$17=9,VLOOKUP(B468,Modules!$B$5:$E$496,4,0)=1)=TRUE,VLOOKUP('Hours Detail'!E468,'BASE_FUNCOES (hide)'!A:S,19,0),"No")))</f>
        <v>No</v>
      </c>
      <c r="H468" s="544" t="str">
        <f t="shared" si="9"/>
        <v>No</v>
      </c>
      <c r="I468" s="75">
        <f>IF('General Information'!$C$4="Mexico",(ROUNDUP(VLOOKUP(E468,'BASE_FUNCOES (hide)'!A:X,21,0),0)),(ROUNDUP(VLOOKUP(E468,'BASE_FUNCOES (hide)'!A:L,9,0),0)))</f>
        <v>12</v>
      </c>
      <c r="J468" s="75">
        <f>ROUNDUP(SUMIF(Questions!$E$5:$E$558,'Hours Detail'!E468,Questions!$F$5:$F$558),0)</f>
        <v>0</v>
      </c>
      <c r="K468" s="76">
        <f>IF(H468="Yes",ROUNDUP(IF(VLOOKUP(E468,'BASE_FUNCOES (hide)'!A:T,16,FALSE)&lt;&gt;"No",IF('General Information'!$C$19="HTML5",(I468+J468)*'BASE_FUNCOES (hide)'!$T$2,I468+J468),I468+J468),I468+J468),I468+J468)</f>
        <v>12</v>
      </c>
      <c r="L468" s="163" t="str">
        <f>IF(ISERROR(VLOOKUP(E468,Questions!$E$5:$L$568,6,0))=FALSE,VLOOKUP(E468,Questions!$E$5:$L$568,6,0),"")</f>
        <v/>
      </c>
      <c r="M468" s="164" t="s">
        <v>2396</v>
      </c>
      <c r="N468" s="369" t="s">
        <v>2377</v>
      </c>
    </row>
    <row r="469" spans="1:14" ht="14.5" customHeight="1">
      <c r="A469" s="59"/>
      <c r="B469" s="72"/>
      <c r="C469" s="72"/>
      <c r="D469" s="73"/>
      <c r="E469" s="74"/>
      <c r="F469" s="73"/>
      <c r="G469" s="73" t="e">
        <f>IF(AND('General Information'!$D$16=1,VLOOKUP(B469,Modules!$B$5:$E$496,4,0)=1)=TRUE,VLOOKUP('Hours Detail'!E469,'BASE_FUNCOES (hide)'!$A:$N,10,0),IF(AND('General Information'!$D$16=2,VLOOKUP(B469,Modules!$B$5:$E$496,4,0)=1)=TRUE,VLOOKUP('Hours Detail'!E469,'BASE_FUNCOES (hide)'!$A:$N,11,0),IF(AND('General Information'!$D$16=3,VLOOKUP(B469,Modules!$B$5:$E$496,4,0)=1)=TRUE,VLOOKUP('Hours Detail'!E469,'BASE_FUNCOES (hide)'!$A:$N,12,0),IF(AND('General Information'!$D$16=4,VLOOKUP(B469,Modules!$B$5:$E$496,4,0)=1)=TRUE,VLOOKUP('Hours Detail'!E469,'BASE_FUNCOES (hide)'!$A:$N,13,0),IF(AND('General Information'!$D$17=7,VLOOKUP(B469,Modules!$B$5:$E$496,4,0)=1)=TRUE,VLOOKUP('Hours Detail'!E469,'BASE_FUNCOES (hide)'!A:S,17,0),IF(AND('General Information'!$D$17=8,VLOOKUP(B469,Modules!$B$5:$E$496,4,0)=1)=TRUE,VLOOKUP('Hours Detail'!E469,'BASE_FUNCOES (hide)'!A:S,18,0),IF(AND('General Information'!$D$17=9,VLOOKUP(B469,Modules!$B$5:$E$496,4,0)=1)=TRUE,VLOOKUP('Hours Detail'!E469,'BASE_FUNCOES (hide)'!A:S,19,0),"No")))))))</f>
        <v>#N/A</v>
      </c>
      <c r="H469" s="166" t="e">
        <f t="shared" si="9"/>
        <v>#N/A</v>
      </c>
      <c r="I469" s="75">
        <f>IF('General Information'!$C$4="Mexico",(ROUNDUP(VLOOKUP(E469,'BASE_FUNCOES (hide)'!A:X,21,0),0)),(ROUNDUP(VLOOKUP(E469,'BASE_FUNCOES (hide)'!A:L,9,0),0)))</f>
        <v>0</v>
      </c>
      <c r="J469" s="75">
        <f>ROUNDUP(SUMIF(Questions!$E$5:$E$558,'Hours Detail'!E469,Questions!$F$5:$F$558),0)</f>
        <v>0</v>
      </c>
      <c r="K469" s="76" t="e">
        <f>IF(H469="Yes",ROUNDUP(IF(VLOOKUP(E469,'BASE_FUNCOES (hide)'!A:T,16,FALSE)&lt;&gt;"No",IF('General Information'!$C$19="HTML5",(I469+J469)*'BASE_FUNCOES (hide)'!$T$2,I469+J469),I469+J469),I469+J469),I469+J469)</f>
        <v>#N/A</v>
      </c>
      <c r="L469" s="163" t="str">
        <f>IF(ISERROR(VLOOKUP(E469,Questions!$E$5:$L$568,6,0))=FALSE,VLOOKUP(E469,Questions!$E$5:$L$568,6,0),"")</f>
        <v/>
      </c>
      <c r="M469" s="164" t="s">
        <v>2396</v>
      </c>
      <c r="N469" s="369" t="s">
        <v>2377</v>
      </c>
    </row>
    <row r="470" spans="1:14" ht="14.5" customHeight="1">
      <c r="A470" s="59"/>
      <c r="B470" s="72"/>
      <c r="C470" s="72"/>
      <c r="D470" s="73"/>
      <c r="E470" s="74"/>
      <c r="F470" s="73"/>
      <c r="G470" s="73" t="e">
        <f>IF(AND('General Information'!$D$16=1,VLOOKUP(B470,Modules!$B$5:$E$496,4,0)=1)=TRUE,VLOOKUP('Hours Detail'!E470,'BASE_FUNCOES (hide)'!$A:$N,10,0),IF(AND('General Information'!$D$16=2,VLOOKUP(B470,Modules!$B$5:$E$496,4,0)=1)=TRUE,VLOOKUP('Hours Detail'!E470,'BASE_FUNCOES (hide)'!$A:$N,11,0),IF(AND('General Information'!$D$16=3,VLOOKUP(B470,Modules!$B$5:$E$496,4,0)=1)=TRUE,VLOOKUP('Hours Detail'!E470,'BASE_FUNCOES (hide)'!$A:$N,12,0),IF(AND('General Information'!$D$16=4,VLOOKUP(B470,Modules!$B$5:$E$496,4,0)=1)=TRUE,VLOOKUP('Hours Detail'!E470,'BASE_FUNCOES (hide)'!$A:$N,13,0),IF(AND('General Information'!$D$17=7,VLOOKUP(B470,Modules!$B$5:$E$496,4,0)=1)=TRUE,VLOOKUP('Hours Detail'!E470,'BASE_FUNCOES (hide)'!A:S,17,0),IF(AND('General Information'!$D$17=8,VLOOKUP(B470,Modules!$B$5:$E$496,4,0)=1)=TRUE,VLOOKUP('Hours Detail'!E470,'BASE_FUNCOES (hide)'!A:S,18,0),IF(AND('General Information'!$D$17=9,VLOOKUP(B470,Modules!$B$5:$E$496,4,0)=1)=TRUE,VLOOKUP('Hours Detail'!E470,'BASE_FUNCOES (hide)'!A:S,19,0),"No")))))))</f>
        <v>#N/A</v>
      </c>
      <c r="H470" s="166" t="e">
        <f t="shared" si="9"/>
        <v>#N/A</v>
      </c>
      <c r="I470" s="75">
        <f>IF('General Information'!$C$4="Mexico",(ROUNDUP(VLOOKUP(E470,'BASE_FUNCOES (hide)'!A:X,21,0),0)),(ROUNDUP(VLOOKUP(E470,'BASE_FUNCOES (hide)'!A:L,9,0),0)))</f>
        <v>0</v>
      </c>
      <c r="J470" s="75">
        <f>ROUNDUP(SUMIF(Questions!$E$5:$E$558,'Hours Detail'!E470,Questions!$F$5:$F$558),0)</f>
        <v>0</v>
      </c>
      <c r="K470" s="76" t="e">
        <f>IF(H470="Yes",ROUNDUP(IF(VLOOKUP(E470,'BASE_FUNCOES (hide)'!A:T,16,FALSE)&lt;&gt;"No",IF('General Information'!$C$19="HTML5",(I470+J470)*'BASE_FUNCOES (hide)'!$T$2,I470+J470),I470+J470),I470+J470),I470+J470)</f>
        <v>#N/A</v>
      </c>
      <c r="L470" s="163" t="str">
        <f>IF(ISERROR(VLOOKUP(E470,Questions!$E$5:$L$568,6,0))=FALSE,VLOOKUP(E470,Questions!$E$5:$L$568,6,0),"")</f>
        <v/>
      </c>
      <c r="M470" s="164" t="s">
        <v>2396</v>
      </c>
      <c r="N470" s="369" t="s">
        <v>2377</v>
      </c>
    </row>
    <row r="471" spans="1:14" ht="14.5" customHeight="1">
      <c r="A471" s="59"/>
      <c r="B471" s="72"/>
      <c r="C471" s="72"/>
      <c r="D471" s="73"/>
      <c r="E471" s="74"/>
      <c r="F471" s="73"/>
      <c r="G471" s="73" t="e">
        <f>IF(AND('General Information'!$D$16=1,VLOOKUP(B471,Modules!$B$5:$E$496,4,0)=1)=TRUE,VLOOKUP('Hours Detail'!E471,'BASE_FUNCOES (hide)'!$A:$N,10,0),IF(AND('General Information'!$D$16=2,VLOOKUP(B471,Modules!$B$5:$E$496,4,0)=1)=TRUE,VLOOKUP('Hours Detail'!E471,'BASE_FUNCOES (hide)'!$A:$N,11,0),IF(AND('General Information'!$D$16=3,VLOOKUP(B471,Modules!$B$5:$E$496,4,0)=1)=TRUE,VLOOKUP('Hours Detail'!E471,'BASE_FUNCOES (hide)'!$A:$N,12,0),IF(AND('General Information'!$D$16=4,VLOOKUP(B471,Modules!$B$5:$E$496,4,0)=1)=TRUE,VLOOKUP('Hours Detail'!E471,'BASE_FUNCOES (hide)'!$A:$N,13,0),IF(AND('General Information'!$D$17=7,VLOOKUP(B471,Modules!$B$5:$E$496,4,0)=1)=TRUE,VLOOKUP('Hours Detail'!E471,'BASE_FUNCOES (hide)'!A:S,17,0),IF(AND('General Information'!$D$17=8,VLOOKUP(B471,Modules!$B$5:$E$496,4,0)=1)=TRUE,VLOOKUP('Hours Detail'!E471,'BASE_FUNCOES (hide)'!A:S,18,0),IF(AND('General Information'!$D$17=9,VLOOKUP(B471,Modules!$B$5:$E$496,4,0)=1)=TRUE,VLOOKUP('Hours Detail'!E471,'BASE_FUNCOES (hide)'!A:S,19,0),"No")))))))</f>
        <v>#N/A</v>
      </c>
      <c r="H471" s="166" t="e">
        <f t="shared" si="9"/>
        <v>#N/A</v>
      </c>
      <c r="I471" s="75">
        <f>IF('General Information'!$C$4="Mexico",(ROUNDUP(VLOOKUP(E471,'BASE_FUNCOES (hide)'!A:X,21,0),0)),(ROUNDUP(VLOOKUP(E471,'BASE_FUNCOES (hide)'!A:L,9,0),0)))</f>
        <v>0</v>
      </c>
      <c r="J471" s="75">
        <f>ROUNDUP(SUMIF(Questions!$E$5:$E$558,'Hours Detail'!E471,Questions!$F$5:$F$558),0)</f>
        <v>0</v>
      </c>
      <c r="K471" s="76" t="e">
        <f>IF(H471="Yes",ROUNDUP(IF(VLOOKUP(E471,'BASE_FUNCOES (hide)'!A:T,16,FALSE)&lt;&gt;"No",IF('General Information'!$C$19="HTML5",(I471+J471)*'BASE_FUNCOES (hide)'!$T$2,I471+J471),I471+J471),I471+J471),I471+J471)</f>
        <v>#N/A</v>
      </c>
      <c r="L471" s="163" t="str">
        <f>IF(ISERROR(VLOOKUP(E471,Questions!$E$5:$L$568,6,0))=FALSE,VLOOKUP(E471,Questions!$E$5:$L$568,6,0),"")</f>
        <v/>
      </c>
      <c r="M471" s="164" t="s">
        <v>2396</v>
      </c>
      <c r="N471" s="369" t="s">
        <v>2377</v>
      </c>
    </row>
    <row r="472" spans="1:14" ht="14.5" customHeight="1">
      <c r="A472" s="59"/>
      <c r="B472" s="72"/>
      <c r="C472" s="72"/>
      <c r="D472" s="73"/>
      <c r="E472" s="74"/>
      <c r="F472" s="73"/>
      <c r="G472" s="73" t="e">
        <f>IF(AND('General Information'!$D$16=1,VLOOKUP(B472,Modules!$B$5:$E$496,4,0)=1)=TRUE,VLOOKUP('Hours Detail'!E472,'BASE_FUNCOES (hide)'!$A:$N,10,0),IF(AND('General Information'!$D$16=2,VLOOKUP(B472,Modules!$B$5:$E$496,4,0)=1)=TRUE,VLOOKUP('Hours Detail'!E472,'BASE_FUNCOES (hide)'!$A:$N,11,0),IF(AND('General Information'!$D$16=3,VLOOKUP(B472,Modules!$B$5:$E$496,4,0)=1)=TRUE,VLOOKUP('Hours Detail'!E472,'BASE_FUNCOES (hide)'!$A:$N,12,0),IF(AND('General Information'!$D$16=4,VLOOKUP(B472,Modules!$B$5:$E$496,4,0)=1)=TRUE,VLOOKUP('Hours Detail'!E472,'BASE_FUNCOES (hide)'!$A:$N,13,0),IF(AND('General Information'!$D$17=7,VLOOKUP(B472,Modules!$B$5:$E$496,4,0)=1)=TRUE,VLOOKUP('Hours Detail'!E472,'BASE_FUNCOES (hide)'!A:S,17,0),IF(AND('General Information'!$D$17=8,VLOOKUP(B472,Modules!$B$5:$E$496,4,0)=1)=TRUE,VLOOKUP('Hours Detail'!E472,'BASE_FUNCOES (hide)'!A:S,18,0),IF(AND('General Information'!$D$17=9,VLOOKUP(B472,Modules!$B$5:$E$496,4,0)=1)=TRUE,VLOOKUP('Hours Detail'!E472,'BASE_FUNCOES (hide)'!A:S,19,0),"No")))))))</f>
        <v>#N/A</v>
      </c>
      <c r="H472" s="166" t="e">
        <f t="shared" si="9"/>
        <v>#N/A</v>
      </c>
      <c r="I472" s="75">
        <f>IF('General Information'!$C$4="Mexico",(ROUNDUP(VLOOKUP(E472,'BASE_FUNCOES (hide)'!A:X,21,0),0)),(ROUNDUP(VLOOKUP(E472,'BASE_FUNCOES (hide)'!A:L,9,0),0)))</f>
        <v>0</v>
      </c>
      <c r="J472" s="75">
        <f>ROUNDUP(SUMIF(Questions!$E$5:$E$558,'Hours Detail'!E472,Questions!$F$5:$F$558),0)</f>
        <v>0</v>
      </c>
      <c r="K472" s="76" t="e">
        <f>IF(H472="Yes",ROUNDUP(IF(VLOOKUP(E472,'BASE_FUNCOES (hide)'!A:T,16,FALSE)&lt;&gt;"No",IF('General Information'!$C$19="HTML5",(I472+J472)*'BASE_FUNCOES (hide)'!$T$2,I472+J472),I472+J472),I472+J472),I472+J472)</f>
        <v>#N/A</v>
      </c>
      <c r="L472" s="163" t="str">
        <f>IF(ISERROR(VLOOKUP(E472,Questions!$E$5:$L$568,6,0))=FALSE,VLOOKUP(E472,Questions!$E$5:$L$568,6,0),"")</f>
        <v/>
      </c>
      <c r="M472" s="164" t="s">
        <v>2396</v>
      </c>
      <c r="N472" s="369" t="s">
        <v>2377</v>
      </c>
    </row>
    <row r="473" spans="1:14" ht="14.5" customHeight="1">
      <c r="A473" s="59"/>
      <c r="B473" s="72"/>
      <c r="C473" s="72"/>
      <c r="D473" s="73"/>
      <c r="E473" s="74"/>
      <c r="F473" s="73"/>
      <c r="G473" s="73" t="e">
        <f>IF(AND('General Information'!$D$16=1,VLOOKUP(B473,Modules!$B$5:$E$496,4,0)=1)=TRUE,VLOOKUP('Hours Detail'!E473,'BASE_FUNCOES (hide)'!$A:$N,10,0),IF(AND('General Information'!$D$16=2,VLOOKUP(B473,Modules!$B$5:$E$496,4,0)=1)=TRUE,VLOOKUP('Hours Detail'!E473,'BASE_FUNCOES (hide)'!$A:$N,11,0),IF(AND('General Information'!$D$16=3,VLOOKUP(B473,Modules!$B$5:$E$496,4,0)=1)=TRUE,VLOOKUP('Hours Detail'!E473,'BASE_FUNCOES (hide)'!$A:$N,12,0),IF(AND('General Information'!$D$16=4,VLOOKUP(B473,Modules!$B$5:$E$496,4,0)=1)=TRUE,VLOOKUP('Hours Detail'!E473,'BASE_FUNCOES (hide)'!$A:$N,13,0),IF(AND('General Information'!$D$17=7,VLOOKUP(B473,Modules!$B$5:$E$496,4,0)=1)=TRUE,VLOOKUP('Hours Detail'!E473,'BASE_FUNCOES (hide)'!A:S,17,0),IF(AND('General Information'!$D$17=8,VLOOKUP(B473,Modules!$B$5:$E$496,4,0)=1)=TRUE,VLOOKUP('Hours Detail'!E473,'BASE_FUNCOES (hide)'!A:S,18,0),IF(AND('General Information'!$D$17=9,VLOOKUP(B473,Modules!$B$5:$E$496,4,0)=1)=TRUE,VLOOKUP('Hours Detail'!E473,'BASE_FUNCOES (hide)'!A:S,19,0),"No")))))))</f>
        <v>#N/A</v>
      </c>
      <c r="H473" s="166" t="e">
        <f t="shared" si="9"/>
        <v>#N/A</v>
      </c>
      <c r="I473" s="75">
        <f>IF('General Information'!$C$4="Mexico",(ROUNDUP(VLOOKUP(E473,'BASE_FUNCOES (hide)'!A:X,21,0),0)),(ROUNDUP(VLOOKUP(E473,'BASE_FUNCOES (hide)'!A:L,9,0),0)))</f>
        <v>0</v>
      </c>
      <c r="J473" s="75">
        <f>ROUNDUP(SUMIF(Questions!$E$5:$E$558,'Hours Detail'!E473,Questions!$F$5:$F$558),0)</f>
        <v>0</v>
      </c>
      <c r="K473" s="76" t="e">
        <f>IF(H473="Yes",ROUNDUP(IF(VLOOKUP(E473,'BASE_FUNCOES (hide)'!A:T,16,FALSE)&lt;&gt;"No",IF('General Information'!$C$19="HTML5",(I473+J473)*'BASE_FUNCOES (hide)'!$T$2,I473+J473),I473+J473),I473+J473),I473+J473)</f>
        <v>#N/A</v>
      </c>
      <c r="L473" s="163" t="str">
        <f>IF(ISERROR(VLOOKUP(E473,Questions!$E$5:$L$568,6,0))=FALSE,VLOOKUP(E473,Questions!$E$5:$L$568,6,0),"")</f>
        <v/>
      </c>
      <c r="M473" s="164" t="s">
        <v>2396</v>
      </c>
      <c r="N473" s="369" t="s">
        <v>2377</v>
      </c>
    </row>
    <row r="474" spans="1:14" ht="14.5" customHeight="1">
      <c r="A474" s="59"/>
      <c r="B474" s="72"/>
      <c r="C474" s="72"/>
      <c r="D474" s="73"/>
      <c r="E474" s="74"/>
      <c r="F474" s="73"/>
      <c r="G474" s="73" t="e">
        <f>IF(AND('General Information'!$D$16=1,VLOOKUP(B474,Modules!$B$5:$E$496,4,0)=1)=TRUE,VLOOKUP('Hours Detail'!E474,'BASE_FUNCOES (hide)'!$A:$N,10,0),IF(AND('General Information'!$D$16=2,VLOOKUP(B474,Modules!$B$5:$E$496,4,0)=1)=TRUE,VLOOKUP('Hours Detail'!E474,'BASE_FUNCOES (hide)'!$A:$N,11,0),IF(AND('General Information'!$D$16=3,VLOOKUP(B474,Modules!$B$5:$E$496,4,0)=1)=TRUE,VLOOKUP('Hours Detail'!E474,'BASE_FUNCOES (hide)'!$A:$N,12,0),IF(AND('General Information'!$D$16=4,VLOOKUP(B474,Modules!$B$5:$E$496,4,0)=1)=TRUE,VLOOKUP('Hours Detail'!E474,'BASE_FUNCOES (hide)'!$A:$N,13,0),IF(AND('General Information'!$D$17=7,VLOOKUP(B474,Modules!$B$5:$E$496,4,0)=1)=TRUE,VLOOKUP('Hours Detail'!E474,'BASE_FUNCOES (hide)'!A:S,17,0),IF(AND('General Information'!$D$17=8,VLOOKUP(B474,Modules!$B$5:$E$496,4,0)=1)=TRUE,VLOOKUP('Hours Detail'!E474,'BASE_FUNCOES (hide)'!A:S,18,0),IF(AND('General Information'!$D$17=9,VLOOKUP(B474,Modules!$B$5:$E$496,4,0)=1)=TRUE,VLOOKUP('Hours Detail'!E474,'BASE_FUNCOES (hide)'!A:S,19,0),"No")))))))</f>
        <v>#N/A</v>
      </c>
      <c r="H474" s="166" t="e">
        <f t="shared" si="9"/>
        <v>#N/A</v>
      </c>
      <c r="I474" s="75">
        <f>IF('General Information'!$C$4="Mexico",(ROUNDUP(VLOOKUP(E474,'BASE_FUNCOES (hide)'!A:X,21,0),0)),(ROUNDUP(VLOOKUP(E474,'BASE_FUNCOES (hide)'!A:L,9,0),0)))</f>
        <v>0</v>
      </c>
      <c r="J474" s="75">
        <f>ROUNDUP(SUMIF(Questions!$E$5:$E$558,'Hours Detail'!E474,Questions!$F$5:$F$558),0)</f>
        <v>0</v>
      </c>
      <c r="K474" s="76" t="e">
        <f>IF(H474="Yes",ROUNDUP(IF(VLOOKUP(E474,'BASE_FUNCOES (hide)'!A:T,16,FALSE)&lt;&gt;"No",IF('General Information'!$C$19="HTML5",(I474+J474)*'BASE_FUNCOES (hide)'!$T$2,I474+J474),I474+J474),I474+J474),I474+J474)</f>
        <v>#N/A</v>
      </c>
      <c r="L474" s="163" t="str">
        <f>IF(ISERROR(VLOOKUP(E474,Questions!$E$5:$L$568,6,0))=FALSE,VLOOKUP(E474,Questions!$E$5:$L$568,6,0),"")</f>
        <v/>
      </c>
      <c r="M474" s="164" t="s">
        <v>2396</v>
      </c>
      <c r="N474" s="369" t="s">
        <v>2377</v>
      </c>
    </row>
    <row r="475" spans="1:14" ht="14.5" customHeight="1">
      <c r="A475" s="59"/>
      <c r="B475" s="72"/>
      <c r="C475" s="72"/>
      <c r="D475" s="73"/>
      <c r="E475" s="74"/>
      <c r="F475" s="73"/>
      <c r="G475" s="73" t="e">
        <f>IF(AND('General Information'!$D$16=1,VLOOKUP(B475,Modules!$B$5:$E$496,4,0)=1)=TRUE,VLOOKUP('Hours Detail'!E475,'BASE_FUNCOES (hide)'!$A:$N,10,0),IF(AND('General Information'!$D$16=2,VLOOKUP(B475,Modules!$B$5:$E$496,4,0)=1)=TRUE,VLOOKUP('Hours Detail'!E475,'BASE_FUNCOES (hide)'!$A:$N,11,0),IF(AND('General Information'!$D$16=3,VLOOKUP(B475,Modules!$B$5:$E$496,4,0)=1)=TRUE,VLOOKUP('Hours Detail'!E475,'BASE_FUNCOES (hide)'!$A:$N,12,0),IF(AND('General Information'!$D$16=4,VLOOKUP(B475,Modules!$B$5:$E$496,4,0)=1)=TRUE,VLOOKUP('Hours Detail'!E475,'BASE_FUNCOES (hide)'!$A:$N,13,0),IF(AND('General Information'!$D$17=7,VLOOKUP(B475,Modules!$B$5:$E$496,4,0)=1)=TRUE,VLOOKUP('Hours Detail'!E475,'BASE_FUNCOES (hide)'!A:S,17,0),IF(AND('General Information'!$D$17=8,VLOOKUP(B475,Modules!$B$5:$E$496,4,0)=1)=TRUE,VLOOKUP('Hours Detail'!E475,'BASE_FUNCOES (hide)'!A:S,18,0),IF(AND('General Information'!$D$17=9,VLOOKUP(B475,Modules!$B$5:$E$496,4,0)=1)=TRUE,VLOOKUP('Hours Detail'!E475,'BASE_FUNCOES (hide)'!A:S,19,0),"No")))))))</f>
        <v>#N/A</v>
      </c>
      <c r="H475" s="166" t="e">
        <f t="shared" si="9"/>
        <v>#N/A</v>
      </c>
      <c r="I475" s="75">
        <f>IF('General Information'!$C$4="Mexico",(ROUNDUP(VLOOKUP(E475,'BASE_FUNCOES (hide)'!A:X,21,0),0)),(ROUNDUP(VLOOKUP(E475,'BASE_FUNCOES (hide)'!A:L,9,0),0)))</f>
        <v>0</v>
      </c>
      <c r="J475" s="75">
        <f>ROUNDUP(SUMIF(Questions!$E$5:$E$558,'Hours Detail'!E475,Questions!$F$5:$F$558),0)</f>
        <v>0</v>
      </c>
      <c r="K475" s="76" t="e">
        <f>IF(H475="Yes",ROUNDUP(IF(VLOOKUP(E475,'BASE_FUNCOES (hide)'!A:T,16,FALSE)&lt;&gt;"No",IF('General Information'!$C$19="HTML5",(I475+J475)*'BASE_FUNCOES (hide)'!$T$2,I475+J475),I475+J475),I475+J475),I475+J475)</f>
        <v>#N/A</v>
      </c>
      <c r="L475" s="163" t="str">
        <f>IF(ISERROR(VLOOKUP(E475,Questions!$E$5:$L$568,6,0))=FALSE,VLOOKUP(E475,Questions!$E$5:$L$568,6,0),"")</f>
        <v/>
      </c>
      <c r="M475" s="164" t="s">
        <v>2396</v>
      </c>
      <c r="N475" s="369" t="s">
        <v>2377</v>
      </c>
    </row>
    <row r="476" spans="1:14" ht="14.5" customHeight="1">
      <c r="A476" s="59"/>
      <c r="B476" s="72"/>
      <c r="C476" s="72"/>
      <c r="D476" s="73"/>
      <c r="E476" s="74"/>
      <c r="F476" s="73"/>
      <c r="G476" s="73" t="e">
        <f>IF(AND('General Information'!$D$16=1,VLOOKUP(B476,Modules!$B$5:$E$496,4,0)=1)=TRUE,VLOOKUP('Hours Detail'!E476,'BASE_FUNCOES (hide)'!$A:$N,10,0),IF(AND('General Information'!$D$16=2,VLOOKUP(B476,Modules!$B$5:$E$496,4,0)=1)=TRUE,VLOOKUP('Hours Detail'!E476,'BASE_FUNCOES (hide)'!$A:$N,11,0),IF(AND('General Information'!$D$16=3,VLOOKUP(B476,Modules!$B$5:$E$496,4,0)=1)=TRUE,VLOOKUP('Hours Detail'!E476,'BASE_FUNCOES (hide)'!$A:$N,12,0),IF(AND('General Information'!$D$16=4,VLOOKUP(B476,Modules!$B$5:$E$496,4,0)=1)=TRUE,VLOOKUP('Hours Detail'!E476,'BASE_FUNCOES (hide)'!$A:$N,13,0),IF(AND('General Information'!$D$17=7,VLOOKUP(B476,Modules!$B$5:$E$496,4,0)=1)=TRUE,VLOOKUP('Hours Detail'!E476,'BASE_FUNCOES (hide)'!A:S,17,0),IF(AND('General Information'!$D$17=8,VLOOKUP(B476,Modules!$B$5:$E$496,4,0)=1)=TRUE,VLOOKUP('Hours Detail'!E476,'BASE_FUNCOES (hide)'!A:S,18,0),IF(AND('General Information'!$D$17=9,VLOOKUP(B476,Modules!$B$5:$E$496,4,0)=1)=TRUE,VLOOKUP('Hours Detail'!E476,'BASE_FUNCOES (hide)'!A:S,19,0),"No")))))))</f>
        <v>#N/A</v>
      </c>
      <c r="H476" s="166" t="e">
        <f t="shared" si="9"/>
        <v>#N/A</v>
      </c>
      <c r="I476" s="75">
        <f>IF('General Information'!$C$4="Mexico",(ROUNDUP(VLOOKUP(E476,'BASE_FUNCOES (hide)'!A:X,21,0),0)),(ROUNDUP(VLOOKUP(E476,'BASE_FUNCOES (hide)'!A:L,9,0),0)))</f>
        <v>0</v>
      </c>
      <c r="J476" s="75">
        <f>ROUNDUP(SUMIF(Questions!$E$5:$E$558,'Hours Detail'!E476,Questions!$F$5:$F$558),0)</f>
        <v>0</v>
      </c>
      <c r="K476" s="76" t="e">
        <f>IF(H476="Yes",ROUNDUP(IF(VLOOKUP(E476,'BASE_FUNCOES (hide)'!A:T,16,FALSE)&lt;&gt;"No",IF('General Information'!$C$19="HTML5",(I476+J476)*'BASE_FUNCOES (hide)'!$T$2,I476+J476),I476+J476),I476+J476),I476+J476)</f>
        <v>#N/A</v>
      </c>
      <c r="L476" s="163" t="str">
        <f>IF(ISERROR(VLOOKUP(E476,Questions!$E$5:$L$568,6,0))=FALSE,VLOOKUP(E476,Questions!$E$5:$L$568,6,0),"")</f>
        <v/>
      </c>
      <c r="M476" s="164" t="s">
        <v>2396</v>
      </c>
      <c r="N476" s="369" t="s">
        <v>2377</v>
      </c>
    </row>
    <row r="477" spans="1:14" ht="14.5" customHeight="1">
      <c r="A477" s="59"/>
      <c r="B477" s="72"/>
      <c r="C477" s="72"/>
      <c r="D477" s="73"/>
      <c r="E477" s="74"/>
      <c r="F477" s="73"/>
      <c r="G477" s="73" t="e">
        <f>IF(AND('General Information'!$D$16=1,VLOOKUP(B477,Modules!$B$5:$E$496,4,0)=1)=TRUE,VLOOKUP('Hours Detail'!E477,'BASE_FUNCOES (hide)'!$A:$N,10,0),IF(AND('General Information'!$D$16=2,VLOOKUP(B477,Modules!$B$5:$E$496,4,0)=1)=TRUE,VLOOKUP('Hours Detail'!E477,'BASE_FUNCOES (hide)'!$A:$N,11,0),IF(AND('General Information'!$D$16=3,VLOOKUP(B477,Modules!$B$5:$E$496,4,0)=1)=TRUE,VLOOKUP('Hours Detail'!E477,'BASE_FUNCOES (hide)'!$A:$N,12,0),IF(AND('General Information'!$D$16=4,VLOOKUP(B477,Modules!$B$5:$E$496,4,0)=1)=TRUE,VLOOKUP('Hours Detail'!E477,'BASE_FUNCOES (hide)'!$A:$N,13,0),IF(AND('General Information'!$D$17=7,VLOOKUP(B477,Modules!$B$5:$E$496,4,0)=1)=TRUE,VLOOKUP('Hours Detail'!E477,'BASE_FUNCOES (hide)'!A:S,17,0),IF(AND('General Information'!$D$17=8,VLOOKUP(B477,Modules!$B$5:$E$496,4,0)=1)=TRUE,VLOOKUP('Hours Detail'!E477,'BASE_FUNCOES (hide)'!A:S,18,0),IF(AND('General Information'!$D$17=9,VLOOKUP(B477,Modules!$B$5:$E$496,4,0)=1)=TRUE,VLOOKUP('Hours Detail'!E477,'BASE_FUNCOES (hide)'!A:S,19,0),"No")))))))</f>
        <v>#N/A</v>
      </c>
      <c r="H477" s="166" t="e">
        <f t="shared" si="9"/>
        <v>#N/A</v>
      </c>
      <c r="I477" s="75">
        <f>IF('General Information'!$C$4="Mexico",(ROUNDUP(VLOOKUP(E477,'BASE_FUNCOES (hide)'!A:X,21,0),0)),(ROUNDUP(VLOOKUP(E477,'BASE_FUNCOES (hide)'!A:L,9,0),0)))</f>
        <v>0</v>
      </c>
      <c r="J477" s="75">
        <f>ROUNDUP(SUMIF(Questions!$E$5:$E$558,'Hours Detail'!E477,Questions!$F$5:$F$558),0)</f>
        <v>0</v>
      </c>
      <c r="K477" s="76" t="e">
        <f>IF(H477="Yes",ROUNDUP(IF(VLOOKUP(E477,'BASE_FUNCOES (hide)'!A:T,16,FALSE)&lt;&gt;"No",IF('General Information'!$C$19="HTML5",(I477+J477)*'BASE_FUNCOES (hide)'!$T$2,I477+J477),I477+J477),I477+J477),I477+J477)</f>
        <v>#N/A</v>
      </c>
      <c r="L477" s="163" t="str">
        <f>IF(ISERROR(VLOOKUP(E477,Questions!$E$5:$L$568,6,0))=FALSE,VLOOKUP(E477,Questions!$E$5:$L$568,6,0),"")</f>
        <v/>
      </c>
      <c r="M477" s="164" t="s">
        <v>2396</v>
      </c>
      <c r="N477" s="369" t="s">
        <v>2377</v>
      </c>
    </row>
    <row r="478" spans="1:14" ht="14.5" customHeight="1">
      <c r="A478" s="59"/>
      <c r="B478" s="72"/>
      <c r="C478" s="72"/>
      <c r="D478" s="73"/>
      <c r="E478" s="74"/>
      <c r="F478" s="73"/>
      <c r="G478" s="73" t="e">
        <f>IF(AND('General Information'!$D$16=1,VLOOKUP(B478,Modules!$B$5:$E$496,4,0)=1)=TRUE,VLOOKUP('Hours Detail'!E478,'BASE_FUNCOES (hide)'!$A:$N,10,0),IF(AND('General Information'!$D$16=2,VLOOKUP(B478,Modules!$B$5:$E$496,4,0)=1)=TRUE,VLOOKUP('Hours Detail'!E478,'BASE_FUNCOES (hide)'!$A:$N,11,0),IF(AND('General Information'!$D$16=3,VLOOKUP(B478,Modules!$B$5:$E$496,4,0)=1)=TRUE,VLOOKUP('Hours Detail'!E478,'BASE_FUNCOES (hide)'!$A:$N,12,0),IF(AND('General Information'!$D$16=4,VLOOKUP(B478,Modules!$B$5:$E$496,4,0)=1)=TRUE,VLOOKUP('Hours Detail'!E478,'BASE_FUNCOES (hide)'!$A:$N,13,0),IF(AND('General Information'!$D$17=7,VLOOKUP(B478,Modules!$B$5:$E$496,4,0)=1)=TRUE,VLOOKUP('Hours Detail'!E478,'BASE_FUNCOES (hide)'!A:S,17,0),IF(AND('General Information'!$D$17=8,VLOOKUP(B478,Modules!$B$5:$E$496,4,0)=1)=TRUE,VLOOKUP('Hours Detail'!E478,'BASE_FUNCOES (hide)'!A:S,18,0),IF(AND('General Information'!$D$17=9,VLOOKUP(B478,Modules!$B$5:$E$496,4,0)=1)=TRUE,VLOOKUP('Hours Detail'!E478,'BASE_FUNCOES (hide)'!A:S,19,0),"No")))))))</f>
        <v>#N/A</v>
      </c>
      <c r="H478" s="166" t="e">
        <f t="shared" si="9"/>
        <v>#N/A</v>
      </c>
      <c r="I478" s="75">
        <f>IF('General Information'!$C$4="Mexico",(ROUNDUP(VLOOKUP(E478,'BASE_FUNCOES (hide)'!A:X,21,0),0)),(ROUNDUP(VLOOKUP(E478,'BASE_FUNCOES (hide)'!A:L,9,0),0)))</f>
        <v>0</v>
      </c>
      <c r="J478" s="75">
        <f>ROUNDUP(SUMIF(Questions!$E$5:$E$558,'Hours Detail'!E478,Questions!$F$5:$F$558),0)</f>
        <v>0</v>
      </c>
      <c r="K478" s="76" t="e">
        <f>IF(H478="Yes",ROUNDUP(IF(VLOOKUP(E478,'BASE_FUNCOES (hide)'!A:T,16,FALSE)&lt;&gt;"No",IF('General Information'!$C$19="HTML5",(I478+J478)*'BASE_FUNCOES (hide)'!$T$2,I478+J478),I478+J478),I478+J478),I478+J478)</f>
        <v>#N/A</v>
      </c>
      <c r="L478" s="163" t="str">
        <f>IF(ISERROR(VLOOKUP(E478,Questions!$E$5:$L$568,6,0))=FALSE,VLOOKUP(E478,Questions!$E$5:$L$568,6,0),"")</f>
        <v/>
      </c>
      <c r="M478" s="164" t="s">
        <v>2396</v>
      </c>
      <c r="N478" s="369" t="s">
        <v>2377</v>
      </c>
    </row>
    <row r="479" spans="1:14" ht="14.5" customHeight="1">
      <c r="A479" s="59"/>
      <c r="B479" s="72"/>
      <c r="C479" s="72"/>
      <c r="D479" s="73"/>
      <c r="E479" s="74"/>
      <c r="F479" s="73"/>
      <c r="G479" s="73" t="e">
        <f>IF(AND('General Information'!$D$16=1,VLOOKUP(B479,Modules!$B$5:$E$496,4,0)=1)=TRUE,VLOOKUP('Hours Detail'!E479,'BASE_FUNCOES (hide)'!$A:$N,10,0),IF(AND('General Information'!$D$16=2,VLOOKUP(B479,Modules!$B$5:$E$496,4,0)=1)=TRUE,VLOOKUP('Hours Detail'!E479,'BASE_FUNCOES (hide)'!$A:$N,11,0),IF(AND('General Information'!$D$16=3,VLOOKUP(B479,Modules!$B$5:$E$496,4,0)=1)=TRUE,VLOOKUP('Hours Detail'!E479,'BASE_FUNCOES (hide)'!$A:$N,12,0),IF(AND('General Information'!$D$16=4,VLOOKUP(B479,Modules!$B$5:$E$496,4,0)=1)=TRUE,VLOOKUP('Hours Detail'!E479,'BASE_FUNCOES (hide)'!$A:$N,13,0),IF(AND('General Information'!$D$17=7,VLOOKUP(B479,Modules!$B$5:$E$496,4,0)=1)=TRUE,VLOOKUP('Hours Detail'!E479,'BASE_FUNCOES (hide)'!A:S,17,0),IF(AND('General Information'!$D$17=8,VLOOKUP(B479,Modules!$B$5:$E$496,4,0)=1)=TRUE,VLOOKUP('Hours Detail'!E479,'BASE_FUNCOES (hide)'!A:S,18,0),IF(AND('General Information'!$D$17=9,VLOOKUP(B479,Modules!$B$5:$E$496,4,0)=1)=TRUE,VLOOKUP('Hours Detail'!E479,'BASE_FUNCOES (hide)'!A:S,19,0),"No")))))))</f>
        <v>#N/A</v>
      </c>
      <c r="H479" s="166" t="e">
        <f t="shared" si="9"/>
        <v>#N/A</v>
      </c>
      <c r="I479" s="75">
        <f>IF('General Information'!$C$4="Mexico",(ROUNDUP(VLOOKUP(E479,'BASE_FUNCOES (hide)'!A:X,21,0),0)),(ROUNDUP(VLOOKUP(E479,'BASE_FUNCOES (hide)'!A:L,9,0),0)))</f>
        <v>0</v>
      </c>
      <c r="J479" s="75">
        <f>ROUNDUP(SUMIF(Questions!$E$5:$E$558,'Hours Detail'!E479,Questions!$F$5:$F$558),0)</f>
        <v>0</v>
      </c>
      <c r="K479" s="76" t="e">
        <f>IF(H479="Yes",ROUNDUP(IF(VLOOKUP(E479,'BASE_FUNCOES (hide)'!A:T,16,FALSE)&lt;&gt;"No",IF('General Information'!$C$19="HTML5",(I479+J479)*'BASE_FUNCOES (hide)'!$T$2,I479+J479),I479+J479),I479+J479),I479+J479)</f>
        <v>#N/A</v>
      </c>
      <c r="L479" s="163" t="str">
        <f>IF(ISERROR(VLOOKUP(E479,Questions!$E$5:$L$568,6,0))=FALSE,VLOOKUP(E479,Questions!$E$5:$L$568,6,0),"")</f>
        <v/>
      </c>
      <c r="M479" s="164" t="s">
        <v>2396</v>
      </c>
      <c r="N479" s="369" t="s">
        <v>2377</v>
      </c>
    </row>
    <row r="480" spans="1:14" ht="14.5" customHeight="1">
      <c r="A480" s="59"/>
      <c r="B480" s="72"/>
      <c r="C480" s="72"/>
      <c r="D480" s="73"/>
      <c r="E480" s="74"/>
      <c r="F480" s="73"/>
      <c r="G480" s="73" t="e">
        <f>IF(AND('General Information'!$D$16=1,VLOOKUP(B480,Modules!$B$5:$E$496,4,0)=1)=TRUE,VLOOKUP('Hours Detail'!E480,'BASE_FUNCOES (hide)'!$A:$N,10,0),IF(AND('General Information'!$D$16=2,VLOOKUP(B480,Modules!$B$5:$E$496,4,0)=1)=TRUE,VLOOKUP('Hours Detail'!E480,'BASE_FUNCOES (hide)'!$A:$N,11,0),IF(AND('General Information'!$D$16=3,VLOOKUP(B480,Modules!$B$5:$E$496,4,0)=1)=TRUE,VLOOKUP('Hours Detail'!E480,'BASE_FUNCOES (hide)'!$A:$N,12,0),IF(AND('General Information'!$D$16=4,VLOOKUP(B480,Modules!$B$5:$E$496,4,0)=1)=TRUE,VLOOKUP('Hours Detail'!E480,'BASE_FUNCOES (hide)'!$A:$N,13,0),IF(AND('General Information'!$D$17=7,VLOOKUP(B480,Modules!$B$5:$E$496,4,0)=1)=TRUE,VLOOKUP('Hours Detail'!E480,'BASE_FUNCOES (hide)'!A:S,17,0),IF(AND('General Information'!$D$17=8,VLOOKUP(B480,Modules!$B$5:$E$496,4,0)=1)=TRUE,VLOOKUP('Hours Detail'!E480,'BASE_FUNCOES (hide)'!A:S,18,0),IF(AND('General Information'!$D$17=9,VLOOKUP(B480,Modules!$B$5:$E$496,4,0)=1)=TRUE,VLOOKUP('Hours Detail'!E480,'BASE_FUNCOES (hide)'!A:S,19,0),"No")))))))</f>
        <v>#N/A</v>
      </c>
      <c r="H480" s="166" t="e">
        <f t="shared" si="9"/>
        <v>#N/A</v>
      </c>
      <c r="I480" s="75">
        <f>IF('General Information'!$C$4="Mexico",(ROUNDUP(VLOOKUP(E480,'BASE_FUNCOES (hide)'!A:X,21,0),0)),(ROUNDUP(VLOOKUP(E480,'BASE_FUNCOES (hide)'!A:L,9,0),0)))</f>
        <v>0</v>
      </c>
      <c r="J480" s="75">
        <f>ROUNDUP(SUMIF(Questions!$E$5:$E$558,'Hours Detail'!E480,Questions!$F$5:$F$558),0)</f>
        <v>0</v>
      </c>
      <c r="K480" s="76" t="e">
        <f>IF(H480="Yes",ROUNDUP(IF(VLOOKUP(E480,'BASE_FUNCOES (hide)'!A:T,16,FALSE)&lt;&gt;"No",IF('General Information'!$C$19="HTML5",(I480+J480)*'BASE_FUNCOES (hide)'!$T$2,I480+J480),I480+J480),I480+J480),I480+J480)</f>
        <v>#N/A</v>
      </c>
      <c r="L480" s="163" t="str">
        <f>IF(ISERROR(VLOOKUP(E480,Questions!$E$5:$L$568,6,0))=FALSE,VLOOKUP(E480,Questions!$E$5:$L$568,6,0),"")</f>
        <v/>
      </c>
      <c r="M480" s="164" t="s">
        <v>2396</v>
      </c>
      <c r="N480" s="369" t="s">
        <v>2377</v>
      </c>
    </row>
    <row r="481" spans="1:14" ht="14.5" customHeight="1">
      <c r="A481" s="59"/>
      <c r="B481" s="72"/>
      <c r="C481" s="72"/>
      <c r="D481" s="73"/>
      <c r="E481" s="74"/>
      <c r="F481" s="73"/>
      <c r="G481" s="73" t="e">
        <f>IF(AND('General Information'!$D$16=1,VLOOKUP(B481,Modules!$B$5:$E$496,4,0)=1)=TRUE,VLOOKUP('Hours Detail'!E481,'BASE_FUNCOES (hide)'!$A:$N,10,0),IF(AND('General Information'!$D$16=2,VLOOKUP(B481,Modules!$B$5:$E$496,4,0)=1)=TRUE,VLOOKUP('Hours Detail'!E481,'BASE_FUNCOES (hide)'!$A:$N,11,0),IF(AND('General Information'!$D$16=3,VLOOKUP(B481,Modules!$B$5:$E$496,4,0)=1)=TRUE,VLOOKUP('Hours Detail'!E481,'BASE_FUNCOES (hide)'!$A:$N,12,0),IF(AND('General Information'!$D$16=4,VLOOKUP(B481,Modules!$B$5:$E$496,4,0)=1)=TRUE,VLOOKUP('Hours Detail'!E481,'BASE_FUNCOES (hide)'!$A:$N,13,0),IF(AND('General Information'!$D$17=7,VLOOKUP(B481,Modules!$B$5:$E$496,4,0)=1)=TRUE,VLOOKUP('Hours Detail'!E481,'BASE_FUNCOES (hide)'!A:S,17,0),IF(AND('General Information'!$D$17=8,VLOOKUP(B481,Modules!$B$5:$E$496,4,0)=1)=TRUE,VLOOKUP('Hours Detail'!E481,'BASE_FUNCOES (hide)'!A:S,18,0),IF(AND('General Information'!$D$17=9,VLOOKUP(B481,Modules!$B$5:$E$496,4,0)=1)=TRUE,VLOOKUP('Hours Detail'!E481,'BASE_FUNCOES (hide)'!A:S,19,0),"No")))))))</f>
        <v>#N/A</v>
      </c>
      <c r="H481" s="166" t="e">
        <f t="shared" si="9"/>
        <v>#N/A</v>
      </c>
      <c r="I481" s="75">
        <f>IF('General Information'!$C$4="Mexico",(ROUNDUP(VLOOKUP(E481,'BASE_FUNCOES (hide)'!A:X,21,0),0)),(ROUNDUP(VLOOKUP(E481,'BASE_FUNCOES (hide)'!A:L,9,0),0)))</f>
        <v>0</v>
      </c>
      <c r="J481" s="75">
        <f>ROUNDUP(SUMIF(Questions!$E$5:$E$558,'Hours Detail'!E481,Questions!$F$5:$F$558),0)</f>
        <v>0</v>
      </c>
      <c r="K481" s="76" t="e">
        <f>IF(H481="Yes",ROUNDUP(IF(VLOOKUP(E481,'BASE_FUNCOES (hide)'!A:T,16,FALSE)&lt;&gt;"No",IF('General Information'!$C$19="HTML5",(I481+J481)*'BASE_FUNCOES (hide)'!$T$2,I481+J481),I481+J481),I481+J481),I481+J481)</f>
        <v>#N/A</v>
      </c>
      <c r="L481" s="163" t="str">
        <f>IF(ISERROR(VLOOKUP(E481,Questions!$E$5:$L$568,6,0))=FALSE,VLOOKUP(E481,Questions!$E$5:$L$568,6,0),"")</f>
        <v/>
      </c>
      <c r="M481" s="164" t="s">
        <v>2396</v>
      </c>
      <c r="N481" s="369" t="s">
        <v>2377</v>
      </c>
    </row>
    <row r="482" spans="1:14" ht="14.5" customHeight="1">
      <c r="A482" s="59"/>
      <c r="B482" s="72"/>
      <c r="C482" s="72"/>
      <c r="D482" s="73"/>
      <c r="E482" s="74"/>
      <c r="F482" s="73"/>
      <c r="G482" s="73" t="e">
        <f>IF(AND('General Information'!$D$16=1,VLOOKUP(B482,Modules!$B$5:$E$496,4,0)=1)=TRUE,VLOOKUP('Hours Detail'!E482,'BASE_FUNCOES (hide)'!$A:$N,10,0),IF(AND('General Information'!$D$16=2,VLOOKUP(B482,Modules!$B$5:$E$496,4,0)=1)=TRUE,VLOOKUP('Hours Detail'!E482,'BASE_FUNCOES (hide)'!$A:$N,11,0),IF(AND('General Information'!$D$16=3,VLOOKUP(B482,Modules!$B$5:$E$496,4,0)=1)=TRUE,VLOOKUP('Hours Detail'!E482,'BASE_FUNCOES (hide)'!$A:$N,12,0),IF(AND('General Information'!$D$16=4,VLOOKUP(B482,Modules!$B$5:$E$496,4,0)=1)=TRUE,VLOOKUP('Hours Detail'!E482,'BASE_FUNCOES (hide)'!$A:$N,13,0),IF(AND('General Information'!$D$17=7,VLOOKUP(B482,Modules!$B$5:$E$496,4,0)=1)=TRUE,VLOOKUP('Hours Detail'!E482,'BASE_FUNCOES (hide)'!A:S,17,0),IF(AND('General Information'!$D$17=8,VLOOKUP(B482,Modules!$B$5:$E$496,4,0)=1)=TRUE,VLOOKUP('Hours Detail'!E482,'BASE_FUNCOES (hide)'!A:S,18,0),IF(AND('General Information'!$D$17=9,VLOOKUP(B482,Modules!$B$5:$E$496,4,0)=1)=TRUE,VLOOKUP('Hours Detail'!E482,'BASE_FUNCOES (hide)'!A:S,19,0),"No")))))))</f>
        <v>#N/A</v>
      </c>
      <c r="H482" s="166" t="e">
        <f t="shared" si="9"/>
        <v>#N/A</v>
      </c>
      <c r="I482" s="75">
        <f>IF('General Information'!$C$4="Mexico",(ROUNDUP(VLOOKUP(E482,'BASE_FUNCOES (hide)'!A:X,21,0),0)),(ROUNDUP(VLOOKUP(E482,'BASE_FUNCOES (hide)'!A:L,9,0),0)))</f>
        <v>0</v>
      </c>
      <c r="J482" s="75">
        <f>ROUNDUP(SUMIF(Questions!$E$5:$E$558,'Hours Detail'!E482,Questions!$F$5:$F$558),0)</f>
        <v>0</v>
      </c>
      <c r="K482" s="76" t="e">
        <f>IF(H482="Yes",ROUNDUP(IF(VLOOKUP(E482,'BASE_FUNCOES (hide)'!A:T,16,FALSE)&lt;&gt;"No",IF('General Information'!$C$19="HTML5",(I482+J482)*'BASE_FUNCOES (hide)'!$T$2,I482+J482),I482+J482),I482+J482),I482+J482)</f>
        <v>#N/A</v>
      </c>
      <c r="L482" s="163" t="str">
        <f>IF(ISERROR(VLOOKUP(E482,Questions!$E$5:$L$568,6,0))=FALSE,VLOOKUP(E482,Questions!$E$5:$L$568,6,0),"")</f>
        <v/>
      </c>
      <c r="M482" s="164" t="s">
        <v>2396</v>
      </c>
      <c r="N482" s="369" t="s">
        <v>2377</v>
      </c>
    </row>
    <row r="483" spans="1:14" ht="14.5" customHeight="1">
      <c r="A483" s="59"/>
      <c r="B483" s="72"/>
      <c r="C483" s="72"/>
      <c r="D483" s="73"/>
      <c r="E483" s="74"/>
      <c r="F483" s="73"/>
      <c r="G483" s="73" t="e">
        <f>IF(AND('General Information'!$D$16=1,VLOOKUP(B483,Modules!$B$5:$E$496,4,0)=1)=TRUE,VLOOKUP('Hours Detail'!E483,'BASE_FUNCOES (hide)'!$A:$N,10,0),IF(AND('General Information'!$D$16=2,VLOOKUP(B483,Modules!$B$5:$E$496,4,0)=1)=TRUE,VLOOKUP('Hours Detail'!E483,'BASE_FUNCOES (hide)'!$A:$N,11,0),IF(AND('General Information'!$D$16=3,VLOOKUP(B483,Modules!$B$5:$E$496,4,0)=1)=TRUE,VLOOKUP('Hours Detail'!E483,'BASE_FUNCOES (hide)'!$A:$N,12,0),IF(AND('General Information'!$D$16=4,VLOOKUP(B483,Modules!$B$5:$E$496,4,0)=1)=TRUE,VLOOKUP('Hours Detail'!E483,'BASE_FUNCOES (hide)'!$A:$N,13,0),IF(AND('General Information'!$D$17=7,VLOOKUP(B483,Modules!$B$5:$E$496,4,0)=1)=TRUE,VLOOKUP('Hours Detail'!E483,'BASE_FUNCOES (hide)'!A:S,17,0),IF(AND('General Information'!$D$17=8,VLOOKUP(B483,Modules!$B$5:$E$496,4,0)=1)=TRUE,VLOOKUP('Hours Detail'!E483,'BASE_FUNCOES (hide)'!A:S,18,0),IF(AND('General Information'!$D$17=9,VLOOKUP(B483,Modules!$B$5:$E$496,4,0)=1)=TRUE,VLOOKUP('Hours Detail'!E483,'BASE_FUNCOES (hide)'!A:S,19,0),"No")))))))</f>
        <v>#N/A</v>
      </c>
      <c r="H483" s="166" t="e">
        <f t="shared" si="9"/>
        <v>#N/A</v>
      </c>
      <c r="I483" s="75">
        <f>IF('General Information'!$C$4="Mexico",(ROUNDUP(VLOOKUP(E483,'BASE_FUNCOES (hide)'!A:X,21,0),0)),(ROUNDUP(VLOOKUP(E483,'BASE_FUNCOES (hide)'!A:L,9,0),0)))</f>
        <v>0</v>
      </c>
      <c r="J483" s="75">
        <f>ROUNDUP(SUMIF(Questions!$E$5:$E$558,'Hours Detail'!E483,Questions!$F$5:$F$558),0)</f>
        <v>0</v>
      </c>
      <c r="K483" s="76" t="e">
        <f>IF(H483="Yes",ROUNDUP(IF(VLOOKUP(E483,'BASE_FUNCOES (hide)'!A:T,16,FALSE)&lt;&gt;"No",IF('General Information'!$C$19="HTML5",(I483+J483)*'BASE_FUNCOES (hide)'!$T$2,I483+J483),I483+J483),I483+J483),I483+J483)</f>
        <v>#N/A</v>
      </c>
      <c r="L483" s="163" t="str">
        <f>IF(ISERROR(VLOOKUP(E483,Questions!$E$5:$L$568,6,0))=FALSE,VLOOKUP(E483,Questions!$E$5:$L$568,6,0),"")</f>
        <v/>
      </c>
      <c r="M483" s="164" t="s">
        <v>2396</v>
      </c>
      <c r="N483" s="369" t="s">
        <v>2377</v>
      </c>
    </row>
    <row r="484" spans="1:14" ht="14.5" customHeight="1">
      <c r="A484" s="59"/>
      <c r="B484" s="72"/>
      <c r="C484" s="72"/>
      <c r="D484" s="73"/>
      <c r="E484" s="74"/>
      <c r="F484" s="73"/>
      <c r="G484" s="73" t="e">
        <f>IF(AND('General Information'!$D$16=1,VLOOKUP(B484,Modules!$B$5:$E$496,4,0)=1)=TRUE,VLOOKUP('Hours Detail'!E484,'BASE_FUNCOES (hide)'!$A:$N,10,0),IF(AND('General Information'!$D$16=2,VLOOKUP(B484,Modules!$B$5:$E$496,4,0)=1)=TRUE,VLOOKUP('Hours Detail'!E484,'BASE_FUNCOES (hide)'!$A:$N,11,0),IF(AND('General Information'!$D$16=3,VLOOKUP(B484,Modules!$B$5:$E$496,4,0)=1)=TRUE,VLOOKUP('Hours Detail'!E484,'BASE_FUNCOES (hide)'!$A:$N,12,0),IF(AND('General Information'!$D$16=4,VLOOKUP(B484,Modules!$B$5:$E$496,4,0)=1)=TRUE,VLOOKUP('Hours Detail'!E484,'BASE_FUNCOES (hide)'!$A:$N,13,0),IF(AND('General Information'!$D$17=7,VLOOKUP(B484,Modules!$B$5:$E$496,4,0)=1)=TRUE,VLOOKUP('Hours Detail'!E484,'BASE_FUNCOES (hide)'!A:S,17,0),IF(AND('General Information'!$D$17=8,VLOOKUP(B484,Modules!$B$5:$E$496,4,0)=1)=TRUE,VLOOKUP('Hours Detail'!E484,'BASE_FUNCOES (hide)'!A:S,18,0),IF(AND('General Information'!$D$17=9,VLOOKUP(B484,Modules!$B$5:$E$496,4,0)=1)=TRUE,VLOOKUP('Hours Detail'!E484,'BASE_FUNCOES (hide)'!A:S,19,0),"No")))))))</f>
        <v>#N/A</v>
      </c>
      <c r="H484" s="166" t="e">
        <f t="shared" si="9"/>
        <v>#N/A</v>
      </c>
      <c r="I484" s="75">
        <f>IF('General Information'!$C$4="Mexico",(ROUNDUP(VLOOKUP(E484,'BASE_FUNCOES (hide)'!A:X,21,0),0)),(ROUNDUP(VLOOKUP(E484,'BASE_FUNCOES (hide)'!A:L,9,0),0)))</f>
        <v>0</v>
      </c>
      <c r="J484" s="75">
        <f>ROUNDUP(SUMIF(Questions!$E$5:$E$558,'Hours Detail'!E484,Questions!$F$5:$F$558),0)</f>
        <v>0</v>
      </c>
      <c r="K484" s="76" t="e">
        <f>IF(H484="Yes",ROUNDUP(IF(VLOOKUP(E484,'BASE_FUNCOES (hide)'!A:T,16,FALSE)&lt;&gt;"No",IF('General Information'!$C$19="HTML5",(I484+J484)*'BASE_FUNCOES (hide)'!$T$2,I484+J484),I484+J484),I484+J484),I484+J484)</f>
        <v>#N/A</v>
      </c>
      <c r="L484" s="163" t="str">
        <f>IF(ISERROR(VLOOKUP(E484,Questions!$E$5:$L$568,6,0))=FALSE,VLOOKUP(E484,Questions!$E$5:$L$568,6,0),"")</f>
        <v/>
      </c>
      <c r="M484" s="164" t="s">
        <v>2396</v>
      </c>
      <c r="N484" s="369" t="s">
        <v>2377</v>
      </c>
    </row>
    <row r="485" spans="1:14" ht="14.5" customHeight="1">
      <c r="A485" s="59"/>
      <c r="B485" s="72"/>
      <c r="C485" s="72"/>
      <c r="D485" s="73"/>
      <c r="E485" s="74"/>
      <c r="F485" s="73"/>
      <c r="G485" s="73" t="e">
        <f>IF(AND('General Information'!$D$16=1,VLOOKUP(B485,Modules!$B$5:$E$496,4,0)=1)=TRUE,VLOOKUP('Hours Detail'!E485,'BASE_FUNCOES (hide)'!$A:$N,10,0),IF(AND('General Information'!$D$16=2,VLOOKUP(B485,Modules!$B$5:$E$496,4,0)=1)=TRUE,VLOOKUP('Hours Detail'!E485,'BASE_FUNCOES (hide)'!$A:$N,11,0),IF(AND('General Information'!$D$16=3,VLOOKUP(B485,Modules!$B$5:$E$496,4,0)=1)=TRUE,VLOOKUP('Hours Detail'!E485,'BASE_FUNCOES (hide)'!$A:$N,12,0),IF(AND('General Information'!$D$16=4,VLOOKUP(B485,Modules!$B$5:$E$496,4,0)=1)=TRUE,VLOOKUP('Hours Detail'!E485,'BASE_FUNCOES (hide)'!$A:$N,13,0),IF(AND('General Information'!$D$17=7,VLOOKUP(B485,Modules!$B$5:$E$496,4,0)=1)=TRUE,VLOOKUP('Hours Detail'!E485,'BASE_FUNCOES (hide)'!A:S,17,0),IF(AND('General Information'!$D$17=8,VLOOKUP(B485,Modules!$B$5:$E$496,4,0)=1)=TRUE,VLOOKUP('Hours Detail'!E485,'BASE_FUNCOES (hide)'!A:S,18,0),IF(AND('General Information'!$D$17=9,VLOOKUP(B485,Modules!$B$5:$E$496,4,0)=1)=TRUE,VLOOKUP('Hours Detail'!E485,'BASE_FUNCOES (hide)'!A:S,19,0),"No")))))))</f>
        <v>#N/A</v>
      </c>
      <c r="H485" s="166" t="e">
        <f t="shared" si="9"/>
        <v>#N/A</v>
      </c>
      <c r="I485" s="75">
        <f>IF('General Information'!$C$4="Mexico",(ROUNDUP(VLOOKUP(E485,'BASE_FUNCOES (hide)'!A:X,21,0),0)),(ROUNDUP(VLOOKUP(E485,'BASE_FUNCOES (hide)'!A:L,9,0),0)))</f>
        <v>0</v>
      </c>
      <c r="J485" s="75">
        <f>ROUNDUP(SUMIF(Questions!$E$5:$E$558,'Hours Detail'!E485,Questions!$F$5:$F$558),0)</f>
        <v>0</v>
      </c>
      <c r="K485" s="76" t="e">
        <f>IF(H485="Yes",ROUNDUP(IF(VLOOKUP(E485,'BASE_FUNCOES (hide)'!A:T,16,FALSE)&lt;&gt;"No",IF('General Information'!$C$19="HTML5",(I485+J485)*'BASE_FUNCOES (hide)'!$T$2,I485+J485),I485+J485),I485+J485),I485+J485)</f>
        <v>#N/A</v>
      </c>
      <c r="L485" s="163" t="str">
        <f>IF(ISERROR(VLOOKUP(E485,Questions!$E$5:$L$568,6,0))=FALSE,VLOOKUP(E485,Questions!$E$5:$L$568,6,0),"")</f>
        <v/>
      </c>
      <c r="M485" s="164" t="s">
        <v>2396</v>
      </c>
      <c r="N485" s="369" t="s">
        <v>2377</v>
      </c>
    </row>
    <row r="486" spans="1:14" ht="14.5" customHeight="1">
      <c r="A486" s="59"/>
      <c r="B486" s="72"/>
      <c r="C486" s="72"/>
      <c r="D486" s="73"/>
      <c r="E486" s="74"/>
      <c r="F486" s="73"/>
      <c r="G486" s="73" t="e">
        <f>IF(AND('General Information'!$D$16=1,VLOOKUP(B486,Modules!$B$5:$E$496,4,0)=1)=TRUE,VLOOKUP('Hours Detail'!E486,'BASE_FUNCOES (hide)'!$A:$N,10,0),IF(AND('General Information'!$D$16=2,VLOOKUP(B486,Modules!$B$5:$E$496,4,0)=1)=TRUE,VLOOKUP('Hours Detail'!E486,'BASE_FUNCOES (hide)'!$A:$N,11,0),IF(AND('General Information'!$D$16=3,VLOOKUP(B486,Modules!$B$5:$E$496,4,0)=1)=TRUE,VLOOKUP('Hours Detail'!E486,'BASE_FUNCOES (hide)'!$A:$N,12,0),IF(AND('General Information'!$D$16=4,VLOOKUP(B486,Modules!$B$5:$E$496,4,0)=1)=TRUE,VLOOKUP('Hours Detail'!E486,'BASE_FUNCOES (hide)'!$A:$N,13,0),IF(AND('General Information'!$D$17=7,VLOOKUP(B486,Modules!$B$5:$E$496,4,0)=1)=TRUE,VLOOKUP('Hours Detail'!E486,'BASE_FUNCOES (hide)'!A:S,17,0),IF(AND('General Information'!$D$17=8,VLOOKUP(B486,Modules!$B$5:$E$496,4,0)=1)=TRUE,VLOOKUP('Hours Detail'!E486,'BASE_FUNCOES (hide)'!A:S,18,0),IF(AND('General Information'!$D$17=9,VLOOKUP(B486,Modules!$B$5:$E$496,4,0)=1)=TRUE,VLOOKUP('Hours Detail'!E486,'BASE_FUNCOES (hide)'!A:S,19,0),"No")))))))</f>
        <v>#N/A</v>
      </c>
      <c r="H486" s="166" t="e">
        <f t="shared" si="9"/>
        <v>#N/A</v>
      </c>
      <c r="I486" s="75">
        <f>IF('General Information'!$C$4="Mexico",(ROUNDUP(VLOOKUP(E486,'BASE_FUNCOES (hide)'!A:X,21,0),0)),(ROUNDUP(VLOOKUP(E486,'BASE_FUNCOES (hide)'!A:L,9,0),0)))</f>
        <v>0</v>
      </c>
      <c r="J486" s="75">
        <f>ROUNDUP(SUMIF(Questions!$E$5:$E$558,'Hours Detail'!E486,Questions!$F$5:$F$558),0)</f>
        <v>0</v>
      </c>
      <c r="K486" s="76" t="e">
        <f>IF(H486="Yes",ROUNDUP(IF(VLOOKUP(E486,'BASE_FUNCOES (hide)'!A:T,16,FALSE)&lt;&gt;"No",IF('General Information'!$C$19="HTML5",(I486+J486)*'BASE_FUNCOES (hide)'!$T$2,I486+J486),I486+J486),I486+J486),I486+J486)</f>
        <v>#N/A</v>
      </c>
      <c r="L486" s="163" t="str">
        <f>IF(ISERROR(VLOOKUP(E486,Questions!$E$5:$L$568,6,0))=FALSE,VLOOKUP(E486,Questions!$E$5:$L$568,6,0),"")</f>
        <v/>
      </c>
      <c r="M486" s="164" t="s">
        <v>2396</v>
      </c>
      <c r="N486" s="369" t="s">
        <v>2377</v>
      </c>
    </row>
    <row r="487" spans="1:14" ht="14.5" customHeight="1">
      <c r="A487" s="59"/>
      <c r="B487" s="72"/>
      <c r="C487" s="72"/>
      <c r="D487" s="73"/>
      <c r="E487" s="74"/>
      <c r="F487" s="73"/>
      <c r="G487" s="73" t="e">
        <f>IF(AND('General Information'!$D$16=1,VLOOKUP(B487,Modules!$B$5:$E$496,4,0)=1)=TRUE,VLOOKUP('Hours Detail'!E487,'BASE_FUNCOES (hide)'!$A:$N,10,0),IF(AND('General Information'!$D$16=2,VLOOKUP(B487,Modules!$B$5:$E$496,4,0)=1)=TRUE,VLOOKUP('Hours Detail'!E487,'BASE_FUNCOES (hide)'!$A:$N,11,0),IF(AND('General Information'!$D$16=3,VLOOKUP(B487,Modules!$B$5:$E$496,4,0)=1)=TRUE,VLOOKUP('Hours Detail'!E487,'BASE_FUNCOES (hide)'!$A:$N,12,0),IF(AND('General Information'!$D$16=4,VLOOKUP(B487,Modules!$B$5:$E$496,4,0)=1)=TRUE,VLOOKUP('Hours Detail'!E487,'BASE_FUNCOES (hide)'!$A:$N,13,0),IF(AND('General Information'!$D$17=7,VLOOKUP(B487,Modules!$B$5:$E$496,4,0)=1)=TRUE,VLOOKUP('Hours Detail'!E487,'BASE_FUNCOES (hide)'!A:S,17,0),IF(AND('General Information'!$D$17=8,VLOOKUP(B487,Modules!$B$5:$E$496,4,0)=1)=TRUE,VLOOKUP('Hours Detail'!E487,'BASE_FUNCOES (hide)'!A:S,18,0),IF(AND('General Information'!$D$17=9,VLOOKUP(B487,Modules!$B$5:$E$496,4,0)=1)=TRUE,VLOOKUP('Hours Detail'!E487,'BASE_FUNCOES (hide)'!A:S,19,0),"No")))))))</f>
        <v>#N/A</v>
      </c>
      <c r="H487" s="166" t="e">
        <f t="shared" si="9"/>
        <v>#N/A</v>
      </c>
      <c r="I487" s="75">
        <f>IF('General Information'!$C$4="Mexico",(ROUNDUP(VLOOKUP(E487,'BASE_FUNCOES (hide)'!A:X,21,0),0)),(ROUNDUP(VLOOKUP(E487,'BASE_FUNCOES (hide)'!A:L,9,0),0)))</f>
        <v>0</v>
      </c>
      <c r="J487" s="75">
        <f>ROUNDUP(SUMIF(Questions!$E$5:$E$558,'Hours Detail'!E487,Questions!$F$5:$F$558),0)</f>
        <v>0</v>
      </c>
      <c r="K487" s="76" t="e">
        <f>IF(H487="Yes",ROUNDUP(IF(VLOOKUP(E487,'BASE_FUNCOES (hide)'!A:T,16,FALSE)&lt;&gt;"No",IF('General Information'!$C$19="HTML5",(I487+J487)*'BASE_FUNCOES (hide)'!$T$2,I487+J487),I487+J487),I487+J487),I487+J487)</f>
        <v>#N/A</v>
      </c>
      <c r="L487" s="163" t="str">
        <f>IF(ISERROR(VLOOKUP(E487,Questions!$E$5:$L$568,6,0))=FALSE,VLOOKUP(E487,Questions!$E$5:$L$568,6,0),"")</f>
        <v/>
      </c>
      <c r="M487" s="164" t="s">
        <v>2396</v>
      </c>
      <c r="N487" s="369" t="s">
        <v>2377</v>
      </c>
    </row>
    <row r="488" spans="1:14" ht="14.5" customHeight="1">
      <c r="A488" s="59"/>
      <c r="B488" s="72"/>
      <c r="C488" s="72"/>
      <c r="D488" s="73"/>
      <c r="E488" s="74"/>
      <c r="F488" s="73"/>
      <c r="G488" s="73" t="e">
        <f>IF(AND('General Information'!$D$16=1,VLOOKUP(B488,Modules!$B$5:$E$496,4,0)=1)=TRUE,VLOOKUP('Hours Detail'!E488,'BASE_FUNCOES (hide)'!$A:$N,10,0),IF(AND('General Information'!$D$16=2,VLOOKUP(B488,Modules!$B$5:$E$496,4,0)=1)=TRUE,VLOOKUP('Hours Detail'!E488,'BASE_FUNCOES (hide)'!$A:$N,11,0),IF(AND('General Information'!$D$16=3,VLOOKUP(B488,Modules!$B$5:$E$496,4,0)=1)=TRUE,VLOOKUP('Hours Detail'!E488,'BASE_FUNCOES (hide)'!$A:$N,12,0),IF(AND('General Information'!$D$16=4,VLOOKUP(B488,Modules!$B$5:$E$496,4,0)=1)=TRUE,VLOOKUP('Hours Detail'!E488,'BASE_FUNCOES (hide)'!$A:$N,13,0),IF(AND('General Information'!$D$17=7,VLOOKUP(B488,Modules!$B$5:$E$496,4,0)=1)=TRUE,VLOOKUP('Hours Detail'!E488,'BASE_FUNCOES (hide)'!A:S,17,0),IF(AND('General Information'!$D$17=8,VLOOKUP(B488,Modules!$B$5:$E$496,4,0)=1)=TRUE,VLOOKUP('Hours Detail'!E488,'BASE_FUNCOES (hide)'!A:S,18,0),IF(AND('General Information'!$D$17=9,VLOOKUP(B488,Modules!$B$5:$E$496,4,0)=1)=TRUE,VLOOKUP('Hours Detail'!E488,'BASE_FUNCOES (hide)'!A:S,19,0),"No")))))))</f>
        <v>#N/A</v>
      </c>
      <c r="H488" s="166" t="e">
        <f t="shared" si="9"/>
        <v>#N/A</v>
      </c>
      <c r="I488" s="75">
        <f>IF('General Information'!$C$4="Mexico",(ROUNDUP(VLOOKUP(E488,'BASE_FUNCOES (hide)'!A:X,21,0),0)),(ROUNDUP(VLOOKUP(E488,'BASE_FUNCOES (hide)'!A:L,9,0),0)))</f>
        <v>0</v>
      </c>
      <c r="J488" s="75">
        <f>ROUNDUP(SUMIF(Questions!$E$5:$E$558,'Hours Detail'!E488,Questions!$F$5:$F$558),0)</f>
        <v>0</v>
      </c>
      <c r="K488" s="76" t="e">
        <f>IF(H488="Yes",ROUNDUP(IF(VLOOKUP(E488,'BASE_FUNCOES (hide)'!A:T,16,FALSE)&lt;&gt;"No",IF('General Information'!$C$19="HTML5",(I488+J488)*'BASE_FUNCOES (hide)'!$T$2,I488+J488),I488+J488),I488+J488),I488+J488)</f>
        <v>#N/A</v>
      </c>
      <c r="L488" s="163" t="str">
        <f>IF(ISERROR(VLOOKUP(E488,Questions!$E$5:$L$568,6,0))=FALSE,VLOOKUP(E488,Questions!$E$5:$L$568,6,0),"")</f>
        <v/>
      </c>
      <c r="M488" s="164" t="s">
        <v>2396</v>
      </c>
      <c r="N488" s="369" t="s">
        <v>2377</v>
      </c>
    </row>
    <row r="489" spans="1:14" ht="14.5" customHeight="1">
      <c r="A489" s="59"/>
      <c r="B489" s="72"/>
      <c r="C489" s="72"/>
      <c r="D489" s="73"/>
      <c r="E489" s="74"/>
      <c r="F489" s="73"/>
      <c r="G489" s="73" t="e">
        <f>IF(AND('General Information'!$D$16=1,VLOOKUP(B489,Modules!$B$5:$E$496,4,0)=1)=TRUE,VLOOKUP('Hours Detail'!E489,'BASE_FUNCOES (hide)'!$A:$N,10,0),IF(AND('General Information'!$D$16=2,VLOOKUP(B489,Modules!$B$5:$E$496,4,0)=1)=TRUE,VLOOKUP('Hours Detail'!E489,'BASE_FUNCOES (hide)'!$A:$N,11,0),IF(AND('General Information'!$D$16=3,VLOOKUP(B489,Modules!$B$5:$E$496,4,0)=1)=TRUE,VLOOKUP('Hours Detail'!E489,'BASE_FUNCOES (hide)'!$A:$N,12,0),IF(AND('General Information'!$D$16=4,VLOOKUP(B489,Modules!$B$5:$E$496,4,0)=1)=TRUE,VLOOKUP('Hours Detail'!E489,'BASE_FUNCOES (hide)'!$A:$N,13,0),IF(AND('General Information'!$D$17=7,VLOOKUP(B489,Modules!$B$5:$E$496,4,0)=1)=TRUE,VLOOKUP('Hours Detail'!E489,'BASE_FUNCOES (hide)'!A:S,17,0),IF(AND('General Information'!$D$17=8,VLOOKUP(B489,Modules!$B$5:$E$496,4,0)=1)=TRUE,VLOOKUP('Hours Detail'!E489,'BASE_FUNCOES (hide)'!A:S,18,0),IF(AND('General Information'!$D$17=9,VLOOKUP(B489,Modules!$B$5:$E$496,4,0)=1)=TRUE,VLOOKUP('Hours Detail'!E489,'BASE_FUNCOES (hide)'!A:S,19,0),"No")))))))</f>
        <v>#N/A</v>
      </c>
      <c r="H489" s="166" t="e">
        <f t="shared" si="9"/>
        <v>#N/A</v>
      </c>
      <c r="I489" s="75">
        <f>IF('General Information'!$C$4="Mexico",(ROUNDUP(VLOOKUP(E489,'BASE_FUNCOES (hide)'!A:X,21,0),0)),(ROUNDUP(VLOOKUP(E489,'BASE_FUNCOES (hide)'!A:L,9,0),0)))</f>
        <v>0</v>
      </c>
      <c r="J489" s="75">
        <f>ROUNDUP(SUMIF(Questions!$E$5:$E$558,'Hours Detail'!E489,Questions!$F$5:$F$558),0)</f>
        <v>0</v>
      </c>
      <c r="K489" s="76" t="e">
        <f>IF(H489="Yes",ROUNDUP(IF(VLOOKUP(E489,'BASE_FUNCOES (hide)'!A:T,16,FALSE)&lt;&gt;"No",IF('General Information'!$C$19="HTML5",(I489+J489)*'BASE_FUNCOES (hide)'!$T$2,I489+J489),I489+J489),I489+J489),I489+J489)</f>
        <v>#N/A</v>
      </c>
      <c r="L489" s="163" t="str">
        <f>IF(ISERROR(VLOOKUP(E489,Questions!$E$5:$L$568,6,0))=FALSE,VLOOKUP(E489,Questions!$E$5:$L$568,6,0),"")</f>
        <v/>
      </c>
      <c r="M489" s="164" t="s">
        <v>2396</v>
      </c>
      <c r="N489" s="369" t="s">
        <v>2377</v>
      </c>
    </row>
    <row r="490" spans="1:14" ht="14.5" customHeight="1">
      <c r="A490" s="59"/>
      <c r="B490" s="72"/>
      <c r="C490" s="72"/>
      <c r="D490" s="73"/>
      <c r="E490" s="74"/>
      <c r="F490" s="73"/>
      <c r="G490" s="73" t="e">
        <f>IF(AND('General Information'!$D$16=1,VLOOKUP(B490,Modules!$B$5:$E$496,4,0)=1)=TRUE,VLOOKUP('Hours Detail'!E490,'BASE_FUNCOES (hide)'!$A:$N,10,0),IF(AND('General Information'!$D$16=2,VLOOKUP(B490,Modules!$B$5:$E$496,4,0)=1)=TRUE,VLOOKUP('Hours Detail'!E490,'BASE_FUNCOES (hide)'!$A:$N,11,0),IF(AND('General Information'!$D$16=3,VLOOKUP(B490,Modules!$B$5:$E$496,4,0)=1)=TRUE,VLOOKUP('Hours Detail'!E490,'BASE_FUNCOES (hide)'!$A:$N,12,0),IF(AND('General Information'!$D$16=4,VLOOKUP(B490,Modules!$B$5:$E$496,4,0)=1)=TRUE,VLOOKUP('Hours Detail'!E490,'BASE_FUNCOES (hide)'!$A:$N,13,0),IF(AND('General Information'!$D$17=7,VLOOKUP(B490,Modules!$B$5:$E$496,4,0)=1)=TRUE,VLOOKUP('Hours Detail'!E490,'BASE_FUNCOES (hide)'!A:S,17,0),IF(AND('General Information'!$D$17=8,VLOOKUP(B490,Modules!$B$5:$E$496,4,0)=1)=TRUE,VLOOKUP('Hours Detail'!E490,'BASE_FUNCOES (hide)'!A:S,18,0),IF(AND('General Information'!$D$17=9,VLOOKUP(B490,Modules!$B$5:$E$496,4,0)=1)=TRUE,VLOOKUP('Hours Detail'!E490,'BASE_FUNCOES (hide)'!A:S,19,0),"No")))))))</f>
        <v>#N/A</v>
      </c>
      <c r="H490" s="166" t="e">
        <f t="shared" si="9"/>
        <v>#N/A</v>
      </c>
      <c r="I490" s="75">
        <f>IF('General Information'!$C$4="Mexico",(ROUNDUP(VLOOKUP(E490,'BASE_FUNCOES (hide)'!A:X,21,0),0)),(ROUNDUP(VLOOKUP(E490,'BASE_FUNCOES (hide)'!A:L,9,0),0)))</f>
        <v>0</v>
      </c>
      <c r="J490" s="75">
        <f>ROUNDUP(SUMIF(Questions!$E$5:$E$558,'Hours Detail'!E490,Questions!$F$5:$F$558),0)</f>
        <v>0</v>
      </c>
      <c r="K490" s="76" t="e">
        <f>IF(H490="Yes",ROUNDUP(IF(VLOOKUP(E490,'BASE_FUNCOES (hide)'!A:T,16,FALSE)&lt;&gt;"No",IF('General Information'!$C$19="HTML5",(I490+J490)*'BASE_FUNCOES (hide)'!$T$2,I490+J490),I490+J490),I490+J490),I490+J490)</f>
        <v>#N/A</v>
      </c>
      <c r="L490" s="163" t="str">
        <f>IF(ISERROR(VLOOKUP(E490,Questions!$E$5:$L$568,6,0))=FALSE,VLOOKUP(E490,Questions!$E$5:$L$568,6,0),"")</f>
        <v/>
      </c>
      <c r="M490" s="164" t="s">
        <v>2396</v>
      </c>
      <c r="N490" s="369" t="s">
        <v>2377</v>
      </c>
    </row>
    <row r="491" spans="1:14" ht="14.5" customHeight="1">
      <c r="A491" s="59"/>
      <c r="B491" s="72"/>
      <c r="C491" s="72"/>
      <c r="D491" s="73"/>
      <c r="E491" s="74"/>
      <c r="F491" s="73"/>
      <c r="G491" s="73" t="e">
        <f>IF(AND('General Information'!$D$16=1,VLOOKUP(B491,Modules!$B$5:$E$496,4,0)=1)=TRUE,VLOOKUP('Hours Detail'!E491,'BASE_FUNCOES (hide)'!$A:$N,10,0),IF(AND('General Information'!$D$16=2,VLOOKUP(B491,Modules!$B$5:$E$496,4,0)=1)=TRUE,VLOOKUP('Hours Detail'!E491,'BASE_FUNCOES (hide)'!$A:$N,11,0),IF(AND('General Information'!$D$16=3,VLOOKUP(B491,Modules!$B$5:$E$496,4,0)=1)=TRUE,VLOOKUP('Hours Detail'!E491,'BASE_FUNCOES (hide)'!$A:$N,12,0),IF(AND('General Information'!$D$16=4,VLOOKUP(B491,Modules!$B$5:$E$496,4,0)=1)=TRUE,VLOOKUP('Hours Detail'!E491,'BASE_FUNCOES (hide)'!$A:$N,13,0),IF(AND('General Information'!$D$17=7,VLOOKUP(B491,Modules!$B$5:$E$496,4,0)=1)=TRUE,VLOOKUP('Hours Detail'!E491,'BASE_FUNCOES (hide)'!A:S,17,0),IF(AND('General Information'!$D$17=8,VLOOKUP(B491,Modules!$B$5:$E$496,4,0)=1)=TRUE,VLOOKUP('Hours Detail'!E491,'BASE_FUNCOES (hide)'!A:S,18,0),IF(AND('General Information'!$D$17=9,VLOOKUP(B491,Modules!$B$5:$E$496,4,0)=1)=TRUE,VLOOKUP('Hours Detail'!E491,'BASE_FUNCOES (hide)'!A:S,19,0),"No")))))))</f>
        <v>#N/A</v>
      </c>
      <c r="H491" s="166" t="e">
        <f t="shared" si="9"/>
        <v>#N/A</v>
      </c>
      <c r="I491" s="75">
        <f>IF('General Information'!$C$4="Mexico",(ROUNDUP(VLOOKUP(E491,'BASE_FUNCOES (hide)'!A:X,21,0),0)),(ROUNDUP(VLOOKUP(E491,'BASE_FUNCOES (hide)'!A:L,9,0),0)))</f>
        <v>0</v>
      </c>
      <c r="J491" s="75">
        <f>ROUNDUP(SUMIF(Questions!$E$5:$E$558,'Hours Detail'!E491,Questions!$F$5:$F$558),0)</f>
        <v>0</v>
      </c>
      <c r="K491" s="76" t="e">
        <f>IF(H491="Yes",ROUNDUP(IF(VLOOKUP(E491,'BASE_FUNCOES (hide)'!A:T,16,FALSE)&lt;&gt;"No",IF('General Information'!$C$19="HTML5",(I491+J491)*'BASE_FUNCOES (hide)'!$T$2,I491+J491),I491+J491),I491+J491),I491+J491)</f>
        <v>#N/A</v>
      </c>
      <c r="L491" s="163" t="str">
        <f>IF(ISERROR(VLOOKUP(E491,Questions!$E$5:$L$568,6,0))=FALSE,VLOOKUP(E491,Questions!$E$5:$L$568,6,0),"")</f>
        <v/>
      </c>
      <c r="M491" s="164" t="s">
        <v>2396</v>
      </c>
      <c r="N491" s="369" t="s">
        <v>2377</v>
      </c>
    </row>
    <row r="492" spans="1:14" ht="14.5" customHeight="1">
      <c r="A492" s="59"/>
      <c r="B492" s="72"/>
      <c r="C492" s="72"/>
      <c r="D492" s="73"/>
      <c r="E492" s="74"/>
      <c r="F492" s="73"/>
      <c r="G492" s="73" t="e">
        <f>IF(AND('General Information'!$D$16=1,VLOOKUP(B492,Modules!$B$5:$E$496,4,0)=1)=TRUE,VLOOKUP('Hours Detail'!E492,'BASE_FUNCOES (hide)'!$A:$N,10,0),IF(AND('General Information'!$D$16=2,VLOOKUP(B492,Modules!$B$5:$E$496,4,0)=1)=TRUE,VLOOKUP('Hours Detail'!E492,'BASE_FUNCOES (hide)'!$A:$N,11,0),IF(AND('General Information'!$D$16=3,VLOOKUP(B492,Modules!$B$5:$E$496,4,0)=1)=TRUE,VLOOKUP('Hours Detail'!E492,'BASE_FUNCOES (hide)'!$A:$N,12,0),IF(AND('General Information'!$D$16=4,VLOOKUP(B492,Modules!$B$5:$E$496,4,0)=1)=TRUE,VLOOKUP('Hours Detail'!E492,'BASE_FUNCOES (hide)'!$A:$N,13,0),IF(AND('General Information'!$D$17=7,VLOOKUP(B492,Modules!$B$5:$E$496,4,0)=1)=TRUE,VLOOKUP('Hours Detail'!E492,'BASE_FUNCOES (hide)'!A:S,17,0),IF(AND('General Information'!$D$17=8,VLOOKUP(B492,Modules!$B$5:$E$496,4,0)=1)=TRUE,VLOOKUP('Hours Detail'!E492,'BASE_FUNCOES (hide)'!A:S,18,0),IF(AND('General Information'!$D$17=9,VLOOKUP(B492,Modules!$B$5:$E$496,4,0)=1)=TRUE,VLOOKUP('Hours Detail'!E492,'BASE_FUNCOES (hide)'!A:S,19,0),"No")))))))</f>
        <v>#N/A</v>
      </c>
      <c r="H492" s="166" t="e">
        <f t="shared" si="9"/>
        <v>#N/A</v>
      </c>
      <c r="I492" s="75">
        <f>IF('General Information'!$C$4="Mexico",(ROUNDUP(VLOOKUP(E492,'BASE_FUNCOES (hide)'!A:X,21,0),0)),(ROUNDUP(VLOOKUP(E492,'BASE_FUNCOES (hide)'!A:L,9,0),0)))</f>
        <v>0</v>
      </c>
      <c r="J492" s="75">
        <f>ROUNDUP(SUMIF(Questions!$E$5:$E$558,'Hours Detail'!E492,Questions!$F$5:$F$558),0)</f>
        <v>0</v>
      </c>
      <c r="K492" s="76" t="e">
        <f>IF(H492="Yes",ROUNDUP(IF(VLOOKUP(E492,'BASE_FUNCOES (hide)'!A:T,16,FALSE)&lt;&gt;"No",IF('General Information'!$C$19="HTML5",(I492+J492)*'BASE_FUNCOES (hide)'!$T$2,I492+J492),I492+J492),I492+J492),I492+J492)</f>
        <v>#N/A</v>
      </c>
      <c r="L492" s="163" t="str">
        <f>IF(ISERROR(VLOOKUP(E492,Questions!$E$5:$L$568,6,0))=FALSE,VLOOKUP(E492,Questions!$E$5:$L$568,6,0),"")</f>
        <v/>
      </c>
      <c r="M492" s="164" t="s">
        <v>2396</v>
      </c>
      <c r="N492" s="369" t="s">
        <v>2377</v>
      </c>
    </row>
    <row r="493" spans="1:14" ht="14.5" customHeight="1">
      <c r="A493" s="59"/>
      <c r="B493" s="72"/>
      <c r="C493" s="72"/>
      <c r="D493" s="73"/>
      <c r="E493" s="74"/>
      <c r="F493" s="73"/>
      <c r="G493" s="73" t="e">
        <f>IF(AND('General Information'!$D$16=1,VLOOKUP(B493,Modules!$B$5:$E$496,4,0)=1)=TRUE,VLOOKUP('Hours Detail'!E493,'BASE_FUNCOES (hide)'!$A:$N,10,0),IF(AND('General Information'!$D$16=2,VLOOKUP(B493,Modules!$B$5:$E$496,4,0)=1)=TRUE,VLOOKUP('Hours Detail'!E493,'BASE_FUNCOES (hide)'!$A:$N,11,0),IF(AND('General Information'!$D$16=3,VLOOKUP(B493,Modules!$B$5:$E$496,4,0)=1)=TRUE,VLOOKUP('Hours Detail'!E493,'BASE_FUNCOES (hide)'!$A:$N,12,0),IF(AND('General Information'!$D$16=4,VLOOKUP(B493,Modules!$B$5:$E$496,4,0)=1)=TRUE,VLOOKUP('Hours Detail'!E493,'BASE_FUNCOES (hide)'!$A:$N,13,0),IF(AND('General Information'!$D$17=7,VLOOKUP(B493,Modules!$B$5:$E$496,4,0)=1)=TRUE,VLOOKUP('Hours Detail'!E493,'BASE_FUNCOES (hide)'!A:S,17,0),IF(AND('General Information'!$D$17=8,VLOOKUP(B493,Modules!$B$5:$E$496,4,0)=1)=TRUE,VLOOKUP('Hours Detail'!E493,'BASE_FUNCOES (hide)'!A:S,18,0),IF(AND('General Information'!$D$17=9,VLOOKUP(B493,Modules!$B$5:$E$496,4,0)=1)=TRUE,VLOOKUP('Hours Detail'!E493,'BASE_FUNCOES (hide)'!A:S,19,0),"No")))))))</f>
        <v>#N/A</v>
      </c>
      <c r="H493" s="166" t="e">
        <f t="shared" si="9"/>
        <v>#N/A</v>
      </c>
      <c r="I493" s="75">
        <f>IF('General Information'!$C$4="Mexico",(ROUNDUP(VLOOKUP(E493,'BASE_FUNCOES (hide)'!A:X,21,0),0)),(ROUNDUP(VLOOKUP(E493,'BASE_FUNCOES (hide)'!A:L,9,0),0)))</f>
        <v>0</v>
      </c>
      <c r="J493" s="75">
        <f>ROUNDUP(SUMIF(Questions!$E$5:$E$558,'Hours Detail'!E493,Questions!$F$5:$F$558),0)</f>
        <v>0</v>
      </c>
      <c r="K493" s="76" t="e">
        <f>IF(H493="Yes",ROUNDUP(IF(VLOOKUP(E493,'BASE_FUNCOES (hide)'!A:T,16,FALSE)&lt;&gt;"No",IF('General Information'!$C$19="HTML5",(I493+J493)*'BASE_FUNCOES (hide)'!$T$2,I493+J493),I493+J493),I493+J493),I493+J493)</f>
        <v>#N/A</v>
      </c>
      <c r="L493" s="163" t="str">
        <f>IF(ISERROR(VLOOKUP(E493,Questions!$E$5:$L$568,6,0))=FALSE,VLOOKUP(E493,Questions!$E$5:$L$568,6,0),"")</f>
        <v/>
      </c>
      <c r="M493" s="164" t="s">
        <v>2396</v>
      </c>
      <c r="N493" s="369" t="s">
        <v>2377</v>
      </c>
    </row>
    <row r="494" spans="1:14" ht="14.5" customHeight="1">
      <c r="A494" s="59"/>
      <c r="B494" s="72"/>
      <c r="C494" s="72"/>
      <c r="D494" s="73"/>
      <c r="E494" s="74"/>
      <c r="F494" s="73"/>
      <c r="G494" s="73" t="e">
        <f>IF(AND('General Information'!$D$16=1,VLOOKUP(B494,Modules!$B$5:$E$496,4,0)=1)=TRUE,VLOOKUP('Hours Detail'!E494,'BASE_FUNCOES (hide)'!$A:$N,10,0),IF(AND('General Information'!$D$16=2,VLOOKUP(B494,Modules!$B$5:$E$496,4,0)=1)=TRUE,VLOOKUP('Hours Detail'!E494,'BASE_FUNCOES (hide)'!$A:$N,11,0),IF(AND('General Information'!$D$16=3,VLOOKUP(B494,Modules!$B$5:$E$496,4,0)=1)=TRUE,VLOOKUP('Hours Detail'!E494,'BASE_FUNCOES (hide)'!$A:$N,12,0),IF(AND('General Information'!$D$16=4,VLOOKUP(B494,Modules!$B$5:$E$496,4,0)=1)=TRUE,VLOOKUP('Hours Detail'!E494,'BASE_FUNCOES (hide)'!$A:$N,13,0),IF(AND('General Information'!$D$17=7,VLOOKUP(B494,Modules!$B$5:$E$496,4,0)=1)=TRUE,VLOOKUP('Hours Detail'!E494,'BASE_FUNCOES (hide)'!A:S,17,0),IF(AND('General Information'!$D$17=8,VLOOKUP(B494,Modules!$B$5:$E$496,4,0)=1)=TRUE,VLOOKUP('Hours Detail'!E494,'BASE_FUNCOES (hide)'!A:S,18,0),IF(AND('General Information'!$D$17=9,VLOOKUP(B494,Modules!$B$5:$E$496,4,0)=1)=TRUE,VLOOKUP('Hours Detail'!E494,'BASE_FUNCOES (hide)'!A:S,19,0),"No")))))))</f>
        <v>#N/A</v>
      </c>
      <c r="H494" s="166" t="e">
        <f t="shared" si="9"/>
        <v>#N/A</v>
      </c>
      <c r="I494" s="75">
        <f>IF('General Information'!$C$4="Mexico",(ROUNDUP(VLOOKUP(E494,'BASE_FUNCOES (hide)'!A:X,21,0),0)),(ROUNDUP(VLOOKUP(E494,'BASE_FUNCOES (hide)'!A:L,9,0),0)))</f>
        <v>0</v>
      </c>
      <c r="J494" s="75">
        <f>ROUNDUP(SUMIF(Questions!$E$5:$E$558,'Hours Detail'!E494,Questions!$F$5:$F$558),0)</f>
        <v>0</v>
      </c>
      <c r="K494" s="76" t="e">
        <f>IF(H494="Yes",ROUNDUP(IF(VLOOKUP(E494,'BASE_FUNCOES (hide)'!A:T,16,FALSE)&lt;&gt;"No",IF('General Information'!$C$19="HTML5",(I494+J494)*'BASE_FUNCOES (hide)'!$T$2,I494+J494),I494+J494),I494+J494),I494+J494)</f>
        <v>#N/A</v>
      </c>
      <c r="L494" s="163" t="str">
        <f>IF(ISERROR(VLOOKUP(E494,Questions!$E$5:$L$568,6,0))=FALSE,VLOOKUP(E494,Questions!$E$5:$L$568,6,0),"")</f>
        <v/>
      </c>
      <c r="M494" s="164" t="s">
        <v>2396</v>
      </c>
      <c r="N494" s="369" t="s">
        <v>2377</v>
      </c>
    </row>
    <row r="495" spans="1:14" ht="14.5" customHeight="1">
      <c r="A495" s="59"/>
      <c r="B495" s="72"/>
      <c r="C495" s="72"/>
      <c r="D495" s="73"/>
      <c r="E495" s="74"/>
      <c r="F495" s="73"/>
      <c r="G495" s="73" t="e">
        <f>IF(AND('General Information'!$D$16=1,VLOOKUP(B495,Modules!$B$5:$E$496,4,0)=1)=TRUE,VLOOKUP('Hours Detail'!E495,'BASE_FUNCOES (hide)'!$A:$N,10,0),IF(AND('General Information'!$D$16=2,VLOOKUP(B495,Modules!$B$5:$E$496,4,0)=1)=TRUE,VLOOKUP('Hours Detail'!E495,'BASE_FUNCOES (hide)'!$A:$N,11,0),IF(AND('General Information'!$D$16=3,VLOOKUP(B495,Modules!$B$5:$E$496,4,0)=1)=TRUE,VLOOKUP('Hours Detail'!E495,'BASE_FUNCOES (hide)'!$A:$N,12,0),IF(AND('General Information'!$D$16=4,VLOOKUP(B495,Modules!$B$5:$E$496,4,0)=1)=TRUE,VLOOKUP('Hours Detail'!E495,'BASE_FUNCOES (hide)'!$A:$N,13,0),IF(AND('General Information'!$D$17=7,VLOOKUP(B495,Modules!$B$5:$E$496,4,0)=1)=TRUE,VLOOKUP('Hours Detail'!E495,'BASE_FUNCOES (hide)'!A:S,17,0),IF(AND('General Information'!$D$17=8,VLOOKUP(B495,Modules!$B$5:$E$496,4,0)=1)=TRUE,VLOOKUP('Hours Detail'!E495,'BASE_FUNCOES (hide)'!A:S,18,0),IF(AND('General Information'!$D$17=9,VLOOKUP(B495,Modules!$B$5:$E$496,4,0)=1)=TRUE,VLOOKUP('Hours Detail'!E495,'BASE_FUNCOES (hide)'!A:S,19,0),"No")))))))</f>
        <v>#N/A</v>
      </c>
      <c r="H495" s="166" t="e">
        <f t="shared" si="9"/>
        <v>#N/A</v>
      </c>
      <c r="I495" s="75">
        <f>IF('General Information'!$C$4="Mexico",(ROUNDUP(VLOOKUP(E495,'BASE_FUNCOES (hide)'!A:X,21,0),0)),(ROUNDUP(VLOOKUP(E495,'BASE_FUNCOES (hide)'!A:L,9,0),0)))</f>
        <v>0</v>
      </c>
      <c r="J495" s="75">
        <f>ROUNDUP(SUMIF(Questions!$E$5:$E$558,'Hours Detail'!E495,Questions!$F$5:$F$558),0)</f>
        <v>0</v>
      </c>
      <c r="K495" s="76" t="e">
        <f>IF(H495="Yes",ROUNDUP(IF(VLOOKUP(E495,'BASE_FUNCOES (hide)'!A:T,16,FALSE)&lt;&gt;"No",IF('General Information'!$C$19="HTML5",(I495+J495)*'BASE_FUNCOES (hide)'!$T$2,I495+J495),I495+J495),I495+J495),I495+J495)</f>
        <v>#N/A</v>
      </c>
      <c r="L495" s="163" t="str">
        <f>IF(ISERROR(VLOOKUP(E495,Questions!$E$5:$L$568,6,0))=FALSE,VLOOKUP(E495,Questions!$E$5:$L$568,6,0),"")</f>
        <v/>
      </c>
      <c r="M495" s="164" t="s">
        <v>2396</v>
      </c>
      <c r="N495" s="369" t="s">
        <v>2377</v>
      </c>
    </row>
    <row r="496" spans="1:14" ht="14.5" customHeight="1">
      <c r="A496" s="59"/>
      <c r="B496" s="72"/>
      <c r="C496" s="72"/>
      <c r="D496" s="73"/>
      <c r="E496" s="74"/>
      <c r="F496" s="73"/>
      <c r="G496" s="73" t="e">
        <f>IF(AND('General Information'!$D$16=1,VLOOKUP(B496,Modules!$B$5:$E$496,4,0)=1)=TRUE,VLOOKUP('Hours Detail'!E496,'BASE_FUNCOES (hide)'!$A:$N,10,0),IF(AND('General Information'!$D$16=2,VLOOKUP(B496,Modules!$B$5:$E$496,4,0)=1)=TRUE,VLOOKUP('Hours Detail'!E496,'BASE_FUNCOES (hide)'!$A:$N,11,0),IF(AND('General Information'!$D$16=3,VLOOKUP(B496,Modules!$B$5:$E$496,4,0)=1)=TRUE,VLOOKUP('Hours Detail'!E496,'BASE_FUNCOES (hide)'!$A:$N,12,0),IF(AND('General Information'!$D$16=4,VLOOKUP(B496,Modules!$B$5:$E$496,4,0)=1)=TRUE,VLOOKUP('Hours Detail'!E496,'BASE_FUNCOES (hide)'!$A:$N,13,0),IF(AND('General Information'!$D$17=7,VLOOKUP(B496,Modules!$B$5:$E$496,4,0)=1)=TRUE,VLOOKUP('Hours Detail'!E496,'BASE_FUNCOES (hide)'!A:S,17,0),IF(AND('General Information'!$D$17=8,VLOOKUP(B496,Modules!$B$5:$E$496,4,0)=1)=TRUE,VLOOKUP('Hours Detail'!E496,'BASE_FUNCOES (hide)'!A:S,18,0),IF(AND('General Information'!$D$17=9,VLOOKUP(B496,Modules!$B$5:$E$496,4,0)=1)=TRUE,VLOOKUP('Hours Detail'!E496,'BASE_FUNCOES (hide)'!A:S,19,0),"No")))))))</f>
        <v>#N/A</v>
      </c>
      <c r="H496" s="166" t="e">
        <f t="shared" si="9"/>
        <v>#N/A</v>
      </c>
      <c r="I496" s="75">
        <f>IF('General Information'!$C$4="Mexico",(ROUNDUP(VLOOKUP(E496,'BASE_FUNCOES (hide)'!A:X,21,0),0)),(ROUNDUP(VLOOKUP(E496,'BASE_FUNCOES (hide)'!A:L,9,0),0)))</f>
        <v>0</v>
      </c>
      <c r="J496" s="75">
        <f>ROUNDUP(SUMIF(Questions!$E$5:$E$558,'Hours Detail'!E496,Questions!$F$5:$F$558),0)</f>
        <v>0</v>
      </c>
      <c r="K496" s="76" t="e">
        <f>IF(H496="Yes",ROUNDUP(IF(VLOOKUP(E496,'BASE_FUNCOES (hide)'!A:T,16,FALSE)&lt;&gt;"No",IF('General Information'!$C$19="HTML5",(I496+J496)*'BASE_FUNCOES (hide)'!$T$2,I496+J496),I496+J496),I496+J496),I496+J496)</f>
        <v>#N/A</v>
      </c>
      <c r="L496" s="163" t="str">
        <f>IF(ISERROR(VLOOKUP(E496,Questions!$E$5:$L$568,6,0))=FALSE,VLOOKUP(E496,Questions!$E$5:$L$568,6,0),"")</f>
        <v/>
      </c>
      <c r="M496" s="164" t="s">
        <v>2396</v>
      </c>
      <c r="N496" s="369" t="s">
        <v>2377</v>
      </c>
    </row>
    <row r="497" spans="1:14" ht="14.5" customHeight="1">
      <c r="A497" s="59"/>
      <c r="B497" s="72"/>
      <c r="C497" s="72"/>
      <c r="D497" s="73"/>
      <c r="E497" s="74"/>
      <c r="F497" s="73"/>
      <c r="G497" s="73" t="e">
        <f>IF(AND('General Information'!$D$16=1,VLOOKUP(B497,Modules!$B$5:$E$496,4,0)=1)=TRUE,VLOOKUP('Hours Detail'!E497,'BASE_FUNCOES (hide)'!$A:$N,10,0),IF(AND('General Information'!$D$16=2,VLOOKUP(B497,Modules!$B$5:$E$496,4,0)=1)=TRUE,VLOOKUP('Hours Detail'!E497,'BASE_FUNCOES (hide)'!$A:$N,11,0),IF(AND('General Information'!$D$16=3,VLOOKUP(B497,Modules!$B$5:$E$496,4,0)=1)=TRUE,VLOOKUP('Hours Detail'!E497,'BASE_FUNCOES (hide)'!$A:$N,12,0),IF(AND('General Information'!$D$16=4,VLOOKUP(B497,Modules!$B$5:$E$496,4,0)=1)=TRUE,VLOOKUP('Hours Detail'!E497,'BASE_FUNCOES (hide)'!$A:$N,13,0),IF(AND('General Information'!$D$17=7,VLOOKUP(B497,Modules!$B$5:$E$496,4,0)=1)=TRUE,VLOOKUP('Hours Detail'!E497,'BASE_FUNCOES (hide)'!A:S,17,0),IF(AND('General Information'!$D$17=8,VLOOKUP(B497,Modules!$B$5:$E$496,4,0)=1)=TRUE,VLOOKUP('Hours Detail'!E497,'BASE_FUNCOES (hide)'!A:S,18,0),IF(AND('General Information'!$D$17=9,VLOOKUP(B497,Modules!$B$5:$E$496,4,0)=1)=TRUE,VLOOKUP('Hours Detail'!E497,'BASE_FUNCOES (hide)'!A:S,19,0),"No")))))))</f>
        <v>#N/A</v>
      </c>
      <c r="H497" s="166" t="e">
        <f t="shared" si="9"/>
        <v>#N/A</v>
      </c>
      <c r="I497" s="75">
        <f>IF('General Information'!$C$4="Mexico",(ROUNDUP(VLOOKUP(E497,'BASE_FUNCOES (hide)'!A:X,21,0),0)),(ROUNDUP(VLOOKUP(E497,'BASE_FUNCOES (hide)'!A:L,9,0),0)))</f>
        <v>0</v>
      </c>
      <c r="J497" s="75">
        <f>ROUNDUP(SUMIF(Questions!$E$5:$E$558,'Hours Detail'!E497,Questions!$F$5:$F$558),0)</f>
        <v>0</v>
      </c>
      <c r="K497" s="76" t="e">
        <f>IF(H497="Yes",ROUNDUP(IF(VLOOKUP(E497,'BASE_FUNCOES (hide)'!A:T,16,FALSE)&lt;&gt;"No",IF('General Information'!$C$19="HTML5",(I497+J497)*'BASE_FUNCOES (hide)'!$T$2,I497+J497),I497+J497),I497+J497),I497+J497)</f>
        <v>#N/A</v>
      </c>
      <c r="L497" s="163" t="str">
        <f>IF(ISERROR(VLOOKUP(E497,Questions!$E$5:$L$568,6,0))=FALSE,VLOOKUP(E497,Questions!$E$5:$L$568,6,0),"")</f>
        <v/>
      </c>
      <c r="M497" s="164" t="s">
        <v>2396</v>
      </c>
      <c r="N497" s="369" t="s">
        <v>2377</v>
      </c>
    </row>
    <row r="498" spans="1:14" ht="14.5" customHeight="1">
      <c r="A498" s="59"/>
      <c r="B498" s="72"/>
      <c r="C498" s="72"/>
      <c r="D498" s="73"/>
      <c r="E498" s="74"/>
      <c r="F498" s="73"/>
      <c r="G498" s="73" t="e">
        <f>IF(AND('General Information'!$D$16=1,VLOOKUP(B498,Modules!$B$5:$E$496,4,0)=1)=TRUE,VLOOKUP('Hours Detail'!E498,'BASE_FUNCOES (hide)'!$A:$N,10,0),IF(AND('General Information'!$D$16=2,VLOOKUP(B498,Modules!$B$5:$E$496,4,0)=1)=TRUE,VLOOKUP('Hours Detail'!E498,'BASE_FUNCOES (hide)'!$A:$N,11,0),IF(AND('General Information'!$D$16=3,VLOOKUP(B498,Modules!$B$5:$E$496,4,0)=1)=TRUE,VLOOKUP('Hours Detail'!E498,'BASE_FUNCOES (hide)'!$A:$N,12,0),IF(AND('General Information'!$D$16=4,VLOOKUP(B498,Modules!$B$5:$E$496,4,0)=1)=TRUE,VLOOKUP('Hours Detail'!E498,'BASE_FUNCOES (hide)'!$A:$N,13,0),IF(AND('General Information'!$D$17=7,VLOOKUP(B498,Modules!$B$5:$E$496,4,0)=1)=TRUE,VLOOKUP('Hours Detail'!E498,'BASE_FUNCOES (hide)'!A:S,17,0),IF(AND('General Information'!$D$17=8,VLOOKUP(B498,Modules!$B$5:$E$496,4,0)=1)=TRUE,VLOOKUP('Hours Detail'!E498,'BASE_FUNCOES (hide)'!A:S,18,0),IF(AND('General Information'!$D$17=9,VLOOKUP(B498,Modules!$B$5:$E$496,4,0)=1)=TRUE,VLOOKUP('Hours Detail'!E498,'BASE_FUNCOES (hide)'!A:S,19,0),"No")))))))</f>
        <v>#N/A</v>
      </c>
      <c r="H498" s="166" t="e">
        <f t="shared" si="9"/>
        <v>#N/A</v>
      </c>
      <c r="I498" s="75">
        <f>IF('General Information'!$C$4="Mexico",(ROUNDUP(VLOOKUP(E498,'BASE_FUNCOES (hide)'!A:X,21,0),0)),(ROUNDUP(VLOOKUP(E498,'BASE_FUNCOES (hide)'!A:L,9,0),0)))</f>
        <v>0</v>
      </c>
      <c r="J498" s="75">
        <f>ROUNDUP(SUMIF(Questions!$E$5:$E$558,'Hours Detail'!E498,Questions!$F$5:$F$558),0)</f>
        <v>0</v>
      </c>
      <c r="K498" s="76" t="e">
        <f>IF(H498="Yes",ROUNDUP(IF(VLOOKUP(E498,'BASE_FUNCOES (hide)'!A:T,16,FALSE)&lt;&gt;"No",IF('General Information'!$C$19="HTML5",(I498+J498)*'BASE_FUNCOES (hide)'!$T$2,I498+J498),I498+J498),I498+J498),I498+J498)</f>
        <v>#N/A</v>
      </c>
      <c r="L498" s="163" t="str">
        <f>IF(ISERROR(VLOOKUP(E498,Questions!$E$5:$L$568,6,0))=FALSE,VLOOKUP(E498,Questions!$E$5:$L$568,6,0),"")</f>
        <v/>
      </c>
      <c r="M498" s="164" t="s">
        <v>2396</v>
      </c>
      <c r="N498" s="369" t="s">
        <v>2377</v>
      </c>
    </row>
    <row r="499" spans="1:14" ht="14.5" customHeight="1">
      <c r="A499" s="59"/>
      <c r="B499" s="72"/>
      <c r="C499" s="72"/>
      <c r="D499" s="73"/>
      <c r="E499" s="74"/>
      <c r="F499" s="73"/>
      <c r="G499" s="73" t="e">
        <f>IF(AND('General Information'!$D$16=1,VLOOKUP(B499,Modules!$B$5:$E$496,4,0)=1)=TRUE,VLOOKUP('Hours Detail'!E499,'BASE_FUNCOES (hide)'!$A:$N,10,0),IF(AND('General Information'!$D$16=2,VLOOKUP(B499,Modules!$B$5:$E$496,4,0)=1)=TRUE,VLOOKUP('Hours Detail'!E499,'BASE_FUNCOES (hide)'!$A:$N,11,0),IF(AND('General Information'!$D$16=3,VLOOKUP(B499,Modules!$B$5:$E$496,4,0)=1)=TRUE,VLOOKUP('Hours Detail'!E499,'BASE_FUNCOES (hide)'!$A:$N,12,0),IF(AND('General Information'!$D$16=4,VLOOKUP(B499,Modules!$B$5:$E$496,4,0)=1)=TRUE,VLOOKUP('Hours Detail'!E499,'BASE_FUNCOES (hide)'!$A:$N,13,0),IF(AND('General Information'!$D$17=7,VLOOKUP(B499,Modules!$B$5:$E$496,4,0)=1)=TRUE,VLOOKUP('Hours Detail'!E499,'BASE_FUNCOES (hide)'!A:S,17,0),IF(AND('General Information'!$D$17=8,VLOOKUP(B499,Modules!$B$5:$E$496,4,0)=1)=TRUE,VLOOKUP('Hours Detail'!E499,'BASE_FUNCOES (hide)'!A:S,18,0),IF(AND('General Information'!$D$17=9,VLOOKUP(B499,Modules!$B$5:$E$496,4,0)=1)=TRUE,VLOOKUP('Hours Detail'!E499,'BASE_FUNCOES (hide)'!A:S,19,0),"No")))))))</f>
        <v>#N/A</v>
      </c>
      <c r="H499" s="166" t="e">
        <f t="shared" si="9"/>
        <v>#N/A</v>
      </c>
      <c r="I499" s="75">
        <f>IF('General Information'!$C$4="Mexico",(ROUNDUP(VLOOKUP(E499,'BASE_FUNCOES (hide)'!A:X,21,0),0)),(ROUNDUP(VLOOKUP(E499,'BASE_FUNCOES (hide)'!A:L,9,0),0)))</f>
        <v>0</v>
      </c>
      <c r="J499" s="75">
        <f>ROUNDUP(SUMIF(Questions!$E$5:$E$558,'Hours Detail'!E499,Questions!$F$5:$F$558),0)</f>
        <v>0</v>
      </c>
      <c r="K499" s="76" t="e">
        <f>IF(H499="Yes",ROUNDUP(IF(VLOOKUP(E499,'BASE_FUNCOES (hide)'!A:T,16,FALSE)&lt;&gt;"No",IF('General Information'!$C$19="HTML5",(I499+J499)*'BASE_FUNCOES (hide)'!$T$2,I499+J499),I499+J499),I499+J499),I499+J499)</f>
        <v>#N/A</v>
      </c>
      <c r="L499" s="163" t="str">
        <f>IF(ISERROR(VLOOKUP(E499,Questions!$E$5:$L$568,6,0))=FALSE,VLOOKUP(E499,Questions!$E$5:$L$568,6,0),"")</f>
        <v/>
      </c>
      <c r="M499" s="164" t="s">
        <v>2396</v>
      </c>
      <c r="N499" s="369" t="s">
        <v>2377</v>
      </c>
    </row>
    <row r="500" spans="1:14" ht="14.5" customHeight="1">
      <c r="A500" s="59"/>
      <c r="B500" s="72"/>
      <c r="C500" s="72"/>
      <c r="D500" s="73"/>
      <c r="E500" s="74"/>
      <c r="F500" s="73"/>
      <c r="G500" s="73" t="e">
        <f>IF(AND('General Information'!$D$16=1,VLOOKUP(B500,Modules!$B$5:$E$496,4,0)=1)=TRUE,VLOOKUP('Hours Detail'!E500,'BASE_FUNCOES (hide)'!$A:$N,10,0),IF(AND('General Information'!$D$16=2,VLOOKUP(B500,Modules!$B$5:$E$496,4,0)=1)=TRUE,VLOOKUP('Hours Detail'!E500,'BASE_FUNCOES (hide)'!$A:$N,11,0),IF(AND('General Information'!$D$16=3,VLOOKUP(B500,Modules!$B$5:$E$496,4,0)=1)=TRUE,VLOOKUP('Hours Detail'!E500,'BASE_FUNCOES (hide)'!$A:$N,12,0),IF(AND('General Information'!$D$16=4,VLOOKUP(B500,Modules!$B$5:$E$496,4,0)=1)=TRUE,VLOOKUP('Hours Detail'!E500,'BASE_FUNCOES (hide)'!$A:$N,13,0),IF(AND('General Information'!$D$17=7,VLOOKUP(B500,Modules!$B$5:$E$496,4,0)=1)=TRUE,VLOOKUP('Hours Detail'!E500,'BASE_FUNCOES (hide)'!A:S,17,0),IF(AND('General Information'!$D$17=8,VLOOKUP(B500,Modules!$B$5:$E$496,4,0)=1)=TRUE,VLOOKUP('Hours Detail'!E500,'BASE_FUNCOES (hide)'!A:S,18,0),IF(AND('General Information'!$D$17=9,VLOOKUP(B500,Modules!$B$5:$E$496,4,0)=1)=TRUE,VLOOKUP('Hours Detail'!E500,'BASE_FUNCOES (hide)'!A:S,19,0),"No")))))))</f>
        <v>#N/A</v>
      </c>
      <c r="H500" s="166" t="e">
        <f t="shared" si="9"/>
        <v>#N/A</v>
      </c>
      <c r="I500" s="75">
        <f>IF('General Information'!$C$4="Mexico",(ROUNDUP(VLOOKUP(E500,'BASE_FUNCOES (hide)'!A:X,21,0),0)),(ROUNDUP(VLOOKUP(E500,'BASE_FUNCOES (hide)'!A:L,9,0),0)))</f>
        <v>0</v>
      </c>
      <c r="J500" s="75">
        <f>ROUNDUP(SUMIF(Questions!$E$5:$E$558,'Hours Detail'!E500,Questions!$F$5:$F$558),0)</f>
        <v>0</v>
      </c>
      <c r="K500" s="76" t="e">
        <f>IF(H500="Yes",ROUNDUP(IF(VLOOKUP(E500,'BASE_FUNCOES (hide)'!A:T,16,FALSE)&lt;&gt;"No",IF('General Information'!$C$19="HTML5",(I500+J500)*'BASE_FUNCOES (hide)'!$T$2,I500+J500),I500+J500),I500+J500),I500+J500)</f>
        <v>#N/A</v>
      </c>
      <c r="L500" s="163" t="str">
        <f>IF(ISERROR(VLOOKUP(E500,Questions!$E$5:$L$568,6,0))=FALSE,VLOOKUP(E500,Questions!$E$5:$L$568,6,0),"")</f>
        <v/>
      </c>
      <c r="M500" s="164" t="s">
        <v>2396</v>
      </c>
      <c r="N500" s="369" t="s">
        <v>2377</v>
      </c>
    </row>
    <row r="501" spans="1:14" ht="14.5" customHeight="1">
      <c r="A501" s="59"/>
      <c r="B501" s="72"/>
      <c r="C501" s="72"/>
      <c r="D501" s="73"/>
      <c r="E501" s="74"/>
      <c r="F501" s="73"/>
      <c r="G501" s="73" t="e">
        <f>IF(AND('General Information'!$D$16=1,VLOOKUP(B501,Modules!$B$5:$E$496,4,0)=1)=TRUE,VLOOKUP('Hours Detail'!E501,'BASE_FUNCOES (hide)'!$A:$N,10,0),IF(AND('General Information'!$D$16=2,VLOOKUP(B501,Modules!$B$5:$E$496,4,0)=1)=TRUE,VLOOKUP('Hours Detail'!E501,'BASE_FUNCOES (hide)'!$A:$N,11,0),IF(AND('General Information'!$D$16=3,VLOOKUP(B501,Modules!$B$5:$E$496,4,0)=1)=TRUE,VLOOKUP('Hours Detail'!E501,'BASE_FUNCOES (hide)'!$A:$N,12,0),IF(AND('General Information'!$D$16=4,VLOOKUP(B501,Modules!$B$5:$E$496,4,0)=1)=TRUE,VLOOKUP('Hours Detail'!E501,'BASE_FUNCOES (hide)'!$A:$N,13,0),IF(AND('General Information'!$D$17=7,VLOOKUP(B501,Modules!$B$5:$E$496,4,0)=1)=TRUE,VLOOKUP('Hours Detail'!E501,'BASE_FUNCOES (hide)'!A:S,17,0),IF(AND('General Information'!$D$17=8,VLOOKUP(B501,Modules!$B$5:$E$496,4,0)=1)=TRUE,VLOOKUP('Hours Detail'!E501,'BASE_FUNCOES (hide)'!A:S,18,0),IF(AND('General Information'!$D$17=9,VLOOKUP(B501,Modules!$B$5:$E$496,4,0)=1)=TRUE,VLOOKUP('Hours Detail'!E501,'BASE_FUNCOES (hide)'!A:S,19,0),"No")))))))</f>
        <v>#N/A</v>
      </c>
      <c r="H501" s="166" t="e">
        <f t="shared" si="9"/>
        <v>#N/A</v>
      </c>
      <c r="I501" s="75">
        <f>IF('General Information'!$C$4="Mexico",(ROUNDUP(VLOOKUP(E501,'BASE_FUNCOES (hide)'!A:X,21,0),0)),(ROUNDUP(VLOOKUP(E501,'BASE_FUNCOES (hide)'!A:L,9,0),0)))</f>
        <v>0</v>
      </c>
      <c r="J501" s="75">
        <f>ROUNDUP(SUMIF(Questions!$E$5:$E$558,'Hours Detail'!E501,Questions!$F$5:$F$558),0)</f>
        <v>0</v>
      </c>
      <c r="K501" s="76" t="e">
        <f>IF(H501="Yes",ROUNDUP(IF(VLOOKUP(E501,'BASE_FUNCOES (hide)'!A:T,16,FALSE)&lt;&gt;"No",IF('General Information'!$C$19="HTML5",(I501+J501)*'BASE_FUNCOES (hide)'!$T$2,I501+J501),I501+J501),I501+J501),I501+J501)</f>
        <v>#N/A</v>
      </c>
      <c r="L501" s="163" t="str">
        <f>IF(ISERROR(VLOOKUP(E501,Questions!$E$5:$L$568,6,0))=FALSE,VLOOKUP(E501,Questions!$E$5:$L$568,6,0),"")</f>
        <v/>
      </c>
      <c r="M501" s="164" t="s">
        <v>2396</v>
      </c>
      <c r="N501" s="369" t="s">
        <v>2377</v>
      </c>
    </row>
    <row r="502" spans="1:14" ht="14.5" customHeight="1">
      <c r="A502" s="59"/>
      <c r="B502" s="72"/>
      <c r="C502" s="72"/>
      <c r="D502" s="73"/>
      <c r="E502" s="74"/>
      <c r="F502" s="73"/>
      <c r="G502" s="73" t="e">
        <f>IF(AND('General Information'!$D$16=1,VLOOKUP(B502,Modules!$B$5:$E$496,4,0)=1)=TRUE,VLOOKUP('Hours Detail'!E502,'BASE_FUNCOES (hide)'!$A:$N,10,0),IF(AND('General Information'!$D$16=2,VLOOKUP(B502,Modules!$B$5:$E$496,4,0)=1)=TRUE,VLOOKUP('Hours Detail'!E502,'BASE_FUNCOES (hide)'!$A:$N,11,0),IF(AND('General Information'!$D$16=3,VLOOKUP(B502,Modules!$B$5:$E$496,4,0)=1)=TRUE,VLOOKUP('Hours Detail'!E502,'BASE_FUNCOES (hide)'!$A:$N,12,0),IF(AND('General Information'!$D$16=4,VLOOKUP(B502,Modules!$B$5:$E$496,4,0)=1)=TRUE,VLOOKUP('Hours Detail'!E502,'BASE_FUNCOES (hide)'!$A:$N,13,0),IF(AND('General Information'!$D$17=7,VLOOKUP(B502,Modules!$B$5:$E$496,4,0)=1)=TRUE,VLOOKUP('Hours Detail'!E502,'BASE_FUNCOES (hide)'!A:S,17,0),IF(AND('General Information'!$D$17=8,VLOOKUP(B502,Modules!$B$5:$E$496,4,0)=1)=TRUE,VLOOKUP('Hours Detail'!E502,'BASE_FUNCOES (hide)'!A:S,18,0),IF(AND('General Information'!$D$17=9,VLOOKUP(B502,Modules!$B$5:$E$496,4,0)=1)=TRUE,VLOOKUP('Hours Detail'!E502,'BASE_FUNCOES (hide)'!A:S,19,0),"No")))))))</f>
        <v>#N/A</v>
      </c>
      <c r="H502" s="166" t="e">
        <f t="shared" si="9"/>
        <v>#N/A</v>
      </c>
      <c r="I502" s="75">
        <f>IF('General Information'!$C$4="Mexico",(ROUNDUP(VLOOKUP(E502,'BASE_FUNCOES (hide)'!A:X,21,0),0)),(ROUNDUP(VLOOKUP(E502,'BASE_FUNCOES (hide)'!A:L,9,0),0)))</f>
        <v>0</v>
      </c>
      <c r="J502" s="75">
        <f>ROUNDUP(SUMIF(Questions!$E$5:$E$558,'Hours Detail'!E502,Questions!$F$5:$F$558),0)</f>
        <v>0</v>
      </c>
      <c r="K502" s="76" t="e">
        <f>IF(H502="Yes",ROUNDUP(IF(VLOOKUP(E502,'BASE_FUNCOES (hide)'!A:T,16,FALSE)&lt;&gt;"No",IF('General Information'!$C$19="HTML5",(I502+J502)*'BASE_FUNCOES (hide)'!$T$2,I502+J502),I502+J502),I502+J502),I502+J502)</f>
        <v>#N/A</v>
      </c>
      <c r="L502" s="163" t="str">
        <f>IF(ISERROR(VLOOKUP(E502,Questions!$E$5:$L$568,6,0))=FALSE,VLOOKUP(E502,Questions!$E$5:$L$568,6,0),"")</f>
        <v/>
      </c>
      <c r="M502" s="164" t="s">
        <v>2396</v>
      </c>
      <c r="N502" s="369" t="s">
        <v>2377</v>
      </c>
    </row>
    <row r="503" spans="1:14" ht="14.5" customHeight="1">
      <c r="A503" s="59"/>
      <c r="B503" s="72"/>
      <c r="C503" s="72"/>
      <c r="D503" s="73"/>
      <c r="E503" s="74"/>
      <c r="F503" s="73"/>
      <c r="G503" s="73" t="e">
        <f>IF(AND('General Information'!$D$16=1,VLOOKUP(B503,Modules!$B$5:$E$496,4,0)=1)=TRUE,VLOOKUP('Hours Detail'!E503,'BASE_FUNCOES (hide)'!$A:$N,10,0),IF(AND('General Information'!$D$16=2,VLOOKUP(B503,Modules!$B$5:$E$496,4,0)=1)=TRUE,VLOOKUP('Hours Detail'!E503,'BASE_FUNCOES (hide)'!$A:$N,11,0),IF(AND('General Information'!$D$16=3,VLOOKUP(B503,Modules!$B$5:$E$496,4,0)=1)=TRUE,VLOOKUP('Hours Detail'!E503,'BASE_FUNCOES (hide)'!$A:$N,12,0),IF(AND('General Information'!$D$16=4,VLOOKUP(B503,Modules!$B$5:$E$496,4,0)=1)=TRUE,VLOOKUP('Hours Detail'!E503,'BASE_FUNCOES (hide)'!$A:$N,13,0),IF(AND('General Information'!$D$17=7,VLOOKUP(B503,Modules!$B$5:$E$496,4,0)=1)=TRUE,VLOOKUP('Hours Detail'!E503,'BASE_FUNCOES (hide)'!A:S,17,0),IF(AND('General Information'!$D$17=8,VLOOKUP(B503,Modules!$B$5:$E$496,4,0)=1)=TRUE,VLOOKUP('Hours Detail'!E503,'BASE_FUNCOES (hide)'!A:S,18,0),IF(AND('General Information'!$D$17=9,VLOOKUP(B503,Modules!$B$5:$E$496,4,0)=1)=TRUE,VLOOKUP('Hours Detail'!E503,'BASE_FUNCOES (hide)'!A:S,19,0),"No")))))))</f>
        <v>#N/A</v>
      </c>
      <c r="H503" s="166" t="e">
        <f t="shared" si="9"/>
        <v>#N/A</v>
      </c>
      <c r="I503" s="75">
        <f>IF('General Information'!$C$4="Mexico",(ROUNDUP(VLOOKUP(E503,'BASE_FUNCOES (hide)'!A:X,21,0),0)),(ROUNDUP(VLOOKUP(E503,'BASE_FUNCOES (hide)'!A:L,9,0),0)))</f>
        <v>0</v>
      </c>
      <c r="J503" s="75">
        <f>ROUNDUP(SUMIF(Questions!$E$5:$E$558,'Hours Detail'!E503,Questions!$F$5:$F$558),0)</f>
        <v>0</v>
      </c>
      <c r="K503" s="76" t="e">
        <f>IF(H503="Yes",ROUNDUP(IF(VLOOKUP(E503,'BASE_FUNCOES (hide)'!A:T,16,FALSE)&lt;&gt;"No",IF('General Information'!$C$19="HTML5",(I503+J503)*'BASE_FUNCOES (hide)'!$T$2,I503+J503),I503+J503),I503+J503),I503+J503)</f>
        <v>#N/A</v>
      </c>
      <c r="L503" s="163" t="str">
        <f>IF(ISERROR(VLOOKUP(E503,Questions!$E$5:$L$568,6,0))=FALSE,VLOOKUP(E503,Questions!$E$5:$L$568,6,0),"")</f>
        <v/>
      </c>
      <c r="M503" s="164" t="s">
        <v>2396</v>
      </c>
      <c r="N503" s="369" t="s">
        <v>2377</v>
      </c>
    </row>
    <row r="504" spans="1:14" ht="14.5" customHeight="1">
      <c r="A504" s="59"/>
      <c r="B504" s="72"/>
      <c r="C504" s="72"/>
      <c r="D504" s="73"/>
      <c r="E504" s="74"/>
      <c r="F504" s="73"/>
      <c r="G504" s="73" t="e">
        <f>IF(AND('General Information'!$D$16=1,VLOOKUP(B504,Modules!$B$5:$E$496,4,0)=1)=TRUE,VLOOKUP('Hours Detail'!E504,'BASE_FUNCOES (hide)'!$A:$N,10,0),IF(AND('General Information'!$D$16=2,VLOOKUP(B504,Modules!$B$5:$E$496,4,0)=1)=TRUE,VLOOKUP('Hours Detail'!E504,'BASE_FUNCOES (hide)'!$A:$N,11,0),IF(AND('General Information'!$D$16=3,VLOOKUP(B504,Modules!$B$5:$E$496,4,0)=1)=TRUE,VLOOKUP('Hours Detail'!E504,'BASE_FUNCOES (hide)'!$A:$N,12,0),IF(AND('General Information'!$D$16=4,VLOOKUP(B504,Modules!$B$5:$E$496,4,0)=1)=TRUE,VLOOKUP('Hours Detail'!E504,'BASE_FUNCOES (hide)'!$A:$N,13,0),IF(AND('General Information'!$D$17=7,VLOOKUP(B504,Modules!$B$5:$E$496,4,0)=1)=TRUE,VLOOKUP('Hours Detail'!E504,'BASE_FUNCOES (hide)'!A:S,17,0),IF(AND('General Information'!$D$17=8,VLOOKUP(B504,Modules!$B$5:$E$496,4,0)=1)=TRUE,VLOOKUP('Hours Detail'!E504,'BASE_FUNCOES (hide)'!A:S,18,0),IF(AND('General Information'!$D$17=9,VLOOKUP(B504,Modules!$B$5:$E$496,4,0)=1)=TRUE,VLOOKUP('Hours Detail'!E504,'BASE_FUNCOES (hide)'!A:S,19,0),"No")))))))</f>
        <v>#N/A</v>
      </c>
      <c r="H504" s="166" t="e">
        <f t="shared" si="9"/>
        <v>#N/A</v>
      </c>
      <c r="I504" s="75">
        <f>IF('General Information'!$C$4="Mexico",(ROUNDUP(VLOOKUP(E504,'BASE_FUNCOES (hide)'!A:X,21,0),0)),(ROUNDUP(VLOOKUP(E504,'BASE_FUNCOES (hide)'!A:L,9,0),0)))</f>
        <v>0</v>
      </c>
      <c r="J504" s="75">
        <f>ROUNDUP(SUMIF(Questions!$E$5:$E$558,'Hours Detail'!E504,Questions!$F$5:$F$558),0)</f>
        <v>0</v>
      </c>
      <c r="K504" s="76" t="e">
        <f>IF(H504="Yes",ROUNDUP(IF(VLOOKUP(E504,'BASE_FUNCOES (hide)'!A:T,16,FALSE)&lt;&gt;"No",IF('General Information'!$C$19="HTML5",(I504+J504)*'BASE_FUNCOES (hide)'!$T$2,I504+J504),I504+J504),I504+J504),I504+J504)</f>
        <v>#N/A</v>
      </c>
      <c r="L504" s="163" t="str">
        <f>IF(ISERROR(VLOOKUP(E504,Questions!$E$5:$L$568,6,0))=FALSE,VLOOKUP(E504,Questions!$E$5:$L$568,6,0),"")</f>
        <v/>
      </c>
      <c r="M504" s="164" t="s">
        <v>2396</v>
      </c>
      <c r="N504" s="369" t="s">
        <v>2377</v>
      </c>
    </row>
    <row r="505" spans="1:14" ht="14.5" customHeight="1">
      <c r="A505" s="59"/>
      <c r="B505" s="72"/>
      <c r="C505" s="72"/>
      <c r="D505" s="73"/>
      <c r="E505" s="74"/>
      <c r="F505" s="73"/>
      <c r="G505" s="73" t="e">
        <f>IF(AND('General Information'!$D$16=1,VLOOKUP(B505,Modules!$B$5:$E$496,4,0)=1)=TRUE,VLOOKUP('Hours Detail'!E505,'BASE_FUNCOES (hide)'!$A:$N,10,0),IF(AND('General Information'!$D$16=2,VLOOKUP(B505,Modules!$B$5:$E$496,4,0)=1)=TRUE,VLOOKUP('Hours Detail'!E505,'BASE_FUNCOES (hide)'!$A:$N,11,0),IF(AND('General Information'!$D$16=3,VLOOKUP(B505,Modules!$B$5:$E$496,4,0)=1)=TRUE,VLOOKUP('Hours Detail'!E505,'BASE_FUNCOES (hide)'!$A:$N,12,0),IF(AND('General Information'!$D$16=4,VLOOKUP(B505,Modules!$B$5:$E$496,4,0)=1)=TRUE,VLOOKUP('Hours Detail'!E505,'BASE_FUNCOES (hide)'!$A:$N,13,0),IF(AND('General Information'!$D$17=7,VLOOKUP(B505,Modules!$B$5:$E$496,4,0)=1)=TRUE,VLOOKUP('Hours Detail'!E505,'BASE_FUNCOES (hide)'!A:S,17,0),IF(AND('General Information'!$D$17=8,VLOOKUP(B505,Modules!$B$5:$E$496,4,0)=1)=TRUE,VLOOKUP('Hours Detail'!E505,'BASE_FUNCOES (hide)'!A:S,18,0),IF(AND('General Information'!$D$17=9,VLOOKUP(B505,Modules!$B$5:$E$496,4,0)=1)=TRUE,VLOOKUP('Hours Detail'!E505,'BASE_FUNCOES (hide)'!A:S,19,0),"No")))))))</f>
        <v>#N/A</v>
      </c>
      <c r="H505" s="166" t="e">
        <f t="shared" si="9"/>
        <v>#N/A</v>
      </c>
      <c r="I505" s="75">
        <f>IF('General Information'!$C$4="Mexico",(ROUNDUP(VLOOKUP(E505,'BASE_FUNCOES (hide)'!A:X,21,0),0)),(ROUNDUP(VLOOKUP(E505,'BASE_FUNCOES (hide)'!A:L,9,0),0)))</f>
        <v>0</v>
      </c>
      <c r="J505" s="75">
        <f>ROUNDUP(SUMIF(Questions!$E$5:$E$558,'Hours Detail'!E505,Questions!$F$5:$F$558),0)</f>
        <v>0</v>
      </c>
      <c r="K505" s="76" t="e">
        <f>IF(H505="Yes",ROUNDUP(IF(VLOOKUP(E505,'BASE_FUNCOES (hide)'!A:T,16,FALSE)&lt;&gt;"No",IF('General Information'!$C$19="HTML5",(I505+J505)*'BASE_FUNCOES (hide)'!$T$2,I505+J505),I505+J505),I505+J505),I505+J505)</f>
        <v>#N/A</v>
      </c>
      <c r="L505" s="163" t="str">
        <f>IF(ISERROR(VLOOKUP(E505,Questions!$E$5:$L$568,6,0))=FALSE,VLOOKUP(E505,Questions!$E$5:$L$568,6,0),"")</f>
        <v/>
      </c>
      <c r="M505" s="164" t="s">
        <v>2396</v>
      </c>
      <c r="N505" s="369" t="s">
        <v>2377</v>
      </c>
    </row>
    <row r="506" spans="1:14" ht="14.5" customHeight="1">
      <c r="A506" s="59"/>
      <c r="B506" s="72"/>
      <c r="C506" s="72"/>
      <c r="D506" s="73"/>
      <c r="E506" s="74"/>
      <c r="F506" s="73"/>
      <c r="G506" s="73" t="e">
        <f>IF(AND('General Information'!$D$16=1,VLOOKUP(B506,Modules!$B$5:$E$496,4,0)=1)=TRUE,VLOOKUP('Hours Detail'!E506,'BASE_FUNCOES (hide)'!$A:$N,10,0),IF(AND('General Information'!$D$16=2,VLOOKUP(B506,Modules!$B$5:$E$496,4,0)=1)=TRUE,VLOOKUP('Hours Detail'!E506,'BASE_FUNCOES (hide)'!$A:$N,11,0),IF(AND('General Information'!$D$16=3,VLOOKUP(B506,Modules!$B$5:$E$496,4,0)=1)=TRUE,VLOOKUP('Hours Detail'!E506,'BASE_FUNCOES (hide)'!$A:$N,12,0),IF(AND('General Information'!$D$16=4,VLOOKUP(B506,Modules!$B$5:$E$496,4,0)=1)=TRUE,VLOOKUP('Hours Detail'!E506,'BASE_FUNCOES (hide)'!$A:$N,13,0),IF(AND('General Information'!$D$17=7,VLOOKUP(B506,Modules!$B$5:$E$496,4,0)=1)=TRUE,VLOOKUP('Hours Detail'!E506,'BASE_FUNCOES (hide)'!A:S,17,0),IF(AND('General Information'!$D$17=8,VLOOKUP(B506,Modules!$B$5:$E$496,4,0)=1)=TRUE,VLOOKUP('Hours Detail'!E506,'BASE_FUNCOES (hide)'!A:S,18,0),IF(AND('General Information'!$D$17=9,VLOOKUP(B506,Modules!$B$5:$E$496,4,0)=1)=TRUE,VLOOKUP('Hours Detail'!E506,'BASE_FUNCOES (hide)'!A:S,19,0),"No")))))))</f>
        <v>#N/A</v>
      </c>
      <c r="H506" s="166" t="e">
        <f t="shared" si="9"/>
        <v>#N/A</v>
      </c>
      <c r="I506" s="75">
        <f>IF('General Information'!$C$4="Mexico",(ROUNDUP(VLOOKUP(E506,'BASE_FUNCOES (hide)'!A:X,21,0),0)),(ROUNDUP(VLOOKUP(E506,'BASE_FUNCOES (hide)'!A:L,9,0),0)))</f>
        <v>0</v>
      </c>
      <c r="J506" s="75">
        <f>ROUNDUP(SUMIF(Questions!$E$5:$E$558,'Hours Detail'!E506,Questions!$F$5:$F$558),0)</f>
        <v>0</v>
      </c>
      <c r="K506" s="76" t="e">
        <f>IF(H506="Yes",ROUNDUP(IF(VLOOKUP(E506,'BASE_FUNCOES (hide)'!A:T,16,FALSE)&lt;&gt;"No",IF('General Information'!$C$19="HTML5",(I506+J506)*'BASE_FUNCOES (hide)'!$T$2,I506+J506),I506+J506),I506+J506),I506+J506)</f>
        <v>#N/A</v>
      </c>
      <c r="L506" s="163" t="str">
        <f>IF(ISERROR(VLOOKUP(E506,Questions!$E$5:$L$568,6,0))=FALSE,VLOOKUP(E506,Questions!$E$5:$L$568,6,0),"")</f>
        <v/>
      </c>
      <c r="M506" s="164" t="s">
        <v>2396</v>
      </c>
      <c r="N506" s="369" t="s">
        <v>2377</v>
      </c>
    </row>
    <row r="507" spans="1:14" ht="14.5" customHeight="1">
      <c r="A507" s="59"/>
      <c r="B507" s="72"/>
      <c r="C507" s="72"/>
      <c r="D507" s="73"/>
      <c r="E507" s="74"/>
      <c r="F507" s="73"/>
      <c r="G507" s="73" t="e">
        <f>IF(AND('General Information'!$D$16=1,VLOOKUP(B507,Modules!$B$5:$E$496,4,0)=1)=TRUE,VLOOKUP('Hours Detail'!E507,'BASE_FUNCOES (hide)'!$A:$N,10,0),IF(AND('General Information'!$D$16=2,VLOOKUP(B507,Modules!$B$5:$E$496,4,0)=1)=TRUE,VLOOKUP('Hours Detail'!E507,'BASE_FUNCOES (hide)'!$A:$N,11,0),IF(AND('General Information'!$D$16=3,VLOOKUP(B507,Modules!$B$5:$E$496,4,0)=1)=TRUE,VLOOKUP('Hours Detail'!E507,'BASE_FUNCOES (hide)'!$A:$N,12,0),IF(AND('General Information'!$D$16=4,VLOOKUP(B507,Modules!$B$5:$E$496,4,0)=1)=TRUE,VLOOKUP('Hours Detail'!E507,'BASE_FUNCOES (hide)'!$A:$N,13,0),IF(AND('General Information'!$D$17=7,VLOOKUP(B507,Modules!$B$5:$E$496,4,0)=1)=TRUE,VLOOKUP('Hours Detail'!E507,'BASE_FUNCOES (hide)'!A:S,17,0),IF(AND('General Information'!$D$17=8,VLOOKUP(B507,Modules!$B$5:$E$496,4,0)=1)=TRUE,VLOOKUP('Hours Detail'!E507,'BASE_FUNCOES (hide)'!A:S,18,0),IF(AND('General Information'!$D$17=9,VLOOKUP(B507,Modules!$B$5:$E$496,4,0)=1)=TRUE,VLOOKUP('Hours Detail'!E507,'BASE_FUNCOES (hide)'!A:S,19,0),"No")))))))</f>
        <v>#N/A</v>
      </c>
      <c r="H507" s="166" t="e">
        <f t="shared" si="9"/>
        <v>#N/A</v>
      </c>
      <c r="I507" s="75">
        <f>IF('General Information'!$C$4="Mexico",(ROUNDUP(VLOOKUP(E507,'BASE_FUNCOES (hide)'!A:X,21,0),0)),(ROUNDUP(VLOOKUP(E507,'BASE_FUNCOES (hide)'!A:L,9,0),0)))</f>
        <v>0</v>
      </c>
      <c r="J507" s="75">
        <f>ROUNDUP(SUMIF(Questions!$E$5:$E$558,'Hours Detail'!E507,Questions!$F$5:$F$558),0)</f>
        <v>0</v>
      </c>
      <c r="K507" s="76" t="e">
        <f>IF(H507="Yes",ROUNDUP(IF(VLOOKUP(E507,'BASE_FUNCOES (hide)'!A:T,16,FALSE)&lt;&gt;"No",IF('General Information'!$C$19="HTML5",(I507+J507)*'BASE_FUNCOES (hide)'!$T$2,I507+J507),I507+J507),I507+J507),I507+J507)</f>
        <v>#N/A</v>
      </c>
      <c r="L507" s="163" t="str">
        <f>IF(ISERROR(VLOOKUP(E507,Questions!$E$5:$L$568,6,0))=FALSE,VLOOKUP(E507,Questions!$E$5:$L$568,6,0),"")</f>
        <v/>
      </c>
      <c r="M507" s="164" t="s">
        <v>2396</v>
      </c>
      <c r="N507" s="369" t="s">
        <v>2377</v>
      </c>
    </row>
    <row r="508" spans="1:14" ht="14.5" customHeight="1">
      <c r="A508" s="59"/>
      <c r="B508" s="72"/>
      <c r="C508" s="72"/>
      <c r="D508" s="73"/>
      <c r="E508" s="74"/>
      <c r="F508" s="73"/>
      <c r="G508" s="73" t="e">
        <f>IF(AND('General Information'!$D$16=1,VLOOKUP(B508,Modules!$B$5:$E$496,4,0)=1)=TRUE,VLOOKUP('Hours Detail'!E508,'BASE_FUNCOES (hide)'!$A:$N,10,0),IF(AND('General Information'!$D$16=2,VLOOKUP(B508,Modules!$B$5:$E$496,4,0)=1)=TRUE,VLOOKUP('Hours Detail'!E508,'BASE_FUNCOES (hide)'!$A:$N,11,0),IF(AND('General Information'!$D$16=3,VLOOKUP(B508,Modules!$B$5:$E$496,4,0)=1)=TRUE,VLOOKUP('Hours Detail'!E508,'BASE_FUNCOES (hide)'!$A:$N,12,0),IF(AND('General Information'!$D$16=4,VLOOKUP(B508,Modules!$B$5:$E$496,4,0)=1)=TRUE,VLOOKUP('Hours Detail'!E508,'BASE_FUNCOES (hide)'!$A:$N,13,0),IF(AND('General Information'!$D$17=7,VLOOKUP(B508,Modules!$B$5:$E$496,4,0)=1)=TRUE,VLOOKUP('Hours Detail'!E508,'BASE_FUNCOES (hide)'!A:S,17,0),IF(AND('General Information'!$D$17=8,VLOOKUP(B508,Modules!$B$5:$E$496,4,0)=1)=TRUE,VLOOKUP('Hours Detail'!E508,'BASE_FUNCOES (hide)'!A:S,18,0),IF(AND('General Information'!$D$17=9,VLOOKUP(B508,Modules!$B$5:$E$496,4,0)=1)=TRUE,VLOOKUP('Hours Detail'!E508,'BASE_FUNCOES (hide)'!A:S,19,0),"No")))))))</f>
        <v>#N/A</v>
      </c>
      <c r="H508" s="166" t="e">
        <f t="shared" si="9"/>
        <v>#N/A</v>
      </c>
      <c r="I508" s="75">
        <f>IF('General Information'!$C$4="Mexico",(ROUNDUP(VLOOKUP(E508,'BASE_FUNCOES (hide)'!A:X,21,0),0)),(ROUNDUP(VLOOKUP(E508,'BASE_FUNCOES (hide)'!A:L,9,0),0)))</f>
        <v>0</v>
      </c>
      <c r="J508" s="75">
        <f>ROUNDUP(SUMIF(Questions!$E$5:$E$558,'Hours Detail'!E508,Questions!$F$5:$F$558),0)</f>
        <v>0</v>
      </c>
      <c r="K508" s="76" t="e">
        <f>IF(H508="Yes",ROUNDUP(IF(VLOOKUP(E508,'BASE_FUNCOES (hide)'!A:T,16,FALSE)&lt;&gt;"No",IF('General Information'!$C$19="HTML5",(I508+J508)*'BASE_FUNCOES (hide)'!$T$2,I508+J508),I508+J508),I508+J508),I508+J508)</f>
        <v>#N/A</v>
      </c>
      <c r="L508" s="163" t="str">
        <f>IF(ISERROR(VLOOKUP(E508,Questions!$E$5:$L$568,6,0))=FALSE,VLOOKUP(E508,Questions!$E$5:$L$568,6,0),"")</f>
        <v/>
      </c>
      <c r="M508" s="164" t="s">
        <v>2396</v>
      </c>
      <c r="N508" s="369" t="s">
        <v>2377</v>
      </c>
    </row>
    <row r="509" spans="1:14" ht="14.5" customHeight="1">
      <c r="A509" s="59"/>
      <c r="B509" s="72"/>
      <c r="C509" s="72"/>
      <c r="D509" s="73"/>
      <c r="E509" s="74"/>
      <c r="F509" s="73"/>
      <c r="G509" s="73" t="e">
        <f>IF(AND('General Information'!$D$16=1,VLOOKUP(B509,Modules!$B$5:$E$496,4,0)=1)=TRUE,VLOOKUP('Hours Detail'!E509,'BASE_FUNCOES (hide)'!$A:$N,10,0),IF(AND('General Information'!$D$16=2,VLOOKUP(B509,Modules!$B$5:$E$496,4,0)=1)=TRUE,VLOOKUP('Hours Detail'!E509,'BASE_FUNCOES (hide)'!$A:$N,11,0),IF(AND('General Information'!$D$16=3,VLOOKUP(B509,Modules!$B$5:$E$496,4,0)=1)=TRUE,VLOOKUP('Hours Detail'!E509,'BASE_FUNCOES (hide)'!$A:$N,12,0),IF(AND('General Information'!$D$16=4,VLOOKUP(B509,Modules!$B$5:$E$496,4,0)=1)=TRUE,VLOOKUP('Hours Detail'!E509,'BASE_FUNCOES (hide)'!$A:$N,13,0),IF(AND('General Information'!$D$17=7,VLOOKUP(B509,Modules!$B$5:$E$496,4,0)=1)=TRUE,VLOOKUP('Hours Detail'!E509,'BASE_FUNCOES (hide)'!A:S,17,0),IF(AND('General Information'!$D$17=8,VLOOKUP(B509,Modules!$B$5:$E$496,4,0)=1)=TRUE,VLOOKUP('Hours Detail'!E509,'BASE_FUNCOES (hide)'!A:S,18,0),IF(AND('General Information'!$D$17=9,VLOOKUP(B509,Modules!$B$5:$E$496,4,0)=1)=TRUE,VLOOKUP('Hours Detail'!E509,'BASE_FUNCOES (hide)'!A:S,19,0),"No")))))))</f>
        <v>#N/A</v>
      </c>
      <c r="H509" s="166" t="e">
        <f t="shared" si="9"/>
        <v>#N/A</v>
      </c>
      <c r="I509" s="75">
        <f>IF('General Information'!$C$4="Mexico",(ROUNDUP(VLOOKUP(E509,'BASE_FUNCOES (hide)'!A:X,21,0),0)),(ROUNDUP(VLOOKUP(E509,'BASE_FUNCOES (hide)'!A:L,9,0),0)))</f>
        <v>0</v>
      </c>
      <c r="J509" s="75">
        <f>ROUNDUP(SUMIF(Questions!$E$5:$E$558,'Hours Detail'!E509,Questions!$F$5:$F$558),0)</f>
        <v>0</v>
      </c>
      <c r="K509" s="76" t="e">
        <f>IF(H509="Yes",ROUNDUP(IF(VLOOKUP(E509,'BASE_FUNCOES (hide)'!A:T,16,FALSE)&lt;&gt;"No",IF('General Information'!$C$19="HTML5",(I509+J509)*'BASE_FUNCOES (hide)'!$T$2,I509+J509),I509+J509),I509+J509),I509+J509)</f>
        <v>#N/A</v>
      </c>
      <c r="L509" s="163" t="str">
        <f>IF(ISERROR(VLOOKUP(E509,Questions!$E$5:$L$568,6,0))=FALSE,VLOOKUP(E509,Questions!$E$5:$L$568,6,0),"")</f>
        <v/>
      </c>
      <c r="M509" s="164" t="s">
        <v>2396</v>
      </c>
      <c r="N509" s="369" t="s">
        <v>2377</v>
      </c>
    </row>
    <row r="510" spans="1:14" ht="14.5" customHeight="1">
      <c r="A510" s="59"/>
      <c r="B510" s="72"/>
      <c r="C510" s="72"/>
      <c r="D510" s="73"/>
      <c r="E510" s="74"/>
      <c r="F510" s="73"/>
      <c r="G510" s="73" t="e">
        <f>IF(AND('General Information'!$D$16=1,VLOOKUP(B510,Modules!$B$5:$E$496,4,0)=1)=TRUE,VLOOKUP('Hours Detail'!E510,'BASE_FUNCOES (hide)'!$A:$N,10,0),IF(AND('General Information'!$D$16=2,VLOOKUP(B510,Modules!$B$5:$E$496,4,0)=1)=TRUE,VLOOKUP('Hours Detail'!E510,'BASE_FUNCOES (hide)'!$A:$N,11,0),IF(AND('General Information'!$D$16=3,VLOOKUP(B510,Modules!$B$5:$E$496,4,0)=1)=TRUE,VLOOKUP('Hours Detail'!E510,'BASE_FUNCOES (hide)'!$A:$N,12,0),IF(AND('General Information'!$D$16=4,VLOOKUP(B510,Modules!$B$5:$E$496,4,0)=1)=TRUE,VLOOKUP('Hours Detail'!E510,'BASE_FUNCOES (hide)'!$A:$N,13,0),IF(AND('General Information'!$D$17=7,VLOOKUP(B510,Modules!$B$5:$E$496,4,0)=1)=TRUE,VLOOKUP('Hours Detail'!E510,'BASE_FUNCOES (hide)'!A:S,17,0),IF(AND('General Information'!$D$17=8,VLOOKUP(B510,Modules!$B$5:$E$496,4,0)=1)=TRUE,VLOOKUP('Hours Detail'!E510,'BASE_FUNCOES (hide)'!A:S,18,0),IF(AND('General Information'!$D$17=9,VLOOKUP(B510,Modules!$B$5:$E$496,4,0)=1)=TRUE,VLOOKUP('Hours Detail'!E510,'BASE_FUNCOES (hide)'!A:S,19,0),"No")))))))</f>
        <v>#N/A</v>
      </c>
      <c r="H510" s="166" t="e">
        <f t="shared" si="9"/>
        <v>#N/A</v>
      </c>
      <c r="I510" s="75">
        <f>IF('General Information'!$C$4="Mexico",(ROUNDUP(VLOOKUP(E510,'BASE_FUNCOES (hide)'!A:X,21,0),0)),(ROUNDUP(VLOOKUP(E510,'BASE_FUNCOES (hide)'!A:L,9,0),0)))</f>
        <v>0</v>
      </c>
      <c r="J510" s="75">
        <f>ROUNDUP(SUMIF(Questions!$E$5:$E$558,'Hours Detail'!E510,Questions!$F$5:$F$558),0)</f>
        <v>0</v>
      </c>
      <c r="K510" s="76" t="e">
        <f>IF(H510="Yes",ROUNDUP(IF(VLOOKUP(E510,'BASE_FUNCOES (hide)'!A:T,16,FALSE)&lt;&gt;"No",IF('General Information'!$C$19="HTML5",(I510+J510)*'BASE_FUNCOES (hide)'!$T$2,I510+J510),I510+J510),I510+J510),I510+J510)</f>
        <v>#N/A</v>
      </c>
      <c r="L510" s="163" t="str">
        <f>IF(ISERROR(VLOOKUP(E510,Questions!$E$5:$L$568,6,0))=FALSE,VLOOKUP(E510,Questions!$E$5:$L$568,6,0),"")</f>
        <v/>
      </c>
      <c r="M510" s="164" t="s">
        <v>2396</v>
      </c>
      <c r="N510" s="369" t="s">
        <v>2377</v>
      </c>
    </row>
    <row r="511" spans="1:14" ht="14.5" customHeight="1">
      <c r="A511" s="59"/>
      <c r="B511" s="72"/>
      <c r="C511" s="72"/>
      <c r="D511" s="73"/>
      <c r="E511" s="74"/>
      <c r="F511" s="73"/>
      <c r="G511" s="73" t="e">
        <f>IF(AND('General Information'!$D$16=1,VLOOKUP(B511,Modules!$B$5:$E$496,4,0)=1)=TRUE,VLOOKUP('Hours Detail'!E511,'BASE_FUNCOES (hide)'!$A:$N,10,0),IF(AND('General Information'!$D$16=2,VLOOKUP(B511,Modules!$B$5:$E$496,4,0)=1)=TRUE,VLOOKUP('Hours Detail'!E511,'BASE_FUNCOES (hide)'!$A:$N,11,0),IF(AND('General Information'!$D$16=3,VLOOKUP(B511,Modules!$B$5:$E$496,4,0)=1)=TRUE,VLOOKUP('Hours Detail'!E511,'BASE_FUNCOES (hide)'!$A:$N,12,0),IF(AND('General Information'!$D$16=4,VLOOKUP(B511,Modules!$B$5:$E$496,4,0)=1)=TRUE,VLOOKUP('Hours Detail'!E511,'BASE_FUNCOES (hide)'!$A:$N,13,0),IF(AND('General Information'!$D$17=7,VLOOKUP(B511,Modules!$B$5:$E$496,4,0)=1)=TRUE,VLOOKUP('Hours Detail'!E511,'BASE_FUNCOES (hide)'!A:S,17,0),IF(AND('General Information'!$D$17=8,VLOOKUP(B511,Modules!$B$5:$E$496,4,0)=1)=TRUE,VLOOKUP('Hours Detail'!E511,'BASE_FUNCOES (hide)'!A:S,18,0),IF(AND('General Information'!$D$17=9,VLOOKUP(B511,Modules!$B$5:$E$496,4,0)=1)=TRUE,VLOOKUP('Hours Detail'!E511,'BASE_FUNCOES (hide)'!A:S,19,0),"No")))))))</f>
        <v>#N/A</v>
      </c>
      <c r="H511" s="166" t="e">
        <f t="shared" si="9"/>
        <v>#N/A</v>
      </c>
      <c r="I511" s="75">
        <f>IF('General Information'!$C$4="Mexico",(ROUNDUP(VLOOKUP(E511,'BASE_FUNCOES (hide)'!A:X,21,0),0)),(ROUNDUP(VLOOKUP(E511,'BASE_FUNCOES (hide)'!A:L,9,0),0)))</f>
        <v>0</v>
      </c>
      <c r="J511" s="75">
        <f>ROUNDUP(SUMIF(Questions!$E$5:$E$558,'Hours Detail'!E511,Questions!$F$5:$F$558),0)</f>
        <v>0</v>
      </c>
      <c r="K511" s="76" t="e">
        <f>IF(H511="Yes",ROUNDUP(IF(VLOOKUP(E511,'BASE_FUNCOES (hide)'!A:T,16,FALSE)&lt;&gt;"No",IF('General Information'!$C$19="HTML5",(I511+J511)*'BASE_FUNCOES (hide)'!$T$2,I511+J511),I511+J511),I511+J511),I511+J511)</f>
        <v>#N/A</v>
      </c>
      <c r="L511" s="163" t="str">
        <f>IF(ISERROR(VLOOKUP(E511,Questions!$E$5:$L$568,6,0))=FALSE,VLOOKUP(E511,Questions!$E$5:$L$568,6,0),"")</f>
        <v/>
      </c>
      <c r="M511" s="164" t="s">
        <v>2396</v>
      </c>
      <c r="N511" s="369" t="s">
        <v>2377</v>
      </c>
    </row>
    <row r="512" spans="1:14" ht="14.5" customHeight="1">
      <c r="A512" s="59"/>
      <c r="B512" s="72"/>
      <c r="C512" s="72"/>
      <c r="D512" s="73"/>
      <c r="E512" s="74"/>
      <c r="F512" s="73"/>
      <c r="G512" s="73" t="e">
        <f>IF(AND('General Information'!$D$16=1,VLOOKUP(B512,Modules!$B$5:$E$496,4,0)=1)=TRUE,VLOOKUP('Hours Detail'!E512,'BASE_FUNCOES (hide)'!$A:$N,10,0),IF(AND('General Information'!$D$16=2,VLOOKUP(B512,Modules!$B$5:$E$496,4,0)=1)=TRUE,VLOOKUP('Hours Detail'!E512,'BASE_FUNCOES (hide)'!$A:$N,11,0),IF(AND('General Information'!$D$16=3,VLOOKUP(B512,Modules!$B$5:$E$496,4,0)=1)=TRUE,VLOOKUP('Hours Detail'!E512,'BASE_FUNCOES (hide)'!$A:$N,12,0),IF(AND('General Information'!$D$16=4,VLOOKUP(B512,Modules!$B$5:$E$496,4,0)=1)=TRUE,VLOOKUP('Hours Detail'!E512,'BASE_FUNCOES (hide)'!$A:$N,13,0),IF(AND('General Information'!$D$17=7,VLOOKUP(B512,Modules!$B$5:$E$496,4,0)=1)=TRUE,VLOOKUP('Hours Detail'!E512,'BASE_FUNCOES (hide)'!A:S,17,0),IF(AND('General Information'!$D$17=8,VLOOKUP(B512,Modules!$B$5:$E$496,4,0)=1)=TRUE,VLOOKUP('Hours Detail'!E512,'BASE_FUNCOES (hide)'!A:S,18,0),IF(AND('General Information'!$D$17=9,VLOOKUP(B512,Modules!$B$5:$E$496,4,0)=1)=TRUE,VLOOKUP('Hours Detail'!E512,'BASE_FUNCOES (hide)'!A:S,19,0),"No")))))))</f>
        <v>#N/A</v>
      </c>
      <c r="H512" s="166" t="e">
        <f t="shared" si="9"/>
        <v>#N/A</v>
      </c>
      <c r="I512" s="75">
        <f>IF('General Information'!$C$4="Mexico",(ROUNDUP(VLOOKUP(E512,'BASE_FUNCOES (hide)'!A:X,21,0),0)),(ROUNDUP(VLOOKUP(E512,'BASE_FUNCOES (hide)'!A:L,9,0),0)))</f>
        <v>0</v>
      </c>
      <c r="J512" s="75">
        <f>ROUNDUP(SUMIF(Questions!$E$5:$E$558,'Hours Detail'!E512,Questions!$F$5:$F$558),0)</f>
        <v>0</v>
      </c>
      <c r="K512" s="76" t="e">
        <f>IF(H512="Yes",ROUNDUP(IF(VLOOKUP(E512,'BASE_FUNCOES (hide)'!A:T,16,FALSE)&lt;&gt;"No",IF('General Information'!$C$19="HTML5",(I512+J512)*'BASE_FUNCOES (hide)'!$T$2,I512+J512),I512+J512),I512+J512),I512+J512)</f>
        <v>#N/A</v>
      </c>
      <c r="L512" s="163" t="str">
        <f>IF(ISERROR(VLOOKUP(E512,Questions!$E$5:$L$568,6,0))=FALSE,VLOOKUP(E512,Questions!$E$5:$L$568,6,0),"")</f>
        <v/>
      </c>
      <c r="M512" s="164" t="s">
        <v>2396</v>
      </c>
      <c r="N512" s="369" t="s">
        <v>2377</v>
      </c>
    </row>
    <row r="513" spans="1:14" ht="14.5" customHeight="1">
      <c r="A513" s="59"/>
      <c r="B513" s="72"/>
      <c r="C513" s="72"/>
      <c r="D513" s="73"/>
      <c r="E513" s="74"/>
      <c r="F513" s="73"/>
      <c r="G513" s="73" t="e">
        <f>IF(AND('General Information'!$D$16=1,VLOOKUP(B513,Modules!$B$5:$E$496,4,0)=1)=TRUE,VLOOKUP('Hours Detail'!E513,'BASE_FUNCOES (hide)'!$A:$N,10,0),IF(AND('General Information'!$D$16=2,VLOOKUP(B513,Modules!$B$5:$E$496,4,0)=1)=TRUE,VLOOKUP('Hours Detail'!E513,'BASE_FUNCOES (hide)'!$A:$N,11,0),IF(AND('General Information'!$D$16=3,VLOOKUP(B513,Modules!$B$5:$E$496,4,0)=1)=TRUE,VLOOKUP('Hours Detail'!E513,'BASE_FUNCOES (hide)'!$A:$N,12,0),IF(AND('General Information'!$D$16=4,VLOOKUP(B513,Modules!$B$5:$E$496,4,0)=1)=TRUE,VLOOKUP('Hours Detail'!E513,'BASE_FUNCOES (hide)'!$A:$N,13,0),IF(AND('General Information'!$D$17=7,VLOOKUP(B513,Modules!$B$5:$E$496,4,0)=1)=TRUE,VLOOKUP('Hours Detail'!E513,'BASE_FUNCOES (hide)'!A:S,17,0),IF(AND('General Information'!$D$17=8,VLOOKUP(B513,Modules!$B$5:$E$496,4,0)=1)=TRUE,VLOOKUP('Hours Detail'!E513,'BASE_FUNCOES (hide)'!A:S,18,0),IF(AND('General Information'!$D$17=9,VLOOKUP(B513,Modules!$B$5:$E$496,4,0)=1)=TRUE,VLOOKUP('Hours Detail'!E513,'BASE_FUNCOES (hide)'!A:S,19,0),"No")))))))</f>
        <v>#N/A</v>
      </c>
      <c r="H513" s="166" t="e">
        <f t="shared" si="9"/>
        <v>#N/A</v>
      </c>
      <c r="I513" s="75">
        <f>IF('General Information'!$C$4="Mexico",(ROUNDUP(VLOOKUP(E513,'BASE_FUNCOES (hide)'!A:X,21,0),0)),(ROUNDUP(VLOOKUP(E513,'BASE_FUNCOES (hide)'!A:L,9,0),0)))</f>
        <v>0</v>
      </c>
      <c r="J513" s="75">
        <f>ROUNDUP(SUMIF(Questions!$E$5:$E$558,'Hours Detail'!E513,Questions!$F$5:$F$558),0)</f>
        <v>0</v>
      </c>
      <c r="K513" s="76" t="e">
        <f>IF(H513="Yes",ROUNDUP(IF(VLOOKUP(E513,'BASE_FUNCOES (hide)'!A:T,16,FALSE)&lt;&gt;"No",IF('General Information'!$C$19="HTML5",(I513+J513)*'BASE_FUNCOES (hide)'!$T$2,I513+J513),I513+J513),I513+J513),I513+J513)</f>
        <v>#N/A</v>
      </c>
      <c r="L513" s="163" t="str">
        <f>IF(ISERROR(VLOOKUP(E513,Questions!$E$5:$L$568,6,0))=FALSE,VLOOKUP(E513,Questions!$E$5:$L$568,6,0),"")</f>
        <v/>
      </c>
      <c r="M513" s="164" t="s">
        <v>2396</v>
      </c>
      <c r="N513" s="369" t="s">
        <v>2377</v>
      </c>
    </row>
    <row r="514" spans="1:14" ht="14.5" customHeight="1">
      <c r="A514" s="59"/>
      <c r="B514" s="72"/>
      <c r="C514" s="72"/>
      <c r="D514" s="73"/>
      <c r="E514" s="74"/>
      <c r="F514" s="73"/>
      <c r="G514" s="73" t="e">
        <f>IF(AND('General Information'!$D$16=1,VLOOKUP(B514,Modules!$B$5:$E$496,4,0)=1)=TRUE,VLOOKUP('Hours Detail'!E514,'BASE_FUNCOES (hide)'!$A:$N,10,0),IF(AND('General Information'!$D$16=2,VLOOKUP(B514,Modules!$B$5:$E$496,4,0)=1)=TRUE,VLOOKUP('Hours Detail'!E514,'BASE_FUNCOES (hide)'!$A:$N,11,0),IF(AND('General Information'!$D$16=3,VLOOKUP(B514,Modules!$B$5:$E$496,4,0)=1)=TRUE,VLOOKUP('Hours Detail'!E514,'BASE_FUNCOES (hide)'!$A:$N,12,0),IF(AND('General Information'!$D$16=4,VLOOKUP(B514,Modules!$B$5:$E$496,4,0)=1)=TRUE,VLOOKUP('Hours Detail'!E514,'BASE_FUNCOES (hide)'!$A:$N,13,0),IF(AND('General Information'!$D$17=7,VLOOKUP(B514,Modules!$B$5:$E$496,4,0)=1)=TRUE,VLOOKUP('Hours Detail'!E514,'BASE_FUNCOES (hide)'!A:S,17,0),IF(AND('General Information'!$D$17=8,VLOOKUP(B514,Modules!$B$5:$E$496,4,0)=1)=TRUE,VLOOKUP('Hours Detail'!E514,'BASE_FUNCOES (hide)'!A:S,18,0),IF(AND('General Information'!$D$17=9,VLOOKUP(B514,Modules!$B$5:$E$496,4,0)=1)=TRUE,VLOOKUP('Hours Detail'!E514,'BASE_FUNCOES (hide)'!A:S,19,0),"No")))))))</f>
        <v>#N/A</v>
      </c>
      <c r="H514" s="166" t="e">
        <f t="shared" si="9"/>
        <v>#N/A</v>
      </c>
      <c r="I514" s="75">
        <f>IF('General Information'!$C$4="Mexico",(ROUNDUP(VLOOKUP(E514,'BASE_FUNCOES (hide)'!A:X,21,0),0)),(ROUNDUP(VLOOKUP(E514,'BASE_FUNCOES (hide)'!A:L,9,0),0)))</f>
        <v>0</v>
      </c>
      <c r="J514" s="75">
        <f>ROUNDUP(SUMIF(Questions!$E$5:$E$558,'Hours Detail'!E514,Questions!$F$5:$F$558),0)</f>
        <v>0</v>
      </c>
      <c r="K514" s="76" t="e">
        <f>IF(H514="Yes",ROUNDUP(IF(VLOOKUP(E514,'BASE_FUNCOES (hide)'!A:T,16,FALSE)&lt;&gt;"No",IF('General Information'!$C$19="HTML5",(I514+J514)*'BASE_FUNCOES (hide)'!$T$2,I514+J514),I514+J514),I514+J514),I514+J514)</f>
        <v>#N/A</v>
      </c>
      <c r="L514" s="163" t="str">
        <f>IF(ISERROR(VLOOKUP(E514,Questions!$E$5:$L$568,6,0))=FALSE,VLOOKUP(E514,Questions!$E$5:$L$568,6,0),"")</f>
        <v/>
      </c>
      <c r="M514" s="164" t="s">
        <v>2396</v>
      </c>
      <c r="N514" s="369" t="s">
        <v>2377</v>
      </c>
    </row>
    <row r="515" spans="1:14" ht="14.5" customHeight="1">
      <c r="A515" s="59"/>
      <c r="B515" s="72"/>
      <c r="C515" s="72"/>
      <c r="D515" s="73"/>
      <c r="E515" s="74"/>
      <c r="F515" s="73"/>
      <c r="G515" s="73" t="e">
        <f>IF(AND('General Information'!$D$16=1,VLOOKUP(B515,Modules!$B$5:$E$496,4,0)=1)=TRUE,VLOOKUP('Hours Detail'!E515,'BASE_FUNCOES (hide)'!$A:$N,10,0),IF(AND('General Information'!$D$16=2,VLOOKUP(B515,Modules!$B$5:$E$496,4,0)=1)=TRUE,VLOOKUP('Hours Detail'!E515,'BASE_FUNCOES (hide)'!$A:$N,11,0),IF(AND('General Information'!$D$16=3,VLOOKUP(B515,Modules!$B$5:$E$496,4,0)=1)=TRUE,VLOOKUP('Hours Detail'!E515,'BASE_FUNCOES (hide)'!$A:$N,12,0),IF(AND('General Information'!$D$16=4,VLOOKUP(B515,Modules!$B$5:$E$496,4,0)=1)=TRUE,VLOOKUP('Hours Detail'!E515,'BASE_FUNCOES (hide)'!$A:$N,13,0),IF(AND('General Information'!$D$17=7,VLOOKUP(B515,Modules!$B$5:$E$496,4,0)=1)=TRUE,VLOOKUP('Hours Detail'!E515,'BASE_FUNCOES (hide)'!A:S,17,0),IF(AND('General Information'!$D$17=8,VLOOKUP(B515,Modules!$B$5:$E$496,4,0)=1)=TRUE,VLOOKUP('Hours Detail'!E515,'BASE_FUNCOES (hide)'!A:S,18,0),IF(AND('General Information'!$D$17=9,VLOOKUP(B515,Modules!$B$5:$E$496,4,0)=1)=TRUE,VLOOKUP('Hours Detail'!E515,'BASE_FUNCOES (hide)'!A:S,19,0),"No")))))))</f>
        <v>#N/A</v>
      </c>
      <c r="H515" s="166" t="e">
        <f t="shared" si="9"/>
        <v>#N/A</v>
      </c>
      <c r="I515" s="75">
        <f>IF('General Information'!$C$4="Mexico",(ROUNDUP(VLOOKUP(E515,'BASE_FUNCOES (hide)'!A:X,21,0),0)),(ROUNDUP(VLOOKUP(E515,'BASE_FUNCOES (hide)'!A:L,9,0),0)))</f>
        <v>0</v>
      </c>
      <c r="J515" s="75">
        <f>ROUNDUP(SUMIF(Questions!$E$5:$E$558,'Hours Detail'!E515,Questions!$F$5:$F$558),0)</f>
        <v>0</v>
      </c>
      <c r="K515" s="76" t="e">
        <f>IF(H515="Yes",ROUNDUP(IF(VLOOKUP(E515,'BASE_FUNCOES (hide)'!A:T,16,FALSE)&lt;&gt;"No",IF('General Information'!$C$19="HTML5",(I515+J515)*'BASE_FUNCOES (hide)'!$T$2,I515+J515),I515+J515),I515+J515),I515+J515)</f>
        <v>#N/A</v>
      </c>
      <c r="L515" s="163" t="str">
        <f>IF(ISERROR(VLOOKUP(E515,Questions!$E$5:$L$568,6,0))=FALSE,VLOOKUP(E515,Questions!$E$5:$L$568,6,0),"")</f>
        <v/>
      </c>
      <c r="M515" s="164" t="s">
        <v>2396</v>
      </c>
      <c r="N515" s="369" t="s">
        <v>2377</v>
      </c>
    </row>
    <row r="516" spans="1:14" ht="14.5" customHeight="1">
      <c r="A516" s="59"/>
      <c r="B516" s="72"/>
      <c r="C516" s="72"/>
      <c r="D516" s="73"/>
      <c r="E516" s="74"/>
      <c r="F516" s="73"/>
      <c r="G516" s="73" t="e">
        <f>IF(AND('General Information'!$D$16=1,VLOOKUP(B516,Modules!$B$5:$E$496,4,0)=1)=TRUE,VLOOKUP('Hours Detail'!E516,'BASE_FUNCOES (hide)'!$A:$N,10,0),IF(AND('General Information'!$D$16=2,VLOOKUP(B516,Modules!$B$5:$E$496,4,0)=1)=TRUE,VLOOKUP('Hours Detail'!E516,'BASE_FUNCOES (hide)'!$A:$N,11,0),IF(AND('General Information'!$D$16=3,VLOOKUP(B516,Modules!$B$5:$E$496,4,0)=1)=TRUE,VLOOKUP('Hours Detail'!E516,'BASE_FUNCOES (hide)'!$A:$N,12,0),IF(AND('General Information'!$D$16=4,VLOOKUP(B516,Modules!$B$5:$E$496,4,0)=1)=TRUE,VLOOKUP('Hours Detail'!E516,'BASE_FUNCOES (hide)'!$A:$N,13,0),IF(AND('General Information'!$D$17=7,VLOOKUP(B516,Modules!$B$5:$E$496,4,0)=1)=TRUE,VLOOKUP('Hours Detail'!E516,'BASE_FUNCOES (hide)'!A:S,17,0),IF(AND('General Information'!$D$17=8,VLOOKUP(B516,Modules!$B$5:$E$496,4,0)=1)=TRUE,VLOOKUP('Hours Detail'!E516,'BASE_FUNCOES (hide)'!A:S,18,0),IF(AND('General Information'!$D$17=9,VLOOKUP(B516,Modules!$B$5:$E$496,4,0)=1)=TRUE,VLOOKUP('Hours Detail'!E516,'BASE_FUNCOES (hide)'!A:S,19,0),"No")))))))</f>
        <v>#N/A</v>
      </c>
      <c r="H516" s="166" t="e">
        <f t="shared" si="9"/>
        <v>#N/A</v>
      </c>
      <c r="I516" s="75">
        <f>IF('General Information'!$C$4="Mexico",(ROUNDUP(VLOOKUP(E516,'BASE_FUNCOES (hide)'!A:X,21,0),0)),(ROUNDUP(VLOOKUP(E516,'BASE_FUNCOES (hide)'!A:L,9,0),0)))</f>
        <v>0</v>
      </c>
      <c r="J516" s="75">
        <f>ROUNDUP(SUMIF(Questions!$E$5:$E$558,'Hours Detail'!E516,Questions!$F$5:$F$558),0)</f>
        <v>0</v>
      </c>
      <c r="K516" s="76" t="e">
        <f>IF(H516="Yes",ROUNDUP(IF(VLOOKUP(E516,'BASE_FUNCOES (hide)'!A:T,16,FALSE)&lt;&gt;"No",IF('General Information'!$C$19="HTML5",(I516+J516)*'BASE_FUNCOES (hide)'!$T$2,I516+J516),I516+J516),I516+J516),I516+J516)</f>
        <v>#N/A</v>
      </c>
      <c r="L516" s="163" t="str">
        <f>IF(ISERROR(VLOOKUP(E516,Questions!$E$5:$L$568,6,0))=FALSE,VLOOKUP(E516,Questions!$E$5:$L$568,6,0),"")</f>
        <v/>
      </c>
      <c r="M516" s="164" t="s">
        <v>2396</v>
      </c>
      <c r="N516" s="369" t="s">
        <v>2377</v>
      </c>
    </row>
    <row r="517" spans="1:14" ht="14.5" customHeight="1">
      <c r="A517" s="59"/>
      <c r="B517" s="72"/>
      <c r="C517" s="72"/>
      <c r="D517" s="73"/>
      <c r="E517" s="74"/>
      <c r="F517" s="73"/>
      <c r="G517" s="73" t="e">
        <f>IF(AND('General Information'!$D$16=1,VLOOKUP(B517,Modules!$B$5:$E$496,4,0)=1)=TRUE,VLOOKUP('Hours Detail'!E517,'BASE_FUNCOES (hide)'!$A:$V,10,0),IF(AND('General Information'!$D$16=2,VLOOKUP(B517,Modules!$B$5:$E$496,4,0)=1)=TRUE,VLOOKUP('Hours Detail'!E517,'BASE_FUNCOES (hide)'!$A:$V,11,0),IF(AND('General Information'!$D$16=3,VLOOKUP(B517,Modules!$B$5:$E$496,4,0)=1)=TRUE,VLOOKUP('Hours Detail'!E517,'BASE_FUNCOES (hide)'!$A:$V,12,0),IF(AND('General Information'!$D$16=4,VLOOKUP(B517,Modules!$B$5:$E$496,4,0)=1)=TRUE,VLOOKUP('Hours Detail'!E517,'BASE_FUNCOES (hide)'!$A:$V,13,0),IF(AND('General Information'!$D$16=5,VLOOKUP(B517,Modules!$B$5:$E$496,4,0)=1)=TRUE,VLOOKUP('Hours Detail'!E517,'BASE_FUNCOES (hide)'!$A:$V,14,0),  IF(AND('General Information'!$D$16=6,VLOOKUP(B517,Modules!$B$5:$E$496,4,0)=1)=TRUE,VLOOKUP('Hours Detail'!E517,'BASE_FUNCOES (hide)'!$A:$V,15,0),"No"))))))</f>
        <v>#N/A</v>
      </c>
      <c r="H517" s="166" t="e">
        <f t="shared" si="9"/>
        <v>#N/A</v>
      </c>
      <c r="I517" s="75">
        <f>IF('General Information'!$C$4="Mexico",(ROUNDUP(VLOOKUP(E517,'BASE_FUNCOES (hide)'!A:X,21,0),0)),(ROUNDUP(VLOOKUP(E517,'BASE_FUNCOES (hide)'!A:L,9,0),0)))</f>
        <v>0</v>
      </c>
      <c r="J517" s="75">
        <f>ROUNDUP(SUMIF(Questions!$E$5:$E$558,'Hours Detail'!E517,Questions!$F$5:$F$558),0)</f>
        <v>0</v>
      </c>
      <c r="K517" s="76" t="e">
        <f>IF(H517="Yes",ROUNDUP(IF(VLOOKUP(E517,'BASE_FUNCOES (hide)'!A:T,16,FALSE)&lt;&gt;"No",IF('General Information'!$C$19="HTML5",(I517+J517)*'BASE_FUNCOES (hide)'!$T$2,I517+J517),I517+J517),I517+J517),I517+J517)</f>
        <v>#N/A</v>
      </c>
      <c r="L517" s="163" t="str">
        <f>IF(ISERROR(VLOOKUP(E517,Questions!$E$5:$L$568,6,0))=FALSE,VLOOKUP(E517,Questions!$E$5:$L$568,6,0),"")</f>
        <v/>
      </c>
      <c r="M517" s="164" t="s">
        <v>2396</v>
      </c>
      <c r="N517" s="369" t="s">
        <v>2377</v>
      </c>
    </row>
    <row r="518" spans="1:14" ht="14.5" customHeight="1">
      <c r="A518" s="59"/>
      <c r="B518" s="72"/>
      <c r="C518" s="72"/>
      <c r="D518" s="73"/>
      <c r="E518" s="74"/>
      <c r="F518" s="73"/>
      <c r="G518" s="73" t="e">
        <f>IF(AND('General Information'!$D$16=1,VLOOKUP(B518,Modules!$B$5:$E$496,4,0)=1)=TRUE,VLOOKUP('Hours Detail'!E518,'BASE_FUNCOES (hide)'!$A:$V,10,0),IF(AND('General Information'!$D$16=2,VLOOKUP(B518,Modules!$B$5:$E$496,4,0)=1)=TRUE,VLOOKUP('Hours Detail'!E518,'BASE_FUNCOES (hide)'!$A:$V,11,0),IF(AND('General Information'!$D$16=3,VLOOKUP(B518,Modules!$B$5:$E$496,4,0)=1)=TRUE,VLOOKUP('Hours Detail'!E518,'BASE_FUNCOES (hide)'!$A:$V,12,0),IF(AND('General Information'!$D$16=4,VLOOKUP(B518,Modules!$B$5:$E$496,4,0)=1)=TRUE,VLOOKUP('Hours Detail'!E518,'BASE_FUNCOES (hide)'!$A:$V,13,0),IF(AND('General Information'!$D$16=5,VLOOKUP(B518,Modules!$B$5:$E$496,4,0)=1)=TRUE,VLOOKUP('Hours Detail'!E518,'BASE_FUNCOES (hide)'!$A:$V,14,0),  IF(AND('General Information'!$D$16=6,VLOOKUP(B518,Modules!$B$5:$E$496,4,0)=1)=TRUE,VLOOKUP('Hours Detail'!E518,'BASE_FUNCOES (hide)'!$A:$V,15,0),"No"))))))</f>
        <v>#N/A</v>
      </c>
      <c r="H518" s="166" t="e">
        <f t="shared" si="9"/>
        <v>#N/A</v>
      </c>
      <c r="I518" s="75">
        <f>IF('General Information'!$C$4="Mexico",(ROUNDUP(VLOOKUP(E518,'BASE_FUNCOES (hide)'!A:X,21,0),0)),(ROUNDUP(VLOOKUP(E518,'BASE_FUNCOES (hide)'!A:L,9,0),0)))</f>
        <v>0</v>
      </c>
      <c r="J518" s="75">
        <f>ROUNDUP(SUMIF(Questions!$E$5:$E$558,'Hours Detail'!E518,Questions!$F$5:$F$558),0)</f>
        <v>0</v>
      </c>
      <c r="K518" s="76" t="e">
        <f>IF(H518="Yes",ROUNDUP(IF(VLOOKUP(E518,'BASE_FUNCOES (hide)'!A:T,16,FALSE)&lt;&gt;"No",IF('General Information'!$C$19="HTML5",(I518+J518)*'BASE_FUNCOES (hide)'!$T$2,I518+J518),I518+J518),I518+J518),I518+J518)</f>
        <v>#N/A</v>
      </c>
      <c r="L518" s="163" t="str">
        <f>IF(ISERROR(VLOOKUP(E518,Questions!$E$5:$L$568,6,0))=FALSE,VLOOKUP(E518,Questions!$E$5:$L$568,6,0),"")</f>
        <v/>
      </c>
      <c r="M518" s="164" t="s">
        <v>2396</v>
      </c>
      <c r="N518" s="369" t="s">
        <v>2377</v>
      </c>
    </row>
    <row r="519" spans="1:14" ht="14.5" customHeight="1">
      <c r="A519" s="59"/>
      <c r="B519" s="72"/>
      <c r="C519" s="72"/>
      <c r="D519" s="73"/>
      <c r="E519" s="74"/>
      <c r="F519" s="73"/>
      <c r="G519" s="73" t="e">
        <f>IF(AND('General Information'!$D$16=1,VLOOKUP(B519,Modules!$B$5:$E$496,4,0)=1)=TRUE,VLOOKUP('Hours Detail'!E519,'BASE_FUNCOES (hide)'!$A:$V,10,0),IF(AND('General Information'!$D$16=2,VLOOKUP(B519,Modules!$B$5:$E$496,4,0)=1)=TRUE,VLOOKUP('Hours Detail'!E519,'BASE_FUNCOES (hide)'!$A:$V,11,0),IF(AND('General Information'!$D$16=3,VLOOKUP(B519,Modules!$B$5:$E$496,4,0)=1)=TRUE,VLOOKUP('Hours Detail'!E519,'BASE_FUNCOES (hide)'!$A:$V,12,0),IF(AND('General Information'!$D$16=4,VLOOKUP(B519,Modules!$B$5:$E$496,4,0)=1)=TRUE,VLOOKUP('Hours Detail'!E519,'BASE_FUNCOES (hide)'!$A:$V,13,0),IF(AND('General Information'!$D$16=5,VLOOKUP(B519,Modules!$B$5:$E$496,4,0)=1)=TRUE,VLOOKUP('Hours Detail'!E519,'BASE_FUNCOES (hide)'!$A:$V,14,0),  IF(AND('General Information'!$D$16=6,VLOOKUP(B519,Modules!$B$5:$E$496,4,0)=1)=TRUE,VLOOKUP('Hours Detail'!E519,'BASE_FUNCOES (hide)'!$A:$V,15,0),"No"))))))</f>
        <v>#N/A</v>
      </c>
      <c r="H519" s="166" t="e">
        <f t="shared" si="9"/>
        <v>#N/A</v>
      </c>
      <c r="I519" s="75">
        <f>IF('General Information'!$C$4="Mexico",(ROUNDUP(VLOOKUP(E519,'BASE_FUNCOES (hide)'!A:X,21,0),0)),(ROUNDUP(VLOOKUP(E519,'BASE_FUNCOES (hide)'!A:L,9,0),0)))</f>
        <v>0</v>
      </c>
      <c r="J519" s="75">
        <f>ROUNDUP(SUMIF(Questions!$E$5:$E$558,'Hours Detail'!E519,Questions!$F$5:$F$558),0)</f>
        <v>0</v>
      </c>
      <c r="K519" s="76" t="e">
        <f>IF(H519="Yes",ROUNDUP(IF(VLOOKUP(E519,'BASE_FUNCOES (hide)'!A:T,16,FALSE)&lt;&gt;"No",IF('General Information'!$C$19="HTML5",(I519+J519)*'BASE_FUNCOES (hide)'!$T$2,I519+J519),I519+J519),I519+J519),I519+J519)</f>
        <v>#N/A</v>
      </c>
      <c r="L519" s="163" t="str">
        <f>IF(ISERROR(VLOOKUP(E519,Questions!$E$5:$L$568,6,0))=FALSE,VLOOKUP(E519,Questions!$E$5:$L$568,6,0),"")</f>
        <v/>
      </c>
      <c r="M519" s="164" t="s">
        <v>2396</v>
      </c>
      <c r="N519" s="369" t="s">
        <v>2377</v>
      </c>
    </row>
    <row r="520" spans="1:14" ht="14.5" customHeight="1">
      <c r="A520" s="59"/>
      <c r="B520" s="72"/>
      <c r="C520" s="72"/>
      <c r="D520" s="73"/>
      <c r="E520" s="74"/>
      <c r="F520" s="73"/>
      <c r="G520" s="73" t="e">
        <f>IF(AND('General Information'!$D$16=1,VLOOKUP(B520,Modules!$B$5:$E$496,4,0)=1)=TRUE,VLOOKUP('Hours Detail'!E520,'BASE_FUNCOES (hide)'!$A:$V,10,0),IF(AND('General Information'!$D$16=2,VLOOKUP(B520,Modules!$B$5:$E$496,4,0)=1)=TRUE,VLOOKUP('Hours Detail'!E520,'BASE_FUNCOES (hide)'!$A:$V,11,0),IF(AND('General Information'!$D$16=3,VLOOKUP(B520,Modules!$B$5:$E$496,4,0)=1)=TRUE,VLOOKUP('Hours Detail'!E520,'BASE_FUNCOES (hide)'!$A:$V,12,0),IF(AND('General Information'!$D$16=4,VLOOKUP(B520,Modules!$B$5:$E$496,4,0)=1)=TRUE,VLOOKUP('Hours Detail'!E520,'BASE_FUNCOES (hide)'!$A:$V,13,0),IF(AND('General Information'!$D$16=5,VLOOKUP(B520,Modules!$B$5:$E$496,4,0)=1)=TRUE,VLOOKUP('Hours Detail'!E520,'BASE_FUNCOES (hide)'!$A:$V,14,0),  IF(AND('General Information'!$D$16=6,VLOOKUP(B520,Modules!$B$5:$E$496,4,0)=1)=TRUE,VLOOKUP('Hours Detail'!E520,'BASE_FUNCOES (hide)'!$A:$V,15,0),"No"))))))</f>
        <v>#N/A</v>
      </c>
      <c r="H520" s="166" t="e">
        <f t="shared" si="9"/>
        <v>#N/A</v>
      </c>
      <c r="I520" s="75">
        <f>IF('General Information'!$C$4="Mexico",(ROUNDUP(VLOOKUP(E520,'BASE_FUNCOES (hide)'!A:X,21,0),0)),(ROUNDUP(VLOOKUP(E520,'BASE_FUNCOES (hide)'!A:L,9,0),0)))</f>
        <v>0</v>
      </c>
      <c r="J520" s="75">
        <f>ROUNDUP(SUMIF(Questions!$E$5:$E$558,'Hours Detail'!E520,Questions!$F$5:$F$558),0)</f>
        <v>0</v>
      </c>
      <c r="K520" s="76" t="e">
        <f>IF(H520="Yes",ROUNDUP(IF(VLOOKUP(E520,'BASE_FUNCOES (hide)'!A:T,16,FALSE)&lt;&gt;"No",IF('General Information'!$C$19="HTML5",(I520+J520)*'BASE_FUNCOES (hide)'!$T$2,I520+J520),I520+J520),I520+J520),I520+J520)</f>
        <v>#N/A</v>
      </c>
      <c r="L520" s="163" t="str">
        <f>IF(ISERROR(VLOOKUP(E520,Questions!$E$5:$L$568,6,0))=FALSE,VLOOKUP(E520,Questions!$E$5:$L$568,6,0),"")</f>
        <v/>
      </c>
      <c r="M520" s="164" t="s">
        <v>2396</v>
      </c>
      <c r="N520" s="369" t="s">
        <v>2377</v>
      </c>
    </row>
    <row r="521" spans="1:14" ht="14.5" customHeight="1">
      <c r="A521" s="59"/>
      <c r="B521" s="72"/>
      <c r="C521" s="72"/>
      <c r="D521" s="73"/>
      <c r="E521" s="74"/>
      <c r="F521" s="73"/>
      <c r="G521" s="73" t="e">
        <f>IF(AND('General Information'!$D$16=1,VLOOKUP(B521,Modules!$B$5:$E$496,4,0)=1)=TRUE,VLOOKUP('Hours Detail'!E521,'BASE_FUNCOES (hide)'!$A:$V,10,0),IF(AND('General Information'!$D$16=2,VLOOKUP(B521,Modules!$B$5:$E$496,4,0)=1)=TRUE,VLOOKUP('Hours Detail'!E521,'BASE_FUNCOES (hide)'!$A:$V,11,0),IF(AND('General Information'!$D$16=3,VLOOKUP(B521,Modules!$B$5:$E$496,4,0)=1)=TRUE,VLOOKUP('Hours Detail'!E521,'BASE_FUNCOES (hide)'!$A:$V,12,0),IF(AND('General Information'!$D$16=4,VLOOKUP(B521,Modules!$B$5:$E$496,4,0)=1)=TRUE,VLOOKUP('Hours Detail'!E521,'BASE_FUNCOES (hide)'!$A:$V,13,0),IF(AND('General Information'!$D$16=5,VLOOKUP(B521,Modules!$B$5:$E$496,4,0)=1)=TRUE,VLOOKUP('Hours Detail'!E521,'BASE_FUNCOES (hide)'!$A:$V,14,0),  IF(AND('General Information'!$D$16=6,VLOOKUP(B521,Modules!$B$5:$E$496,4,0)=1)=TRUE,VLOOKUP('Hours Detail'!E521,'BASE_FUNCOES (hide)'!$A:$V,15,0),"No"))))))</f>
        <v>#N/A</v>
      </c>
      <c r="H521" s="166" t="e">
        <f t="shared" si="9"/>
        <v>#N/A</v>
      </c>
      <c r="I521" s="75">
        <f>IF('General Information'!$C$4="Mexico",(ROUNDUP(VLOOKUP(E521,'BASE_FUNCOES (hide)'!A:X,21,0),0)),(ROUNDUP(VLOOKUP(E521,'BASE_FUNCOES (hide)'!A:L,9,0),0)))</f>
        <v>0</v>
      </c>
      <c r="J521" s="75">
        <f>ROUNDUP(SUMIF(Questions!$E$5:$E$558,'Hours Detail'!E521,Questions!$F$5:$F$558),0)</f>
        <v>0</v>
      </c>
      <c r="K521" s="76" t="e">
        <f>IF(H521="Yes",ROUNDUP(IF(VLOOKUP(E521,'BASE_FUNCOES (hide)'!A:T,16,FALSE)&lt;&gt;"No",IF('General Information'!$C$19="HTML5",(I521+J521)*'BASE_FUNCOES (hide)'!$T$2,I521+J521),I521+J521),I521+J521),I521+J521)</f>
        <v>#N/A</v>
      </c>
      <c r="L521" s="163" t="str">
        <f>IF(ISERROR(VLOOKUP(E521,Questions!$E$5:$L$568,6,0))=FALSE,VLOOKUP(E521,Questions!$E$5:$L$568,6,0),"")</f>
        <v/>
      </c>
      <c r="M521" s="164" t="s">
        <v>2396</v>
      </c>
      <c r="N521" s="369" t="s">
        <v>2377</v>
      </c>
    </row>
    <row r="522" spans="1:14" ht="14.5" customHeight="1">
      <c r="A522" s="59"/>
      <c r="B522" s="72"/>
      <c r="C522" s="72"/>
      <c r="D522" s="73"/>
      <c r="E522" s="74"/>
      <c r="F522" s="73"/>
      <c r="G522" s="73" t="e">
        <f>IF(AND('General Information'!$D$16=1,VLOOKUP(B522,Modules!$B$5:$E$496,4,0)=1)=TRUE,VLOOKUP('Hours Detail'!E522,'BASE_FUNCOES (hide)'!$A:$V,10,0),IF(AND('General Information'!$D$16=2,VLOOKUP(B522,Modules!$B$5:$E$496,4,0)=1)=TRUE,VLOOKUP('Hours Detail'!E522,'BASE_FUNCOES (hide)'!$A:$V,11,0),IF(AND('General Information'!$D$16=3,VLOOKUP(B522,Modules!$B$5:$E$496,4,0)=1)=TRUE,VLOOKUP('Hours Detail'!E522,'BASE_FUNCOES (hide)'!$A:$V,12,0),IF(AND('General Information'!$D$16=4,VLOOKUP(B522,Modules!$B$5:$E$496,4,0)=1)=TRUE,VLOOKUP('Hours Detail'!E522,'BASE_FUNCOES (hide)'!$A:$V,13,0),IF(AND('General Information'!$D$16=5,VLOOKUP(B522,Modules!$B$5:$E$496,4,0)=1)=TRUE,VLOOKUP('Hours Detail'!E522,'BASE_FUNCOES (hide)'!$A:$V,14,0),  IF(AND('General Information'!$D$16=6,VLOOKUP(B522,Modules!$B$5:$E$496,4,0)=1)=TRUE,VLOOKUP('Hours Detail'!E522,'BASE_FUNCOES (hide)'!$A:$V,15,0),"No"))))))</f>
        <v>#N/A</v>
      </c>
      <c r="H522" s="166" t="e">
        <f t="shared" si="9"/>
        <v>#N/A</v>
      </c>
      <c r="I522" s="75">
        <f>IF('General Information'!$C$4="Mexico",(ROUNDUP(VLOOKUP(E522,'BASE_FUNCOES (hide)'!A:X,21,0),0)),(ROUNDUP(VLOOKUP(E522,'BASE_FUNCOES (hide)'!A:L,9,0),0)))</f>
        <v>0</v>
      </c>
      <c r="J522" s="75">
        <f>ROUNDUP(SUMIF(Questions!$E$5:$E$558,'Hours Detail'!E522,Questions!$F$5:$F$558),0)</f>
        <v>0</v>
      </c>
      <c r="K522" s="76" t="e">
        <f>IF(H522="Yes",ROUNDUP(IF(VLOOKUP(E522,'BASE_FUNCOES (hide)'!A:T,16,FALSE)&lt;&gt;"No",IF('General Information'!$C$19="HTML5",(I522+J522)*'BASE_FUNCOES (hide)'!$T$2,I522+J522),I522+J522),I522+J522),I522+J522)</f>
        <v>#N/A</v>
      </c>
      <c r="L522" s="163" t="str">
        <f>IF(ISERROR(VLOOKUP(E522,Questions!$E$5:$L$568,6,0))=FALSE,VLOOKUP(E522,Questions!$E$5:$L$568,6,0),"")</f>
        <v/>
      </c>
      <c r="M522" s="164" t="s">
        <v>2396</v>
      </c>
      <c r="N522" s="369" t="s">
        <v>2377</v>
      </c>
    </row>
    <row r="523" spans="1:14" ht="14.5" customHeight="1">
      <c r="A523" s="59"/>
      <c r="B523" s="72"/>
      <c r="C523" s="72"/>
      <c r="D523" s="73"/>
      <c r="E523" s="74"/>
      <c r="F523" s="73"/>
      <c r="G523" s="73" t="e">
        <f>IF(AND('General Information'!$D$16=1,VLOOKUP(B523,Modules!$B$5:$E$496,4,0)=1)=TRUE,VLOOKUP('Hours Detail'!E523,'BASE_FUNCOES (hide)'!$A:$V,10,0),IF(AND('General Information'!$D$16=2,VLOOKUP(B523,Modules!$B$5:$E$496,4,0)=1)=TRUE,VLOOKUP('Hours Detail'!E523,'BASE_FUNCOES (hide)'!$A:$V,11,0),IF(AND('General Information'!$D$16=3,VLOOKUP(B523,Modules!$B$5:$E$496,4,0)=1)=TRUE,VLOOKUP('Hours Detail'!E523,'BASE_FUNCOES (hide)'!$A:$V,12,0),IF(AND('General Information'!$D$16=4,VLOOKUP(B523,Modules!$B$5:$E$496,4,0)=1)=TRUE,VLOOKUP('Hours Detail'!E523,'BASE_FUNCOES (hide)'!$A:$V,13,0),IF(AND('General Information'!$D$16=5,VLOOKUP(B523,Modules!$B$5:$E$496,4,0)=1)=TRUE,VLOOKUP('Hours Detail'!E523,'BASE_FUNCOES (hide)'!$A:$V,14,0),  IF(AND('General Information'!$D$16=6,VLOOKUP(B523,Modules!$B$5:$E$496,4,0)=1)=TRUE,VLOOKUP('Hours Detail'!E523,'BASE_FUNCOES (hide)'!$A:$V,15,0),"No"))))))</f>
        <v>#N/A</v>
      </c>
      <c r="H523" s="166" t="e">
        <f t="shared" si="9"/>
        <v>#N/A</v>
      </c>
      <c r="I523" s="75">
        <f>IF('General Information'!$C$4="Mexico",(ROUNDUP(VLOOKUP(E523,'BASE_FUNCOES (hide)'!A:X,21,0),0)),(ROUNDUP(VLOOKUP(E523,'BASE_FUNCOES (hide)'!A:L,9,0),0)))</f>
        <v>0</v>
      </c>
      <c r="J523" s="75">
        <f>ROUNDUP(SUMIF(Questions!$E$5:$E$558,'Hours Detail'!E523,Questions!$F$5:$F$558),0)</f>
        <v>0</v>
      </c>
      <c r="K523" s="76" t="e">
        <f>IF(H523="Yes",ROUNDUP(IF(VLOOKUP(E523,'BASE_FUNCOES (hide)'!A:T,16,FALSE)&lt;&gt;"No",IF('General Information'!$C$19="HTML5",(I523+J523)*'BASE_FUNCOES (hide)'!$T$2,I523+J523),I523+J523),I523+J523),I523+J523)</f>
        <v>#N/A</v>
      </c>
      <c r="L523" s="163" t="str">
        <f>IF(ISERROR(VLOOKUP(E523,Questions!$E$5:$L$568,6,0))=FALSE,VLOOKUP(E523,Questions!$E$5:$L$568,6,0),"")</f>
        <v/>
      </c>
      <c r="M523" s="164" t="s">
        <v>2396</v>
      </c>
      <c r="N523" s="369" t="s">
        <v>2377</v>
      </c>
    </row>
    <row r="524" spans="1:14" ht="14.5" customHeight="1">
      <c r="A524" s="59"/>
      <c r="B524" s="72"/>
      <c r="C524" s="72"/>
      <c r="D524" s="73"/>
      <c r="E524" s="74"/>
      <c r="F524" s="73"/>
      <c r="G524" s="73" t="e">
        <f>IF(AND('General Information'!$D$16=1,VLOOKUP(B524,Modules!$B$5:$E$496,4,0)=1)=TRUE,VLOOKUP('Hours Detail'!E524,'BASE_FUNCOES (hide)'!$A:$V,10,0),IF(AND('General Information'!$D$16=2,VLOOKUP(B524,Modules!$B$5:$E$496,4,0)=1)=TRUE,VLOOKUP('Hours Detail'!E524,'BASE_FUNCOES (hide)'!$A:$V,11,0),IF(AND('General Information'!$D$16=3,VLOOKUP(B524,Modules!$B$5:$E$496,4,0)=1)=TRUE,VLOOKUP('Hours Detail'!E524,'BASE_FUNCOES (hide)'!$A:$V,12,0),IF(AND('General Information'!$D$16=4,VLOOKUP(B524,Modules!$B$5:$E$496,4,0)=1)=TRUE,VLOOKUP('Hours Detail'!E524,'BASE_FUNCOES (hide)'!$A:$V,13,0),IF(AND('General Information'!$D$16=5,VLOOKUP(B524,Modules!$B$5:$E$496,4,0)=1)=TRUE,VLOOKUP('Hours Detail'!E524,'BASE_FUNCOES (hide)'!$A:$V,14,0),  IF(AND('General Information'!$D$16=6,VLOOKUP(B524,Modules!$B$5:$E$496,4,0)=1)=TRUE,VLOOKUP('Hours Detail'!E524,'BASE_FUNCOES (hide)'!$A:$V,15,0),"No"))))))</f>
        <v>#N/A</v>
      </c>
      <c r="H524" s="166" t="e">
        <f t="shared" si="9"/>
        <v>#N/A</v>
      </c>
      <c r="I524" s="75">
        <f>IF('General Information'!$C$4="Mexico",(ROUNDUP(VLOOKUP(E524,'BASE_FUNCOES (hide)'!A:X,21,0),0)),(ROUNDUP(VLOOKUP(E524,'BASE_FUNCOES (hide)'!A:L,9,0),0)))</f>
        <v>0</v>
      </c>
      <c r="J524" s="75">
        <f>ROUNDUP(SUMIF(Questions!$E$5:$E$558,'Hours Detail'!E524,Questions!$F$5:$F$558),0)</f>
        <v>0</v>
      </c>
      <c r="K524" s="76" t="e">
        <f>IF(H524="Yes",ROUNDUP(IF(VLOOKUP(E524,'BASE_FUNCOES (hide)'!A:T,16,FALSE)&lt;&gt;"No",IF('General Information'!$C$19="HTML5",(I524+J524)*'BASE_FUNCOES (hide)'!$T$2,I524+J524),I524+J524),I524+J524),I524+J524)</f>
        <v>#N/A</v>
      </c>
      <c r="L524" s="163" t="str">
        <f>IF(ISERROR(VLOOKUP(E524,Questions!$E$5:$L$568,6,0))=FALSE,VLOOKUP(E524,Questions!$E$5:$L$568,6,0),"")</f>
        <v/>
      </c>
      <c r="M524" s="164" t="s">
        <v>2396</v>
      </c>
      <c r="N524" s="369" t="s">
        <v>2377</v>
      </c>
    </row>
    <row r="525" spans="1:14" ht="14.5" customHeight="1">
      <c r="A525" s="59"/>
      <c r="B525" s="72"/>
      <c r="C525" s="72"/>
      <c r="D525" s="73"/>
      <c r="E525" s="74"/>
      <c r="F525" s="73"/>
      <c r="G525" s="73" t="e">
        <f>IF(AND('General Information'!$D$16=1,VLOOKUP(B525,Modules!$B$5:$E$496,4,0)=1)=TRUE,VLOOKUP('Hours Detail'!E525,'BASE_FUNCOES (hide)'!$A:$V,10,0),IF(AND('General Information'!$D$16=2,VLOOKUP(B525,Modules!$B$5:$E$496,4,0)=1)=TRUE,VLOOKUP('Hours Detail'!E525,'BASE_FUNCOES (hide)'!$A:$V,11,0),IF(AND('General Information'!$D$16=3,VLOOKUP(B525,Modules!$B$5:$E$496,4,0)=1)=TRUE,VLOOKUP('Hours Detail'!E525,'BASE_FUNCOES (hide)'!$A:$V,12,0),IF(AND('General Information'!$D$16=4,VLOOKUP(B525,Modules!$B$5:$E$496,4,0)=1)=TRUE,VLOOKUP('Hours Detail'!E525,'BASE_FUNCOES (hide)'!$A:$V,13,0),IF(AND('General Information'!$D$16=5,VLOOKUP(B525,Modules!$B$5:$E$496,4,0)=1)=TRUE,VLOOKUP('Hours Detail'!E525,'BASE_FUNCOES (hide)'!$A:$V,14,0),  IF(AND('General Information'!$D$16=6,VLOOKUP(B525,Modules!$B$5:$E$496,4,0)=1)=TRUE,VLOOKUP('Hours Detail'!E525,'BASE_FUNCOES (hide)'!$A:$V,15,0),"No"))))))</f>
        <v>#N/A</v>
      </c>
      <c r="H525" s="166" t="e">
        <f t="shared" si="9"/>
        <v>#N/A</v>
      </c>
      <c r="I525" s="75">
        <f>IF('General Information'!$C$4="Mexico",(ROUNDUP(VLOOKUP(E525,'BASE_FUNCOES (hide)'!A:X,21,0),0)),(ROUNDUP(VLOOKUP(E525,'BASE_FUNCOES (hide)'!A:L,9,0),0)))</f>
        <v>0</v>
      </c>
      <c r="J525" s="75">
        <f>ROUNDUP(SUMIF(Questions!$E$5:$E$558,'Hours Detail'!E525,Questions!$F$5:$F$558),0)</f>
        <v>0</v>
      </c>
      <c r="K525" s="76" t="e">
        <f>IF(H525="Yes",ROUNDUP(IF(VLOOKUP(E525,'BASE_FUNCOES (hide)'!A:T,16,FALSE)&lt;&gt;"No",IF('General Information'!$C$19="HTML5",(I525+J525)*'BASE_FUNCOES (hide)'!$T$2,I525+J525),I525+J525),I525+J525),I525+J525)</f>
        <v>#N/A</v>
      </c>
      <c r="L525" s="163" t="str">
        <f>IF(ISERROR(VLOOKUP(E525,Questions!$E$5:$L$568,6,0))=FALSE,VLOOKUP(E525,Questions!$E$5:$L$568,6,0),"")</f>
        <v/>
      </c>
      <c r="M525" s="164" t="s">
        <v>2396</v>
      </c>
      <c r="N525" s="369" t="s">
        <v>2377</v>
      </c>
    </row>
    <row r="526" spans="1:14" ht="14.5" customHeight="1">
      <c r="A526" s="59"/>
      <c r="B526" s="72"/>
      <c r="C526" s="72"/>
      <c r="D526" s="73"/>
      <c r="E526" s="74"/>
      <c r="F526" s="73"/>
      <c r="G526" s="73" t="e">
        <f>IF(AND('General Information'!$D$16=1,VLOOKUP(B526,Modules!$B$5:$E$496,4,0)=1)=TRUE,VLOOKUP('Hours Detail'!E526,'BASE_FUNCOES (hide)'!$A:$V,10,0),IF(AND('General Information'!$D$16=2,VLOOKUP(B526,Modules!$B$5:$E$496,4,0)=1)=TRUE,VLOOKUP('Hours Detail'!E526,'BASE_FUNCOES (hide)'!$A:$V,11,0),IF(AND('General Information'!$D$16=3,VLOOKUP(B526,Modules!$B$5:$E$496,4,0)=1)=TRUE,VLOOKUP('Hours Detail'!E526,'BASE_FUNCOES (hide)'!$A:$V,12,0),IF(AND('General Information'!$D$16=4,VLOOKUP(B526,Modules!$B$5:$E$496,4,0)=1)=TRUE,VLOOKUP('Hours Detail'!E526,'BASE_FUNCOES (hide)'!$A:$V,13,0),IF(AND('General Information'!$D$16=5,VLOOKUP(B526,Modules!$B$5:$E$496,4,0)=1)=TRUE,VLOOKUP('Hours Detail'!E526,'BASE_FUNCOES (hide)'!$A:$V,14,0),  IF(AND('General Information'!$D$16=6,VLOOKUP(B526,Modules!$B$5:$E$496,4,0)=1)=TRUE,VLOOKUP('Hours Detail'!E526,'BASE_FUNCOES (hide)'!$A:$V,15,0),"No"))))))</f>
        <v>#N/A</v>
      </c>
      <c r="H526" s="166" t="e">
        <f t="shared" ref="H526:H589" si="10">G526</f>
        <v>#N/A</v>
      </c>
      <c r="I526" s="75">
        <f>IF('General Information'!$C$4="Mexico",(ROUNDUP(VLOOKUP(E526,'BASE_FUNCOES (hide)'!A:X,21,0),0)),(ROUNDUP(VLOOKUP(E526,'BASE_FUNCOES (hide)'!A:L,9,0),0)))</f>
        <v>0</v>
      </c>
      <c r="J526" s="75">
        <f>ROUNDUP(SUMIF(Questions!$E$5:$E$558,'Hours Detail'!E526,Questions!$F$5:$F$558),0)</f>
        <v>0</v>
      </c>
      <c r="K526" s="76" t="e">
        <f>IF(H526="Yes",ROUNDUP(IF(VLOOKUP(E526,'BASE_FUNCOES (hide)'!A:T,16,FALSE)&lt;&gt;"No",IF('General Information'!$C$19="HTML5",(I526+J526)*'BASE_FUNCOES (hide)'!$T$2,I526+J526),I526+J526),I526+J526),I526+J526)</f>
        <v>#N/A</v>
      </c>
      <c r="L526" s="163" t="str">
        <f>IF(ISERROR(VLOOKUP(E526,Questions!$E$5:$L$568,6,0))=FALSE,VLOOKUP(E526,Questions!$E$5:$L$568,6,0),"")</f>
        <v/>
      </c>
      <c r="M526" s="164" t="s">
        <v>2396</v>
      </c>
      <c r="N526" s="369" t="s">
        <v>2377</v>
      </c>
    </row>
    <row r="527" spans="1:14" ht="14.5" customHeight="1">
      <c r="A527" s="59"/>
      <c r="B527" s="72"/>
      <c r="C527" s="72"/>
      <c r="D527" s="73"/>
      <c r="E527" s="74"/>
      <c r="F527" s="73"/>
      <c r="G527" s="73" t="e">
        <f>IF(AND('General Information'!$D$16=1,VLOOKUP(B527,Modules!$B$5:$E$496,4,0)=1)=TRUE,VLOOKUP('Hours Detail'!E527,'BASE_FUNCOES (hide)'!$A:$V,10,0),IF(AND('General Information'!$D$16=2,VLOOKUP(B527,Modules!$B$5:$E$496,4,0)=1)=TRUE,VLOOKUP('Hours Detail'!E527,'BASE_FUNCOES (hide)'!$A:$V,11,0),IF(AND('General Information'!$D$16=3,VLOOKUP(B527,Modules!$B$5:$E$496,4,0)=1)=TRUE,VLOOKUP('Hours Detail'!E527,'BASE_FUNCOES (hide)'!$A:$V,12,0),IF(AND('General Information'!$D$16=4,VLOOKUP(B527,Modules!$B$5:$E$496,4,0)=1)=TRUE,VLOOKUP('Hours Detail'!E527,'BASE_FUNCOES (hide)'!$A:$V,13,0),IF(AND('General Information'!$D$16=5,VLOOKUP(B527,Modules!$B$5:$E$496,4,0)=1)=TRUE,VLOOKUP('Hours Detail'!E527,'BASE_FUNCOES (hide)'!$A:$V,14,0),  IF(AND('General Information'!$D$16=6,VLOOKUP(B527,Modules!$B$5:$E$496,4,0)=1)=TRUE,VLOOKUP('Hours Detail'!E527,'BASE_FUNCOES (hide)'!$A:$V,15,0),"No"))))))</f>
        <v>#N/A</v>
      </c>
      <c r="H527" s="166" t="e">
        <f t="shared" si="10"/>
        <v>#N/A</v>
      </c>
      <c r="I527" s="75">
        <f>IF('General Information'!$C$4="Mexico",(ROUNDUP(VLOOKUP(E527,'BASE_FUNCOES (hide)'!A:X,21,0),0)),(ROUNDUP(VLOOKUP(E527,'BASE_FUNCOES (hide)'!A:L,9,0),0)))</f>
        <v>0</v>
      </c>
      <c r="J527" s="75">
        <f>ROUNDUP(SUMIF(Questions!$E$5:$E$558,'Hours Detail'!E527,Questions!$F$5:$F$558),0)</f>
        <v>0</v>
      </c>
      <c r="K527" s="76" t="e">
        <f>IF(H527="Yes",ROUNDUP(IF(VLOOKUP(E527,'BASE_FUNCOES (hide)'!A:T,16,FALSE)&lt;&gt;"No",IF('General Information'!$C$19="HTML5",(I527+J527)*'BASE_FUNCOES (hide)'!$T$2,I527+J527),I527+J527),I527+J527),I527+J527)</f>
        <v>#N/A</v>
      </c>
      <c r="L527" s="163" t="str">
        <f>IF(ISERROR(VLOOKUP(E527,Questions!$E$5:$L$568,6,0))=FALSE,VLOOKUP(E527,Questions!$E$5:$L$568,6,0),"")</f>
        <v/>
      </c>
      <c r="M527" s="164" t="s">
        <v>2396</v>
      </c>
      <c r="N527" s="369" t="s">
        <v>2377</v>
      </c>
    </row>
    <row r="528" spans="1:14" ht="14.5" customHeight="1">
      <c r="A528" s="59"/>
      <c r="B528" s="72"/>
      <c r="C528" s="72"/>
      <c r="D528" s="73"/>
      <c r="E528" s="74"/>
      <c r="F528" s="73"/>
      <c r="G528" s="73" t="e">
        <f>IF(AND('General Information'!$D$16=1,VLOOKUP(B528,Modules!$B$5:$E$496,4,0)=1)=TRUE,VLOOKUP('Hours Detail'!E528,'BASE_FUNCOES (hide)'!$A:$V,10,0),IF(AND('General Information'!$D$16=2,VLOOKUP(B528,Modules!$B$5:$E$496,4,0)=1)=TRUE,VLOOKUP('Hours Detail'!E528,'BASE_FUNCOES (hide)'!$A:$V,11,0),IF(AND('General Information'!$D$16=3,VLOOKUP(B528,Modules!$B$5:$E$496,4,0)=1)=TRUE,VLOOKUP('Hours Detail'!E528,'BASE_FUNCOES (hide)'!$A:$V,12,0),IF(AND('General Information'!$D$16=4,VLOOKUP(B528,Modules!$B$5:$E$496,4,0)=1)=TRUE,VLOOKUP('Hours Detail'!E528,'BASE_FUNCOES (hide)'!$A:$V,13,0),IF(AND('General Information'!$D$16=5,VLOOKUP(B528,Modules!$B$5:$E$496,4,0)=1)=TRUE,VLOOKUP('Hours Detail'!E528,'BASE_FUNCOES (hide)'!$A:$V,14,0),  IF(AND('General Information'!$D$16=6,VLOOKUP(B528,Modules!$B$5:$E$496,4,0)=1)=TRUE,VLOOKUP('Hours Detail'!E528,'BASE_FUNCOES (hide)'!$A:$V,15,0),"No"))))))</f>
        <v>#N/A</v>
      </c>
      <c r="H528" s="166" t="e">
        <f t="shared" si="10"/>
        <v>#N/A</v>
      </c>
      <c r="I528" s="75">
        <f>IF('General Information'!$C$4="Mexico",(ROUNDUP(VLOOKUP(E528,'BASE_FUNCOES (hide)'!A:X,21,0),0)),(ROUNDUP(VLOOKUP(E528,'BASE_FUNCOES (hide)'!A:L,9,0),0)))</f>
        <v>0</v>
      </c>
      <c r="J528" s="75">
        <f>ROUNDUP(SUMIF(Questions!$E$5:$E$558,'Hours Detail'!E528,Questions!$F$5:$F$558),0)</f>
        <v>0</v>
      </c>
      <c r="K528" s="76" t="e">
        <f>IF(H528="Yes",ROUNDUP(IF(VLOOKUP(E528,'BASE_FUNCOES (hide)'!A:T,16,FALSE)&lt;&gt;"No",IF('General Information'!$C$19="HTML5",(I528+J528)*'BASE_FUNCOES (hide)'!$T$2,I528+J528),I528+J528),I528+J528),I528+J528)</f>
        <v>#N/A</v>
      </c>
      <c r="L528" s="163" t="str">
        <f>IF(ISERROR(VLOOKUP(E528,Questions!$E$5:$L$568,6,0))=FALSE,VLOOKUP(E528,Questions!$E$5:$L$568,6,0),"")</f>
        <v/>
      </c>
      <c r="M528" s="164" t="s">
        <v>2396</v>
      </c>
      <c r="N528" s="369" t="s">
        <v>2377</v>
      </c>
    </row>
    <row r="529" spans="1:14" ht="14.5" customHeight="1">
      <c r="A529" s="59"/>
      <c r="B529" s="72"/>
      <c r="C529" s="72"/>
      <c r="D529" s="73"/>
      <c r="E529" s="74"/>
      <c r="F529" s="73"/>
      <c r="G529" s="73" t="e">
        <f>IF(AND('General Information'!$D$16=1,VLOOKUP(B529,Modules!$B$5:$E$496,4,0)=1)=TRUE,VLOOKUP('Hours Detail'!E529,'BASE_FUNCOES (hide)'!$A:$V,10,0),IF(AND('General Information'!$D$16=2,VLOOKUP(B529,Modules!$B$5:$E$496,4,0)=1)=TRUE,VLOOKUP('Hours Detail'!E529,'BASE_FUNCOES (hide)'!$A:$V,11,0),IF(AND('General Information'!$D$16=3,VLOOKUP(B529,Modules!$B$5:$E$496,4,0)=1)=TRUE,VLOOKUP('Hours Detail'!E529,'BASE_FUNCOES (hide)'!$A:$V,12,0),IF(AND('General Information'!$D$16=4,VLOOKUP(B529,Modules!$B$5:$E$496,4,0)=1)=TRUE,VLOOKUP('Hours Detail'!E529,'BASE_FUNCOES (hide)'!$A:$V,13,0),IF(AND('General Information'!$D$16=5,VLOOKUP(B529,Modules!$B$5:$E$496,4,0)=1)=TRUE,VLOOKUP('Hours Detail'!E529,'BASE_FUNCOES (hide)'!$A:$V,14,0),  IF(AND('General Information'!$D$16=6,VLOOKUP(B529,Modules!$B$5:$E$496,4,0)=1)=TRUE,VLOOKUP('Hours Detail'!E529,'BASE_FUNCOES (hide)'!$A:$V,15,0),"No"))))))</f>
        <v>#N/A</v>
      </c>
      <c r="H529" s="166" t="e">
        <f t="shared" si="10"/>
        <v>#N/A</v>
      </c>
      <c r="I529" s="75">
        <f>IF('General Information'!$C$4="Mexico",(ROUNDUP(VLOOKUP(E529,'BASE_FUNCOES (hide)'!A:X,21,0),0)),(ROUNDUP(VLOOKUP(E529,'BASE_FUNCOES (hide)'!A:L,9,0),0)))</f>
        <v>0</v>
      </c>
      <c r="J529" s="75">
        <f>ROUNDUP(SUMIF(Questions!$E$5:$E$558,'Hours Detail'!E529,Questions!$F$5:$F$558),0)</f>
        <v>0</v>
      </c>
      <c r="K529" s="76" t="e">
        <f>IF(H529="Yes",ROUNDUP(IF(VLOOKUP(E529,'BASE_FUNCOES (hide)'!A:T,16,FALSE)&lt;&gt;"No",IF('General Information'!$C$19="HTML5",(I529+J529)*'BASE_FUNCOES (hide)'!$T$2,I529+J529),I529+J529),I529+J529),I529+J529)</f>
        <v>#N/A</v>
      </c>
      <c r="L529" s="163" t="str">
        <f>IF(ISERROR(VLOOKUP(E529,Questions!$E$5:$L$568,6,0))=FALSE,VLOOKUP(E529,Questions!$E$5:$L$568,6,0),"")</f>
        <v/>
      </c>
      <c r="M529" s="164" t="s">
        <v>2396</v>
      </c>
      <c r="N529" s="369" t="s">
        <v>2377</v>
      </c>
    </row>
    <row r="530" spans="1:14" ht="14.5" customHeight="1">
      <c r="A530" s="59"/>
      <c r="B530" s="72"/>
      <c r="C530" s="72"/>
      <c r="D530" s="73"/>
      <c r="E530" s="74"/>
      <c r="F530" s="73"/>
      <c r="G530" s="73" t="e">
        <f>IF(AND('General Information'!$D$16=1,VLOOKUP(B530,Modules!$B$5:$E$496,4,0)=1)=TRUE,VLOOKUP('Hours Detail'!E530,'BASE_FUNCOES (hide)'!$A:$V,10,0),IF(AND('General Information'!$D$16=2,VLOOKUP(B530,Modules!$B$5:$E$496,4,0)=1)=TRUE,VLOOKUP('Hours Detail'!E530,'BASE_FUNCOES (hide)'!$A:$V,11,0),IF(AND('General Information'!$D$16=3,VLOOKUP(B530,Modules!$B$5:$E$496,4,0)=1)=TRUE,VLOOKUP('Hours Detail'!E530,'BASE_FUNCOES (hide)'!$A:$V,12,0),IF(AND('General Information'!$D$16=4,VLOOKUP(B530,Modules!$B$5:$E$496,4,0)=1)=TRUE,VLOOKUP('Hours Detail'!E530,'BASE_FUNCOES (hide)'!$A:$V,13,0),IF(AND('General Information'!$D$16=5,VLOOKUP(B530,Modules!$B$5:$E$496,4,0)=1)=TRUE,VLOOKUP('Hours Detail'!E530,'BASE_FUNCOES (hide)'!$A:$V,14,0),  IF(AND('General Information'!$D$16=6,VLOOKUP(B530,Modules!$B$5:$E$496,4,0)=1)=TRUE,VLOOKUP('Hours Detail'!E530,'BASE_FUNCOES (hide)'!$A:$V,15,0),"No"))))))</f>
        <v>#N/A</v>
      </c>
      <c r="H530" s="166" t="e">
        <f t="shared" si="10"/>
        <v>#N/A</v>
      </c>
      <c r="I530" s="75">
        <f>IF('General Information'!$C$4="Mexico",(ROUNDUP(VLOOKUP(E530,'BASE_FUNCOES (hide)'!A:X,21,0),0)),(ROUNDUP(VLOOKUP(E530,'BASE_FUNCOES (hide)'!A:L,9,0),0)))</f>
        <v>0</v>
      </c>
      <c r="J530" s="75">
        <f>ROUNDUP(SUMIF(Questions!$E$5:$E$558,'Hours Detail'!E530,Questions!$F$5:$F$558),0)</f>
        <v>0</v>
      </c>
      <c r="K530" s="76" t="e">
        <f>IF(H530="Yes",ROUNDUP(IF(VLOOKUP(E530,'BASE_FUNCOES (hide)'!A:T,16,FALSE)&lt;&gt;"No",IF('General Information'!$C$19="HTML5",(I530+J530)*'BASE_FUNCOES (hide)'!$T$2,I530+J530),I530+J530),I530+J530),I530+J530)</f>
        <v>#N/A</v>
      </c>
      <c r="L530" s="163" t="str">
        <f>IF(ISERROR(VLOOKUP(E530,Questions!$E$5:$L$568,6,0))=FALSE,VLOOKUP(E530,Questions!$E$5:$L$568,6,0),"")</f>
        <v/>
      </c>
      <c r="M530" s="164" t="s">
        <v>2396</v>
      </c>
      <c r="N530" s="369" t="s">
        <v>2377</v>
      </c>
    </row>
    <row r="531" spans="1:14" ht="14.5" customHeight="1">
      <c r="A531" s="59"/>
      <c r="B531" s="72"/>
      <c r="C531" s="72"/>
      <c r="D531" s="73"/>
      <c r="E531" s="74"/>
      <c r="F531" s="73"/>
      <c r="G531" s="73" t="e">
        <f>IF(AND('General Information'!$D$16=1,VLOOKUP(B531,Modules!$B$5:$E$496,4,0)=1)=TRUE,VLOOKUP('Hours Detail'!E531,'BASE_FUNCOES (hide)'!$A:$V,10,0),IF(AND('General Information'!$D$16=2,VLOOKUP(B531,Modules!$B$5:$E$496,4,0)=1)=TRUE,VLOOKUP('Hours Detail'!E531,'BASE_FUNCOES (hide)'!$A:$V,11,0),IF(AND('General Information'!$D$16=3,VLOOKUP(B531,Modules!$B$5:$E$496,4,0)=1)=TRUE,VLOOKUP('Hours Detail'!E531,'BASE_FUNCOES (hide)'!$A:$V,12,0),IF(AND('General Information'!$D$16=4,VLOOKUP(B531,Modules!$B$5:$E$496,4,0)=1)=TRUE,VLOOKUP('Hours Detail'!E531,'BASE_FUNCOES (hide)'!$A:$V,13,0),IF(AND('General Information'!$D$16=5,VLOOKUP(B531,Modules!$B$5:$E$496,4,0)=1)=TRUE,VLOOKUP('Hours Detail'!E531,'BASE_FUNCOES (hide)'!$A:$V,14,0),  IF(AND('General Information'!$D$16=6,VLOOKUP(B531,Modules!$B$5:$E$496,4,0)=1)=TRUE,VLOOKUP('Hours Detail'!E531,'BASE_FUNCOES (hide)'!$A:$V,15,0),"No"))))))</f>
        <v>#N/A</v>
      </c>
      <c r="H531" s="166" t="e">
        <f t="shared" si="10"/>
        <v>#N/A</v>
      </c>
      <c r="I531" s="75">
        <f>IF('General Information'!$C$4="Mexico",(ROUNDUP(VLOOKUP(E531,'BASE_FUNCOES (hide)'!A:X,21,0),0)),(ROUNDUP(VLOOKUP(E531,'BASE_FUNCOES (hide)'!A:L,9,0),0)))</f>
        <v>0</v>
      </c>
      <c r="J531" s="75">
        <f>ROUNDUP(SUMIF(Questions!$E$5:$E$558,'Hours Detail'!E531,Questions!$F$5:$F$558),0)</f>
        <v>0</v>
      </c>
      <c r="K531" s="76" t="e">
        <f>IF(H531="Yes",ROUNDUP(IF(VLOOKUP(E531,'BASE_FUNCOES (hide)'!A:T,16,FALSE)&lt;&gt;"No",IF('General Information'!$C$19="HTML5",(I531+J531)*'BASE_FUNCOES (hide)'!$T$2,I531+J531),I531+J531),I531+J531),I531+J531)</f>
        <v>#N/A</v>
      </c>
      <c r="L531" s="163" t="str">
        <f>IF(ISERROR(VLOOKUP(E531,Questions!$E$5:$L$568,6,0))=FALSE,VLOOKUP(E531,Questions!$E$5:$L$568,6,0),"")</f>
        <v/>
      </c>
      <c r="M531" s="164" t="s">
        <v>2396</v>
      </c>
      <c r="N531" s="369" t="s">
        <v>2377</v>
      </c>
    </row>
    <row r="532" spans="1:14" ht="14.5" customHeight="1">
      <c r="A532" s="59"/>
      <c r="B532" s="72"/>
      <c r="C532" s="72"/>
      <c r="D532" s="73"/>
      <c r="E532" s="74"/>
      <c r="F532" s="73"/>
      <c r="G532" s="73" t="e">
        <f>IF(AND('General Information'!$D$16=1,VLOOKUP(B532,Modules!$B$5:$E$496,4,0)=1)=TRUE,VLOOKUP('Hours Detail'!E532,'BASE_FUNCOES (hide)'!$A:$V,10,0),IF(AND('General Information'!$D$16=2,VLOOKUP(B532,Modules!$B$5:$E$496,4,0)=1)=TRUE,VLOOKUP('Hours Detail'!E532,'BASE_FUNCOES (hide)'!$A:$V,11,0),IF(AND('General Information'!$D$16=3,VLOOKUP(B532,Modules!$B$5:$E$496,4,0)=1)=TRUE,VLOOKUP('Hours Detail'!E532,'BASE_FUNCOES (hide)'!$A:$V,12,0),IF(AND('General Information'!$D$16=4,VLOOKUP(B532,Modules!$B$5:$E$496,4,0)=1)=TRUE,VLOOKUP('Hours Detail'!E532,'BASE_FUNCOES (hide)'!$A:$V,13,0),IF(AND('General Information'!$D$16=5,VLOOKUP(B532,Modules!$B$5:$E$496,4,0)=1)=TRUE,VLOOKUP('Hours Detail'!E532,'BASE_FUNCOES (hide)'!$A:$V,14,0),  IF(AND('General Information'!$D$16=6,VLOOKUP(B532,Modules!$B$5:$E$496,4,0)=1)=TRUE,VLOOKUP('Hours Detail'!E532,'BASE_FUNCOES (hide)'!$A:$V,15,0),"No"))))))</f>
        <v>#N/A</v>
      </c>
      <c r="H532" s="166" t="e">
        <f t="shared" si="10"/>
        <v>#N/A</v>
      </c>
      <c r="I532" s="75">
        <f>IF('General Information'!$C$4="Mexico",(ROUNDUP(VLOOKUP(E532,'BASE_FUNCOES (hide)'!A:X,21,0),0)),(ROUNDUP(VLOOKUP(E532,'BASE_FUNCOES (hide)'!A:L,9,0),0)))</f>
        <v>0</v>
      </c>
      <c r="J532" s="75">
        <f>ROUNDUP(SUMIF(Questions!$E$5:$E$558,'Hours Detail'!E532,Questions!$F$5:$F$558),0)</f>
        <v>0</v>
      </c>
      <c r="K532" s="76" t="e">
        <f>IF(H532="Yes",ROUNDUP(IF(VLOOKUP(E532,'BASE_FUNCOES (hide)'!A:T,16,FALSE)&lt;&gt;"No",IF('General Information'!$C$19="HTML5",(I532+J532)*'BASE_FUNCOES (hide)'!$T$2,I532+J532),I532+J532),I532+J532),I532+J532)</f>
        <v>#N/A</v>
      </c>
      <c r="L532" s="163" t="str">
        <f>IF(ISERROR(VLOOKUP(E532,Questions!$E$5:$L$568,6,0))=FALSE,VLOOKUP(E532,Questions!$E$5:$L$568,6,0),"")</f>
        <v/>
      </c>
      <c r="M532" s="164" t="s">
        <v>2396</v>
      </c>
      <c r="N532" s="369" t="s">
        <v>2377</v>
      </c>
    </row>
    <row r="533" spans="1:14" ht="14.5" customHeight="1">
      <c r="A533" s="59"/>
      <c r="B533" s="72"/>
      <c r="C533" s="72"/>
      <c r="D533" s="73"/>
      <c r="E533" s="74"/>
      <c r="F533" s="73"/>
      <c r="G533" s="73" t="e">
        <f>IF(AND('General Information'!$D$16=1,VLOOKUP(B533,Modules!$B$5:$E$496,4,0)=1)=TRUE,VLOOKUP('Hours Detail'!E533,'BASE_FUNCOES (hide)'!$A:$V,10,0),IF(AND('General Information'!$D$16=2,VLOOKUP(B533,Modules!$B$5:$E$496,4,0)=1)=TRUE,VLOOKUP('Hours Detail'!E533,'BASE_FUNCOES (hide)'!$A:$V,11,0),IF(AND('General Information'!$D$16=3,VLOOKUP(B533,Modules!$B$5:$E$496,4,0)=1)=TRUE,VLOOKUP('Hours Detail'!E533,'BASE_FUNCOES (hide)'!$A:$V,12,0),IF(AND('General Information'!$D$16=4,VLOOKUP(B533,Modules!$B$5:$E$496,4,0)=1)=TRUE,VLOOKUP('Hours Detail'!E533,'BASE_FUNCOES (hide)'!$A:$V,13,0),IF(AND('General Information'!$D$16=5,VLOOKUP(B533,Modules!$B$5:$E$496,4,0)=1)=TRUE,VLOOKUP('Hours Detail'!E533,'BASE_FUNCOES (hide)'!$A:$V,14,0),  IF(AND('General Information'!$D$16=6,VLOOKUP(B533,Modules!$B$5:$E$496,4,0)=1)=TRUE,VLOOKUP('Hours Detail'!E533,'BASE_FUNCOES (hide)'!$A:$V,15,0),"No"))))))</f>
        <v>#N/A</v>
      </c>
      <c r="H533" s="166" t="e">
        <f t="shared" si="10"/>
        <v>#N/A</v>
      </c>
      <c r="I533" s="75">
        <f>IF('General Information'!$C$4="Mexico",(ROUNDUP(VLOOKUP(E533,'BASE_FUNCOES (hide)'!A:X,21,0),0)),(ROUNDUP(VLOOKUP(E533,'BASE_FUNCOES (hide)'!A:L,9,0),0)))</f>
        <v>0</v>
      </c>
      <c r="J533" s="75">
        <f>ROUNDUP(SUMIF(Questions!$E$5:$E$558,'Hours Detail'!E533,Questions!$F$5:$F$558),0)</f>
        <v>0</v>
      </c>
      <c r="K533" s="76" t="e">
        <f>IF(H533="Yes",ROUNDUP(IF(VLOOKUP(E533,'BASE_FUNCOES (hide)'!A:T,16,FALSE)&lt;&gt;"No",IF('General Information'!$C$19="HTML5",(I533+J533)*'BASE_FUNCOES (hide)'!$T$2,I533+J533),I533+J533),I533+J533),I533+J533)</f>
        <v>#N/A</v>
      </c>
      <c r="L533" s="163" t="str">
        <f>IF(ISERROR(VLOOKUP(E533,Questions!$E$5:$L$568,6,0))=FALSE,VLOOKUP(E533,Questions!$E$5:$L$568,6,0),"")</f>
        <v/>
      </c>
      <c r="M533" s="164" t="s">
        <v>2396</v>
      </c>
      <c r="N533" s="369" t="s">
        <v>2377</v>
      </c>
    </row>
    <row r="534" spans="1:14" ht="14.5" customHeight="1">
      <c r="A534" s="59"/>
      <c r="B534" s="72"/>
      <c r="C534" s="72"/>
      <c r="D534" s="73"/>
      <c r="E534" s="74"/>
      <c r="F534" s="73"/>
      <c r="G534" s="73" t="e">
        <f>IF(AND('General Information'!$D$16=1,VLOOKUP(B534,Modules!$B$5:$E$496,4,0)=1)=TRUE,VLOOKUP('Hours Detail'!E534,'BASE_FUNCOES (hide)'!$A:$V,10,0),IF(AND('General Information'!$D$16=2,VLOOKUP(B534,Modules!$B$5:$E$496,4,0)=1)=TRUE,VLOOKUP('Hours Detail'!E534,'BASE_FUNCOES (hide)'!$A:$V,11,0),IF(AND('General Information'!$D$16=3,VLOOKUP(B534,Modules!$B$5:$E$496,4,0)=1)=TRUE,VLOOKUP('Hours Detail'!E534,'BASE_FUNCOES (hide)'!$A:$V,12,0),IF(AND('General Information'!$D$16=4,VLOOKUP(B534,Modules!$B$5:$E$496,4,0)=1)=TRUE,VLOOKUP('Hours Detail'!E534,'BASE_FUNCOES (hide)'!$A:$V,13,0),IF(AND('General Information'!$D$16=5,VLOOKUP(B534,Modules!$B$5:$E$496,4,0)=1)=TRUE,VLOOKUP('Hours Detail'!E534,'BASE_FUNCOES (hide)'!$A:$V,14,0),  IF(AND('General Information'!$D$16=6,VLOOKUP(B534,Modules!$B$5:$E$496,4,0)=1)=TRUE,VLOOKUP('Hours Detail'!E534,'BASE_FUNCOES (hide)'!$A:$V,15,0),"No"))))))</f>
        <v>#N/A</v>
      </c>
      <c r="H534" s="166" t="e">
        <f t="shared" si="10"/>
        <v>#N/A</v>
      </c>
      <c r="I534" s="75">
        <f>IF('General Information'!$C$4="Mexico",(ROUNDUP(VLOOKUP(E534,'BASE_FUNCOES (hide)'!A:X,21,0),0)),(ROUNDUP(VLOOKUP(E534,'BASE_FUNCOES (hide)'!A:L,9,0),0)))</f>
        <v>0</v>
      </c>
      <c r="J534" s="75">
        <f>ROUNDUP(SUMIF(Questions!$E$5:$E$558,'Hours Detail'!E534,Questions!$F$5:$F$558),0)</f>
        <v>0</v>
      </c>
      <c r="K534" s="76" t="e">
        <f>IF(H534="Yes",ROUNDUP(IF(VLOOKUP(E534,'BASE_FUNCOES (hide)'!A:T,16,FALSE)&lt;&gt;"No",IF('General Information'!$C$19="HTML5",(I534+J534)*'BASE_FUNCOES (hide)'!$T$2,I534+J534),I534+J534),I534+J534),I534+J534)</f>
        <v>#N/A</v>
      </c>
      <c r="L534" s="163" t="str">
        <f>IF(ISERROR(VLOOKUP(E534,Questions!$E$5:$L$568,6,0))=FALSE,VLOOKUP(E534,Questions!$E$5:$L$568,6,0),"")</f>
        <v/>
      </c>
      <c r="M534" s="164" t="s">
        <v>2396</v>
      </c>
      <c r="N534" s="369" t="s">
        <v>2377</v>
      </c>
    </row>
    <row r="535" spans="1:14" ht="14.5" customHeight="1">
      <c r="A535" s="59"/>
      <c r="B535" s="72"/>
      <c r="C535" s="72"/>
      <c r="D535" s="73"/>
      <c r="E535" s="74"/>
      <c r="F535" s="73"/>
      <c r="G535" s="73" t="e">
        <f>IF(AND('General Information'!$D$16=1,VLOOKUP(B535,Modules!$B$5:$E$496,4,0)=1)=TRUE,VLOOKUP('Hours Detail'!E535,'BASE_FUNCOES (hide)'!$A:$V,10,0),IF(AND('General Information'!$D$16=2,VLOOKUP(B535,Modules!$B$5:$E$496,4,0)=1)=TRUE,VLOOKUP('Hours Detail'!E535,'BASE_FUNCOES (hide)'!$A:$V,11,0),IF(AND('General Information'!$D$16=3,VLOOKUP(B535,Modules!$B$5:$E$496,4,0)=1)=TRUE,VLOOKUP('Hours Detail'!E535,'BASE_FUNCOES (hide)'!$A:$V,12,0),IF(AND('General Information'!$D$16=4,VLOOKUP(B535,Modules!$B$5:$E$496,4,0)=1)=TRUE,VLOOKUP('Hours Detail'!E535,'BASE_FUNCOES (hide)'!$A:$V,13,0),IF(AND('General Information'!$D$16=5,VLOOKUP(B535,Modules!$B$5:$E$496,4,0)=1)=TRUE,VLOOKUP('Hours Detail'!E535,'BASE_FUNCOES (hide)'!$A:$V,14,0),  IF(AND('General Information'!$D$16=6,VLOOKUP(B535,Modules!$B$5:$E$496,4,0)=1)=TRUE,VLOOKUP('Hours Detail'!E535,'BASE_FUNCOES (hide)'!$A:$V,15,0),"No"))))))</f>
        <v>#N/A</v>
      </c>
      <c r="H535" s="166" t="e">
        <f t="shared" si="10"/>
        <v>#N/A</v>
      </c>
      <c r="I535" s="75">
        <f>IF('General Information'!$C$4="Mexico",(ROUNDUP(VLOOKUP(E535,'BASE_FUNCOES (hide)'!A:X,21,0),0)),(ROUNDUP(VLOOKUP(E535,'BASE_FUNCOES (hide)'!A:L,9,0),0)))</f>
        <v>0</v>
      </c>
      <c r="J535" s="75">
        <f>ROUNDUP(SUMIF(Questions!$E$5:$E$558,'Hours Detail'!E535,Questions!$F$5:$F$558),0)</f>
        <v>0</v>
      </c>
      <c r="K535" s="76" t="e">
        <f>IF(H535="Yes",ROUNDUP(IF(VLOOKUP(E535,'BASE_FUNCOES (hide)'!A:T,16,FALSE)&lt;&gt;"No",IF('General Information'!$C$19="HTML5",(I535+J535)*'BASE_FUNCOES (hide)'!$T$2,I535+J535),I535+J535),I535+J535),I535+J535)</f>
        <v>#N/A</v>
      </c>
      <c r="L535" s="163" t="str">
        <f>IF(ISERROR(VLOOKUP(E535,Questions!$E$5:$L$568,6,0))=FALSE,VLOOKUP(E535,Questions!$E$5:$L$568,6,0),"")</f>
        <v/>
      </c>
      <c r="M535" s="164" t="s">
        <v>2396</v>
      </c>
      <c r="N535" s="369" t="s">
        <v>2377</v>
      </c>
    </row>
    <row r="536" spans="1:14" ht="14.5" customHeight="1">
      <c r="A536" s="59"/>
      <c r="B536" s="72"/>
      <c r="C536" s="72"/>
      <c r="D536" s="73"/>
      <c r="E536" s="74"/>
      <c r="F536" s="73"/>
      <c r="G536" s="73" t="e">
        <f>IF(AND('General Information'!$D$16=1,VLOOKUP(B536,Modules!$B$5:$E$496,4,0)=1)=TRUE,VLOOKUP('Hours Detail'!E536,'BASE_FUNCOES (hide)'!$A:$V,10,0),IF(AND('General Information'!$D$16=2,VLOOKUP(B536,Modules!$B$5:$E$496,4,0)=1)=TRUE,VLOOKUP('Hours Detail'!E536,'BASE_FUNCOES (hide)'!$A:$V,11,0),IF(AND('General Information'!$D$16=3,VLOOKUP(B536,Modules!$B$5:$E$496,4,0)=1)=TRUE,VLOOKUP('Hours Detail'!E536,'BASE_FUNCOES (hide)'!$A:$V,12,0),IF(AND('General Information'!$D$16=4,VLOOKUP(B536,Modules!$B$5:$E$496,4,0)=1)=TRUE,VLOOKUP('Hours Detail'!E536,'BASE_FUNCOES (hide)'!$A:$V,13,0),IF(AND('General Information'!$D$16=5,VLOOKUP(B536,Modules!$B$5:$E$496,4,0)=1)=TRUE,VLOOKUP('Hours Detail'!E536,'BASE_FUNCOES (hide)'!$A:$V,14,0),  IF(AND('General Information'!$D$16=6,VLOOKUP(B536,Modules!$B$5:$E$496,4,0)=1)=TRUE,VLOOKUP('Hours Detail'!E536,'BASE_FUNCOES (hide)'!$A:$V,15,0),"No"))))))</f>
        <v>#N/A</v>
      </c>
      <c r="H536" s="166" t="e">
        <f t="shared" si="10"/>
        <v>#N/A</v>
      </c>
      <c r="I536" s="75">
        <f>IF('General Information'!$C$4="Mexico",(ROUNDUP(VLOOKUP(E536,'BASE_FUNCOES (hide)'!A:X,21,0),0)),(ROUNDUP(VLOOKUP(E536,'BASE_FUNCOES (hide)'!A:L,9,0),0)))</f>
        <v>0</v>
      </c>
      <c r="J536" s="75">
        <f>ROUNDUP(SUMIF(Questions!$E$5:$E$558,'Hours Detail'!E536,Questions!$F$5:$F$558),0)</f>
        <v>0</v>
      </c>
      <c r="K536" s="76" t="e">
        <f>IF(H536="Yes",ROUNDUP(IF(VLOOKUP(E536,'BASE_FUNCOES (hide)'!A:T,16,FALSE)&lt;&gt;"No",IF('General Information'!$C$19="HTML5",(I536+J536)*'BASE_FUNCOES (hide)'!$T$2,I536+J536),I536+J536),I536+J536),I536+J536)</f>
        <v>#N/A</v>
      </c>
      <c r="L536" s="163" t="str">
        <f>IF(ISERROR(VLOOKUP(E536,Questions!$E$5:$L$568,6,0))=FALSE,VLOOKUP(E536,Questions!$E$5:$L$568,6,0),"")</f>
        <v/>
      </c>
      <c r="M536" s="164" t="s">
        <v>2396</v>
      </c>
      <c r="N536" s="369" t="s">
        <v>2377</v>
      </c>
    </row>
    <row r="537" spans="1:14" ht="14.5" customHeight="1">
      <c r="A537" s="59"/>
      <c r="B537" s="72"/>
      <c r="C537" s="72"/>
      <c r="D537" s="73"/>
      <c r="E537" s="74"/>
      <c r="F537" s="73"/>
      <c r="G537" s="73" t="e">
        <f>IF(AND('General Information'!$D$16=1,VLOOKUP(B537,Modules!$B$5:$E$496,4,0)=1)=TRUE,VLOOKUP('Hours Detail'!E537,'BASE_FUNCOES (hide)'!$A:$V,10,0),IF(AND('General Information'!$D$16=2,VLOOKUP(B537,Modules!$B$5:$E$496,4,0)=1)=TRUE,VLOOKUP('Hours Detail'!E537,'BASE_FUNCOES (hide)'!$A:$V,11,0),IF(AND('General Information'!$D$16=3,VLOOKUP(B537,Modules!$B$5:$E$496,4,0)=1)=TRUE,VLOOKUP('Hours Detail'!E537,'BASE_FUNCOES (hide)'!$A:$V,12,0),IF(AND('General Information'!$D$16=4,VLOOKUP(B537,Modules!$B$5:$E$496,4,0)=1)=TRUE,VLOOKUP('Hours Detail'!E537,'BASE_FUNCOES (hide)'!$A:$V,13,0),IF(AND('General Information'!$D$16=5,VLOOKUP(B537,Modules!$B$5:$E$496,4,0)=1)=TRUE,VLOOKUP('Hours Detail'!E537,'BASE_FUNCOES (hide)'!$A:$V,14,0),  IF(AND('General Information'!$D$16=6,VLOOKUP(B537,Modules!$B$5:$E$496,4,0)=1)=TRUE,VLOOKUP('Hours Detail'!E537,'BASE_FUNCOES (hide)'!$A:$V,15,0),"No"))))))</f>
        <v>#N/A</v>
      </c>
      <c r="H537" s="166" t="e">
        <f t="shared" si="10"/>
        <v>#N/A</v>
      </c>
      <c r="I537" s="75">
        <f>IF('General Information'!$C$4="Mexico",(ROUNDUP(VLOOKUP(E537,'BASE_FUNCOES (hide)'!A:X,21,0),0)),(ROUNDUP(VLOOKUP(E537,'BASE_FUNCOES (hide)'!A:L,9,0),0)))</f>
        <v>0</v>
      </c>
      <c r="J537" s="75">
        <f>ROUNDUP(SUMIF(Questions!$E$5:$E$558,'Hours Detail'!E537,Questions!$F$5:$F$558),0)</f>
        <v>0</v>
      </c>
      <c r="K537" s="76" t="e">
        <f>IF(H537="Yes",ROUNDUP(IF(VLOOKUP(E537,'BASE_FUNCOES (hide)'!A:T,16,FALSE)&lt;&gt;"No",IF('General Information'!$C$19="HTML5",(I537+J537)*'BASE_FUNCOES (hide)'!$T$2,I537+J537),I537+J537),I537+J537),I537+J537)</f>
        <v>#N/A</v>
      </c>
      <c r="L537" s="163" t="str">
        <f>IF(ISERROR(VLOOKUP(E537,Questions!$E$5:$L$568,6,0))=FALSE,VLOOKUP(E537,Questions!$E$5:$L$568,6,0),"")</f>
        <v/>
      </c>
      <c r="M537" s="164" t="s">
        <v>2396</v>
      </c>
      <c r="N537" s="369" t="s">
        <v>2377</v>
      </c>
    </row>
    <row r="538" spans="1:14" ht="14.5" customHeight="1">
      <c r="A538" s="59"/>
      <c r="B538" s="72"/>
      <c r="C538" s="72"/>
      <c r="D538" s="73"/>
      <c r="E538" s="74"/>
      <c r="F538" s="73"/>
      <c r="G538" s="73" t="e">
        <f>IF(AND('General Information'!$D$16=1,VLOOKUP(B538,Modules!$B$5:$E$496,4,0)=1)=TRUE,VLOOKUP('Hours Detail'!E538,'BASE_FUNCOES (hide)'!$A:$V,10,0),IF(AND('General Information'!$D$16=2,VLOOKUP(B538,Modules!$B$5:$E$496,4,0)=1)=TRUE,VLOOKUP('Hours Detail'!E538,'BASE_FUNCOES (hide)'!$A:$V,11,0),IF(AND('General Information'!$D$16=3,VLOOKUP(B538,Modules!$B$5:$E$496,4,0)=1)=TRUE,VLOOKUP('Hours Detail'!E538,'BASE_FUNCOES (hide)'!$A:$V,12,0),IF(AND('General Information'!$D$16=4,VLOOKUP(B538,Modules!$B$5:$E$496,4,0)=1)=TRUE,VLOOKUP('Hours Detail'!E538,'BASE_FUNCOES (hide)'!$A:$V,13,0),IF(AND('General Information'!$D$16=5,VLOOKUP(B538,Modules!$B$5:$E$496,4,0)=1)=TRUE,VLOOKUP('Hours Detail'!E538,'BASE_FUNCOES (hide)'!$A:$V,14,0),  IF(AND('General Information'!$D$16=6,VLOOKUP(B538,Modules!$B$5:$E$496,4,0)=1)=TRUE,VLOOKUP('Hours Detail'!E538,'BASE_FUNCOES (hide)'!$A:$V,15,0),"No"))))))</f>
        <v>#N/A</v>
      </c>
      <c r="H538" s="166" t="e">
        <f t="shared" si="10"/>
        <v>#N/A</v>
      </c>
      <c r="I538" s="75">
        <f>IF('General Information'!$C$4="Mexico",(ROUNDUP(VLOOKUP(E538,'BASE_FUNCOES (hide)'!A:X,21,0),0)),(ROUNDUP(VLOOKUP(E538,'BASE_FUNCOES (hide)'!A:L,9,0),0)))</f>
        <v>0</v>
      </c>
      <c r="J538" s="75">
        <f>ROUNDUP(SUMIF(Questions!$E$5:$E$558,'Hours Detail'!E538,Questions!$F$5:$F$558),0)</f>
        <v>0</v>
      </c>
      <c r="K538" s="76" t="e">
        <f>IF(H538="Yes",ROUNDUP(IF(VLOOKUP(E538,'BASE_FUNCOES (hide)'!A:T,16,FALSE)&lt;&gt;"No",IF('General Information'!$C$19="HTML5",(I538+J538)*'BASE_FUNCOES (hide)'!$T$2,I538+J538),I538+J538),I538+J538),I538+J538)</f>
        <v>#N/A</v>
      </c>
      <c r="L538" s="163" t="str">
        <f>IF(ISERROR(VLOOKUP(E538,Questions!$E$5:$L$568,6,0))=FALSE,VLOOKUP(E538,Questions!$E$5:$L$568,6,0),"")</f>
        <v/>
      </c>
      <c r="M538" s="164" t="s">
        <v>2396</v>
      </c>
      <c r="N538" s="369" t="s">
        <v>2377</v>
      </c>
    </row>
    <row r="539" spans="1:14" ht="14.5" customHeight="1">
      <c r="A539" s="59"/>
      <c r="B539" s="72"/>
      <c r="C539" s="72"/>
      <c r="D539" s="73"/>
      <c r="E539" s="74"/>
      <c r="F539" s="73"/>
      <c r="G539" s="73" t="e">
        <f>IF(AND('General Information'!$D$16=1,VLOOKUP(B539,Modules!$B$5:$E$496,4,0)=1)=TRUE,VLOOKUP('Hours Detail'!E539,'BASE_FUNCOES (hide)'!$A:$V,10,0),IF(AND('General Information'!$D$16=2,VLOOKUP(B539,Modules!$B$5:$E$496,4,0)=1)=TRUE,VLOOKUP('Hours Detail'!E539,'BASE_FUNCOES (hide)'!$A:$V,11,0),IF(AND('General Information'!$D$16=3,VLOOKUP(B539,Modules!$B$5:$E$496,4,0)=1)=TRUE,VLOOKUP('Hours Detail'!E539,'BASE_FUNCOES (hide)'!$A:$V,12,0),IF(AND('General Information'!$D$16=4,VLOOKUP(B539,Modules!$B$5:$E$496,4,0)=1)=TRUE,VLOOKUP('Hours Detail'!E539,'BASE_FUNCOES (hide)'!$A:$V,13,0),IF(AND('General Information'!$D$16=5,VLOOKUP(B539,Modules!$B$5:$E$496,4,0)=1)=TRUE,VLOOKUP('Hours Detail'!E539,'BASE_FUNCOES (hide)'!$A:$V,14,0),  IF(AND('General Information'!$D$16=6,VLOOKUP(B539,Modules!$B$5:$E$496,4,0)=1)=TRUE,VLOOKUP('Hours Detail'!E539,'BASE_FUNCOES (hide)'!$A:$V,15,0),"No"))))))</f>
        <v>#N/A</v>
      </c>
      <c r="H539" s="166" t="e">
        <f t="shared" si="10"/>
        <v>#N/A</v>
      </c>
      <c r="I539" s="75">
        <f>IF('General Information'!$C$4="Mexico",(ROUNDUP(VLOOKUP(E539,'BASE_FUNCOES (hide)'!A:X,21,0),0)),(ROUNDUP(VLOOKUP(E539,'BASE_FUNCOES (hide)'!A:L,9,0),0)))</f>
        <v>0</v>
      </c>
      <c r="J539" s="75">
        <f>ROUNDUP(SUMIF(Questions!$E$5:$E$558,'Hours Detail'!E539,Questions!$F$5:$F$558),0)</f>
        <v>0</v>
      </c>
      <c r="K539" s="76" t="e">
        <f>IF(H539="Yes",ROUNDUP(IF(VLOOKUP(E539,'BASE_FUNCOES (hide)'!A:T,16,FALSE)&lt;&gt;"No",IF('General Information'!$C$19="HTML5",(I539+J539)*'BASE_FUNCOES (hide)'!$T$2,I539+J539),I539+J539),I539+J539),I539+J539)</f>
        <v>#N/A</v>
      </c>
      <c r="L539" s="163" t="str">
        <f>IF(ISERROR(VLOOKUP(E539,Questions!$E$5:$L$568,6,0))=FALSE,VLOOKUP(E539,Questions!$E$5:$L$568,6,0),"")</f>
        <v/>
      </c>
      <c r="M539" s="164" t="s">
        <v>2396</v>
      </c>
      <c r="N539" s="369" t="s">
        <v>2377</v>
      </c>
    </row>
    <row r="540" spans="1:14" ht="14.5" customHeight="1">
      <c r="A540" s="59"/>
      <c r="B540" s="72"/>
      <c r="C540" s="72"/>
      <c r="D540" s="73"/>
      <c r="E540" s="74"/>
      <c r="F540" s="73"/>
      <c r="G540" s="73" t="e">
        <f>IF(AND('General Information'!$D$16=1,VLOOKUP(B540,Modules!$B$5:$E$496,4,0)=1)=TRUE,VLOOKUP('Hours Detail'!E540,'BASE_FUNCOES (hide)'!$A:$V,10,0),IF(AND('General Information'!$D$16=2,VLOOKUP(B540,Modules!$B$5:$E$496,4,0)=1)=TRUE,VLOOKUP('Hours Detail'!E540,'BASE_FUNCOES (hide)'!$A:$V,11,0),IF(AND('General Information'!$D$16=3,VLOOKUP(B540,Modules!$B$5:$E$496,4,0)=1)=TRUE,VLOOKUP('Hours Detail'!E540,'BASE_FUNCOES (hide)'!$A:$V,12,0),IF(AND('General Information'!$D$16=4,VLOOKUP(B540,Modules!$B$5:$E$496,4,0)=1)=TRUE,VLOOKUP('Hours Detail'!E540,'BASE_FUNCOES (hide)'!$A:$V,13,0),IF(AND('General Information'!$D$16=5,VLOOKUP(B540,Modules!$B$5:$E$496,4,0)=1)=TRUE,VLOOKUP('Hours Detail'!E540,'BASE_FUNCOES (hide)'!$A:$V,14,0),  IF(AND('General Information'!$D$16=6,VLOOKUP(B540,Modules!$B$5:$E$496,4,0)=1)=TRUE,VLOOKUP('Hours Detail'!E540,'BASE_FUNCOES (hide)'!$A:$V,15,0),"No"))))))</f>
        <v>#N/A</v>
      </c>
      <c r="H540" s="166" t="e">
        <f t="shared" si="10"/>
        <v>#N/A</v>
      </c>
      <c r="I540" s="75">
        <f>IF('General Information'!$C$4="Mexico",(ROUNDUP(VLOOKUP(E540,'BASE_FUNCOES (hide)'!A:X,21,0),0)),(ROUNDUP(VLOOKUP(E540,'BASE_FUNCOES (hide)'!A:L,9,0),0)))</f>
        <v>0</v>
      </c>
      <c r="J540" s="75">
        <f>ROUNDUP(SUMIF(Questions!$E$5:$E$558,'Hours Detail'!E540,Questions!$F$5:$F$558),0)</f>
        <v>0</v>
      </c>
      <c r="K540" s="76" t="e">
        <f>IF(H540="Yes",ROUNDUP(IF(VLOOKUP(E540,'BASE_FUNCOES (hide)'!A:T,16,FALSE)&lt;&gt;"No",IF('General Information'!$C$19="HTML5",(I540+J540)*'BASE_FUNCOES (hide)'!$T$2,I540+J540),I540+J540),I540+J540),I540+J540)</f>
        <v>#N/A</v>
      </c>
      <c r="L540" s="163" t="str">
        <f>IF(ISERROR(VLOOKUP(E540,Questions!$E$5:$L$568,6,0))=FALSE,VLOOKUP(E540,Questions!$E$5:$L$568,6,0),"")</f>
        <v/>
      </c>
      <c r="M540" s="164" t="s">
        <v>2396</v>
      </c>
      <c r="N540" s="369" t="s">
        <v>2377</v>
      </c>
    </row>
    <row r="541" spans="1:14" ht="14.5" customHeight="1">
      <c r="A541" s="59"/>
      <c r="B541" s="72"/>
      <c r="C541" s="72"/>
      <c r="D541" s="73"/>
      <c r="E541" s="74"/>
      <c r="F541" s="73"/>
      <c r="G541" s="73" t="e">
        <f>IF(AND('General Information'!$D$16=1,VLOOKUP(B541,Modules!$B$5:$E$496,4,0)=1)=TRUE,VLOOKUP('Hours Detail'!E541,'BASE_FUNCOES (hide)'!$A:$V,10,0),IF(AND('General Information'!$D$16=2,VLOOKUP(B541,Modules!$B$5:$E$496,4,0)=1)=TRUE,VLOOKUP('Hours Detail'!E541,'BASE_FUNCOES (hide)'!$A:$V,11,0),IF(AND('General Information'!$D$16=3,VLOOKUP(B541,Modules!$B$5:$E$496,4,0)=1)=TRUE,VLOOKUP('Hours Detail'!E541,'BASE_FUNCOES (hide)'!$A:$V,12,0),IF(AND('General Information'!$D$16=4,VLOOKUP(B541,Modules!$B$5:$E$496,4,0)=1)=TRUE,VLOOKUP('Hours Detail'!E541,'BASE_FUNCOES (hide)'!$A:$V,13,0),IF(AND('General Information'!$D$16=5,VLOOKUP(B541,Modules!$B$5:$E$496,4,0)=1)=TRUE,VLOOKUP('Hours Detail'!E541,'BASE_FUNCOES (hide)'!$A:$V,14,0),  IF(AND('General Information'!$D$16=6,VLOOKUP(B541,Modules!$B$5:$E$496,4,0)=1)=TRUE,VLOOKUP('Hours Detail'!E541,'BASE_FUNCOES (hide)'!$A:$V,15,0),"No"))))))</f>
        <v>#N/A</v>
      </c>
      <c r="H541" s="166" t="e">
        <f t="shared" si="10"/>
        <v>#N/A</v>
      </c>
      <c r="I541" s="75">
        <f>IF('General Information'!$C$4="Mexico",(ROUNDUP(VLOOKUP(E541,'BASE_FUNCOES (hide)'!A:X,21,0),0)),(ROUNDUP(VLOOKUP(E541,'BASE_FUNCOES (hide)'!A:L,9,0),0)))</f>
        <v>0</v>
      </c>
      <c r="J541" s="75">
        <f>ROUNDUP(SUMIF(Questions!$E$5:$E$558,'Hours Detail'!E541,Questions!$F$5:$F$558),0)</f>
        <v>0</v>
      </c>
      <c r="K541" s="76" t="e">
        <f>IF(H541="Yes",ROUNDUP(IF(VLOOKUP(E541,'BASE_FUNCOES (hide)'!A:T,16,FALSE)&lt;&gt;"No",IF('General Information'!$C$19="HTML5",(I541+J541)*'BASE_FUNCOES (hide)'!$T$2,I541+J541),I541+J541),I541+J541),I541+J541)</f>
        <v>#N/A</v>
      </c>
      <c r="L541" s="163" t="str">
        <f>IF(ISERROR(VLOOKUP(E541,Questions!$E$5:$L$568,6,0))=FALSE,VLOOKUP(E541,Questions!$E$5:$L$568,6,0),"")</f>
        <v/>
      </c>
      <c r="M541" s="164" t="s">
        <v>2396</v>
      </c>
      <c r="N541" s="369" t="s">
        <v>2377</v>
      </c>
    </row>
    <row r="542" spans="1:14" ht="14.5" customHeight="1">
      <c r="A542" s="59"/>
      <c r="B542" s="72"/>
      <c r="C542" s="72"/>
      <c r="D542" s="73"/>
      <c r="E542" s="74"/>
      <c r="F542" s="73"/>
      <c r="G542" s="73" t="e">
        <f>IF(AND('General Information'!$D$16=1,VLOOKUP(B542,Modules!$B$5:$E$496,4,0)=1)=TRUE,VLOOKUP('Hours Detail'!E542,'BASE_FUNCOES (hide)'!$A:$V,10,0),IF(AND('General Information'!$D$16=2,VLOOKUP(B542,Modules!$B$5:$E$496,4,0)=1)=TRUE,VLOOKUP('Hours Detail'!E542,'BASE_FUNCOES (hide)'!$A:$V,11,0),IF(AND('General Information'!$D$16=3,VLOOKUP(B542,Modules!$B$5:$E$496,4,0)=1)=TRUE,VLOOKUP('Hours Detail'!E542,'BASE_FUNCOES (hide)'!$A:$V,12,0),IF(AND('General Information'!$D$16=4,VLOOKUP(B542,Modules!$B$5:$E$496,4,0)=1)=TRUE,VLOOKUP('Hours Detail'!E542,'BASE_FUNCOES (hide)'!$A:$V,13,0),IF(AND('General Information'!$D$16=5,VLOOKUP(B542,Modules!$B$5:$E$496,4,0)=1)=TRUE,VLOOKUP('Hours Detail'!E542,'BASE_FUNCOES (hide)'!$A:$V,14,0),  IF(AND('General Information'!$D$16=6,VLOOKUP(B542,Modules!$B$5:$E$496,4,0)=1)=TRUE,VLOOKUP('Hours Detail'!E542,'BASE_FUNCOES (hide)'!$A:$V,15,0),"No"))))))</f>
        <v>#N/A</v>
      </c>
      <c r="H542" s="166" t="e">
        <f t="shared" si="10"/>
        <v>#N/A</v>
      </c>
      <c r="I542" s="75">
        <f>IF('General Information'!$C$4="Mexico",(ROUNDUP(VLOOKUP(E542,'BASE_FUNCOES (hide)'!A:X,21,0),0)),(ROUNDUP(VLOOKUP(E542,'BASE_FUNCOES (hide)'!A:L,9,0),0)))</f>
        <v>0</v>
      </c>
      <c r="J542" s="75">
        <f>ROUNDUP(SUMIF(Questions!$E$5:$E$558,'Hours Detail'!E542,Questions!$F$5:$F$558),0)</f>
        <v>0</v>
      </c>
      <c r="K542" s="76" t="e">
        <f>IF(H542="Yes",ROUNDUP(IF(VLOOKUP(E542,'BASE_FUNCOES (hide)'!A:T,16,FALSE)&lt;&gt;"No",IF('General Information'!$C$19="HTML5",(I542+J542)*'BASE_FUNCOES (hide)'!$T$2,I542+J542),I542+J542),I542+J542),I542+J542)</f>
        <v>#N/A</v>
      </c>
      <c r="L542" s="163" t="str">
        <f>IF(ISERROR(VLOOKUP(E542,Questions!$E$5:$L$568,6,0))=FALSE,VLOOKUP(E542,Questions!$E$5:$L$568,6,0),"")</f>
        <v/>
      </c>
      <c r="M542" s="164" t="s">
        <v>2396</v>
      </c>
      <c r="N542" s="369" t="s">
        <v>2377</v>
      </c>
    </row>
    <row r="543" spans="1:14" ht="14.5" customHeight="1">
      <c r="A543" s="59"/>
      <c r="B543" s="72"/>
      <c r="C543" s="72"/>
      <c r="D543" s="73"/>
      <c r="E543" s="74"/>
      <c r="F543" s="73"/>
      <c r="G543" s="73" t="e">
        <f>IF(AND('General Information'!$D$16=1,VLOOKUP(B543,Modules!$B$5:$E$496,4,0)=1)=TRUE,VLOOKUP('Hours Detail'!E543,'BASE_FUNCOES (hide)'!$A:$V,10,0),IF(AND('General Information'!$D$16=2,VLOOKUP(B543,Modules!$B$5:$E$496,4,0)=1)=TRUE,VLOOKUP('Hours Detail'!E543,'BASE_FUNCOES (hide)'!$A:$V,11,0),IF(AND('General Information'!$D$16=3,VLOOKUP(B543,Modules!$B$5:$E$496,4,0)=1)=TRUE,VLOOKUP('Hours Detail'!E543,'BASE_FUNCOES (hide)'!$A:$V,12,0),IF(AND('General Information'!$D$16=4,VLOOKUP(B543,Modules!$B$5:$E$496,4,0)=1)=TRUE,VLOOKUP('Hours Detail'!E543,'BASE_FUNCOES (hide)'!$A:$V,13,0),IF(AND('General Information'!$D$16=5,VLOOKUP(B543,Modules!$B$5:$E$496,4,0)=1)=TRUE,VLOOKUP('Hours Detail'!E543,'BASE_FUNCOES (hide)'!$A:$V,14,0),  IF(AND('General Information'!$D$16=6,VLOOKUP(B543,Modules!$B$5:$E$496,4,0)=1)=TRUE,VLOOKUP('Hours Detail'!E543,'BASE_FUNCOES (hide)'!$A:$V,15,0),"No"))))))</f>
        <v>#N/A</v>
      </c>
      <c r="H543" s="166" t="e">
        <f t="shared" si="10"/>
        <v>#N/A</v>
      </c>
      <c r="I543" s="75">
        <f>IF('General Information'!$C$4="Mexico",(ROUNDUP(VLOOKUP(E543,'BASE_FUNCOES (hide)'!A:X,21,0),0)),(ROUNDUP(VLOOKUP(E543,'BASE_FUNCOES (hide)'!A:L,9,0),0)))</f>
        <v>0</v>
      </c>
      <c r="J543" s="75">
        <f>ROUNDUP(SUMIF(Questions!$E$5:$E$558,'Hours Detail'!E543,Questions!$F$5:$F$558),0)</f>
        <v>0</v>
      </c>
      <c r="K543" s="76" t="e">
        <f>IF(H543="Yes",ROUNDUP(IF(VLOOKUP(E543,'BASE_FUNCOES (hide)'!A:T,16,FALSE)&lt;&gt;"No",IF('General Information'!$C$19="HTML5",(I543+J543)*'BASE_FUNCOES (hide)'!$T$2,I543+J543),I543+J543),I543+J543),I543+J543)</f>
        <v>#N/A</v>
      </c>
      <c r="L543" s="163" t="str">
        <f>IF(ISERROR(VLOOKUP(E543,Questions!$E$5:$L$568,6,0))=FALSE,VLOOKUP(E543,Questions!$E$5:$L$568,6,0),"")</f>
        <v/>
      </c>
      <c r="M543" s="164" t="s">
        <v>2396</v>
      </c>
      <c r="N543" s="369" t="s">
        <v>2377</v>
      </c>
    </row>
    <row r="544" spans="1:14" ht="14.5" customHeight="1">
      <c r="A544" s="59"/>
      <c r="B544" s="72"/>
      <c r="C544" s="72"/>
      <c r="D544" s="73"/>
      <c r="E544" s="74"/>
      <c r="F544" s="73"/>
      <c r="G544" s="73" t="e">
        <f>IF(AND('General Information'!$D$16=1,VLOOKUP(B544,Modules!$B$5:$E$496,4,0)=1)=TRUE,VLOOKUP('Hours Detail'!E544,'BASE_FUNCOES (hide)'!$A:$V,10,0),IF(AND('General Information'!$D$16=2,VLOOKUP(B544,Modules!$B$5:$E$496,4,0)=1)=TRUE,VLOOKUP('Hours Detail'!E544,'BASE_FUNCOES (hide)'!$A:$V,11,0),IF(AND('General Information'!$D$16=3,VLOOKUP(B544,Modules!$B$5:$E$496,4,0)=1)=TRUE,VLOOKUP('Hours Detail'!E544,'BASE_FUNCOES (hide)'!$A:$V,12,0),IF(AND('General Information'!$D$16=4,VLOOKUP(B544,Modules!$B$5:$E$496,4,0)=1)=TRUE,VLOOKUP('Hours Detail'!E544,'BASE_FUNCOES (hide)'!$A:$V,13,0),IF(AND('General Information'!$D$16=5,VLOOKUP(B544,Modules!$B$5:$E$496,4,0)=1)=TRUE,VLOOKUP('Hours Detail'!E544,'BASE_FUNCOES (hide)'!$A:$V,14,0),  IF(AND('General Information'!$D$16=6,VLOOKUP(B544,Modules!$B$5:$E$496,4,0)=1)=TRUE,VLOOKUP('Hours Detail'!E544,'BASE_FUNCOES (hide)'!$A:$V,15,0),"No"))))))</f>
        <v>#N/A</v>
      </c>
      <c r="H544" s="166" t="e">
        <f t="shared" si="10"/>
        <v>#N/A</v>
      </c>
      <c r="I544" s="75">
        <f>IF('General Information'!$C$4="Mexico",(ROUNDUP(VLOOKUP(E544,'BASE_FUNCOES (hide)'!A:X,21,0),0)),(ROUNDUP(VLOOKUP(E544,'BASE_FUNCOES (hide)'!A:L,9,0),0)))</f>
        <v>0</v>
      </c>
      <c r="J544" s="75">
        <f>ROUNDUP(SUMIF(Questions!$E$5:$E$558,'Hours Detail'!E544,Questions!$F$5:$F$558),0)</f>
        <v>0</v>
      </c>
      <c r="K544" s="76" t="e">
        <f>IF(H544="Yes",ROUNDUP(IF(VLOOKUP(E544,'BASE_FUNCOES (hide)'!A:T,16,FALSE)&lt;&gt;"No",IF('General Information'!$C$19="HTML5",(I544+J544)*'BASE_FUNCOES (hide)'!$T$2,I544+J544),I544+J544),I544+J544),I544+J544)</f>
        <v>#N/A</v>
      </c>
      <c r="L544" s="163" t="str">
        <f>IF(ISERROR(VLOOKUP(E544,Questions!$E$5:$L$568,6,0))=FALSE,VLOOKUP(E544,Questions!$E$5:$L$568,6,0),"")</f>
        <v/>
      </c>
      <c r="M544" s="164" t="s">
        <v>2396</v>
      </c>
      <c r="N544" s="369" t="s">
        <v>2377</v>
      </c>
    </row>
    <row r="545" spans="1:14" ht="14.5" customHeight="1">
      <c r="A545" s="59"/>
      <c r="B545" s="72"/>
      <c r="C545" s="72"/>
      <c r="D545" s="73"/>
      <c r="E545" s="74"/>
      <c r="F545" s="73"/>
      <c r="G545" s="73" t="e">
        <f>IF(AND('General Information'!$D$16=1,VLOOKUP(B545,Modules!$B$5:$E$496,4,0)=1)=TRUE,VLOOKUP('Hours Detail'!E545,'BASE_FUNCOES (hide)'!$A:$V,10,0),IF(AND('General Information'!$D$16=2,VLOOKUP(B545,Modules!$B$5:$E$496,4,0)=1)=TRUE,VLOOKUP('Hours Detail'!E545,'BASE_FUNCOES (hide)'!$A:$V,11,0),IF(AND('General Information'!$D$16=3,VLOOKUP(B545,Modules!$B$5:$E$496,4,0)=1)=TRUE,VLOOKUP('Hours Detail'!E545,'BASE_FUNCOES (hide)'!$A:$V,12,0),IF(AND('General Information'!$D$16=4,VLOOKUP(B545,Modules!$B$5:$E$496,4,0)=1)=TRUE,VLOOKUP('Hours Detail'!E545,'BASE_FUNCOES (hide)'!$A:$V,13,0),IF(AND('General Information'!$D$16=5,VLOOKUP(B545,Modules!$B$5:$E$496,4,0)=1)=TRUE,VLOOKUP('Hours Detail'!E545,'BASE_FUNCOES (hide)'!$A:$V,14,0),  IF(AND('General Information'!$D$16=6,VLOOKUP(B545,Modules!$B$5:$E$496,4,0)=1)=TRUE,VLOOKUP('Hours Detail'!E545,'BASE_FUNCOES (hide)'!$A:$V,15,0),"No"))))))</f>
        <v>#N/A</v>
      </c>
      <c r="H545" s="166" t="e">
        <f t="shared" si="10"/>
        <v>#N/A</v>
      </c>
      <c r="I545" s="75">
        <f>IF('General Information'!$C$4="Mexico",(ROUNDUP(VLOOKUP(E545,'BASE_FUNCOES (hide)'!A:X,21,0),0)),(ROUNDUP(VLOOKUP(E545,'BASE_FUNCOES (hide)'!A:L,9,0),0)))</f>
        <v>0</v>
      </c>
      <c r="J545" s="75">
        <f>ROUNDUP(SUMIF(Questions!$E$5:$E$558,'Hours Detail'!E545,Questions!$F$5:$F$558),0)</f>
        <v>0</v>
      </c>
      <c r="K545" s="76" t="e">
        <f>IF(H545="Yes",ROUNDUP(IF(VLOOKUP(E545,'BASE_FUNCOES (hide)'!A:T,16,FALSE)&lt;&gt;"No",IF('General Information'!$C$19="HTML5",(I545+J545)*'BASE_FUNCOES (hide)'!$T$2,I545+J545),I545+J545),I545+J545),I545+J545)</f>
        <v>#N/A</v>
      </c>
      <c r="L545" s="163" t="str">
        <f>IF(ISERROR(VLOOKUP(E545,Questions!$E$5:$L$568,6,0))=FALSE,VLOOKUP(E545,Questions!$E$5:$L$568,6,0),"")</f>
        <v/>
      </c>
      <c r="M545" s="164" t="s">
        <v>2396</v>
      </c>
      <c r="N545" s="369" t="s">
        <v>2377</v>
      </c>
    </row>
    <row r="546" spans="1:14" ht="14.5" customHeight="1">
      <c r="A546" s="59"/>
      <c r="B546" s="72"/>
      <c r="C546" s="72"/>
      <c r="D546" s="73"/>
      <c r="E546" s="74"/>
      <c r="F546" s="73"/>
      <c r="G546" s="73" t="e">
        <f>IF(AND('General Information'!$D$16=1,VLOOKUP(B546,Modules!$B$5:$E$496,4,0)=1)=TRUE,VLOOKUP('Hours Detail'!E546,'BASE_FUNCOES (hide)'!$A:$V,10,0),IF(AND('General Information'!$D$16=2,VLOOKUP(B546,Modules!$B$5:$E$496,4,0)=1)=TRUE,VLOOKUP('Hours Detail'!E546,'BASE_FUNCOES (hide)'!$A:$V,11,0),IF(AND('General Information'!$D$16=3,VLOOKUP(B546,Modules!$B$5:$E$496,4,0)=1)=TRUE,VLOOKUP('Hours Detail'!E546,'BASE_FUNCOES (hide)'!$A:$V,12,0),IF(AND('General Information'!$D$16=4,VLOOKUP(B546,Modules!$B$5:$E$496,4,0)=1)=TRUE,VLOOKUP('Hours Detail'!E546,'BASE_FUNCOES (hide)'!$A:$V,13,0),IF(AND('General Information'!$D$16=5,VLOOKUP(B546,Modules!$B$5:$E$496,4,0)=1)=TRUE,VLOOKUP('Hours Detail'!E546,'BASE_FUNCOES (hide)'!$A:$V,14,0),  IF(AND('General Information'!$D$16=6,VLOOKUP(B546,Modules!$B$5:$E$496,4,0)=1)=TRUE,VLOOKUP('Hours Detail'!E546,'BASE_FUNCOES (hide)'!$A:$V,15,0),"No"))))))</f>
        <v>#N/A</v>
      </c>
      <c r="H546" s="166" t="e">
        <f t="shared" si="10"/>
        <v>#N/A</v>
      </c>
      <c r="I546" s="75">
        <f>IF('General Information'!$C$4="Mexico",(ROUNDUP(VLOOKUP(E546,'BASE_FUNCOES (hide)'!A:X,21,0),0)),(ROUNDUP(VLOOKUP(E546,'BASE_FUNCOES (hide)'!A:L,9,0),0)))</f>
        <v>0</v>
      </c>
      <c r="J546" s="75">
        <f>ROUNDUP(SUMIF(Questions!$E$5:$E$558,'Hours Detail'!E546,Questions!$F$5:$F$558),0)</f>
        <v>0</v>
      </c>
      <c r="K546" s="76" t="e">
        <f>IF(H546="Yes",ROUNDUP(IF(VLOOKUP(E546,'BASE_FUNCOES (hide)'!A:T,16,FALSE)&lt;&gt;"No",IF('General Information'!$C$19="HTML5",(I546+J546)*'BASE_FUNCOES (hide)'!$T$2,I546+J546),I546+J546),I546+J546),I546+J546)</f>
        <v>#N/A</v>
      </c>
      <c r="L546" s="163" t="str">
        <f>IF(ISERROR(VLOOKUP(E546,Questions!$E$5:$L$568,6,0))=FALSE,VLOOKUP(E546,Questions!$E$5:$L$568,6,0),"")</f>
        <v/>
      </c>
      <c r="M546" s="164" t="s">
        <v>2396</v>
      </c>
      <c r="N546" s="369" t="s">
        <v>2377</v>
      </c>
    </row>
    <row r="547" spans="1:14" ht="14.5" customHeight="1">
      <c r="A547" s="59"/>
      <c r="B547" s="72"/>
      <c r="C547" s="72"/>
      <c r="D547" s="73"/>
      <c r="E547" s="74"/>
      <c r="F547" s="73"/>
      <c r="G547" s="73" t="e">
        <f>IF(AND('General Information'!$D$16=1,VLOOKUP(B547,Modules!$B$5:$E$496,4,0)=1)=TRUE,VLOOKUP('Hours Detail'!E547,'BASE_FUNCOES (hide)'!$A:$V,10,0),IF(AND('General Information'!$D$16=2,VLOOKUP(B547,Modules!$B$5:$E$496,4,0)=1)=TRUE,VLOOKUP('Hours Detail'!E547,'BASE_FUNCOES (hide)'!$A:$V,11,0),IF(AND('General Information'!$D$16=3,VLOOKUP(B547,Modules!$B$5:$E$496,4,0)=1)=TRUE,VLOOKUP('Hours Detail'!E547,'BASE_FUNCOES (hide)'!$A:$V,12,0),IF(AND('General Information'!$D$16=4,VLOOKUP(B547,Modules!$B$5:$E$496,4,0)=1)=TRUE,VLOOKUP('Hours Detail'!E547,'BASE_FUNCOES (hide)'!$A:$V,13,0),IF(AND('General Information'!$D$16=5,VLOOKUP(B547,Modules!$B$5:$E$496,4,0)=1)=TRUE,VLOOKUP('Hours Detail'!E547,'BASE_FUNCOES (hide)'!$A:$V,14,0),  IF(AND('General Information'!$D$16=6,VLOOKUP(B547,Modules!$B$5:$E$496,4,0)=1)=TRUE,VLOOKUP('Hours Detail'!E547,'BASE_FUNCOES (hide)'!$A:$V,15,0),"No"))))))</f>
        <v>#N/A</v>
      </c>
      <c r="H547" s="166" t="e">
        <f t="shared" si="10"/>
        <v>#N/A</v>
      </c>
      <c r="I547" s="75">
        <f>IF('General Information'!$C$4="Mexico",(ROUNDUP(VLOOKUP(E547,'BASE_FUNCOES (hide)'!A:X,21,0),0)),(ROUNDUP(VLOOKUP(E547,'BASE_FUNCOES (hide)'!A:L,9,0),0)))</f>
        <v>0</v>
      </c>
      <c r="J547" s="75">
        <f>ROUNDUP(SUMIF(Questions!$E$5:$E$558,'Hours Detail'!E547,Questions!$F$5:$F$558),0)</f>
        <v>0</v>
      </c>
      <c r="K547" s="76" t="e">
        <f>IF(H547="Yes",ROUNDUP(IF(VLOOKUP(E547,'BASE_FUNCOES (hide)'!A:T,16,FALSE)&lt;&gt;"No",IF('General Information'!$C$19="HTML5",(I547+J547)*'BASE_FUNCOES (hide)'!$T$2,I547+J547),I547+J547),I547+J547),I547+J547)</f>
        <v>#N/A</v>
      </c>
      <c r="L547" s="163" t="str">
        <f>IF(ISERROR(VLOOKUP(E547,Questions!$E$5:$L$568,6,0))=FALSE,VLOOKUP(E547,Questions!$E$5:$L$568,6,0),"")</f>
        <v/>
      </c>
      <c r="M547" s="164" t="s">
        <v>2396</v>
      </c>
      <c r="N547" s="369" t="s">
        <v>2377</v>
      </c>
    </row>
    <row r="548" spans="1:14" ht="14.5" customHeight="1">
      <c r="A548" s="59"/>
      <c r="B548" s="72"/>
      <c r="C548" s="72"/>
      <c r="D548" s="73"/>
      <c r="E548" s="74"/>
      <c r="F548" s="73"/>
      <c r="G548" s="73" t="e">
        <f>IF(AND('General Information'!$D$16=1,VLOOKUP(B548,Modules!$B$5:$E$496,4,0)=1)=TRUE,VLOOKUP('Hours Detail'!E548,'BASE_FUNCOES (hide)'!$A:$V,10,0),IF(AND('General Information'!$D$16=2,VLOOKUP(B548,Modules!$B$5:$E$496,4,0)=1)=TRUE,VLOOKUP('Hours Detail'!E548,'BASE_FUNCOES (hide)'!$A:$V,11,0),IF(AND('General Information'!$D$16=3,VLOOKUP(B548,Modules!$B$5:$E$496,4,0)=1)=TRUE,VLOOKUP('Hours Detail'!E548,'BASE_FUNCOES (hide)'!$A:$V,12,0),IF(AND('General Information'!$D$16=4,VLOOKUP(B548,Modules!$B$5:$E$496,4,0)=1)=TRUE,VLOOKUP('Hours Detail'!E548,'BASE_FUNCOES (hide)'!$A:$V,13,0),IF(AND('General Information'!$D$16=5,VLOOKUP(B548,Modules!$B$5:$E$496,4,0)=1)=TRUE,VLOOKUP('Hours Detail'!E548,'BASE_FUNCOES (hide)'!$A:$V,14,0),  IF(AND('General Information'!$D$16=6,VLOOKUP(B548,Modules!$B$5:$E$496,4,0)=1)=TRUE,VLOOKUP('Hours Detail'!E548,'BASE_FUNCOES (hide)'!$A:$V,15,0),"No"))))))</f>
        <v>#N/A</v>
      </c>
      <c r="H548" s="166" t="e">
        <f t="shared" si="10"/>
        <v>#N/A</v>
      </c>
      <c r="I548" s="75">
        <f>IF('General Information'!$C$4="Mexico",(ROUNDUP(VLOOKUP(E548,'BASE_FUNCOES (hide)'!A:X,21,0),0)),(ROUNDUP(VLOOKUP(E548,'BASE_FUNCOES (hide)'!A:L,9,0),0)))</f>
        <v>0</v>
      </c>
      <c r="J548" s="75">
        <f>ROUNDUP(SUMIF(Questions!$E$5:$E$558,'Hours Detail'!E548,Questions!$F$5:$F$558),0)</f>
        <v>0</v>
      </c>
      <c r="K548" s="76" t="e">
        <f>IF(H548="Yes",ROUNDUP(IF(VLOOKUP(E548,'BASE_FUNCOES (hide)'!A:T,16,FALSE)&lt;&gt;"No",IF('General Information'!$C$19="HTML5",(I548+J548)*'BASE_FUNCOES (hide)'!$T$2,I548+J548),I548+J548),I548+J548),I548+J548)</f>
        <v>#N/A</v>
      </c>
      <c r="L548" s="163" t="str">
        <f>IF(ISERROR(VLOOKUP(E548,Questions!$E$5:$L$568,6,0))=FALSE,VLOOKUP(E548,Questions!$E$5:$L$568,6,0),"")</f>
        <v/>
      </c>
      <c r="M548" s="164" t="s">
        <v>2396</v>
      </c>
      <c r="N548" s="369" t="s">
        <v>2377</v>
      </c>
    </row>
    <row r="549" spans="1:14" ht="14.5" customHeight="1">
      <c r="A549" s="59"/>
      <c r="B549" s="72"/>
      <c r="C549" s="72"/>
      <c r="D549" s="73"/>
      <c r="E549" s="74"/>
      <c r="F549" s="73"/>
      <c r="G549" s="73" t="e">
        <f>IF(AND('General Information'!$D$16=1,VLOOKUP(B549,Modules!$B$5:$E$496,4,0)=1)=TRUE,VLOOKUP('Hours Detail'!E549,'BASE_FUNCOES (hide)'!$A:$V,10,0),IF(AND('General Information'!$D$16=2,VLOOKUP(B549,Modules!$B$5:$E$496,4,0)=1)=TRUE,VLOOKUP('Hours Detail'!E549,'BASE_FUNCOES (hide)'!$A:$V,11,0),IF(AND('General Information'!$D$16=3,VLOOKUP(B549,Modules!$B$5:$E$496,4,0)=1)=TRUE,VLOOKUP('Hours Detail'!E549,'BASE_FUNCOES (hide)'!$A:$V,12,0),IF(AND('General Information'!$D$16=4,VLOOKUP(B549,Modules!$B$5:$E$496,4,0)=1)=TRUE,VLOOKUP('Hours Detail'!E549,'BASE_FUNCOES (hide)'!$A:$V,13,0),IF(AND('General Information'!$D$16=5,VLOOKUP(B549,Modules!$B$5:$E$496,4,0)=1)=TRUE,VLOOKUP('Hours Detail'!E549,'BASE_FUNCOES (hide)'!$A:$V,14,0),  IF(AND('General Information'!$D$16=6,VLOOKUP(B549,Modules!$B$5:$E$496,4,0)=1)=TRUE,VLOOKUP('Hours Detail'!E549,'BASE_FUNCOES (hide)'!$A:$V,15,0),"No"))))))</f>
        <v>#N/A</v>
      </c>
      <c r="H549" s="166" t="e">
        <f t="shared" si="10"/>
        <v>#N/A</v>
      </c>
      <c r="I549" s="75">
        <f>IF('General Information'!$C$4="Mexico",(ROUNDUP(VLOOKUP(E549,'BASE_FUNCOES (hide)'!A:X,21,0),0)),(ROUNDUP(VLOOKUP(E549,'BASE_FUNCOES (hide)'!A:L,9,0),0)))</f>
        <v>0</v>
      </c>
      <c r="J549" s="75">
        <f>ROUNDUP(SUMIF(Questions!$E$5:$E$558,'Hours Detail'!E549,Questions!$F$5:$F$558),0)</f>
        <v>0</v>
      </c>
      <c r="K549" s="76" t="e">
        <f>IF(H549="Yes",ROUNDUP(IF(VLOOKUP(E549,'BASE_FUNCOES (hide)'!A:T,16,FALSE)&lt;&gt;"No",IF('General Information'!$C$19="HTML5",(I549+J549)*'BASE_FUNCOES (hide)'!$T$2,I549+J549),I549+J549),I549+J549),I549+J549)</f>
        <v>#N/A</v>
      </c>
      <c r="L549" s="163" t="str">
        <f>IF(ISERROR(VLOOKUP(E549,Questions!$E$5:$L$568,6,0))=FALSE,VLOOKUP(E549,Questions!$E$5:$L$568,6,0),"")</f>
        <v/>
      </c>
      <c r="M549" s="164" t="s">
        <v>2396</v>
      </c>
      <c r="N549" s="369" t="s">
        <v>2377</v>
      </c>
    </row>
    <row r="550" spans="1:14" ht="14.5" customHeight="1">
      <c r="A550" s="59"/>
      <c r="B550" s="72"/>
      <c r="C550" s="72"/>
      <c r="D550" s="73"/>
      <c r="E550" s="74"/>
      <c r="F550" s="73"/>
      <c r="G550" s="73" t="e">
        <f>IF(AND('General Information'!$D$16=1,VLOOKUP(B550,Modules!$B$5:$E$496,4,0)=1)=TRUE,VLOOKUP('Hours Detail'!E550,'BASE_FUNCOES (hide)'!$A:$V,10,0),IF(AND('General Information'!$D$16=2,VLOOKUP(B550,Modules!$B$5:$E$496,4,0)=1)=TRUE,VLOOKUP('Hours Detail'!E550,'BASE_FUNCOES (hide)'!$A:$V,11,0),IF(AND('General Information'!$D$16=3,VLOOKUP(B550,Modules!$B$5:$E$496,4,0)=1)=TRUE,VLOOKUP('Hours Detail'!E550,'BASE_FUNCOES (hide)'!$A:$V,12,0),IF(AND('General Information'!$D$16=4,VLOOKUP(B550,Modules!$B$5:$E$496,4,0)=1)=TRUE,VLOOKUP('Hours Detail'!E550,'BASE_FUNCOES (hide)'!$A:$V,13,0),IF(AND('General Information'!$D$16=5,VLOOKUP(B550,Modules!$B$5:$E$496,4,0)=1)=TRUE,VLOOKUP('Hours Detail'!E550,'BASE_FUNCOES (hide)'!$A:$V,14,0),  IF(AND('General Information'!$D$16=6,VLOOKUP(B550,Modules!$B$5:$E$496,4,0)=1)=TRUE,VLOOKUP('Hours Detail'!E550,'BASE_FUNCOES (hide)'!$A:$V,15,0),"No"))))))</f>
        <v>#N/A</v>
      </c>
      <c r="H550" s="166" t="e">
        <f t="shared" si="10"/>
        <v>#N/A</v>
      </c>
      <c r="I550" s="75">
        <f>IF('General Information'!$C$4="Mexico",(ROUNDUP(VLOOKUP(E550,'BASE_FUNCOES (hide)'!A:X,21,0),0)),(ROUNDUP(VLOOKUP(E550,'BASE_FUNCOES (hide)'!A:L,9,0),0)))</f>
        <v>0</v>
      </c>
      <c r="J550" s="75">
        <f>ROUNDUP(SUMIF(Questions!$E$5:$E$558,'Hours Detail'!E550,Questions!$F$5:$F$558),0)</f>
        <v>0</v>
      </c>
      <c r="K550" s="76" t="e">
        <f>IF(H550="Yes",ROUNDUP(IF(VLOOKUP(E550,'BASE_FUNCOES (hide)'!A:T,16,FALSE)&lt;&gt;"No",IF('General Information'!$C$19="HTML5",(I550+J550)*'BASE_FUNCOES (hide)'!$T$2,I550+J550),I550+J550),I550+J550),I550+J550)</f>
        <v>#N/A</v>
      </c>
      <c r="L550" s="163" t="str">
        <f>IF(ISERROR(VLOOKUP(E550,Questions!$E$5:$L$568,6,0))=FALSE,VLOOKUP(E550,Questions!$E$5:$L$568,6,0),"")</f>
        <v/>
      </c>
      <c r="M550" s="164" t="s">
        <v>2396</v>
      </c>
      <c r="N550" s="369" t="s">
        <v>2377</v>
      </c>
    </row>
    <row r="551" spans="1:14" ht="14.5" customHeight="1">
      <c r="A551" s="59"/>
      <c r="B551" s="72"/>
      <c r="C551" s="72"/>
      <c r="D551" s="73"/>
      <c r="E551" s="74"/>
      <c r="F551" s="73"/>
      <c r="G551" s="73" t="e">
        <f>IF(AND('General Information'!$D$16=1,VLOOKUP(B551,Modules!$B$5:$E$496,4,0)=1)=TRUE,VLOOKUP('Hours Detail'!E551,'BASE_FUNCOES (hide)'!$A:$V,10,0),IF(AND('General Information'!$D$16=2,VLOOKUP(B551,Modules!$B$5:$E$496,4,0)=1)=TRUE,VLOOKUP('Hours Detail'!E551,'BASE_FUNCOES (hide)'!$A:$V,11,0),IF(AND('General Information'!$D$16=3,VLOOKUP(B551,Modules!$B$5:$E$496,4,0)=1)=TRUE,VLOOKUP('Hours Detail'!E551,'BASE_FUNCOES (hide)'!$A:$V,12,0),IF(AND('General Information'!$D$16=4,VLOOKUP(B551,Modules!$B$5:$E$496,4,0)=1)=TRUE,VLOOKUP('Hours Detail'!E551,'BASE_FUNCOES (hide)'!$A:$V,13,0),IF(AND('General Information'!$D$16=5,VLOOKUP(B551,Modules!$B$5:$E$496,4,0)=1)=TRUE,VLOOKUP('Hours Detail'!E551,'BASE_FUNCOES (hide)'!$A:$V,14,0),  IF(AND('General Information'!$D$16=6,VLOOKUP(B551,Modules!$B$5:$E$496,4,0)=1)=TRUE,VLOOKUP('Hours Detail'!E551,'BASE_FUNCOES (hide)'!$A:$V,15,0),"No"))))))</f>
        <v>#N/A</v>
      </c>
      <c r="H551" s="166" t="e">
        <f t="shared" si="10"/>
        <v>#N/A</v>
      </c>
      <c r="I551" s="75">
        <f>IF('General Information'!$C$4="Mexico",(ROUNDUP(VLOOKUP(E551,'BASE_FUNCOES (hide)'!A:X,21,0),0)),(ROUNDUP(VLOOKUP(E551,'BASE_FUNCOES (hide)'!A:L,9,0),0)))</f>
        <v>0</v>
      </c>
      <c r="J551" s="75">
        <f>ROUNDUP(SUMIF(Questions!$E$5:$E$558,'Hours Detail'!E551,Questions!$F$5:$F$558),0)</f>
        <v>0</v>
      </c>
      <c r="K551" s="76" t="e">
        <f>IF(H551="Yes",ROUNDUP(IF(VLOOKUP(E551,'BASE_FUNCOES (hide)'!A:T,16,FALSE)&lt;&gt;"No",IF('General Information'!$C$19="HTML5",(I551+J551)*'BASE_FUNCOES (hide)'!$T$2,I551+J551),I551+J551),I551+J551),I551+J551)</f>
        <v>#N/A</v>
      </c>
      <c r="L551" s="163" t="str">
        <f>IF(ISERROR(VLOOKUP(E551,Questions!$E$5:$L$568,6,0))=FALSE,VLOOKUP(E551,Questions!$E$5:$L$568,6,0),"")</f>
        <v/>
      </c>
      <c r="M551" s="164" t="s">
        <v>2396</v>
      </c>
      <c r="N551" s="369" t="s">
        <v>2377</v>
      </c>
    </row>
    <row r="552" spans="1:14" ht="14.5" customHeight="1">
      <c r="A552" s="59"/>
      <c r="B552" s="72"/>
      <c r="C552" s="72"/>
      <c r="D552" s="73"/>
      <c r="E552" s="74"/>
      <c r="F552" s="73"/>
      <c r="G552" s="73" t="e">
        <f>IF(AND('General Information'!$D$16=1,VLOOKUP(B552,Modules!$B$5:$E$496,4,0)=1)=TRUE,VLOOKUP('Hours Detail'!E552,'BASE_FUNCOES (hide)'!$A:$V,10,0),IF(AND('General Information'!$D$16=2,VLOOKUP(B552,Modules!$B$5:$E$496,4,0)=1)=TRUE,VLOOKUP('Hours Detail'!E552,'BASE_FUNCOES (hide)'!$A:$V,11,0),IF(AND('General Information'!$D$16=3,VLOOKUP(B552,Modules!$B$5:$E$496,4,0)=1)=TRUE,VLOOKUP('Hours Detail'!E552,'BASE_FUNCOES (hide)'!$A:$V,12,0),IF(AND('General Information'!$D$16=4,VLOOKUP(B552,Modules!$B$5:$E$496,4,0)=1)=TRUE,VLOOKUP('Hours Detail'!E552,'BASE_FUNCOES (hide)'!$A:$V,13,0),IF(AND('General Information'!$D$16=5,VLOOKUP(B552,Modules!$B$5:$E$496,4,0)=1)=TRUE,VLOOKUP('Hours Detail'!E552,'BASE_FUNCOES (hide)'!$A:$V,14,0),  IF(AND('General Information'!$D$16=6,VLOOKUP(B552,Modules!$B$5:$E$496,4,0)=1)=TRUE,VLOOKUP('Hours Detail'!E552,'BASE_FUNCOES (hide)'!$A:$V,15,0),"No"))))))</f>
        <v>#N/A</v>
      </c>
      <c r="H552" s="166" t="e">
        <f t="shared" si="10"/>
        <v>#N/A</v>
      </c>
      <c r="I552" s="75">
        <f>IF('General Information'!$C$4="Mexico",(ROUNDUP(VLOOKUP(E552,'BASE_FUNCOES (hide)'!A:X,21,0),0)),(ROUNDUP(VLOOKUP(E552,'BASE_FUNCOES (hide)'!A:L,9,0),0)))</f>
        <v>0</v>
      </c>
      <c r="J552" s="75">
        <f>ROUNDUP(SUMIF(Questions!$E$5:$E$558,'Hours Detail'!E552,Questions!$F$5:$F$558),0)</f>
        <v>0</v>
      </c>
      <c r="K552" s="76" t="e">
        <f>IF(H552="Yes",ROUNDUP(IF(VLOOKUP(E552,'BASE_FUNCOES (hide)'!A:T,16,FALSE)&lt;&gt;"No",IF('General Information'!$C$19="HTML5",(I552+J552)*'BASE_FUNCOES (hide)'!$T$2,I552+J552),I552+J552),I552+J552),I552+J552)</f>
        <v>#N/A</v>
      </c>
      <c r="L552" s="163" t="str">
        <f>IF(ISERROR(VLOOKUP(E552,Questions!$E$5:$L$568,6,0))=FALSE,VLOOKUP(E552,Questions!$E$5:$L$568,6,0),"")</f>
        <v/>
      </c>
      <c r="M552" s="164" t="s">
        <v>2396</v>
      </c>
      <c r="N552" s="369" t="s">
        <v>2377</v>
      </c>
    </row>
    <row r="553" spans="1:14" ht="14.5" customHeight="1">
      <c r="A553" s="59"/>
      <c r="B553" s="72"/>
      <c r="C553" s="72"/>
      <c r="D553" s="73"/>
      <c r="E553" s="74"/>
      <c r="F553" s="73"/>
      <c r="G553" s="73" t="e">
        <f>IF(AND('General Information'!$D$16=1,VLOOKUP(B553,Modules!$B$5:$E$496,4,0)=1)=TRUE,VLOOKUP('Hours Detail'!E553,'BASE_FUNCOES (hide)'!$A:$V,10,0),IF(AND('General Information'!$D$16=2,VLOOKUP(B553,Modules!$B$5:$E$496,4,0)=1)=TRUE,VLOOKUP('Hours Detail'!E553,'BASE_FUNCOES (hide)'!$A:$V,11,0),IF(AND('General Information'!$D$16=3,VLOOKUP(B553,Modules!$B$5:$E$496,4,0)=1)=TRUE,VLOOKUP('Hours Detail'!E553,'BASE_FUNCOES (hide)'!$A:$V,12,0),IF(AND('General Information'!$D$16=4,VLOOKUP(B553,Modules!$B$5:$E$496,4,0)=1)=TRUE,VLOOKUP('Hours Detail'!E553,'BASE_FUNCOES (hide)'!$A:$V,13,0),IF(AND('General Information'!$D$16=5,VLOOKUP(B553,Modules!$B$5:$E$496,4,0)=1)=TRUE,VLOOKUP('Hours Detail'!E553,'BASE_FUNCOES (hide)'!$A:$V,14,0),  IF(AND('General Information'!$D$16=6,VLOOKUP(B553,Modules!$B$5:$E$496,4,0)=1)=TRUE,VLOOKUP('Hours Detail'!E553,'BASE_FUNCOES (hide)'!$A:$V,15,0),"No"))))))</f>
        <v>#N/A</v>
      </c>
      <c r="H553" s="166" t="e">
        <f t="shared" si="10"/>
        <v>#N/A</v>
      </c>
      <c r="I553" s="75">
        <f>IF('General Information'!$C$4="Mexico",(ROUNDUP(VLOOKUP(E553,'BASE_FUNCOES (hide)'!A:X,21,0),0)),(ROUNDUP(VLOOKUP(E553,'BASE_FUNCOES (hide)'!A:L,9,0),0)))</f>
        <v>0</v>
      </c>
      <c r="J553" s="75">
        <f>ROUNDUP(SUMIF(Questions!$E$5:$E$558,'Hours Detail'!E553,Questions!$F$5:$F$558),0)</f>
        <v>0</v>
      </c>
      <c r="K553" s="76" t="e">
        <f>IF(H553="Yes",ROUNDUP(IF(VLOOKUP(E553,'BASE_FUNCOES (hide)'!A:T,16,FALSE)&lt;&gt;"No",IF('General Information'!$C$19="HTML5",(I553+J553)*'BASE_FUNCOES (hide)'!$T$2,I553+J553),I553+J553),I553+J553),I553+J553)</f>
        <v>#N/A</v>
      </c>
      <c r="L553" s="163" t="str">
        <f>IF(ISERROR(VLOOKUP(E553,Questions!$E$5:$L$568,6,0))=FALSE,VLOOKUP(E553,Questions!$E$5:$L$568,6,0),"")</f>
        <v/>
      </c>
      <c r="M553" s="164" t="s">
        <v>2396</v>
      </c>
      <c r="N553" s="369" t="s">
        <v>2377</v>
      </c>
    </row>
    <row r="554" spans="1:14" ht="14.5" customHeight="1">
      <c r="A554" s="59"/>
      <c r="B554" s="72"/>
      <c r="C554" s="72"/>
      <c r="D554" s="73"/>
      <c r="E554" s="74"/>
      <c r="F554" s="73"/>
      <c r="G554" s="73" t="e">
        <f>IF(AND('General Information'!$D$16=1,VLOOKUP(B554,Modules!$B$5:$E$496,4,0)=1)=TRUE,VLOOKUP('Hours Detail'!E554,'BASE_FUNCOES (hide)'!$A:$V,10,0),IF(AND('General Information'!$D$16=2,VLOOKUP(B554,Modules!$B$5:$E$496,4,0)=1)=TRUE,VLOOKUP('Hours Detail'!E554,'BASE_FUNCOES (hide)'!$A:$V,11,0),IF(AND('General Information'!$D$16=3,VLOOKUP(B554,Modules!$B$5:$E$496,4,0)=1)=TRUE,VLOOKUP('Hours Detail'!E554,'BASE_FUNCOES (hide)'!$A:$V,12,0),IF(AND('General Information'!$D$16=4,VLOOKUP(B554,Modules!$B$5:$E$496,4,0)=1)=TRUE,VLOOKUP('Hours Detail'!E554,'BASE_FUNCOES (hide)'!$A:$V,13,0),IF(AND('General Information'!$D$16=5,VLOOKUP(B554,Modules!$B$5:$E$496,4,0)=1)=TRUE,VLOOKUP('Hours Detail'!E554,'BASE_FUNCOES (hide)'!$A:$V,14,0),  IF(AND('General Information'!$D$16=6,VLOOKUP(B554,Modules!$B$5:$E$496,4,0)=1)=TRUE,VLOOKUP('Hours Detail'!E554,'BASE_FUNCOES (hide)'!$A:$V,15,0),"No"))))))</f>
        <v>#N/A</v>
      </c>
      <c r="H554" s="166" t="e">
        <f t="shared" si="10"/>
        <v>#N/A</v>
      </c>
      <c r="I554" s="75">
        <f>IF('General Information'!$C$4="Mexico",(ROUNDUP(VLOOKUP(E554,'BASE_FUNCOES (hide)'!A:X,21,0),0)),(ROUNDUP(VLOOKUP(E554,'BASE_FUNCOES (hide)'!A:L,9,0),0)))</f>
        <v>0</v>
      </c>
      <c r="J554" s="75">
        <f>ROUNDUP(SUMIF(Questions!$E$5:$E$558,'Hours Detail'!E554,Questions!$F$5:$F$558),0)</f>
        <v>0</v>
      </c>
      <c r="K554" s="76" t="e">
        <f>IF(H554="Yes",ROUNDUP(IF(VLOOKUP(E554,'BASE_FUNCOES (hide)'!A:T,16,FALSE)&lt;&gt;"No",IF('General Information'!$C$19="HTML5",(I554+J554)*'BASE_FUNCOES (hide)'!$T$2,I554+J554),I554+J554),I554+J554),I554+J554)</f>
        <v>#N/A</v>
      </c>
      <c r="L554" s="163" t="str">
        <f>IF(ISERROR(VLOOKUP(E554,Questions!$E$5:$L$568,6,0))=FALSE,VLOOKUP(E554,Questions!$E$5:$L$568,6,0),"")</f>
        <v/>
      </c>
      <c r="M554" s="164" t="s">
        <v>2396</v>
      </c>
      <c r="N554" s="369" t="s">
        <v>2377</v>
      </c>
    </row>
    <row r="555" spans="1:14" ht="14.5" customHeight="1">
      <c r="A555" s="59"/>
      <c r="B555" s="72"/>
      <c r="C555" s="72"/>
      <c r="D555" s="73"/>
      <c r="E555" s="74"/>
      <c r="F555" s="73"/>
      <c r="G555" s="73" t="e">
        <f>IF(AND('General Information'!$D$16=1,VLOOKUP(B555,Modules!$B$5:$E$496,4,0)=1)=TRUE,VLOOKUP('Hours Detail'!E555,'BASE_FUNCOES (hide)'!$A:$V,10,0),IF(AND('General Information'!$D$16=2,VLOOKUP(B555,Modules!$B$5:$E$496,4,0)=1)=TRUE,VLOOKUP('Hours Detail'!E555,'BASE_FUNCOES (hide)'!$A:$V,11,0),IF(AND('General Information'!$D$16=3,VLOOKUP(B555,Modules!$B$5:$E$496,4,0)=1)=TRUE,VLOOKUP('Hours Detail'!E555,'BASE_FUNCOES (hide)'!$A:$V,12,0),IF(AND('General Information'!$D$16=4,VLOOKUP(B555,Modules!$B$5:$E$496,4,0)=1)=TRUE,VLOOKUP('Hours Detail'!E555,'BASE_FUNCOES (hide)'!$A:$V,13,0),IF(AND('General Information'!$D$16=5,VLOOKUP(B555,Modules!$B$5:$E$496,4,0)=1)=TRUE,VLOOKUP('Hours Detail'!E555,'BASE_FUNCOES (hide)'!$A:$V,14,0),  IF(AND('General Information'!$D$16=6,VLOOKUP(B555,Modules!$B$5:$E$496,4,0)=1)=TRUE,VLOOKUP('Hours Detail'!E555,'BASE_FUNCOES (hide)'!$A:$V,15,0),"No"))))))</f>
        <v>#N/A</v>
      </c>
      <c r="H555" s="166" t="e">
        <f t="shared" si="10"/>
        <v>#N/A</v>
      </c>
      <c r="I555" s="75">
        <f>IF('General Information'!$C$4="Mexico",(ROUNDUP(VLOOKUP(E555,'BASE_FUNCOES (hide)'!A:X,21,0),0)),(ROUNDUP(VLOOKUP(E555,'BASE_FUNCOES (hide)'!A:L,9,0),0)))</f>
        <v>0</v>
      </c>
      <c r="J555" s="75">
        <f>ROUNDUP(SUMIF(Questions!$E$5:$E$558,'Hours Detail'!E555,Questions!$F$5:$F$558),0)</f>
        <v>0</v>
      </c>
      <c r="K555" s="76" t="e">
        <f>IF(H555="Yes",ROUNDUP(IF(VLOOKUP(E555,'BASE_FUNCOES (hide)'!A:T,16,FALSE)&lt;&gt;"No",IF('General Information'!$C$19="HTML5",(I555+J555)*'BASE_FUNCOES (hide)'!$T$2,I555+J555),I555+J555),I555+J555),I555+J555)</f>
        <v>#N/A</v>
      </c>
      <c r="L555" s="163" t="str">
        <f>IF(ISERROR(VLOOKUP(E555,Questions!$E$5:$L$568,6,0))=FALSE,VLOOKUP(E555,Questions!$E$5:$L$568,6,0),"")</f>
        <v/>
      </c>
      <c r="M555" s="164" t="s">
        <v>2396</v>
      </c>
      <c r="N555" s="369" t="s">
        <v>2377</v>
      </c>
    </row>
    <row r="556" spans="1:14" ht="14.5" customHeight="1">
      <c r="A556" s="59"/>
      <c r="B556" s="72"/>
      <c r="C556" s="72"/>
      <c r="D556" s="73"/>
      <c r="E556" s="74"/>
      <c r="F556" s="73"/>
      <c r="G556" s="73" t="e">
        <f>IF(AND('General Information'!$D$16=1,VLOOKUP(B556,Modules!$B$5:$E$496,4,0)=1)=TRUE,VLOOKUP('Hours Detail'!E556,'BASE_FUNCOES (hide)'!$A:$V,10,0),IF(AND('General Information'!$D$16=2,VLOOKUP(B556,Modules!$B$5:$E$496,4,0)=1)=TRUE,VLOOKUP('Hours Detail'!E556,'BASE_FUNCOES (hide)'!$A:$V,11,0),IF(AND('General Information'!$D$16=3,VLOOKUP(B556,Modules!$B$5:$E$496,4,0)=1)=TRUE,VLOOKUP('Hours Detail'!E556,'BASE_FUNCOES (hide)'!$A:$V,12,0),IF(AND('General Information'!$D$16=4,VLOOKUP(B556,Modules!$B$5:$E$496,4,0)=1)=TRUE,VLOOKUP('Hours Detail'!E556,'BASE_FUNCOES (hide)'!$A:$V,13,0),IF(AND('General Information'!$D$16=5,VLOOKUP(B556,Modules!$B$5:$E$496,4,0)=1)=TRUE,VLOOKUP('Hours Detail'!E556,'BASE_FUNCOES (hide)'!$A:$V,14,0),  IF(AND('General Information'!$D$16=6,VLOOKUP(B556,Modules!$B$5:$E$496,4,0)=1)=TRUE,VLOOKUP('Hours Detail'!E556,'BASE_FUNCOES (hide)'!$A:$V,15,0),"No"))))))</f>
        <v>#N/A</v>
      </c>
      <c r="H556" s="166" t="e">
        <f t="shared" si="10"/>
        <v>#N/A</v>
      </c>
      <c r="I556" s="75">
        <f>IF('General Information'!$C$4="Mexico",(ROUNDUP(VLOOKUP(E556,'BASE_FUNCOES (hide)'!A:X,21,0),0)),(ROUNDUP(VLOOKUP(E556,'BASE_FUNCOES (hide)'!A:L,9,0),0)))</f>
        <v>0</v>
      </c>
      <c r="J556" s="75">
        <f>ROUNDUP(SUMIF(Questions!$E$5:$E$558,'Hours Detail'!E556,Questions!$F$5:$F$558),0)</f>
        <v>0</v>
      </c>
      <c r="K556" s="76" t="e">
        <f>IF(H556="Yes",ROUNDUP(IF(VLOOKUP(E556,'BASE_FUNCOES (hide)'!A:T,16,FALSE)&lt;&gt;"No",IF('General Information'!$C$19="HTML5",(I556+J556)*'BASE_FUNCOES (hide)'!$T$2,I556+J556),I556+J556),I556+J556),I556+J556)</f>
        <v>#N/A</v>
      </c>
      <c r="L556" s="163" t="str">
        <f>IF(ISERROR(VLOOKUP(E556,Questions!$E$5:$L$568,6,0))=FALSE,VLOOKUP(E556,Questions!$E$5:$L$568,6,0),"")</f>
        <v/>
      </c>
      <c r="M556" s="164" t="s">
        <v>2396</v>
      </c>
      <c r="N556" s="369" t="s">
        <v>2377</v>
      </c>
    </row>
    <row r="557" spans="1:14" ht="14.5" customHeight="1">
      <c r="A557" s="59"/>
      <c r="B557" s="72"/>
      <c r="C557" s="72"/>
      <c r="D557" s="73"/>
      <c r="E557" s="74"/>
      <c r="F557" s="73"/>
      <c r="G557" s="73" t="e">
        <f>IF(AND('General Information'!$D$16=1,VLOOKUP(B557,Modules!$B$5:$E$496,4,0)=1)=TRUE,VLOOKUP('Hours Detail'!E557,'BASE_FUNCOES (hide)'!$A:$V,10,0),IF(AND('General Information'!$D$16=2,VLOOKUP(B557,Modules!$B$5:$E$496,4,0)=1)=TRUE,VLOOKUP('Hours Detail'!E557,'BASE_FUNCOES (hide)'!$A:$V,11,0),IF(AND('General Information'!$D$16=3,VLOOKUP(B557,Modules!$B$5:$E$496,4,0)=1)=TRUE,VLOOKUP('Hours Detail'!E557,'BASE_FUNCOES (hide)'!$A:$V,12,0),IF(AND('General Information'!$D$16=4,VLOOKUP(B557,Modules!$B$5:$E$496,4,0)=1)=TRUE,VLOOKUP('Hours Detail'!E557,'BASE_FUNCOES (hide)'!$A:$V,13,0),IF(AND('General Information'!$D$16=5,VLOOKUP(B557,Modules!$B$5:$E$496,4,0)=1)=TRUE,VLOOKUP('Hours Detail'!E557,'BASE_FUNCOES (hide)'!$A:$V,14,0),  IF(AND('General Information'!$D$16=6,VLOOKUP(B557,Modules!$B$5:$E$496,4,0)=1)=TRUE,VLOOKUP('Hours Detail'!E557,'BASE_FUNCOES (hide)'!$A:$V,15,0),"No"))))))</f>
        <v>#N/A</v>
      </c>
      <c r="H557" s="166" t="e">
        <f t="shared" si="10"/>
        <v>#N/A</v>
      </c>
      <c r="I557" s="75">
        <f>IF('General Information'!$C$4="Mexico",(ROUNDUP(VLOOKUP(E557,'BASE_FUNCOES (hide)'!A:X,21,0),0)),(ROUNDUP(VLOOKUP(E557,'BASE_FUNCOES (hide)'!A:L,9,0),0)))</f>
        <v>0</v>
      </c>
      <c r="J557" s="75">
        <f>ROUNDUP(SUMIF(Questions!$E$5:$E$558,'Hours Detail'!E557,Questions!$F$5:$F$558),0)</f>
        <v>0</v>
      </c>
      <c r="K557" s="76" t="e">
        <f>IF(H557="Yes",ROUNDUP(IF(VLOOKUP(E557,'BASE_FUNCOES (hide)'!A:T,16,FALSE)&lt;&gt;"No",IF('General Information'!$C$19="HTML5",(I557+J557)*'BASE_FUNCOES (hide)'!$T$2,I557+J557),I557+J557),I557+J557),I557+J557)</f>
        <v>#N/A</v>
      </c>
      <c r="L557" s="163" t="str">
        <f>IF(ISERROR(VLOOKUP(E557,Questions!$E$5:$L$568,6,0))=FALSE,VLOOKUP(E557,Questions!$E$5:$L$568,6,0),"")</f>
        <v/>
      </c>
      <c r="M557" s="164" t="s">
        <v>2396</v>
      </c>
      <c r="N557" s="369" t="s">
        <v>2377</v>
      </c>
    </row>
    <row r="558" spans="1:14" ht="14.5" customHeight="1">
      <c r="A558" s="59"/>
      <c r="B558" s="72"/>
      <c r="C558" s="72"/>
      <c r="D558" s="73"/>
      <c r="E558" s="74"/>
      <c r="F558" s="73"/>
      <c r="G558" s="73" t="e">
        <f>IF(AND('General Information'!$D$16=1,VLOOKUP(B558,Modules!$B$5:$E$496,4,0)=1)=TRUE,VLOOKUP('Hours Detail'!E558,'BASE_FUNCOES (hide)'!$A:$V,10,0),IF(AND('General Information'!$D$16=2,VLOOKUP(B558,Modules!$B$5:$E$496,4,0)=1)=TRUE,VLOOKUP('Hours Detail'!E558,'BASE_FUNCOES (hide)'!$A:$V,11,0),IF(AND('General Information'!$D$16=3,VLOOKUP(B558,Modules!$B$5:$E$496,4,0)=1)=TRUE,VLOOKUP('Hours Detail'!E558,'BASE_FUNCOES (hide)'!$A:$V,12,0),IF(AND('General Information'!$D$16=4,VLOOKUP(B558,Modules!$B$5:$E$496,4,0)=1)=TRUE,VLOOKUP('Hours Detail'!E558,'BASE_FUNCOES (hide)'!$A:$V,13,0),IF(AND('General Information'!$D$16=5,VLOOKUP(B558,Modules!$B$5:$E$496,4,0)=1)=TRUE,VLOOKUP('Hours Detail'!E558,'BASE_FUNCOES (hide)'!$A:$V,14,0),  IF(AND('General Information'!$D$16=6,VLOOKUP(B558,Modules!$B$5:$E$496,4,0)=1)=TRUE,VLOOKUP('Hours Detail'!E558,'BASE_FUNCOES (hide)'!$A:$V,15,0),"No"))))))</f>
        <v>#N/A</v>
      </c>
      <c r="H558" s="166" t="e">
        <f t="shared" si="10"/>
        <v>#N/A</v>
      </c>
      <c r="I558" s="75">
        <f>IF('General Information'!$C$4="Mexico",(ROUNDUP(VLOOKUP(E558,'BASE_FUNCOES (hide)'!A:X,21,0),0)),(ROUNDUP(VLOOKUP(E558,'BASE_FUNCOES (hide)'!A:L,9,0),0)))</f>
        <v>0</v>
      </c>
      <c r="J558" s="75">
        <f>ROUNDUP(SUMIF(Questions!$E$5:$E$558,'Hours Detail'!E558,Questions!$F$5:$F$558),0)</f>
        <v>0</v>
      </c>
      <c r="K558" s="76" t="e">
        <f>IF(H558="Yes",ROUNDUP(IF(VLOOKUP(E558,'BASE_FUNCOES (hide)'!A:T,16,FALSE)&lt;&gt;"No",IF('General Information'!$C$19="HTML5",(I558+J558)*'BASE_FUNCOES (hide)'!$T$2,I558+J558),I558+J558),I558+J558),I558+J558)</f>
        <v>#N/A</v>
      </c>
      <c r="L558" s="163" t="str">
        <f>IF(ISERROR(VLOOKUP(E558,Questions!$E$5:$L$568,6,0))=FALSE,VLOOKUP(E558,Questions!$E$5:$L$568,6,0),"")</f>
        <v/>
      </c>
      <c r="M558" s="164" t="s">
        <v>2396</v>
      </c>
      <c r="N558" s="369" t="s">
        <v>2377</v>
      </c>
    </row>
    <row r="559" spans="1:14" ht="14.5" customHeight="1">
      <c r="A559" s="59"/>
      <c r="B559" s="72"/>
      <c r="C559" s="72"/>
      <c r="D559" s="73"/>
      <c r="E559" s="74"/>
      <c r="F559" s="73"/>
      <c r="G559" s="73" t="e">
        <f>IF(AND('General Information'!$D$16=1,VLOOKUP(B559,Modules!$B$5:$E$496,4,0)=1)=TRUE,VLOOKUP('Hours Detail'!E559,'BASE_FUNCOES (hide)'!$A:$V,10,0),IF(AND('General Information'!$D$16=2,VLOOKUP(B559,Modules!$B$5:$E$496,4,0)=1)=TRUE,VLOOKUP('Hours Detail'!E559,'BASE_FUNCOES (hide)'!$A:$V,11,0),IF(AND('General Information'!$D$16=3,VLOOKUP(B559,Modules!$B$5:$E$496,4,0)=1)=TRUE,VLOOKUP('Hours Detail'!E559,'BASE_FUNCOES (hide)'!$A:$V,12,0),IF(AND('General Information'!$D$16=4,VLOOKUP(B559,Modules!$B$5:$E$496,4,0)=1)=TRUE,VLOOKUP('Hours Detail'!E559,'BASE_FUNCOES (hide)'!$A:$V,13,0),IF(AND('General Information'!$D$16=5,VLOOKUP(B559,Modules!$B$5:$E$496,4,0)=1)=TRUE,VLOOKUP('Hours Detail'!E559,'BASE_FUNCOES (hide)'!$A:$V,14,0),  IF(AND('General Information'!$D$16=6,VLOOKUP(B559,Modules!$B$5:$E$496,4,0)=1)=TRUE,VLOOKUP('Hours Detail'!E559,'BASE_FUNCOES (hide)'!$A:$V,15,0),"No"))))))</f>
        <v>#N/A</v>
      </c>
      <c r="H559" s="166" t="e">
        <f t="shared" si="10"/>
        <v>#N/A</v>
      </c>
      <c r="I559" s="75">
        <f>IF('General Information'!$C$4="Mexico",(ROUNDUP(VLOOKUP(E559,'BASE_FUNCOES (hide)'!A:X,21,0),0)),(ROUNDUP(VLOOKUP(E559,'BASE_FUNCOES (hide)'!A:L,9,0),0)))</f>
        <v>0</v>
      </c>
      <c r="J559" s="75">
        <f>ROUNDUP(SUMIF(Questions!$E$5:$E$558,'Hours Detail'!E559,Questions!$F$5:$F$558),0)</f>
        <v>0</v>
      </c>
      <c r="K559" s="76" t="e">
        <f>IF(H559="Yes",ROUNDUP(IF(VLOOKUP(E559,'BASE_FUNCOES (hide)'!A:T,16,FALSE)&lt;&gt;"No",IF('General Information'!$C$19="HTML5",(I559+J559)*'BASE_FUNCOES (hide)'!$T$2,I559+J559),I559+J559),I559+J559),I559+J559)</f>
        <v>#N/A</v>
      </c>
      <c r="L559" s="163" t="str">
        <f>IF(ISERROR(VLOOKUP(E559,Questions!$E$5:$L$568,6,0))=FALSE,VLOOKUP(E559,Questions!$E$5:$L$568,6,0),"")</f>
        <v/>
      </c>
      <c r="M559" s="164" t="s">
        <v>2396</v>
      </c>
      <c r="N559" s="369" t="s">
        <v>2377</v>
      </c>
    </row>
    <row r="560" spans="1:14" ht="14.5" customHeight="1">
      <c r="A560" s="59"/>
      <c r="B560" s="72"/>
      <c r="C560" s="72"/>
      <c r="D560" s="73"/>
      <c r="E560" s="74"/>
      <c r="F560" s="73"/>
      <c r="G560" s="73" t="e">
        <f>IF(AND('General Information'!$D$16=1,VLOOKUP(B560,Modules!$B$5:$E$496,4,0)=1)=TRUE,VLOOKUP('Hours Detail'!E560,'BASE_FUNCOES (hide)'!$A:$V,10,0),IF(AND('General Information'!$D$16=2,VLOOKUP(B560,Modules!$B$5:$E$496,4,0)=1)=TRUE,VLOOKUP('Hours Detail'!E560,'BASE_FUNCOES (hide)'!$A:$V,11,0),IF(AND('General Information'!$D$16=3,VLOOKUP(B560,Modules!$B$5:$E$496,4,0)=1)=TRUE,VLOOKUP('Hours Detail'!E560,'BASE_FUNCOES (hide)'!$A:$V,12,0),IF(AND('General Information'!$D$16=4,VLOOKUP(B560,Modules!$B$5:$E$496,4,0)=1)=TRUE,VLOOKUP('Hours Detail'!E560,'BASE_FUNCOES (hide)'!$A:$V,13,0),IF(AND('General Information'!$D$16=5,VLOOKUP(B560,Modules!$B$5:$E$496,4,0)=1)=TRUE,VLOOKUP('Hours Detail'!E560,'BASE_FUNCOES (hide)'!$A:$V,14,0),  IF(AND('General Information'!$D$16=6,VLOOKUP(B560,Modules!$B$5:$E$496,4,0)=1)=TRUE,VLOOKUP('Hours Detail'!E560,'BASE_FUNCOES (hide)'!$A:$V,15,0),"No"))))))</f>
        <v>#N/A</v>
      </c>
      <c r="H560" s="166" t="e">
        <f t="shared" si="10"/>
        <v>#N/A</v>
      </c>
      <c r="I560" s="75">
        <f>IF('General Information'!$C$4="Mexico",(ROUNDUP(VLOOKUP(E560,'BASE_FUNCOES (hide)'!A:X,21,0),0)),(ROUNDUP(VLOOKUP(E560,'BASE_FUNCOES (hide)'!A:L,9,0),0)))</f>
        <v>0</v>
      </c>
      <c r="J560" s="75">
        <f>ROUNDUP(SUMIF(Questions!$E$5:$E$558,'Hours Detail'!E560,Questions!$F$5:$F$558),0)</f>
        <v>0</v>
      </c>
      <c r="K560" s="76" t="e">
        <f>IF(H560="Yes",ROUNDUP(IF(VLOOKUP(E560,'BASE_FUNCOES (hide)'!A:T,16,FALSE)&lt;&gt;"No",IF('General Information'!$C$19="HTML5",(I560+J560)*'BASE_FUNCOES (hide)'!$T$2,I560+J560),I560+J560),I560+J560),I560+J560)</f>
        <v>#N/A</v>
      </c>
      <c r="L560" s="163" t="str">
        <f>IF(ISERROR(VLOOKUP(E560,Questions!$E$5:$L$568,6,0))=FALSE,VLOOKUP(E560,Questions!$E$5:$L$568,6,0),"")</f>
        <v/>
      </c>
      <c r="M560" s="164" t="s">
        <v>2396</v>
      </c>
      <c r="N560" s="369" t="s">
        <v>2377</v>
      </c>
    </row>
    <row r="561" spans="1:14" ht="14.5" customHeight="1">
      <c r="A561" s="59"/>
      <c r="B561" s="72"/>
      <c r="C561" s="72"/>
      <c r="D561" s="73"/>
      <c r="E561" s="74"/>
      <c r="F561" s="73"/>
      <c r="G561" s="73" t="e">
        <f>IF(AND('General Information'!$D$16=1,VLOOKUP(B561,Modules!$B$5:$E$496,4,0)=1)=TRUE,VLOOKUP('Hours Detail'!E561,'BASE_FUNCOES (hide)'!$A:$V,10,0),IF(AND('General Information'!$D$16=2,VLOOKUP(B561,Modules!$B$5:$E$496,4,0)=1)=TRUE,VLOOKUP('Hours Detail'!E561,'BASE_FUNCOES (hide)'!$A:$V,11,0),IF(AND('General Information'!$D$16=3,VLOOKUP(B561,Modules!$B$5:$E$496,4,0)=1)=TRUE,VLOOKUP('Hours Detail'!E561,'BASE_FUNCOES (hide)'!$A:$V,12,0),IF(AND('General Information'!$D$16=4,VLOOKUP(B561,Modules!$B$5:$E$496,4,0)=1)=TRUE,VLOOKUP('Hours Detail'!E561,'BASE_FUNCOES (hide)'!$A:$V,13,0),IF(AND('General Information'!$D$16=5,VLOOKUP(B561,Modules!$B$5:$E$496,4,0)=1)=TRUE,VLOOKUP('Hours Detail'!E561,'BASE_FUNCOES (hide)'!$A:$V,14,0),  IF(AND('General Information'!$D$16=6,VLOOKUP(B561,Modules!$B$5:$E$496,4,0)=1)=TRUE,VLOOKUP('Hours Detail'!E561,'BASE_FUNCOES (hide)'!$A:$V,15,0),"No"))))))</f>
        <v>#N/A</v>
      </c>
      <c r="H561" s="166" t="e">
        <f t="shared" si="10"/>
        <v>#N/A</v>
      </c>
      <c r="I561" s="75">
        <f>IF('General Information'!$C$4="Mexico",(ROUNDUP(VLOOKUP(E561,'BASE_FUNCOES (hide)'!A:X,21,0),0)),(ROUNDUP(VLOOKUP(E561,'BASE_FUNCOES (hide)'!A:L,9,0),0)))</f>
        <v>0</v>
      </c>
      <c r="J561" s="75">
        <f>ROUNDUP(SUMIF(Questions!$E$5:$E$558,'Hours Detail'!E561,Questions!$F$5:$F$558),0)</f>
        <v>0</v>
      </c>
      <c r="K561" s="76" t="e">
        <f>IF(H561="Yes",ROUNDUP(IF(VLOOKUP(E561,'BASE_FUNCOES (hide)'!A:T,16,FALSE)&lt;&gt;"No",IF('General Information'!$C$19="HTML5",(I561+J561)*'BASE_FUNCOES (hide)'!$T$2,I561+J561),I561+J561),I561+J561),I561+J561)</f>
        <v>#N/A</v>
      </c>
      <c r="L561" s="163" t="str">
        <f>IF(ISERROR(VLOOKUP(E561,Questions!$E$5:$L$568,6,0))=FALSE,VLOOKUP(E561,Questions!$E$5:$L$568,6,0),"")</f>
        <v/>
      </c>
      <c r="M561" s="164" t="s">
        <v>2396</v>
      </c>
      <c r="N561" s="369" t="s">
        <v>2377</v>
      </c>
    </row>
    <row r="562" spans="1:14" ht="14.5" customHeight="1">
      <c r="A562" s="59"/>
      <c r="B562" s="72"/>
      <c r="C562" s="72"/>
      <c r="D562" s="73"/>
      <c r="E562" s="74"/>
      <c r="F562" s="73"/>
      <c r="G562" s="73" t="e">
        <f>IF(AND('General Information'!$D$16=1,VLOOKUP(B562,Modules!$B$5:$E$496,4,0)=1)=TRUE,VLOOKUP('Hours Detail'!E562,'BASE_FUNCOES (hide)'!$A:$V,10,0),IF(AND('General Information'!$D$16=2,VLOOKUP(B562,Modules!$B$5:$E$496,4,0)=1)=TRUE,VLOOKUP('Hours Detail'!E562,'BASE_FUNCOES (hide)'!$A:$V,11,0),IF(AND('General Information'!$D$16=3,VLOOKUP(B562,Modules!$B$5:$E$496,4,0)=1)=TRUE,VLOOKUP('Hours Detail'!E562,'BASE_FUNCOES (hide)'!$A:$V,12,0),IF(AND('General Information'!$D$16=4,VLOOKUP(B562,Modules!$B$5:$E$496,4,0)=1)=TRUE,VLOOKUP('Hours Detail'!E562,'BASE_FUNCOES (hide)'!$A:$V,13,0),IF(AND('General Information'!$D$16=5,VLOOKUP(B562,Modules!$B$5:$E$496,4,0)=1)=TRUE,VLOOKUP('Hours Detail'!E562,'BASE_FUNCOES (hide)'!$A:$V,14,0),  IF(AND('General Information'!$D$16=6,VLOOKUP(B562,Modules!$B$5:$E$496,4,0)=1)=TRUE,VLOOKUP('Hours Detail'!E562,'BASE_FUNCOES (hide)'!$A:$V,15,0),"No"))))))</f>
        <v>#N/A</v>
      </c>
      <c r="H562" s="166" t="e">
        <f t="shared" si="10"/>
        <v>#N/A</v>
      </c>
      <c r="I562" s="75">
        <f>IF('General Information'!$C$4="Mexico",(ROUNDUP(VLOOKUP(E562,'BASE_FUNCOES (hide)'!A:X,21,0),0)),(ROUNDUP(VLOOKUP(E562,'BASE_FUNCOES (hide)'!A:L,9,0),0)))</f>
        <v>0</v>
      </c>
      <c r="J562" s="75">
        <f>ROUNDUP(SUMIF(Questions!$E$5:$E$558,'Hours Detail'!E562,Questions!$F$5:$F$558),0)</f>
        <v>0</v>
      </c>
      <c r="K562" s="76" t="e">
        <f>IF(H562="Yes",ROUNDUP(IF(VLOOKUP(E562,'BASE_FUNCOES (hide)'!A:T,16,FALSE)&lt;&gt;"No",IF('General Information'!$C$19="HTML5",(I562+J562)*'BASE_FUNCOES (hide)'!$T$2,I562+J562),I562+J562),I562+J562),I562+J562)</f>
        <v>#N/A</v>
      </c>
      <c r="L562" s="163" t="str">
        <f>IF(ISERROR(VLOOKUP(E562,Questions!$E$5:$L$568,6,0))=FALSE,VLOOKUP(E562,Questions!$E$5:$L$568,6,0),"")</f>
        <v/>
      </c>
      <c r="M562" s="164" t="s">
        <v>2396</v>
      </c>
      <c r="N562" s="369" t="s">
        <v>2377</v>
      </c>
    </row>
    <row r="563" spans="1:14" ht="14.5" customHeight="1">
      <c r="A563" s="59"/>
      <c r="B563" s="72"/>
      <c r="C563" s="72"/>
      <c r="D563" s="73"/>
      <c r="E563" s="74"/>
      <c r="F563" s="73"/>
      <c r="G563" s="73" t="e">
        <f>IF(AND('General Information'!$D$16=1,VLOOKUP(B563,Modules!$B$5:$E$496,4,0)=1)=TRUE,VLOOKUP('Hours Detail'!E563,'BASE_FUNCOES (hide)'!$A:$V,10,0),IF(AND('General Information'!$D$16=2,VLOOKUP(B563,Modules!$B$5:$E$496,4,0)=1)=TRUE,VLOOKUP('Hours Detail'!E563,'BASE_FUNCOES (hide)'!$A:$V,11,0),IF(AND('General Information'!$D$16=3,VLOOKUP(B563,Modules!$B$5:$E$496,4,0)=1)=TRUE,VLOOKUP('Hours Detail'!E563,'BASE_FUNCOES (hide)'!$A:$V,12,0),IF(AND('General Information'!$D$16=4,VLOOKUP(B563,Modules!$B$5:$E$496,4,0)=1)=TRUE,VLOOKUP('Hours Detail'!E563,'BASE_FUNCOES (hide)'!$A:$V,13,0),IF(AND('General Information'!$D$16=5,VLOOKUP(B563,Modules!$B$5:$E$496,4,0)=1)=TRUE,VLOOKUP('Hours Detail'!E563,'BASE_FUNCOES (hide)'!$A:$V,14,0),  IF(AND('General Information'!$D$16=6,VLOOKUP(B563,Modules!$B$5:$E$496,4,0)=1)=TRUE,VLOOKUP('Hours Detail'!E563,'BASE_FUNCOES (hide)'!$A:$V,15,0),"No"))))))</f>
        <v>#N/A</v>
      </c>
      <c r="H563" s="166" t="e">
        <f t="shared" si="10"/>
        <v>#N/A</v>
      </c>
      <c r="I563" s="75">
        <f>IF('General Information'!$C$4="Mexico",(ROUNDUP(VLOOKUP(E563,'BASE_FUNCOES (hide)'!A:X,21,0),0)),(ROUNDUP(VLOOKUP(E563,'BASE_FUNCOES (hide)'!A:L,9,0),0)))</f>
        <v>0</v>
      </c>
      <c r="J563" s="75">
        <f>ROUNDUP(SUMIF(Questions!$E$5:$E$558,'Hours Detail'!E563,Questions!$F$5:$F$558),0)</f>
        <v>0</v>
      </c>
      <c r="K563" s="76" t="e">
        <f>IF(H563="Yes",ROUNDUP(IF(VLOOKUP(E563,'BASE_FUNCOES (hide)'!A:T,16,FALSE)&lt;&gt;"No",IF('General Information'!$C$19="HTML5",(I563+J563)*'BASE_FUNCOES (hide)'!$T$2,I563+J563),I563+J563),I563+J563),I563+J563)</f>
        <v>#N/A</v>
      </c>
      <c r="L563" s="163" t="str">
        <f>IF(ISERROR(VLOOKUP(E563,Questions!$E$5:$L$568,6,0))=FALSE,VLOOKUP(E563,Questions!$E$5:$L$568,6,0),"")</f>
        <v/>
      </c>
      <c r="M563" s="164" t="s">
        <v>2396</v>
      </c>
      <c r="N563" s="369" t="s">
        <v>2377</v>
      </c>
    </row>
    <row r="564" spans="1:14" ht="14.5" customHeight="1">
      <c r="A564" s="59"/>
      <c r="B564" s="72"/>
      <c r="C564" s="72"/>
      <c r="D564" s="73"/>
      <c r="E564" s="74"/>
      <c r="F564" s="73"/>
      <c r="G564" s="73" t="e">
        <f>IF(AND('General Information'!$D$16=1,VLOOKUP(B564,Modules!$B$5:$E$496,4,0)=1)=TRUE,VLOOKUP('Hours Detail'!E564,'BASE_FUNCOES (hide)'!$A:$V,10,0),IF(AND('General Information'!$D$16=2,VLOOKUP(B564,Modules!$B$5:$E$496,4,0)=1)=TRUE,VLOOKUP('Hours Detail'!E564,'BASE_FUNCOES (hide)'!$A:$V,11,0),IF(AND('General Information'!$D$16=3,VLOOKUP(B564,Modules!$B$5:$E$496,4,0)=1)=TRUE,VLOOKUP('Hours Detail'!E564,'BASE_FUNCOES (hide)'!$A:$V,12,0),IF(AND('General Information'!$D$16=4,VLOOKUP(B564,Modules!$B$5:$E$496,4,0)=1)=TRUE,VLOOKUP('Hours Detail'!E564,'BASE_FUNCOES (hide)'!$A:$V,13,0),IF(AND('General Information'!$D$16=5,VLOOKUP(B564,Modules!$B$5:$E$496,4,0)=1)=TRUE,VLOOKUP('Hours Detail'!E564,'BASE_FUNCOES (hide)'!$A:$V,14,0),  IF(AND('General Information'!$D$16=6,VLOOKUP(B564,Modules!$B$5:$E$496,4,0)=1)=TRUE,VLOOKUP('Hours Detail'!E564,'BASE_FUNCOES (hide)'!$A:$V,15,0),"No"))))))</f>
        <v>#N/A</v>
      </c>
      <c r="H564" s="166" t="e">
        <f t="shared" si="10"/>
        <v>#N/A</v>
      </c>
      <c r="I564" s="75">
        <f>IF('General Information'!$C$4="Mexico",(ROUNDUP(VLOOKUP(E564,'BASE_FUNCOES (hide)'!A:X,21,0),0)),(ROUNDUP(VLOOKUP(E564,'BASE_FUNCOES (hide)'!A:L,9,0),0)))</f>
        <v>0</v>
      </c>
      <c r="J564" s="75">
        <f>ROUNDUP(SUMIF(Questions!$E$5:$E$558,'Hours Detail'!E564,Questions!$F$5:$F$558),0)</f>
        <v>0</v>
      </c>
      <c r="K564" s="76" t="e">
        <f>IF(H564="Yes",ROUNDUP(IF(VLOOKUP(E564,'BASE_FUNCOES (hide)'!A:T,16,FALSE)&lt;&gt;"No",IF('General Information'!$C$19="HTML5",(I564+J564)*'BASE_FUNCOES (hide)'!$T$2,I564+J564),I564+J564),I564+J564),I564+J564)</f>
        <v>#N/A</v>
      </c>
      <c r="L564" s="163" t="str">
        <f>IF(ISERROR(VLOOKUP(E564,Questions!$E$5:$L$568,6,0))=FALSE,VLOOKUP(E564,Questions!$E$5:$L$568,6,0),"")</f>
        <v/>
      </c>
      <c r="M564" s="164" t="s">
        <v>2396</v>
      </c>
      <c r="N564" s="369" t="s">
        <v>2377</v>
      </c>
    </row>
    <row r="565" spans="1:14" ht="14.5" customHeight="1">
      <c r="A565" s="59"/>
      <c r="B565" s="72"/>
      <c r="C565" s="72"/>
      <c r="D565" s="73"/>
      <c r="E565" s="74"/>
      <c r="F565" s="73"/>
      <c r="G565" s="73" t="e">
        <f>IF(AND('General Information'!$D$16=1,VLOOKUP(B565,Modules!$B$5:$E$496,4,0)=1)=TRUE,VLOOKUP('Hours Detail'!E565,'BASE_FUNCOES (hide)'!$A:$V,10,0),IF(AND('General Information'!$D$16=2,VLOOKUP(B565,Modules!$B$5:$E$496,4,0)=1)=TRUE,VLOOKUP('Hours Detail'!E565,'BASE_FUNCOES (hide)'!$A:$V,11,0),IF(AND('General Information'!$D$16=3,VLOOKUP(B565,Modules!$B$5:$E$496,4,0)=1)=TRUE,VLOOKUP('Hours Detail'!E565,'BASE_FUNCOES (hide)'!$A:$V,12,0),IF(AND('General Information'!$D$16=4,VLOOKUP(B565,Modules!$B$5:$E$496,4,0)=1)=TRUE,VLOOKUP('Hours Detail'!E565,'BASE_FUNCOES (hide)'!$A:$V,13,0),IF(AND('General Information'!$D$16=5,VLOOKUP(B565,Modules!$B$5:$E$496,4,0)=1)=TRUE,VLOOKUP('Hours Detail'!E565,'BASE_FUNCOES (hide)'!$A:$V,14,0),  IF(AND('General Information'!$D$16=6,VLOOKUP(B565,Modules!$B$5:$E$496,4,0)=1)=TRUE,VLOOKUP('Hours Detail'!E565,'BASE_FUNCOES (hide)'!$A:$V,15,0),"No"))))))</f>
        <v>#N/A</v>
      </c>
      <c r="H565" s="166" t="e">
        <f t="shared" si="10"/>
        <v>#N/A</v>
      </c>
      <c r="I565" s="75">
        <f>IF('General Information'!$C$4="Mexico",(ROUNDUP(VLOOKUP(E565,'BASE_FUNCOES (hide)'!A:X,21,0),0)),(ROUNDUP(VLOOKUP(E565,'BASE_FUNCOES (hide)'!A:L,9,0),0)))</f>
        <v>0</v>
      </c>
      <c r="J565" s="75">
        <f>ROUNDUP(SUMIF(Questions!$E$5:$E$558,'Hours Detail'!E565,Questions!$F$5:$F$558),0)</f>
        <v>0</v>
      </c>
      <c r="K565" s="76" t="e">
        <f>IF(H565="Yes",ROUNDUP(IF(VLOOKUP(E565,'BASE_FUNCOES (hide)'!A:T,16,FALSE)&lt;&gt;"No",IF('General Information'!$C$19="HTML5",(I565+J565)*'BASE_FUNCOES (hide)'!$T$2,I565+J565),I565+J565),I565+J565),I565+J565)</f>
        <v>#N/A</v>
      </c>
      <c r="L565" s="163" t="str">
        <f>IF(ISERROR(VLOOKUP(E565,Questions!$E$5:$L$568,6,0))=FALSE,VLOOKUP(E565,Questions!$E$5:$L$568,6,0),"")</f>
        <v/>
      </c>
      <c r="M565" s="164" t="s">
        <v>2396</v>
      </c>
      <c r="N565" s="369" t="s">
        <v>2377</v>
      </c>
    </row>
    <row r="566" spans="1:14" ht="14.5" customHeight="1">
      <c r="A566" s="59"/>
      <c r="B566" s="72"/>
      <c r="C566" s="72"/>
      <c r="D566" s="73"/>
      <c r="E566" s="74"/>
      <c r="F566" s="73"/>
      <c r="G566" s="73" t="e">
        <f>IF(AND('General Information'!$D$16=1,VLOOKUP(B566,Modules!$B$5:$E$496,4,0)=1)=TRUE,VLOOKUP('Hours Detail'!E566,'BASE_FUNCOES (hide)'!$A:$V,10,0),IF(AND('General Information'!$D$16=2,VLOOKUP(B566,Modules!$B$5:$E$496,4,0)=1)=TRUE,VLOOKUP('Hours Detail'!E566,'BASE_FUNCOES (hide)'!$A:$V,11,0),IF(AND('General Information'!$D$16=3,VLOOKUP(B566,Modules!$B$5:$E$496,4,0)=1)=TRUE,VLOOKUP('Hours Detail'!E566,'BASE_FUNCOES (hide)'!$A:$V,12,0),IF(AND('General Information'!$D$16=4,VLOOKUP(B566,Modules!$B$5:$E$496,4,0)=1)=TRUE,VLOOKUP('Hours Detail'!E566,'BASE_FUNCOES (hide)'!$A:$V,13,0),IF(AND('General Information'!$D$16=5,VLOOKUP(B566,Modules!$B$5:$E$496,4,0)=1)=TRUE,VLOOKUP('Hours Detail'!E566,'BASE_FUNCOES (hide)'!$A:$V,14,0),  IF(AND('General Information'!$D$16=6,VLOOKUP(B566,Modules!$B$5:$E$496,4,0)=1)=TRUE,VLOOKUP('Hours Detail'!E566,'BASE_FUNCOES (hide)'!$A:$V,15,0),"No"))))))</f>
        <v>#N/A</v>
      </c>
      <c r="H566" s="166" t="e">
        <f t="shared" si="10"/>
        <v>#N/A</v>
      </c>
      <c r="I566" s="75">
        <f>IF('General Information'!$C$4="Mexico",(ROUNDUP(VLOOKUP(E566,'BASE_FUNCOES (hide)'!A:X,21,0),0)),(ROUNDUP(VLOOKUP(E566,'BASE_FUNCOES (hide)'!A:L,9,0),0)))</f>
        <v>0</v>
      </c>
      <c r="J566" s="75">
        <f>ROUNDUP(SUMIF(Questions!$E$5:$E$558,'Hours Detail'!E566,Questions!$F$5:$F$558),0)</f>
        <v>0</v>
      </c>
      <c r="K566" s="76" t="e">
        <f>IF(H566="Yes",ROUNDUP(IF(VLOOKUP(E566,'BASE_FUNCOES (hide)'!A:T,16,FALSE)&lt;&gt;"No",IF('General Information'!$C$19="HTML5",(I566+J566)*'BASE_FUNCOES (hide)'!$T$2,I566+J566),I566+J566),I566+J566),I566+J566)</f>
        <v>#N/A</v>
      </c>
      <c r="L566" s="163" t="str">
        <f>IF(ISERROR(VLOOKUP(E566,Questions!$E$5:$L$568,6,0))=FALSE,VLOOKUP(E566,Questions!$E$5:$L$568,6,0),"")</f>
        <v/>
      </c>
      <c r="M566" s="164" t="s">
        <v>2396</v>
      </c>
      <c r="N566" s="369" t="s">
        <v>2377</v>
      </c>
    </row>
    <row r="567" spans="1:14" ht="14.5" customHeight="1">
      <c r="A567" s="59"/>
      <c r="B567" s="72"/>
      <c r="C567" s="72"/>
      <c r="D567" s="73"/>
      <c r="E567" s="74"/>
      <c r="F567" s="73"/>
      <c r="G567" s="73" t="e">
        <f>IF(AND('General Information'!$D$16=1,VLOOKUP(B567,Modules!$B$5:$E$496,4,0)=1)=TRUE,VLOOKUP('Hours Detail'!E567,'BASE_FUNCOES (hide)'!$A:$V,10,0),IF(AND('General Information'!$D$16=2,VLOOKUP(B567,Modules!$B$5:$E$496,4,0)=1)=TRUE,VLOOKUP('Hours Detail'!E567,'BASE_FUNCOES (hide)'!$A:$V,11,0),IF(AND('General Information'!$D$16=3,VLOOKUP(B567,Modules!$B$5:$E$496,4,0)=1)=TRUE,VLOOKUP('Hours Detail'!E567,'BASE_FUNCOES (hide)'!$A:$V,12,0),IF(AND('General Information'!$D$16=4,VLOOKUP(B567,Modules!$B$5:$E$496,4,0)=1)=TRUE,VLOOKUP('Hours Detail'!E567,'BASE_FUNCOES (hide)'!$A:$V,13,0),IF(AND('General Information'!$D$16=5,VLOOKUP(B567,Modules!$B$5:$E$496,4,0)=1)=TRUE,VLOOKUP('Hours Detail'!E567,'BASE_FUNCOES (hide)'!$A:$V,14,0),  IF(AND('General Information'!$D$16=6,VLOOKUP(B567,Modules!$B$5:$E$496,4,0)=1)=TRUE,VLOOKUP('Hours Detail'!E567,'BASE_FUNCOES (hide)'!$A:$V,15,0),"No"))))))</f>
        <v>#N/A</v>
      </c>
      <c r="H567" s="166" t="e">
        <f t="shared" si="10"/>
        <v>#N/A</v>
      </c>
      <c r="I567" s="75">
        <f>IF('General Information'!$C$4="Mexico",(ROUNDUP(VLOOKUP(E567,'BASE_FUNCOES (hide)'!A:X,21,0),0)),(ROUNDUP(VLOOKUP(E567,'BASE_FUNCOES (hide)'!A:L,9,0),0)))</f>
        <v>0</v>
      </c>
      <c r="J567" s="75">
        <f>ROUNDUP(SUMIF(Questions!$E$5:$E$558,'Hours Detail'!E567,Questions!$F$5:$F$558),0)</f>
        <v>0</v>
      </c>
      <c r="K567" s="76" t="e">
        <f>IF(H567="Yes",ROUNDUP(IF(VLOOKUP(E567,'BASE_FUNCOES (hide)'!A:T,16,FALSE)&lt;&gt;"No",IF('General Information'!$C$19="HTML5",(I567+J567)*'BASE_FUNCOES (hide)'!$T$2,I567+J567),I567+J567),I567+J567),I567+J567)</f>
        <v>#N/A</v>
      </c>
      <c r="L567" s="163" t="str">
        <f>IF(ISERROR(VLOOKUP(E567,Questions!$E$5:$L$568,6,0))=FALSE,VLOOKUP(E567,Questions!$E$5:$L$568,6,0),"")</f>
        <v/>
      </c>
      <c r="M567" s="164" t="s">
        <v>2396</v>
      </c>
      <c r="N567" s="369" t="s">
        <v>2377</v>
      </c>
    </row>
    <row r="568" spans="1:14" ht="14.5" customHeight="1">
      <c r="A568" s="59"/>
      <c r="B568" s="72"/>
      <c r="C568" s="72"/>
      <c r="D568" s="73"/>
      <c r="E568" s="74"/>
      <c r="F568" s="73"/>
      <c r="G568" s="73" t="e">
        <f>IF(AND('General Information'!$D$16=1,VLOOKUP(B568,Modules!$B$5:$E$496,4,0)=1)=TRUE,VLOOKUP('Hours Detail'!E568,'BASE_FUNCOES (hide)'!$A:$V,10,0),IF(AND('General Information'!$D$16=2,VLOOKUP(B568,Modules!$B$5:$E$496,4,0)=1)=TRUE,VLOOKUP('Hours Detail'!E568,'BASE_FUNCOES (hide)'!$A:$V,11,0),IF(AND('General Information'!$D$16=3,VLOOKUP(B568,Modules!$B$5:$E$496,4,0)=1)=TRUE,VLOOKUP('Hours Detail'!E568,'BASE_FUNCOES (hide)'!$A:$V,12,0),IF(AND('General Information'!$D$16=4,VLOOKUP(B568,Modules!$B$5:$E$496,4,0)=1)=TRUE,VLOOKUP('Hours Detail'!E568,'BASE_FUNCOES (hide)'!$A:$V,13,0),IF(AND('General Information'!$D$16=5,VLOOKUP(B568,Modules!$B$5:$E$496,4,0)=1)=TRUE,VLOOKUP('Hours Detail'!E568,'BASE_FUNCOES (hide)'!$A:$V,14,0),  IF(AND('General Information'!$D$16=6,VLOOKUP(B568,Modules!$B$5:$E$496,4,0)=1)=TRUE,VLOOKUP('Hours Detail'!E568,'BASE_FUNCOES (hide)'!$A:$V,15,0),"No"))))))</f>
        <v>#N/A</v>
      </c>
      <c r="H568" s="166" t="e">
        <f t="shared" si="10"/>
        <v>#N/A</v>
      </c>
      <c r="I568" s="75">
        <f>IF('General Information'!$C$4="Mexico",(ROUNDUP(VLOOKUP(E568,'BASE_FUNCOES (hide)'!A:X,21,0),0)),(ROUNDUP(VLOOKUP(E568,'BASE_FUNCOES (hide)'!A:L,9,0),0)))</f>
        <v>0</v>
      </c>
      <c r="J568" s="75">
        <f>ROUNDUP(SUMIF(Questions!$E$5:$E$558,'Hours Detail'!E568,Questions!$F$5:$F$558),0)</f>
        <v>0</v>
      </c>
      <c r="K568" s="76" t="e">
        <f>IF(H568="Yes",ROUNDUP(IF(VLOOKUP(E568,'BASE_FUNCOES (hide)'!A:T,16,FALSE)&lt;&gt;"No",IF('General Information'!$C$19="HTML5",(I568+J568)*'BASE_FUNCOES (hide)'!$T$2,I568+J568),I568+J568),I568+J568),I568+J568)</f>
        <v>#N/A</v>
      </c>
      <c r="L568" s="163" t="str">
        <f>IF(ISERROR(VLOOKUP(E568,Questions!$E$5:$L$568,6,0))=FALSE,VLOOKUP(E568,Questions!$E$5:$L$568,6,0),"")</f>
        <v/>
      </c>
      <c r="M568" s="164" t="s">
        <v>2396</v>
      </c>
      <c r="N568" s="369" t="s">
        <v>2377</v>
      </c>
    </row>
    <row r="569" spans="1:14" ht="14.5" customHeight="1">
      <c r="A569" s="59"/>
      <c r="B569" s="72"/>
      <c r="C569" s="72"/>
      <c r="D569" s="73"/>
      <c r="E569" s="74"/>
      <c r="F569" s="73"/>
      <c r="G569" s="73" t="e">
        <f>IF(AND('General Information'!$D$16=1,VLOOKUP(B569,Modules!$B$5:$E$496,4,0)=1)=TRUE,VLOOKUP('Hours Detail'!E569,'BASE_FUNCOES (hide)'!$A:$V,10,0),IF(AND('General Information'!$D$16=2,VLOOKUP(B569,Modules!$B$5:$E$496,4,0)=1)=TRUE,VLOOKUP('Hours Detail'!E569,'BASE_FUNCOES (hide)'!$A:$V,11,0),IF(AND('General Information'!$D$16=3,VLOOKUP(B569,Modules!$B$5:$E$496,4,0)=1)=TRUE,VLOOKUP('Hours Detail'!E569,'BASE_FUNCOES (hide)'!$A:$V,12,0),IF(AND('General Information'!$D$16=4,VLOOKUP(B569,Modules!$B$5:$E$496,4,0)=1)=TRUE,VLOOKUP('Hours Detail'!E569,'BASE_FUNCOES (hide)'!$A:$V,13,0),IF(AND('General Information'!$D$16=5,VLOOKUP(B569,Modules!$B$5:$E$496,4,0)=1)=TRUE,VLOOKUP('Hours Detail'!E569,'BASE_FUNCOES (hide)'!$A:$V,14,0),  IF(AND('General Information'!$D$16=6,VLOOKUP(B569,Modules!$B$5:$E$496,4,0)=1)=TRUE,VLOOKUP('Hours Detail'!E569,'BASE_FUNCOES (hide)'!$A:$V,15,0),"No"))))))</f>
        <v>#N/A</v>
      </c>
      <c r="H569" s="166" t="e">
        <f t="shared" si="10"/>
        <v>#N/A</v>
      </c>
      <c r="I569" s="75">
        <f>IF('General Information'!$C$4="Mexico",(ROUNDUP(VLOOKUP(E569,'BASE_FUNCOES (hide)'!A:X,21,0),0)),(ROUNDUP(VLOOKUP(E569,'BASE_FUNCOES (hide)'!A:L,9,0),0)))</f>
        <v>0</v>
      </c>
      <c r="J569" s="75">
        <f>ROUNDUP(SUMIF(Questions!$E$5:$E$558,'Hours Detail'!E569,Questions!$F$5:$F$558),0)</f>
        <v>0</v>
      </c>
      <c r="K569" s="76" t="e">
        <f>IF(H569="Yes",ROUNDUP(IF(VLOOKUP(E569,'BASE_FUNCOES (hide)'!A:T,16,FALSE)&lt;&gt;"No",IF('General Information'!$C$19="HTML5",(I569+J569)*'BASE_FUNCOES (hide)'!$T$2,I569+J569),I569+J569),I569+J569),I569+J569)</f>
        <v>#N/A</v>
      </c>
      <c r="L569" s="163" t="str">
        <f>IF(ISERROR(VLOOKUP(E569,Questions!$E$5:$L$568,6,0))=FALSE,VLOOKUP(E569,Questions!$E$5:$L$568,6,0),"")</f>
        <v/>
      </c>
      <c r="M569" s="164" t="s">
        <v>2396</v>
      </c>
      <c r="N569" s="369" t="s">
        <v>2377</v>
      </c>
    </row>
    <row r="570" spans="1:14" ht="14.5" customHeight="1">
      <c r="A570" s="59"/>
      <c r="B570" s="72"/>
      <c r="C570" s="72"/>
      <c r="D570" s="73"/>
      <c r="E570" s="74"/>
      <c r="F570" s="73"/>
      <c r="G570" s="73" t="e">
        <f>IF(AND('General Information'!$D$16=1,VLOOKUP(B570,Modules!$B$5:$E$496,4,0)=1)=TRUE,VLOOKUP('Hours Detail'!E570,'BASE_FUNCOES (hide)'!$A:$V,10,0),IF(AND('General Information'!$D$16=2,VLOOKUP(B570,Modules!$B$5:$E$496,4,0)=1)=TRUE,VLOOKUP('Hours Detail'!E570,'BASE_FUNCOES (hide)'!$A:$V,11,0),IF(AND('General Information'!$D$16=3,VLOOKUP(B570,Modules!$B$5:$E$496,4,0)=1)=TRUE,VLOOKUP('Hours Detail'!E570,'BASE_FUNCOES (hide)'!$A:$V,12,0),IF(AND('General Information'!$D$16=4,VLOOKUP(B570,Modules!$B$5:$E$496,4,0)=1)=TRUE,VLOOKUP('Hours Detail'!E570,'BASE_FUNCOES (hide)'!$A:$V,13,0),IF(AND('General Information'!$D$16=5,VLOOKUP(B570,Modules!$B$5:$E$496,4,0)=1)=TRUE,VLOOKUP('Hours Detail'!E570,'BASE_FUNCOES (hide)'!$A:$V,14,0),  IF(AND('General Information'!$D$16=6,VLOOKUP(B570,Modules!$B$5:$E$496,4,0)=1)=TRUE,VLOOKUP('Hours Detail'!E570,'BASE_FUNCOES (hide)'!$A:$V,15,0),"No"))))))</f>
        <v>#N/A</v>
      </c>
      <c r="H570" s="166" t="e">
        <f t="shared" si="10"/>
        <v>#N/A</v>
      </c>
      <c r="I570" s="75">
        <f>IF('General Information'!$C$4="Mexico",(ROUNDUP(VLOOKUP(E570,'BASE_FUNCOES (hide)'!A:X,21,0),0)),(ROUNDUP(VLOOKUP(E570,'BASE_FUNCOES (hide)'!A:L,9,0),0)))</f>
        <v>0</v>
      </c>
      <c r="J570" s="75">
        <f>ROUNDUP(SUMIF(Questions!$E$5:$E$558,'Hours Detail'!E570,Questions!$F$5:$F$558),0)</f>
        <v>0</v>
      </c>
      <c r="K570" s="76" t="e">
        <f>IF(H570="Yes",ROUNDUP(IF(VLOOKUP(E570,'BASE_FUNCOES (hide)'!A:T,16,FALSE)&lt;&gt;"No",IF('General Information'!$C$19="HTML5",(I570+J570)*'BASE_FUNCOES (hide)'!$T$2,I570+J570),I570+J570),I570+J570),I570+J570)</f>
        <v>#N/A</v>
      </c>
      <c r="L570" s="163" t="str">
        <f>IF(ISERROR(VLOOKUP(E570,Questions!$E$5:$L$568,6,0))=FALSE,VLOOKUP(E570,Questions!$E$5:$L$568,6,0),"")</f>
        <v/>
      </c>
      <c r="M570" s="164" t="s">
        <v>2396</v>
      </c>
      <c r="N570" s="369" t="s">
        <v>2377</v>
      </c>
    </row>
    <row r="571" spans="1:14" ht="14.5" customHeight="1">
      <c r="A571" s="59"/>
      <c r="B571" s="72"/>
      <c r="C571" s="72"/>
      <c r="D571" s="73"/>
      <c r="E571" s="74"/>
      <c r="F571" s="73"/>
      <c r="G571" s="73" t="e">
        <f>IF(AND('General Information'!$D$16=1,VLOOKUP(B571,Modules!$B$5:$E$496,4,0)=1)=TRUE,VLOOKUP('Hours Detail'!E571,'BASE_FUNCOES (hide)'!$A:$V,10,0),IF(AND('General Information'!$D$16=2,VLOOKUP(B571,Modules!$B$5:$E$496,4,0)=1)=TRUE,VLOOKUP('Hours Detail'!E571,'BASE_FUNCOES (hide)'!$A:$V,11,0),IF(AND('General Information'!$D$16=3,VLOOKUP(B571,Modules!$B$5:$E$496,4,0)=1)=TRUE,VLOOKUP('Hours Detail'!E571,'BASE_FUNCOES (hide)'!$A:$V,12,0),IF(AND('General Information'!$D$16=4,VLOOKUP(B571,Modules!$B$5:$E$496,4,0)=1)=TRUE,VLOOKUP('Hours Detail'!E571,'BASE_FUNCOES (hide)'!$A:$V,13,0),IF(AND('General Information'!$D$16=5,VLOOKUP(B571,Modules!$B$5:$E$496,4,0)=1)=TRUE,VLOOKUP('Hours Detail'!E571,'BASE_FUNCOES (hide)'!$A:$V,14,0),  IF(AND('General Information'!$D$16=6,VLOOKUP(B571,Modules!$B$5:$E$496,4,0)=1)=TRUE,VLOOKUP('Hours Detail'!E571,'BASE_FUNCOES (hide)'!$A:$V,15,0),"No"))))))</f>
        <v>#N/A</v>
      </c>
      <c r="H571" s="166" t="e">
        <f t="shared" si="10"/>
        <v>#N/A</v>
      </c>
      <c r="I571" s="75">
        <f>IF('General Information'!$C$4="Mexico",(ROUNDUP(VLOOKUP(E571,'BASE_FUNCOES (hide)'!A:X,21,0),0)),(ROUNDUP(VLOOKUP(E571,'BASE_FUNCOES (hide)'!A:L,9,0),0)))</f>
        <v>0</v>
      </c>
      <c r="J571" s="75">
        <f>ROUNDUP(SUMIF(Questions!$E$5:$E$558,'Hours Detail'!E571,Questions!$F$5:$F$558),0)</f>
        <v>0</v>
      </c>
      <c r="K571" s="76" t="e">
        <f>IF(H571="Yes",ROUNDUP(IF(VLOOKUP(E571,'BASE_FUNCOES (hide)'!A:T,16,FALSE)&lt;&gt;"No",IF('General Information'!$C$19="HTML5",(I571+J571)*'BASE_FUNCOES (hide)'!$T$2,I571+J571),I571+J571),I571+J571),I571+J571)</f>
        <v>#N/A</v>
      </c>
      <c r="L571" s="163" t="str">
        <f>IF(ISERROR(VLOOKUP(E571,Questions!$E$5:$L$568,6,0))=FALSE,VLOOKUP(E571,Questions!$E$5:$L$568,6,0),"")</f>
        <v/>
      </c>
      <c r="M571" s="164" t="s">
        <v>2396</v>
      </c>
      <c r="N571" s="369" t="s">
        <v>2377</v>
      </c>
    </row>
    <row r="572" spans="1:14" ht="14.5" customHeight="1">
      <c r="A572" s="59"/>
      <c r="B572" s="72"/>
      <c r="C572" s="72"/>
      <c r="D572" s="73"/>
      <c r="E572" s="74"/>
      <c r="F572" s="73"/>
      <c r="G572" s="73" t="e">
        <f>IF(AND('General Information'!$D$16=1,VLOOKUP(B572,Modules!$B$5:$E$496,4,0)=1)=TRUE,VLOOKUP('Hours Detail'!E572,'BASE_FUNCOES (hide)'!$A:$V,10,0),IF(AND('General Information'!$D$16=2,VLOOKUP(B572,Modules!$B$5:$E$496,4,0)=1)=TRUE,VLOOKUP('Hours Detail'!E572,'BASE_FUNCOES (hide)'!$A:$V,11,0),IF(AND('General Information'!$D$16=3,VLOOKUP(B572,Modules!$B$5:$E$496,4,0)=1)=TRUE,VLOOKUP('Hours Detail'!E572,'BASE_FUNCOES (hide)'!$A:$V,12,0),IF(AND('General Information'!$D$16=4,VLOOKUP(B572,Modules!$B$5:$E$496,4,0)=1)=TRUE,VLOOKUP('Hours Detail'!E572,'BASE_FUNCOES (hide)'!$A:$V,13,0),IF(AND('General Information'!$D$16=5,VLOOKUP(B572,Modules!$B$5:$E$496,4,0)=1)=TRUE,VLOOKUP('Hours Detail'!E572,'BASE_FUNCOES (hide)'!$A:$V,14,0),  IF(AND('General Information'!$D$16=6,VLOOKUP(B572,Modules!$B$5:$E$496,4,0)=1)=TRUE,VLOOKUP('Hours Detail'!E572,'BASE_FUNCOES (hide)'!$A:$V,15,0),"No"))))))</f>
        <v>#N/A</v>
      </c>
      <c r="H572" s="166" t="e">
        <f t="shared" si="10"/>
        <v>#N/A</v>
      </c>
      <c r="I572" s="75">
        <f>IF('General Information'!$C$4="Mexico",(ROUNDUP(VLOOKUP(E572,'BASE_FUNCOES (hide)'!A:X,21,0),0)),(ROUNDUP(VLOOKUP(E572,'BASE_FUNCOES (hide)'!A:L,9,0),0)))</f>
        <v>0</v>
      </c>
      <c r="J572" s="75">
        <f>ROUNDUP(SUMIF(Questions!$E$5:$E$558,'Hours Detail'!E572,Questions!$F$5:$F$558),0)</f>
        <v>0</v>
      </c>
      <c r="K572" s="76" t="e">
        <f>IF(H572="Yes",ROUNDUP(IF(VLOOKUP(E572,'BASE_FUNCOES (hide)'!A:T,16,FALSE)&lt;&gt;"No",IF('General Information'!$C$19="HTML5",(I572+J572)*'BASE_FUNCOES (hide)'!$T$2,I572+J572),I572+J572),I572+J572),I572+J572)</f>
        <v>#N/A</v>
      </c>
      <c r="L572" s="163" t="str">
        <f>IF(ISERROR(VLOOKUP(E572,Questions!$E$5:$L$568,6,0))=FALSE,VLOOKUP(E572,Questions!$E$5:$L$568,6,0),"")</f>
        <v/>
      </c>
      <c r="M572" s="164" t="s">
        <v>2396</v>
      </c>
      <c r="N572" s="369" t="s">
        <v>2377</v>
      </c>
    </row>
    <row r="573" spans="1:14" ht="14.5" customHeight="1">
      <c r="A573" s="59"/>
      <c r="B573" s="72"/>
      <c r="C573" s="72"/>
      <c r="D573" s="73"/>
      <c r="E573" s="74"/>
      <c r="F573" s="73"/>
      <c r="G573" s="73" t="e">
        <f>IF(AND('General Information'!$D$16=1,VLOOKUP(B573,Modules!$B$5:$E$496,4,0)=1)=TRUE,VLOOKUP('Hours Detail'!E573,'BASE_FUNCOES (hide)'!$A:$V,10,0),IF(AND('General Information'!$D$16=2,VLOOKUP(B573,Modules!$B$5:$E$496,4,0)=1)=TRUE,VLOOKUP('Hours Detail'!E573,'BASE_FUNCOES (hide)'!$A:$V,11,0),IF(AND('General Information'!$D$16=3,VLOOKUP(B573,Modules!$B$5:$E$496,4,0)=1)=TRUE,VLOOKUP('Hours Detail'!E573,'BASE_FUNCOES (hide)'!$A:$V,12,0),IF(AND('General Information'!$D$16=4,VLOOKUP(B573,Modules!$B$5:$E$496,4,0)=1)=TRUE,VLOOKUP('Hours Detail'!E573,'BASE_FUNCOES (hide)'!$A:$V,13,0),IF(AND('General Information'!$D$16=5,VLOOKUP(B573,Modules!$B$5:$E$496,4,0)=1)=TRUE,VLOOKUP('Hours Detail'!E573,'BASE_FUNCOES (hide)'!$A:$V,14,0),  IF(AND('General Information'!$D$16=6,VLOOKUP(B573,Modules!$B$5:$E$496,4,0)=1)=TRUE,VLOOKUP('Hours Detail'!E573,'BASE_FUNCOES (hide)'!$A:$V,15,0),"No"))))))</f>
        <v>#N/A</v>
      </c>
      <c r="H573" s="166" t="e">
        <f t="shared" si="10"/>
        <v>#N/A</v>
      </c>
      <c r="I573" s="75">
        <f>IF('General Information'!$C$4="Mexico",(ROUNDUP(VLOOKUP(E573,'BASE_FUNCOES (hide)'!A:X,21,0),0)),(ROUNDUP(VLOOKUP(E573,'BASE_FUNCOES (hide)'!A:L,9,0),0)))</f>
        <v>0</v>
      </c>
      <c r="J573" s="75">
        <f>ROUNDUP(SUMIF(Questions!$E$5:$E$558,'Hours Detail'!E573,Questions!$F$5:$F$558),0)</f>
        <v>0</v>
      </c>
      <c r="K573" s="76" t="e">
        <f>IF(H573="Yes",ROUNDUP(IF(VLOOKUP(E573,'BASE_FUNCOES (hide)'!A:T,16,FALSE)&lt;&gt;"No",IF('General Information'!$C$19="HTML5",(I573+J573)*'BASE_FUNCOES (hide)'!$T$2,I573+J573),I573+J573),I573+J573),I573+J573)</f>
        <v>#N/A</v>
      </c>
      <c r="L573" s="163" t="str">
        <f>IF(ISERROR(VLOOKUP(E573,Questions!$E$5:$L$568,6,0))=FALSE,VLOOKUP(E573,Questions!$E$5:$L$568,6,0),"")</f>
        <v/>
      </c>
      <c r="M573" s="164" t="s">
        <v>2396</v>
      </c>
      <c r="N573" s="369" t="s">
        <v>2377</v>
      </c>
    </row>
    <row r="574" spans="1:14" ht="14.5" customHeight="1">
      <c r="A574" s="59"/>
      <c r="B574" s="72"/>
      <c r="C574" s="72"/>
      <c r="D574" s="73"/>
      <c r="E574" s="74"/>
      <c r="F574" s="73"/>
      <c r="G574" s="73" t="e">
        <f>IF(AND('General Information'!$D$16=1,VLOOKUP(B574,Modules!$B$5:$E$496,4,0)=1)=TRUE,VLOOKUP('Hours Detail'!E574,'BASE_FUNCOES (hide)'!$A:$V,10,0),IF(AND('General Information'!$D$16=2,VLOOKUP(B574,Modules!$B$5:$E$496,4,0)=1)=TRUE,VLOOKUP('Hours Detail'!E574,'BASE_FUNCOES (hide)'!$A:$V,11,0),IF(AND('General Information'!$D$16=3,VLOOKUP(B574,Modules!$B$5:$E$496,4,0)=1)=TRUE,VLOOKUP('Hours Detail'!E574,'BASE_FUNCOES (hide)'!$A:$V,12,0),IF(AND('General Information'!$D$16=4,VLOOKUP(B574,Modules!$B$5:$E$496,4,0)=1)=TRUE,VLOOKUP('Hours Detail'!E574,'BASE_FUNCOES (hide)'!$A:$V,13,0),IF(AND('General Information'!$D$16=5,VLOOKUP(B574,Modules!$B$5:$E$496,4,0)=1)=TRUE,VLOOKUP('Hours Detail'!E574,'BASE_FUNCOES (hide)'!$A:$V,14,0),  IF(AND('General Information'!$D$16=6,VLOOKUP(B574,Modules!$B$5:$E$496,4,0)=1)=TRUE,VLOOKUP('Hours Detail'!E574,'BASE_FUNCOES (hide)'!$A:$V,15,0),"No"))))))</f>
        <v>#N/A</v>
      </c>
      <c r="H574" s="166" t="e">
        <f t="shared" si="10"/>
        <v>#N/A</v>
      </c>
      <c r="I574" s="75">
        <f>IF('General Information'!$C$4="Mexico",(ROUNDUP(VLOOKUP(E574,'BASE_FUNCOES (hide)'!A:X,21,0),0)),(ROUNDUP(VLOOKUP(E574,'BASE_FUNCOES (hide)'!A:L,9,0),0)))</f>
        <v>0</v>
      </c>
      <c r="J574" s="75">
        <f>ROUNDUP(SUMIF(Questions!$E$5:$E$558,'Hours Detail'!E574,Questions!$F$5:$F$558),0)</f>
        <v>0</v>
      </c>
      <c r="K574" s="76" t="e">
        <f>IF(H574="Yes",ROUNDUP(IF(VLOOKUP(E574,'BASE_FUNCOES (hide)'!A:T,16,FALSE)&lt;&gt;"No",IF('General Information'!$C$19="HTML5",(I574+J574)*'BASE_FUNCOES (hide)'!$T$2,I574+J574),I574+J574),I574+J574),I574+J574)</f>
        <v>#N/A</v>
      </c>
      <c r="L574" s="163" t="str">
        <f>IF(ISERROR(VLOOKUP(E574,Questions!$E$5:$L$568,6,0))=FALSE,VLOOKUP(E574,Questions!$E$5:$L$568,6,0),"")</f>
        <v/>
      </c>
      <c r="M574" s="164" t="s">
        <v>2396</v>
      </c>
      <c r="N574" s="369" t="s">
        <v>2377</v>
      </c>
    </row>
    <row r="575" spans="1:14" ht="14.5" customHeight="1">
      <c r="A575" s="59"/>
      <c r="B575" s="72"/>
      <c r="C575" s="72"/>
      <c r="D575" s="73"/>
      <c r="E575" s="74"/>
      <c r="F575" s="73"/>
      <c r="G575" s="73" t="e">
        <f>IF(AND('General Information'!$D$16=1,VLOOKUP(B575,Modules!$B$5:$E$496,4,0)=1)=TRUE,VLOOKUP('Hours Detail'!E575,'BASE_FUNCOES (hide)'!$A:$V,10,0),IF(AND('General Information'!$D$16=2,VLOOKUP(B575,Modules!$B$5:$E$496,4,0)=1)=TRUE,VLOOKUP('Hours Detail'!E575,'BASE_FUNCOES (hide)'!$A:$V,11,0),IF(AND('General Information'!$D$16=3,VLOOKUP(B575,Modules!$B$5:$E$496,4,0)=1)=TRUE,VLOOKUP('Hours Detail'!E575,'BASE_FUNCOES (hide)'!$A:$V,12,0),IF(AND('General Information'!$D$16=4,VLOOKUP(B575,Modules!$B$5:$E$496,4,0)=1)=TRUE,VLOOKUP('Hours Detail'!E575,'BASE_FUNCOES (hide)'!$A:$V,13,0),IF(AND('General Information'!$D$16=5,VLOOKUP(B575,Modules!$B$5:$E$496,4,0)=1)=TRUE,VLOOKUP('Hours Detail'!E575,'BASE_FUNCOES (hide)'!$A:$V,14,0),  IF(AND('General Information'!$D$16=6,VLOOKUP(B575,Modules!$B$5:$E$496,4,0)=1)=TRUE,VLOOKUP('Hours Detail'!E575,'BASE_FUNCOES (hide)'!$A:$V,15,0),"No"))))))</f>
        <v>#N/A</v>
      </c>
      <c r="H575" s="166" t="e">
        <f t="shared" si="10"/>
        <v>#N/A</v>
      </c>
      <c r="I575" s="75">
        <f>IF('General Information'!$C$4="Mexico",(ROUNDUP(VLOOKUP(E575,'BASE_FUNCOES (hide)'!A:X,21,0),0)),(ROUNDUP(VLOOKUP(E575,'BASE_FUNCOES (hide)'!A:L,9,0),0)))</f>
        <v>0</v>
      </c>
      <c r="J575" s="75">
        <f>ROUNDUP(SUMIF(Questions!$E$5:$E$558,'Hours Detail'!E575,Questions!$F$5:$F$558),0)</f>
        <v>0</v>
      </c>
      <c r="K575" s="76" t="e">
        <f>IF(H575="Yes",ROUNDUP(IF(VLOOKUP(E575,'BASE_FUNCOES (hide)'!A:T,16,FALSE)&lt;&gt;"No",IF('General Information'!$C$19="HTML5",(I575+J575)*'BASE_FUNCOES (hide)'!$T$2,I575+J575),I575+J575),I575+J575),I575+J575)</f>
        <v>#N/A</v>
      </c>
      <c r="L575" s="163" t="str">
        <f>IF(ISERROR(VLOOKUP(E575,Questions!$E$5:$L$568,6,0))=FALSE,VLOOKUP(E575,Questions!$E$5:$L$568,6,0),"")</f>
        <v/>
      </c>
      <c r="M575" s="164" t="s">
        <v>2396</v>
      </c>
      <c r="N575" s="369" t="s">
        <v>2377</v>
      </c>
    </row>
    <row r="576" spans="1:14" ht="14.5" customHeight="1">
      <c r="A576" s="59"/>
      <c r="B576" s="72"/>
      <c r="C576" s="72"/>
      <c r="D576" s="73"/>
      <c r="E576" s="74"/>
      <c r="F576" s="73"/>
      <c r="G576" s="73" t="e">
        <f>IF(AND('General Information'!$D$16=1,VLOOKUP(B576,Modules!$B$5:$E$496,4,0)=1)=TRUE,VLOOKUP('Hours Detail'!E576,'BASE_FUNCOES (hide)'!$A:$V,10,0),IF(AND('General Information'!$D$16=2,VLOOKUP(B576,Modules!$B$5:$E$496,4,0)=1)=TRUE,VLOOKUP('Hours Detail'!E576,'BASE_FUNCOES (hide)'!$A:$V,11,0),IF(AND('General Information'!$D$16=3,VLOOKUP(B576,Modules!$B$5:$E$496,4,0)=1)=TRUE,VLOOKUP('Hours Detail'!E576,'BASE_FUNCOES (hide)'!$A:$V,12,0),IF(AND('General Information'!$D$16=4,VLOOKUP(B576,Modules!$B$5:$E$496,4,0)=1)=TRUE,VLOOKUP('Hours Detail'!E576,'BASE_FUNCOES (hide)'!$A:$V,13,0),IF(AND('General Information'!$D$16=5,VLOOKUP(B576,Modules!$B$5:$E$496,4,0)=1)=TRUE,VLOOKUP('Hours Detail'!E576,'BASE_FUNCOES (hide)'!$A:$V,14,0),  IF(AND('General Information'!$D$16=6,VLOOKUP(B576,Modules!$B$5:$E$496,4,0)=1)=TRUE,VLOOKUP('Hours Detail'!E576,'BASE_FUNCOES (hide)'!$A:$V,15,0),"No"))))))</f>
        <v>#N/A</v>
      </c>
      <c r="H576" s="166" t="e">
        <f t="shared" si="10"/>
        <v>#N/A</v>
      </c>
      <c r="I576" s="75">
        <f>IF('General Information'!$C$4="Mexico",(ROUNDUP(VLOOKUP(E576,'BASE_FUNCOES (hide)'!A:X,21,0),0)),(ROUNDUP(VLOOKUP(E576,'BASE_FUNCOES (hide)'!A:L,9,0),0)))</f>
        <v>0</v>
      </c>
      <c r="J576" s="75">
        <f>ROUNDUP(SUMIF(Questions!$E$5:$E$558,'Hours Detail'!E576,Questions!$F$5:$F$558),0)</f>
        <v>0</v>
      </c>
      <c r="K576" s="76" t="e">
        <f>IF(H576="Yes",ROUNDUP(IF(VLOOKUP(E576,'BASE_FUNCOES (hide)'!A:T,16,FALSE)&lt;&gt;"No",IF('General Information'!$C$19="HTML5",(I576+J576)*'BASE_FUNCOES (hide)'!$T$2,I576+J576),I576+J576),I576+J576),I576+J576)</f>
        <v>#N/A</v>
      </c>
      <c r="L576" s="163" t="str">
        <f>IF(ISERROR(VLOOKUP(E576,Questions!$E$5:$L$568,6,0))=FALSE,VLOOKUP(E576,Questions!$E$5:$L$568,6,0),"")</f>
        <v/>
      </c>
      <c r="M576" s="164" t="s">
        <v>2396</v>
      </c>
      <c r="N576" s="369" t="s">
        <v>2377</v>
      </c>
    </row>
    <row r="577" spans="1:14" ht="14.5" customHeight="1">
      <c r="A577" s="59"/>
      <c r="B577" s="72"/>
      <c r="C577" s="72"/>
      <c r="D577" s="73"/>
      <c r="E577" s="74"/>
      <c r="F577" s="73"/>
      <c r="G577" s="73" t="e">
        <f>IF(AND('General Information'!$D$16=1,VLOOKUP(B577,Modules!$B$5:$E$496,4,0)=1)=TRUE,VLOOKUP('Hours Detail'!E577,'BASE_FUNCOES (hide)'!$A:$V,10,0),IF(AND('General Information'!$D$16=2,VLOOKUP(B577,Modules!$B$5:$E$496,4,0)=1)=TRUE,VLOOKUP('Hours Detail'!E577,'BASE_FUNCOES (hide)'!$A:$V,11,0),IF(AND('General Information'!$D$16=3,VLOOKUP(B577,Modules!$B$5:$E$496,4,0)=1)=TRUE,VLOOKUP('Hours Detail'!E577,'BASE_FUNCOES (hide)'!$A:$V,12,0),IF(AND('General Information'!$D$16=4,VLOOKUP(B577,Modules!$B$5:$E$496,4,0)=1)=TRUE,VLOOKUP('Hours Detail'!E577,'BASE_FUNCOES (hide)'!$A:$V,13,0),IF(AND('General Information'!$D$16=5,VLOOKUP(B577,Modules!$B$5:$E$496,4,0)=1)=TRUE,VLOOKUP('Hours Detail'!E577,'BASE_FUNCOES (hide)'!$A:$V,14,0),  IF(AND('General Information'!$D$16=6,VLOOKUP(B577,Modules!$B$5:$E$496,4,0)=1)=TRUE,VLOOKUP('Hours Detail'!E577,'BASE_FUNCOES (hide)'!$A:$V,15,0),"No"))))))</f>
        <v>#N/A</v>
      </c>
      <c r="H577" s="166" t="e">
        <f t="shared" si="10"/>
        <v>#N/A</v>
      </c>
      <c r="I577" s="75">
        <f>IF('General Information'!$C$4="Mexico",(ROUNDUP(VLOOKUP(E577,'BASE_FUNCOES (hide)'!A:X,21,0),0)),(ROUNDUP(VLOOKUP(E577,'BASE_FUNCOES (hide)'!A:L,9,0),0)))</f>
        <v>0</v>
      </c>
      <c r="J577" s="75">
        <f>ROUNDUP(SUMIF(Questions!$E$5:$E$558,'Hours Detail'!E577,Questions!$F$5:$F$558),0)</f>
        <v>0</v>
      </c>
      <c r="K577" s="76" t="e">
        <f>IF(H577="Yes",ROUNDUP(IF(VLOOKUP(E577,'BASE_FUNCOES (hide)'!A:T,16,FALSE)&lt;&gt;"No",IF('General Information'!$C$19="HTML5",(I577+J577)*'BASE_FUNCOES (hide)'!$T$2,I577+J577),I577+J577),I577+J577),I577+J577)</f>
        <v>#N/A</v>
      </c>
      <c r="L577" s="163" t="str">
        <f>IF(ISERROR(VLOOKUP(E577,Questions!$E$5:$L$568,6,0))=FALSE,VLOOKUP(E577,Questions!$E$5:$L$568,6,0),"")</f>
        <v/>
      </c>
      <c r="M577" s="164" t="s">
        <v>2396</v>
      </c>
      <c r="N577" s="369" t="s">
        <v>2377</v>
      </c>
    </row>
    <row r="578" spans="1:14" ht="14.5" customHeight="1">
      <c r="A578" s="59"/>
      <c r="B578" s="72"/>
      <c r="C578" s="72"/>
      <c r="D578" s="73"/>
      <c r="E578" s="74"/>
      <c r="F578" s="73"/>
      <c r="G578" s="73" t="e">
        <f>IF(AND('General Information'!$D$16=1,VLOOKUP(B578,Modules!$B$5:$E$496,4,0)=1)=TRUE,VLOOKUP('Hours Detail'!E578,'BASE_FUNCOES (hide)'!$A:$V,10,0),IF(AND('General Information'!$D$16=2,VLOOKUP(B578,Modules!$B$5:$E$496,4,0)=1)=TRUE,VLOOKUP('Hours Detail'!E578,'BASE_FUNCOES (hide)'!$A:$V,11,0),IF(AND('General Information'!$D$16=3,VLOOKUP(B578,Modules!$B$5:$E$496,4,0)=1)=TRUE,VLOOKUP('Hours Detail'!E578,'BASE_FUNCOES (hide)'!$A:$V,12,0),IF(AND('General Information'!$D$16=4,VLOOKUP(B578,Modules!$B$5:$E$496,4,0)=1)=TRUE,VLOOKUP('Hours Detail'!E578,'BASE_FUNCOES (hide)'!$A:$V,13,0),IF(AND('General Information'!$D$16=5,VLOOKUP(B578,Modules!$B$5:$E$496,4,0)=1)=TRUE,VLOOKUP('Hours Detail'!E578,'BASE_FUNCOES (hide)'!$A:$V,14,0),  IF(AND('General Information'!$D$16=6,VLOOKUP(B578,Modules!$B$5:$E$496,4,0)=1)=TRUE,VLOOKUP('Hours Detail'!E578,'BASE_FUNCOES (hide)'!$A:$V,15,0),"No"))))))</f>
        <v>#N/A</v>
      </c>
      <c r="H578" s="166" t="e">
        <f t="shared" si="10"/>
        <v>#N/A</v>
      </c>
      <c r="I578" s="75">
        <f>IF('General Information'!$C$4="Mexico",(ROUNDUP(VLOOKUP(E578,'BASE_FUNCOES (hide)'!A:X,21,0),0)),(ROUNDUP(VLOOKUP(E578,'BASE_FUNCOES (hide)'!A:L,9,0),0)))</f>
        <v>0</v>
      </c>
      <c r="J578" s="75">
        <f>ROUNDUP(SUMIF(Questions!$E$5:$E$558,'Hours Detail'!E578,Questions!$F$5:$F$558),0)</f>
        <v>0</v>
      </c>
      <c r="K578" s="76" t="e">
        <f>IF(H578="Yes",ROUNDUP(IF(VLOOKUP(E578,'BASE_FUNCOES (hide)'!A:T,16,FALSE)&lt;&gt;"No",IF('General Information'!$C$19="HTML5",(I578+J578)*'BASE_FUNCOES (hide)'!$T$2,I578+J578),I578+J578),I578+J578),I578+J578)</f>
        <v>#N/A</v>
      </c>
      <c r="L578" s="163" t="str">
        <f>IF(ISERROR(VLOOKUP(E578,Questions!$E$5:$L$568,6,0))=FALSE,VLOOKUP(E578,Questions!$E$5:$L$568,6,0),"")</f>
        <v/>
      </c>
      <c r="M578" s="164" t="s">
        <v>2396</v>
      </c>
      <c r="N578" s="369" t="s">
        <v>2377</v>
      </c>
    </row>
    <row r="579" spans="1:14" ht="14.5" customHeight="1">
      <c r="A579" s="59"/>
      <c r="B579" s="72"/>
      <c r="C579" s="72"/>
      <c r="D579" s="73"/>
      <c r="E579" s="74"/>
      <c r="F579" s="73"/>
      <c r="G579" s="73" t="e">
        <f>IF(AND('General Information'!$D$16=1,VLOOKUP(B579,Modules!$B$5:$E$496,4,0)=1)=TRUE,VLOOKUP('Hours Detail'!E579,'BASE_FUNCOES (hide)'!$A:$V,10,0),IF(AND('General Information'!$D$16=2,VLOOKUP(B579,Modules!$B$5:$E$496,4,0)=1)=TRUE,VLOOKUP('Hours Detail'!E579,'BASE_FUNCOES (hide)'!$A:$V,11,0),IF(AND('General Information'!$D$16=3,VLOOKUP(B579,Modules!$B$5:$E$496,4,0)=1)=TRUE,VLOOKUP('Hours Detail'!E579,'BASE_FUNCOES (hide)'!$A:$V,12,0),IF(AND('General Information'!$D$16=4,VLOOKUP(B579,Modules!$B$5:$E$496,4,0)=1)=TRUE,VLOOKUP('Hours Detail'!E579,'BASE_FUNCOES (hide)'!$A:$V,13,0),IF(AND('General Information'!$D$16=5,VLOOKUP(B579,Modules!$B$5:$E$496,4,0)=1)=TRUE,VLOOKUP('Hours Detail'!E579,'BASE_FUNCOES (hide)'!$A:$V,14,0),  IF(AND('General Information'!$D$16=6,VLOOKUP(B579,Modules!$B$5:$E$496,4,0)=1)=TRUE,VLOOKUP('Hours Detail'!E579,'BASE_FUNCOES (hide)'!$A:$V,15,0),"No"))))))</f>
        <v>#N/A</v>
      </c>
      <c r="H579" s="166" t="e">
        <f t="shared" si="10"/>
        <v>#N/A</v>
      </c>
      <c r="I579" s="75">
        <f>IF('General Information'!$C$4="Mexico",(ROUNDUP(VLOOKUP(E579,'BASE_FUNCOES (hide)'!A:X,21,0),0)),(ROUNDUP(VLOOKUP(E579,'BASE_FUNCOES (hide)'!A:L,9,0),0)))</f>
        <v>0</v>
      </c>
      <c r="J579" s="75">
        <f>ROUNDUP(SUMIF(Questions!$E$5:$E$558,'Hours Detail'!E579,Questions!$F$5:$F$558),0)</f>
        <v>0</v>
      </c>
      <c r="K579" s="76" t="e">
        <f>IF(H579="Yes",ROUNDUP(IF(VLOOKUP(E579,'BASE_FUNCOES (hide)'!A:T,16,FALSE)&lt;&gt;"No",IF('General Information'!$C$19="HTML5",(I579+J579)*'BASE_FUNCOES (hide)'!$T$2,I579+J579),I579+J579),I579+J579),I579+J579)</f>
        <v>#N/A</v>
      </c>
      <c r="L579" s="163" t="str">
        <f>IF(ISERROR(VLOOKUP(E579,Questions!$E$5:$L$568,6,0))=FALSE,VLOOKUP(E579,Questions!$E$5:$L$568,6,0),"")</f>
        <v/>
      </c>
      <c r="M579" s="164" t="s">
        <v>2396</v>
      </c>
      <c r="N579" s="369" t="s">
        <v>2377</v>
      </c>
    </row>
    <row r="580" spans="1:14" ht="14.5" customHeight="1">
      <c r="A580" s="59"/>
      <c r="B580" s="72"/>
      <c r="C580" s="72"/>
      <c r="D580" s="73"/>
      <c r="E580" s="74"/>
      <c r="F580" s="73"/>
      <c r="G580" s="73" t="e">
        <f>IF(AND('General Information'!$D$16=1,VLOOKUP(B580,Modules!$B$5:$E$496,4,0)=1)=TRUE,VLOOKUP('Hours Detail'!E580,'BASE_FUNCOES (hide)'!$A:$V,10,0),IF(AND('General Information'!$D$16=2,VLOOKUP(B580,Modules!$B$5:$E$496,4,0)=1)=TRUE,VLOOKUP('Hours Detail'!E580,'BASE_FUNCOES (hide)'!$A:$V,11,0),IF(AND('General Information'!$D$16=3,VLOOKUP(B580,Modules!$B$5:$E$496,4,0)=1)=TRUE,VLOOKUP('Hours Detail'!E580,'BASE_FUNCOES (hide)'!$A:$V,12,0),IF(AND('General Information'!$D$16=4,VLOOKUP(B580,Modules!$B$5:$E$496,4,0)=1)=TRUE,VLOOKUP('Hours Detail'!E580,'BASE_FUNCOES (hide)'!$A:$V,13,0),IF(AND('General Information'!$D$16=5,VLOOKUP(B580,Modules!$B$5:$E$496,4,0)=1)=TRUE,VLOOKUP('Hours Detail'!E580,'BASE_FUNCOES (hide)'!$A:$V,14,0),  IF(AND('General Information'!$D$16=6,VLOOKUP(B580,Modules!$B$5:$E$496,4,0)=1)=TRUE,VLOOKUP('Hours Detail'!E580,'BASE_FUNCOES (hide)'!$A:$V,15,0),"No"))))))</f>
        <v>#N/A</v>
      </c>
      <c r="H580" s="166" t="e">
        <f t="shared" si="10"/>
        <v>#N/A</v>
      </c>
      <c r="I580" s="75">
        <f>IF('General Information'!$C$4="Mexico",(ROUNDUP(VLOOKUP(E580,'BASE_FUNCOES (hide)'!A:X,21,0),0)),(ROUNDUP(VLOOKUP(E580,'BASE_FUNCOES (hide)'!A:L,9,0),0)))</f>
        <v>0</v>
      </c>
      <c r="J580" s="75">
        <f>ROUNDUP(SUMIF(Questions!$E$5:$E$558,'Hours Detail'!E580,Questions!$F$5:$F$558),0)</f>
        <v>0</v>
      </c>
      <c r="K580" s="76" t="e">
        <f>IF(H580="Yes",ROUNDUP(IF(VLOOKUP(E580,'BASE_FUNCOES (hide)'!A:T,16,FALSE)&lt;&gt;"No",IF('General Information'!$C$19="HTML5",(I580+J580)*'BASE_FUNCOES (hide)'!$T$2,I580+J580),I580+J580),I580+J580),I580+J580)</f>
        <v>#N/A</v>
      </c>
      <c r="L580" s="163" t="str">
        <f>IF(ISERROR(VLOOKUP(E580,Questions!$E$5:$L$568,6,0))=FALSE,VLOOKUP(E580,Questions!$E$5:$L$568,6,0),"")</f>
        <v/>
      </c>
      <c r="M580" s="164" t="s">
        <v>2396</v>
      </c>
      <c r="N580" s="369" t="s">
        <v>2377</v>
      </c>
    </row>
    <row r="581" spans="1:14" ht="14.5" customHeight="1">
      <c r="A581" s="59"/>
      <c r="B581" s="72"/>
      <c r="C581" s="72"/>
      <c r="D581" s="73"/>
      <c r="E581" s="74"/>
      <c r="F581" s="73"/>
      <c r="G581" s="73" t="e">
        <f>IF(AND('General Information'!$D$16=1,VLOOKUP(B581,Modules!$B$5:$E$496,4,0)=1)=TRUE,VLOOKUP('Hours Detail'!E581,'BASE_FUNCOES (hide)'!$A:$V,10,0),IF(AND('General Information'!$D$16=2,VLOOKUP(B581,Modules!$B$5:$E$496,4,0)=1)=TRUE,VLOOKUP('Hours Detail'!E581,'BASE_FUNCOES (hide)'!$A:$V,11,0),IF(AND('General Information'!$D$16=3,VLOOKUP(B581,Modules!$B$5:$E$496,4,0)=1)=TRUE,VLOOKUP('Hours Detail'!E581,'BASE_FUNCOES (hide)'!$A:$V,12,0),IF(AND('General Information'!$D$16=4,VLOOKUP(B581,Modules!$B$5:$E$496,4,0)=1)=TRUE,VLOOKUP('Hours Detail'!E581,'BASE_FUNCOES (hide)'!$A:$V,13,0),IF(AND('General Information'!$D$16=5,VLOOKUP(B581,Modules!$B$5:$E$496,4,0)=1)=TRUE,VLOOKUP('Hours Detail'!E581,'BASE_FUNCOES (hide)'!$A:$V,14,0),  IF(AND('General Information'!$D$16=6,VLOOKUP(B581,Modules!$B$5:$E$496,4,0)=1)=TRUE,VLOOKUP('Hours Detail'!E581,'BASE_FUNCOES (hide)'!$A:$V,15,0),"No"))))))</f>
        <v>#N/A</v>
      </c>
      <c r="H581" s="166" t="e">
        <f t="shared" si="10"/>
        <v>#N/A</v>
      </c>
      <c r="I581" s="75">
        <f>IF('General Information'!$C$4="Mexico",(ROUNDUP(VLOOKUP(E581,'BASE_FUNCOES (hide)'!A:X,21,0),0)),(ROUNDUP(VLOOKUP(E581,'BASE_FUNCOES (hide)'!A:L,9,0),0)))</f>
        <v>0</v>
      </c>
      <c r="J581" s="75">
        <f>ROUNDUP(SUMIF(Questions!$E$5:$E$558,'Hours Detail'!E581,Questions!$F$5:$F$558),0)</f>
        <v>0</v>
      </c>
      <c r="K581" s="76" t="e">
        <f>IF(H581="Yes",ROUNDUP(IF(VLOOKUP(E581,'BASE_FUNCOES (hide)'!A:T,16,FALSE)&lt;&gt;"No",IF('General Information'!$C$19="HTML5",(I581+J581)*'BASE_FUNCOES (hide)'!$T$2,I581+J581),I581+J581),I581+J581),I581+J581)</f>
        <v>#N/A</v>
      </c>
      <c r="L581" s="163" t="str">
        <f>IF(ISERROR(VLOOKUP(E581,Questions!$E$5:$L$568,6,0))=FALSE,VLOOKUP(E581,Questions!$E$5:$L$568,6,0),"")</f>
        <v/>
      </c>
      <c r="M581" s="164" t="s">
        <v>2396</v>
      </c>
      <c r="N581" s="369" t="s">
        <v>2377</v>
      </c>
    </row>
    <row r="582" spans="1:14" ht="14.5" customHeight="1">
      <c r="A582" s="59"/>
      <c r="B582" s="72"/>
      <c r="C582" s="72"/>
      <c r="D582" s="73"/>
      <c r="E582" s="74"/>
      <c r="F582" s="73"/>
      <c r="G582" s="73" t="e">
        <f>IF(AND('General Information'!$D$16=1,VLOOKUP(B582,Modules!$B$5:$E$496,4,0)=1)=TRUE,VLOOKUP('Hours Detail'!E582,'BASE_FUNCOES (hide)'!$A:$V,10,0),IF(AND('General Information'!$D$16=2,VLOOKUP(B582,Modules!$B$5:$E$496,4,0)=1)=TRUE,VLOOKUP('Hours Detail'!E582,'BASE_FUNCOES (hide)'!$A:$V,11,0),IF(AND('General Information'!$D$16=3,VLOOKUP(B582,Modules!$B$5:$E$496,4,0)=1)=TRUE,VLOOKUP('Hours Detail'!E582,'BASE_FUNCOES (hide)'!$A:$V,12,0),IF(AND('General Information'!$D$16=4,VLOOKUP(B582,Modules!$B$5:$E$496,4,0)=1)=TRUE,VLOOKUP('Hours Detail'!E582,'BASE_FUNCOES (hide)'!$A:$V,13,0),IF(AND('General Information'!$D$16=5,VLOOKUP(B582,Modules!$B$5:$E$496,4,0)=1)=TRUE,VLOOKUP('Hours Detail'!E582,'BASE_FUNCOES (hide)'!$A:$V,14,0),  IF(AND('General Information'!$D$16=6,VLOOKUP(B582,Modules!$B$5:$E$496,4,0)=1)=TRUE,VLOOKUP('Hours Detail'!E582,'BASE_FUNCOES (hide)'!$A:$V,15,0),"No"))))))</f>
        <v>#N/A</v>
      </c>
      <c r="H582" s="166" t="e">
        <f t="shared" si="10"/>
        <v>#N/A</v>
      </c>
      <c r="I582" s="75">
        <f>IF('General Information'!$C$4="Mexico",(ROUNDUP(VLOOKUP(E582,'BASE_FUNCOES (hide)'!A:X,21,0),0)),(ROUNDUP(VLOOKUP(E582,'BASE_FUNCOES (hide)'!A:L,9,0),0)))</f>
        <v>0</v>
      </c>
      <c r="J582" s="75">
        <f>ROUNDUP(SUMIF(Questions!$E$5:$E$558,'Hours Detail'!E582,Questions!$F$5:$F$558),0)</f>
        <v>0</v>
      </c>
      <c r="K582" s="76" t="e">
        <f>IF(H582="Yes",ROUNDUP(IF(VLOOKUP(E582,'BASE_FUNCOES (hide)'!A:T,16,FALSE)&lt;&gt;"No",IF('General Information'!$C$19="HTML5",(I582+J582)*'BASE_FUNCOES (hide)'!$T$2,I582+J582),I582+J582),I582+J582),I582+J582)</f>
        <v>#N/A</v>
      </c>
      <c r="L582" s="163" t="str">
        <f>IF(ISERROR(VLOOKUP(E582,Questions!$E$5:$L$568,6,0))=FALSE,VLOOKUP(E582,Questions!$E$5:$L$568,6,0),"")</f>
        <v/>
      </c>
      <c r="M582" s="164" t="s">
        <v>2396</v>
      </c>
      <c r="N582" s="369" t="s">
        <v>2377</v>
      </c>
    </row>
    <row r="583" spans="1:14" ht="14.5" customHeight="1">
      <c r="A583" s="59"/>
      <c r="B583" s="72"/>
      <c r="C583" s="72"/>
      <c r="D583" s="73"/>
      <c r="E583" s="74"/>
      <c r="F583" s="73"/>
      <c r="G583" s="73" t="e">
        <f>IF(AND('General Information'!$D$16=1,VLOOKUP(B583,Modules!$B$5:$E$496,4,0)=1)=TRUE,VLOOKUP('Hours Detail'!E583,'BASE_FUNCOES (hide)'!$A:$V,10,0),IF(AND('General Information'!$D$16=2,VLOOKUP(B583,Modules!$B$5:$E$496,4,0)=1)=TRUE,VLOOKUP('Hours Detail'!E583,'BASE_FUNCOES (hide)'!$A:$V,11,0),IF(AND('General Information'!$D$16=3,VLOOKUP(B583,Modules!$B$5:$E$496,4,0)=1)=TRUE,VLOOKUP('Hours Detail'!E583,'BASE_FUNCOES (hide)'!$A:$V,12,0),IF(AND('General Information'!$D$16=4,VLOOKUP(B583,Modules!$B$5:$E$496,4,0)=1)=TRUE,VLOOKUP('Hours Detail'!E583,'BASE_FUNCOES (hide)'!$A:$V,13,0),IF(AND('General Information'!$D$16=5,VLOOKUP(B583,Modules!$B$5:$E$496,4,0)=1)=TRUE,VLOOKUP('Hours Detail'!E583,'BASE_FUNCOES (hide)'!$A:$V,14,0),  IF(AND('General Information'!$D$16=6,VLOOKUP(B583,Modules!$B$5:$E$496,4,0)=1)=TRUE,VLOOKUP('Hours Detail'!E583,'BASE_FUNCOES (hide)'!$A:$V,15,0),"No"))))))</f>
        <v>#N/A</v>
      </c>
      <c r="H583" s="166" t="e">
        <f t="shared" si="10"/>
        <v>#N/A</v>
      </c>
      <c r="I583" s="75">
        <f>IF('General Information'!$C$4="Mexico",(ROUNDUP(VLOOKUP(E583,'BASE_FUNCOES (hide)'!A:X,21,0),0)),(ROUNDUP(VLOOKUP(E583,'BASE_FUNCOES (hide)'!A:L,9,0),0)))</f>
        <v>0</v>
      </c>
      <c r="J583" s="75">
        <f>ROUNDUP(SUMIF(Questions!$E$5:$E$558,'Hours Detail'!E583,Questions!$F$5:$F$558),0)</f>
        <v>0</v>
      </c>
      <c r="K583" s="76" t="e">
        <f>IF(H583="Yes",ROUNDUP(IF(VLOOKUP(E583,'BASE_FUNCOES (hide)'!A:T,16,FALSE)&lt;&gt;"No",IF('General Information'!$C$19="HTML5",(I583+J583)*'BASE_FUNCOES (hide)'!$T$2,I583+J583),I583+J583),I583+J583),I583+J583)</f>
        <v>#N/A</v>
      </c>
      <c r="L583" s="163" t="str">
        <f>IF(ISERROR(VLOOKUP(E583,Questions!$E$5:$L$568,6,0))=FALSE,VLOOKUP(E583,Questions!$E$5:$L$568,6,0),"")</f>
        <v/>
      </c>
      <c r="M583" s="164" t="s">
        <v>2396</v>
      </c>
      <c r="N583" s="369" t="s">
        <v>2377</v>
      </c>
    </row>
    <row r="584" spans="1:14" ht="14.5" customHeight="1">
      <c r="A584" s="59"/>
      <c r="B584" s="72"/>
      <c r="C584" s="72"/>
      <c r="D584" s="73"/>
      <c r="E584" s="74"/>
      <c r="F584" s="73"/>
      <c r="G584" s="73" t="e">
        <f>IF(AND('General Information'!$D$16=1,VLOOKUP(B584,Modules!$B$5:$E$496,4,0)=1)=TRUE,VLOOKUP('Hours Detail'!E584,'BASE_FUNCOES (hide)'!$A:$V,10,0),IF(AND('General Information'!$D$16=2,VLOOKUP(B584,Modules!$B$5:$E$496,4,0)=1)=TRUE,VLOOKUP('Hours Detail'!E584,'BASE_FUNCOES (hide)'!$A:$V,11,0),IF(AND('General Information'!$D$16=3,VLOOKUP(B584,Modules!$B$5:$E$496,4,0)=1)=TRUE,VLOOKUP('Hours Detail'!E584,'BASE_FUNCOES (hide)'!$A:$V,12,0),IF(AND('General Information'!$D$16=4,VLOOKUP(B584,Modules!$B$5:$E$496,4,0)=1)=TRUE,VLOOKUP('Hours Detail'!E584,'BASE_FUNCOES (hide)'!$A:$V,13,0),IF(AND('General Information'!$D$16=5,VLOOKUP(B584,Modules!$B$5:$E$496,4,0)=1)=TRUE,VLOOKUP('Hours Detail'!E584,'BASE_FUNCOES (hide)'!$A:$V,14,0),  IF(AND('General Information'!$D$16=6,VLOOKUP(B584,Modules!$B$5:$E$496,4,0)=1)=TRUE,VLOOKUP('Hours Detail'!E584,'BASE_FUNCOES (hide)'!$A:$V,15,0),"No"))))))</f>
        <v>#N/A</v>
      </c>
      <c r="H584" s="166" t="e">
        <f t="shared" si="10"/>
        <v>#N/A</v>
      </c>
      <c r="I584" s="75">
        <f>IF('General Information'!$C$4="Mexico",(ROUNDUP(VLOOKUP(E584,'BASE_FUNCOES (hide)'!A:X,21,0),0)),(ROUNDUP(VLOOKUP(E584,'BASE_FUNCOES (hide)'!A:L,9,0),0)))</f>
        <v>0</v>
      </c>
      <c r="J584" s="75">
        <f>ROUNDUP(SUMIF(Questions!$E$5:$E$558,'Hours Detail'!E584,Questions!$F$5:$F$558),0)</f>
        <v>0</v>
      </c>
      <c r="K584" s="76" t="e">
        <f>IF(H584="Yes",ROUNDUP(IF(VLOOKUP(E584,'BASE_FUNCOES (hide)'!A:T,16,FALSE)&lt;&gt;"No",IF('General Information'!$C$19="HTML5",(I584+J584)*'BASE_FUNCOES (hide)'!$T$2,I584+J584),I584+J584),I584+J584),I584+J584)</f>
        <v>#N/A</v>
      </c>
      <c r="L584" s="163" t="str">
        <f>IF(ISERROR(VLOOKUP(E584,Questions!$E$5:$L$568,6,0))=FALSE,VLOOKUP(E584,Questions!$E$5:$L$568,6,0),"")</f>
        <v/>
      </c>
      <c r="M584" s="164" t="s">
        <v>2396</v>
      </c>
      <c r="N584" s="369" t="s">
        <v>2377</v>
      </c>
    </row>
    <row r="585" spans="1:14" ht="14.5" customHeight="1">
      <c r="A585" s="59"/>
      <c r="B585" s="72"/>
      <c r="C585" s="72"/>
      <c r="D585" s="73"/>
      <c r="E585" s="74"/>
      <c r="F585" s="73"/>
      <c r="G585" s="73" t="e">
        <f>IF(AND('General Information'!$D$16=1,VLOOKUP(B585,Modules!$B$5:$E$496,4,0)=1)=TRUE,VLOOKUP('Hours Detail'!E585,'BASE_FUNCOES (hide)'!$A:$V,10,0),IF(AND('General Information'!$D$16=2,VLOOKUP(B585,Modules!$B$5:$E$496,4,0)=1)=TRUE,VLOOKUP('Hours Detail'!E585,'BASE_FUNCOES (hide)'!$A:$V,11,0),IF(AND('General Information'!$D$16=3,VLOOKUP(B585,Modules!$B$5:$E$496,4,0)=1)=TRUE,VLOOKUP('Hours Detail'!E585,'BASE_FUNCOES (hide)'!$A:$V,12,0),IF(AND('General Information'!$D$16=4,VLOOKUP(B585,Modules!$B$5:$E$496,4,0)=1)=TRUE,VLOOKUP('Hours Detail'!E585,'BASE_FUNCOES (hide)'!$A:$V,13,0),IF(AND('General Information'!$D$16=5,VLOOKUP(B585,Modules!$B$5:$E$496,4,0)=1)=TRUE,VLOOKUP('Hours Detail'!E585,'BASE_FUNCOES (hide)'!$A:$V,14,0),  IF(AND('General Information'!$D$16=6,VLOOKUP(B585,Modules!$B$5:$E$496,4,0)=1)=TRUE,VLOOKUP('Hours Detail'!E585,'BASE_FUNCOES (hide)'!$A:$V,15,0),"No"))))))</f>
        <v>#N/A</v>
      </c>
      <c r="H585" s="166" t="e">
        <f t="shared" si="10"/>
        <v>#N/A</v>
      </c>
      <c r="I585" s="75">
        <f>IF('General Information'!$C$4="Mexico",(ROUNDUP(VLOOKUP(E585,'BASE_FUNCOES (hide)'!A:X,21,0),0)),(ROUNDUP(VLOOKUP(E585,'BASE_FUNCOES (hide)'!A:L,9,0),0)))</f>
        <v>0</v>
      </c>
      <c r="J585" s="75">
        <f>ROUNDUP(SUMIF(Questions!$E$5:$E$558,'Hours Detail'!E585,Questions!$F$5:$F$558),0)</f>
        <v>0</v>
      </c>
      <c r="K585" s="76" t="e">
        <f>IF(H585="Yes",ROUNDUP(IF(VLOOKUP(E585,'BASE_FUNCOES (hide)'!A:T,16,FALSE)&lt;&gt;"No",IF('General Information'!$C$19="HTML5",(I585+J585)*'BASE_FUNCOES (hide)'!$T$2,I585+J585),I585+J585),I585+J585),I585+J585)</f>
        <v>#N/A</v>
      </c>
      <c r="L585" s="163" t="str">
        <f>IF(ISERROR(VLOOKUP(E585,Questions!$E$5:$L$568,6,0))=FALSE,VLOOKUP(E585,Questions!$E$5:$L$568,6,0),"")</f>
        <v/>
      </c>
      <c r="M585" s="164" t="s">
        <v>2396</v>
      </c>
      <c r="N585" s="369" t="s">
        <v>2377</v>
      </c>
    </row>
    <row r="586" spans="1:14" ht="14.5" customHeight="1">
      <c r="A586" s="59"/>
      <c r="B586" s="72"/>
      <c r="C586" s="72"/>
      <c r="D586" s="73"/>
      <c r="E586" s="74"/>
      <c r="F586" s="73"/>
      <c r="G586" s="73" t="e">
        <f>IF(AND('General Information'!$D$16=1,VLOOKUP(B586,Modules!$B$5:$E$496,4,0)=1)=TRUE,VLOOKUP('Hours Detail'!E586,'BASE_FUNCOES (hide)'!$A:$V,10,0),IF(AND('General Information'!$D$16=2,VLOOKUP(B586,Modules!$B$5:$E$496,4,0)=1)=TRUE,VLOOKUP('Hours Detail'!E586,'BASE_FUNCOES (hide)'!$A:$V,11,0),IF(AND('General Information'!$D$16=3,VLOOKUP(B586,Modules!$B$5:$E$496,4,0)=1)=TRUE,VLOOKUP('Hours Detail'!E586,'BASE_FUNCOES (hide)'!$A:$V,12,0),IF(AND('General Information'!$D$16=4,VLOOKUP(B586,Modules!$B$5:$E$496,4,0)=1)=TRUE,VLOOKUP('Hours Detail'!E586,'BASE_FUNCOES (hide)'!$A:$V,13,0),IF(AND('General Information'!$D$16=5,VLOOKUP(B586,Modules!$B$5:$E$496,4,0)=1)=TRUE,VLOOKUP('Hours Detail'!E586,'BASE_FUNCOES (hide)'!$A:$V,14,0),  IF(AND('General Information'!$D$16=6,VLOOKUP(B586,Modules!$B$5:$E$496,4,0)=1)=TRUE,VLOOKUP('Hours Detail'!E586,'BASE_FUNCOES (hide)'!$A:$V,15,0),"No"))))))</f>
        <v>#N/A</v>
      </c>
      <c r="H586" s="166" t="e">
        <f t="shared" si="10"/>
        <v>#N/A</v>
      </c>
      <c r="I586" s="75">
        <f>IF('General Information'!$C$4="Mexico",(ROUNDUP(VLOOKUP(E586,'BASE_FUNCOES (hide)'!A:X,21,0),0)),(ROUNDUP(VLOOKUP(E586,'BASE_FUNCOES (hide)'!A:L,9,0),0)))</f>
        <v>0</v>
      </c>
      <c r="J586" s="75">
        <f>ROUNDUP(SUMIF(Questions!$E$5:$E$558,'Hours Detail'!E586,Questions!$F$5:$F$558),0)</f>
        <v>0</v>
      </c>
      <c r="K586" s="76" t="e">
        <f>IF(H586="Yes",ROUNDUP(IF(VLOOKUP(E586,'BASE_FUNCOES (hide)'!A:T,16,FALSE)&lt;&gt;"No",IF('General Information'!$C$19="HTML5",(I586+J586)*'BASE_FUNCOES (hide)'!$T$2,I586+J586),I586+J586),I586+J586),I586+J586)</f>
        <v>#N/A</v>
      </c>
      <c r="L586" s="163" t="str">
        <f>IF(ISERROR(VLOOKUP(E586,Questions!$E$5:$L$568,6,0))=FALSE,VLOOKUP(E586,Questions!$E$5:$L$568,6,0),"")</f>
        <v/>
      </c>
      <c r="M586" s="164" t="s">
        <v>2396</v>
      </c>
      <c r="N586" s="369" t="s">
        <v>2377</v>
      </c>
    </row>
    <row r="587" spans="1:14" ht="14.5" customHeight="1">
      <c r="A587" s="59"/>
      <c r="B587" s="72"/>
      <c r="C587" s="72"/>
      <c r="D587" s="73"/>
      <c r="E587" s="74"/>
      <c r="F587" s="73"/>
      <c r="G587" s="73" t="e">
        <f>IF(AND('General Information'!$D$16=1,VLOOKUP(B587,Modules!$B$5:$E$496,4,0)=1)=TRUE,VLOOKUP('Hours Detail'!E587,'BASE_FUNCOES (hide)'!$A:$V,10,0),IF(AND('General Information'!$D$16=2,VLOOKUP(B587,Modules!$B$5:$E$496,4,0)=1)=TRUE,VLOOKUP('Hours Detail'!E587,'BASE_FUNCOES (hide)'!$A:$V,11,0),IF(AND('General Information'!$D$16=3,VLOOKUP(B587,Modules!$B$5:$E$496,4,0)=1)=TRUE,VLOOKUP('Hours Detail'!E587,'BASE_FUNCOES (hide)'!$A:$V,12,0),IF(AND('General Information'!$D$16=4,VLOOKUP(B587,Modules!$B$5:$E$496,4,0)=1)=TRUE,VLOOKUP('Hours Detail'!E587,'BASE_FUNCOES (hide)'!$A:$V,13,0),IF(AND('General Information'!$D$16=5,VLOOKUP(B587,Modules!$B$5:$E$496,4,0)=1)=TRUE,VLOOKUP('Hours Detail'!E587,'BASE_FUNCOES (hide)'!$A:$V,14,0),  IF(AND('General Information'!$D$16=6,VLOOKUP(B587,Modules!$B$5:$E$496,4,0)=1)=TRUE,VLOOKUP('Hours Detail'!E587,'BASE_FUNCOES (hide)'!$A:$V,15,0),"No"))))))</f>
        <v>#N/A</v>
      </c>
      <c r="H587" s="166" t="e">
        <f t="shared" si="10"/>
        <v>#N/A</v>
      </c>
      <c r="I587" s="75">
        <f>IF('General Information'!$C$4="Mexico",(ROUNDUP(VLOOKUP(E587,'BASE_FUNCOES (hide)'!A:X,21,0),0)),(ROUNDUP(VLOOKUP(E587,'BASE_FUNCOES (hide)'!A:L,9,0),0)))</f>
        <v>0</v>
      </c>
      <c r="J587" s="75">
        <f>ROUNDUP(SUMIF(Questions!$E$5:$E$558,'Hours Detail'!E587,Questions!$F$5:$F$558),0)</f>
        <v>0</v>
      </c>
      <c r="K587" s="76" t="e">
        <f>IF(H587="Yes",ROUNDUP(IF(VLOOKUP(E587,'BASE_FUNCOES (hide)'!A:T,16,FALSE)&lt;&gt;"No",IF('General Information'!$C$19="HTML5",(I587+J587)*'BASE_FUNCOES (hide)'!$T$2,I587+J587),I587+J587),I587+J587),I587+J587)</f>
        <v>#N/A</v>
      </c>
      <c r="L587" s="163" t="str">
        <f>IF(ISERROR(VLOOKUP(E587,Questions!$E$5:$L$568,6,0))=FALSE,VLOOKUP(E587,Questions!$E$5:$L$568,6,0),"")</f>
        <v/>
      </c>
      <c r="M587" s="164" t="s">
        <v>2396</v>
      </c>
      <c r="N587" s="369" t="s">
        <v>2377</v>
      </c>
    </row>
    <row r="588" spans="1:14" ht="14.5" customHeight="1">
      <c r="A588" s="59"/>
      <c r="B588" s="72"/>
      <c r="C588" s="72"/>
      <c r="D588" s="73"/>
      <c r="E588" s="74"/>
      <c r="F588" s="73"/>
      <c r="G588" s="73" t="e">
        <f>IF(AND('General Information'!$D$16=1,VLOOKUP(B588,Modules!$B$5:$E$496,4,0)=1)=TRUE,VLOOKUP('Hours Detail'!E588,'BASE_FUNCOES (hide)'!$A:$V,10,0),IF(AND('General Information'!$D$16=2,VLOOKUP(B588,Modules!$B$5:$E$496,4,0)=1)=TRUE,VLOOKUP('Hours Detail'!E588,'BASE_FUNCOES (hide)'!$A:$V,11,0),IF(AND('General Information'!$D$16=3,VLOOKUP(B588,Modules!$B$5:$E$496,4,0)=1)=TRUE,VLOOKUP('Hours Detail'!E588,'BASE_FUNCOES (hide)'!$A:$V,12,0),IF(AND('General Information'!$D$16=4,VLOOKUP(B588,Modules!$B$5:$E$496,4,0)=1)=TRUE,VLOOKUP('Hours Detail'!E588,'BASE_FUNCOES (hide)'!$A:$V,13,0),IF(AND('General Information'!$D$16=5,VLOOKUP(B588,Modules!$B$5:$E$496,4,0)=1)=TRUE,VLOOKUP('Hours Detail'!E588,'BASE_FUNCOES (hide)'!$A:$V,14,0),  IF(AND('General Information'!$D$16=6,VLOOKUP(B588,Modules!$B$5:$E$496,4,0)=1)=TRUE,VLOOKUP('Hours Detail'!E588,'BASE_FUNCOES (hide)'!$A:$V,15,0),"No"))))))</f>
        <v>#N/A</v>
      </c>
      <c r="H588" s="166" t="e">
        <f t="shared" si="10"/>
        <v>#N/A</v>
      </c>
      <c r="I588" s="75">
        <f>IF('General Information'!$C$4="Mexico",(ROUNDUP(VLOOKUP(E588,'BASE_FUNCOES (hide)'!A:X,21,0),0)),(ROUNDUP(VLOOKUP(E588,'BASE_FUNCOES (hide)'!A:L,9,0),0)))</f>
        <v>0</v>
      </c>
      <c r="J588" s="75">
        <f>ROUNDUP(SUMIF(Questions!$E$5:$E$558,'Hours Detail'!E588,Questions!$F$5:$F$558),0)</f>
        <v>0</v>
      </c>
      <c r="K588" s="76" t="e">
        <f>IF(H588="Yes",ROUNDUP(IF(VLOOKUP(E588,'BASE_FUNCOES (hide)'!A:T,16,FALSE)&lt;&gt;"No",IF('General Information'!$C$19="HTML5",(I588+J588)*'BASE_FUNCOES (hide)'!$T$2,I588+J588),I588+J588),I588+J588),I588+J588)</f>
        <v>#N/A</v>
      </c>
      <c r="L588" s="163" t="str">
        <f>IF(ISERROR(VLOOKUP(E588,Questions!$E$5:$L$568,6,0))=FALSE,VLOOKUP(E588,Questions!$E$5:$L$568,6,0),"")</f>
        <v/>
      </c>
      <c r="M588" s="164" t="s">
        <v>2396</v>
      </c>
      <c r="N588" s="369" t="s">
        <v>2377</v>
      </c>
    </row>
    <row r="589" spans="1:14" ht="14.5" customHeight="1">
      <c r="A589" s="59"/>
      <c r="B589" s="72"/>
      <c r="C589" s="72"/>
      <c r="D589" s="73"/>
      <c r="E589" s="74"/>
      <c r="F589" s="73"/>
      <c r="G589" s="73" t="e">
        <f>IF(AND('General Information'!$D$16=1,VLOOKUP(B589,Modules!$B$5:$E$496,4,0)=1)=TRUE,VLOOKUP('Hours Detail'!E589,'BASE_FUNCOES (hide)'!$A:$V,10,0),IF(AND('General Information'!$D$16=2,VLOOKUP(B589,Modules!$B$5:$E$496,4,0)=1)=TRUE,VLOOKUP('Hours Detail'!E589,'BASE_FUNCOES (hide)'!$A:$V,11,0),IF(AND('General Information'!$D$16=3,VLOOKUP(B589,Modules!$B$5:$E$496,4,0)=1)=TRUE,VLOOKUP('Hours Detail'!E589,'BASE_FUNCOES (hide)'!$A:$V,12,0),IF(AND('General Information'!$D$16=4,VLOOKUP(B589,Modules!$B$5:$E$496,4,0)=1)=TRUE,VLOOKUP('Hours Detail'!E589,'BASE_FUNCOES (hide)'!$A:$V,13,0),IF(AND('General Information'!$D$16=5,VLOOKUP(B589,Modules!$B$5:$E$496,4,0)=1)=TRUE,VLOOKUP('Hours Detail'!E589,'BASE_FUNCOES (hide)'!$A:$V,14,0),  IF(AND('General Information'!$D$16=6,VLOOKUP(B589,Modules!$B$5:$E$496,4,0)=1)=TRUE,VLOOKUP('Hours Detail'!E589,'BASE_FUNCOES (hide)'!$A:$V,15,0),"No"))))))</f>
        <v>#N/A</v>
      </c>
      <c r="H589" s="166" t="e">
        <f t="shared" si="10"/>
        <v>#N/A</v>
      </c>
      <c r="I589" s="75">
        <f>IF('General Information'!$C$4="Mexico",(ROUNDUP(VLOOKUP(E589,'BASE_FUNCOES (hide)'!A:X,21,0),0)),(ROUNDUP(VLOOKUP(E589,'BASE_FUNCOES (hide)'!A:L,9,0),0)))</f>
        <v>0</v>
      </c>
      <c r="J589" s="75">
        <f>ROUNDUP(SUMIF(Questions!$E$5:$E$558,'Hours Detail'!E589,Questions!$F$5:$F$558),0)</f>
        <v>0</v>
      </c>
      <c r="K589" s="76" t="e">
        <f>IF(H589="Yes",ROUNDUP(IF(VLOOKUP(E589,'BASE_FUNCOES (hide)'!A:T,16,FALSE)&lt;&gt;"No",IF('General Information'!$C$19="HTML5",(I589+J589)*'BASE_FUNCOES (hide)'!$T$2,I589+J589),I589+J589),I589+J589),I589+J589)</f>
        <v>#N/A</v>
      </c>
      <c r="L589" s="163" t="str">
        <f>IF(ISERROR(VLOOKUP(E589,Questions!$E$5:$L$568,6,0))=FALSE,VLOOKUP(E589,Questions!$E$5:$L$568,6,0),"")</f>
        <v/>
      </c>
      <c r="M589" s="164" t="s">
        <v>2396</v>
      </c>
      <c r="N589" s="369" t="s">
        <v>2377</v>
      </c>
    </row>
    <row r="590" spans="1:14" ht="14.5" customHeight="1">
      <c r="A590" s="59"/>
      <c r="B590" s="72"/>
      <c r="C590" s="72"/>
      <c r="D590" s="73"/>
      <c r="E590" s="74"/>
      <c r="F590" s="73"/>
      <c r="G590" s="73" t="e">
        <f>IF(AND('General Information'!$D$16=1,VLOOKUP(B590,Modules!$B$5:$E$496,4,0)=1)=TRUE,VLOOKUP('Hours Detail'!E590,'BASE_FUNCOES (hide)'!$A:$V,10,0),IF(AND('General Information'!$D$16=2,VLOOKUP(B590,Modules!$B$5:$E$496,4,0)=1)=TRUE,VLOOKUP('Hours Detail'!E590,'BASE_FUNCOES (hide)'!$A:$V,11,0),IF(AND('General Information'!$D$16=3,VLOOKUP(B590,Modules!$B$5:$E$496,4,0)=1)=TRUE,VLOOKUP('Hours Detail'!E590,'BASE_FUNCOES (hide)'!$A:$V,12,0),IF(AND('General Information'!$D$16=4,VLOOKUP(B590,Modules!$B$5:$E$496,4,0)=1)=TRUE,VLOOKUP('Hours Detail'!E590,'BASE_FUNCOES (hide)'!$A:$V,13,0),IF(AND('General Information'!$D$16=5,VLOOKUP(B590,Modules!$B$5:$E$496,4,0)=1)=TRUE,VLOOKUP('Hours Detail'!E590,'BASE_FUNCOES (hide)'!$A:$V,14,0),  IF(AND('General Information'!$D$16=6,VLOOKUP(B590,Modules!$B$5:$E$496,4,0)=1)=TRUE,VLOOKUP('Hours Detail'!E590,'BASE_FUNCOES (hide)'!$A:$V,15,0),"No"))))))</f>
        <v>#N/A</v>
      </c>
      <c r="H590" s="166" t="e">
        <f t="shared" ref="H590:H653" si="11">G590</f>
        <v>#N/A</v>
      </c>
      <c r="I590" s="75">
        <f>IF('General Information'!$C$4="Mexico",(ROUNDUP(VLOOKUP(E590,'BASE_FUNCOES (hide)'!A:X,21,0),0)),(ROUNDUP(VLOOKUP(E590,'BASE_FUNCOES (hide)'!A:L,9,0),0)))</f>
        <v>0</v>
      </c>
      <c r="J590" s="75">
        <f>ROUNDUP(SUMIF(Questions!$E$5:$E$558,'Hours Detail'!E590,Questions!$F$5:$F$558),0)</f>
        <v>0</v>
      </c>
      <c r="K590" s="76" t="e">
        <f>IF(H590="Yes",ROUNDUP(IF(VLOOKUP(E590,'BASE_FUNCOES (hide)'!A:T,16,FALSE)&lt;&gt;"No",IF('General Information'!$C$19="HTML5",(I590+J590)*'BASE_FUNCOES (hide)'!$T$2,I590+J590),I590+J590),I590+J590),I590+J590)</f>
        <v>#N/A</v>
      </c>
      <c r="L590" s="163" t="str">
        <f>IF(ISERROR(VLOOKUP(E590,Questions!$E$5:$L$568,6,0))=FALSE,VLOOKUP(E590,Questions!$E$5:$L$568,6,0),"")</f>
        <v/>
      </c>
      <c r="M590" s="164" t="s">
        <v>2396</v>
      </c>
      <c r="N590" s="369" t="s">
        <v>2377</v>
      </c>
    </row>
    <row r="591" spans="1:14" ht="14.5" customHeight="1">
      <c r="A591" s="59"/>
      <c r="B591" s="72"/>
      <c r="C591" s="72"/>
      <c r="D591" s="73"/>
      <c r="E591" s="74"/>
      <c r="F591" s="73"/>
      <c r="G591" s="73" t="e">
        <f>IF(AND('General Information'!$D$16=1,VLOOKUP(B591,Modules!$B$5:$E$496,4,0)=1)=TRUE,VLOOKUP('Hours Detail'!E591,'BASE_FUNCOES (hide)'!$A:$V,10,0),IF(AND('General Information'!$D$16=2,VLOOKUP(B591,Modules!$B$5:$E$496,4,0)=1)=TRUE,VLOOKUP('Hours Detail'!E591,'BASE_FUNCOES (hide)'!$A:$V,11,0),IF(AND('General Information'!$D$16=3,VLOOKUP(B591,Modules!$B$5:$E$496,4,0)=1)=TRUE,VLOOKUP('Hours Detail'!E591,'BASE_FUNCOES (hide)'!$A:$V,12,0),IF(AND('General Information'!$D$16=4,VLOOKUP(B591,Modules!$B$5:$E$496,4,0)=1)=TRUE,VLOOKUP('Hours Detail'!E591,'BASE_FUNCOES (hide)'!$A:$V,13,0),IF(AND('General Information'!$D$16=5,VLOOKUP(B591,Modules!$B$5:$E$496,4,0)=1)=TRUE,VLOOKUP('Hours Detail'!E591,'BASE_FUNCOES (hide)'!$A:$V,14,0),  IF(AND('General Information'!$D$16=6,VLOOKUP(B591,Modules!$B$5:$E$496,4,0)=1)=TRUE,VLOOKUP('Hours Detail'!E591,'BASE_FUNCOES (hide)'!$A:$V,15,0),"No"))))))</f>
        <v>#N/A</v>
      </c>
      <c r="H591" s="166" t="e">
        <f t="shared" si="11"/>
        <v>#N/A</v>
      </c>
      <c r="I591" s="75">
        <f>IF('General Information'!$C$4="Mexico",(ROUNDUP(VLOOKUP(E591,'BASE_FUNCOES (hide)'!A:X,21,0),0)),(ROUNDUP(VLOOKUP(E591,'BASE_FUNCOES (hide)'!A:L,9,0),0)))</f>
        <v>0</v>
      </c>
      <c r="J591" s="75">
        <f>ROUNDUP(SUMIF(Questions!$E$5:$E$558,'Hours Detail'!E591,Questions!$F$5:$F$558),0)</f>
        <v>0</v>
      </c>
      <c r="K591" s="76" t="e">
        <f>IF(H591="Yes",ROUNDUP(IF(VLOOKUP(E591,'BASE_FUNCOES (hide)'!A:T,16,FALSE)&lt;&gt;"No",IF('General Information'!$C$19="HTML5",(I591+J591)*'BASE_FUNCOES (hide)'!$T$2,I591+J591),I591+J591),I591+J591),I591+J591)</f>
        <v>#N/A</v>
      </c>
      <c r="L591" s="163" t="str">
        <f>IF(ISERROR(VLOOKUP(E591,Questions!$E$5:$L$568,6,0))=FALSE,VLOOKUP(E591,Questions!$E$5:$L$568,6,0),"")</f>
        <v/>
      </c>
      <c r="M591" s="164" t="s">
        <v>2396</v>
      </c>
      <c r="N591" s="369" t="s">
        <v>2377</v>
      </c>
    </row>
    <row r="592" spans="1:14" ht="14.5" customHeight="1">
      <c r="A592" s="59"/>
      <c r="B592" s="72"/>
      <c r="C592" s="72"/>
      <c r="D592" s="73"/>
      <c r="E592" s="74"/>
      <c r="F592" s="73"/>
      <c r="G592" s="73" t="e">
        <f>IF(AND('General Information'!$D$16=1,VLOOKUP(B592,Modules!$B$5:$E$496,4,0)=1)=TRUE,VLOOKUP('Hours Detail'!E592,'BASE_FUNCOES (hide)'!$A:$V,10,0),IF(AND('General Information'!$D$16=2,VLOOKUP(B592,Modules!$B$5:$E$496,4,0)=1)=TRUE,VLOOKUP('Hours Detail'!E592,'BASE_FUNCOES (hide)'!$A:$V,11,0),IF(AND('General Information'!$D$16=3,VLOOKUP(B592,Modules!$B$5:$E$496,4,0)=1)=TRUE,VLOOKUP('Hours Detail'!E592,'BASE_FUNCOES (hide)'!$A:$V,12,0),IF(AND('General Information'!$D$16=4,VLOOKUP(B592,Modules!$B$5:$E$496,4,0)=1)=TRUE,VLOOKUP('Hours Detail'!E592,'BASE_FUNCOES (hide)'!$A:$V,13,0),IF(AND('General Information'!$D$16=5,VLOOKUP(B592,Modules!$B$5:$E$496,4,0)=1)=TRUE,VLOOKUP('Hours Detail'!E592,'BASE_FUNCOES (hide)'!$A:$V,14,0),  IF(AND('General Information'!$D$16=6,VLOOKUP(B592,Modules!$B$5:$E$496,4,0)=1)=TRUE,VLOOKUP('Hours Detail'!E592,'BASE_FUNCOES (hide)'!$A:$V,15,0),"No"))))))</f>
        <v>#N/A</v>
      </c>
      <c r="H592" s="166" t="e">
        <f t="shared" si="11"/>
        <v>#N/A</v>
      </c>
      <c r="I592" s="75">
        <f>IF('General Information'!$C$4="Mexico",(ROUNDUP(VLOOKUP(E592,'BASE_FUNCOES (hide)'!A:X,21,0),0)),(ROUNDUP(VLOOKUP(E592,'BASE_FUNCOES (hide)'!A:L,9,0),0)))</f>
        <v>0</v>
      </c>
      <c r="J592" s="75">
        <f>ROUNDUP(SUMIF(Questions!$E$5:$E$558,'Hours Detail'!E592,Questions!$F$5:$F$558),0)</f>
        <v>0</v>
      </c>
      <c r="K592" s="76" t="e">
        <f>IF(H592="Yes",ROUNDUP(IF(VLOOKUP(E592,'BASE_FUNCOES (hide)'!A:T,16,FALSE)&lt;&gt;"No",IF('General Information'!$C$19="HTML5",(I592+J592)*'BASE_FUNCOES (hide)'!$T$2,I592+J592),I592+J592),I592+J592),I592+J592)</f>
        <v>#N/A</v>
      </c>
      <c r="L592" s="163" t="str">
        <f>IF(ISERROR(VLOOKUP(E592,Questions!$E$5:$L$568,6,0))=FALSE,VLOOKUP(E592,Questions!$E$5:$L$568,6,0),"")</f>
        <v/>
      </c>
      <c r="M592" s="164" t="s">
        <v>2396</v>
      </c>
      <c r="N592" s="369" t="s">
        <v>2377</v>
      </c>
    </row>
    <row r="593" spans="1:14" ht="14.5" customHeight="1">
      <c r="A593" s="59"/>
      <c r="B593" s="72"/>
      <c r="C593" s="72"/>
      <c r="D593" s="73"/>
      <c r="E593" s="74"/>
      <c r="F593" s="73"/>
      <c r="G593" s="73" t="e">
        <f>IF(AND('General Information'!$D$16=1,VLOOKUP(B593,Modules!$B$5:$E$496,4,0)=1)=TRUE,VLOOKUP('Hours Detail'!E593,'BASE_FUNCOES (hide)'!$A:$V,10,0),IF(AND('General Information'!$D$16=2,VLOOKUP(B593,Modules!$B$5:$E$496,4,0)=1)=TRUE,VLOOKUP('Hours Detail'!E593,'BASE_FUNCOES (hide)'!$A:$V,11,0),IF(AND('General Information'!$D$16=3,VLOOKUP(B593,Modules!$B$5:$E$496,4,0)=1)=TRUE,VLOOKUP('Hours Detail'!E593,'BASE_FUNCOES (hide)'!$A:$V,12,0),IF(AND('General Information'!$D$16=4,VLOOKUP(B593,Modules!$B$5:$E$496,4,0)=1)=TRUE,VLOOKUP('Hours Detail'!E593,'BASE_FUNCOES (hide)'!$A:$V,13,0),IF(AND('General Information'!$D$16=5,VLOOKUP(B593,Modules!$B$5:$E$496,4,0)=1)=TRUE,VLOOKUP('Hours Detail'!E593,'BASE_FUNCOES (hide)'!$A:$V,14,0),  IF(AND('General Information'!$D$16=6,VLOOKUP(B593,Modules!$B$5:$E$496,4,0)=1)=TRUE,VLOOKUP('Hours Detail'!E593,'BASE_FUNCOES (hide)'!$A:$V,15,0),"No"))))))</f>
        <v>#N/A</v>
      </c>
      <c r="H593" s="166" t="e">
        <f t="shared" si="11"/>
        <v>#N/A</v>
      </c>
      <c r="I593" s="75">
        <f>IF('General Information'!$C$4="Mexico",(ROUNDUP(VLOOKUP(E593,'BASE_FUNCOES (hide)'!A:X,21,0),0)),(ROUNDUP(VLOOKUP(E593,'BASE_FUNCOES (hide)'!A:L,9,0),0)))</f>
        <v>0</v>
      </c>
      <c r="J593" s="75">
        <f>ROUNDUP(SUMIF(Questions!$E$5:$E$558,'Hours Detail'!E593,Questions!$F$5:$F$558),0)</f>
        <v>0</v>
      </c>
      <c r="K593" s="76" t="e">
        <f>IF(H593="Yes",ROUNDUP(IF(VLOOKUP(E593,'BASE_FUNCOES (hide)'!A:T,16,FALSE)&lt;&gt;"No",IF('General Information'!$C$19="HTML5",(I593+J593)*'BASE_FUNCOES (hide)'!$T$2,I593+J593),I593+J593),I593+J593),I593+J593)</f>
        <v>#N/A</v>
      </c>
      <c r="L593" s="163" t="str">
        <f>IF(ISERROR(VLOOKUP(E593,Questions!$E$5:$L$568,6,0))=FALSE,VLOOKUP(E593,Questions!$E$5:$L$568,6,0),"")</f>
        <v/>
      </c>
      <c r="M593" s="164" t="s">
        <v>2396</v>
      </c>
      <c r="N593" s="369" t="s">
        <v>2377</v>
      </c>
    </row>
    <row r="594" spans="1:14" ht="14.5" customHeight="1">
      <c r="A594" s="59"/>
      <c r="B594" s="72"/>
      <c r="C594" s="72"/>
      <c r="D594" s="73"/>
      <c r="E594" s="74"/>
      <c r="F594" s="73"/>
      <c r="G594" s="73" t="e">
        <f>IF(AND('General Information'!$D$16=1,VLOOKUP(B594,Modules!$B$5:$E$496,4,0)=1)=TRUE,VLOOKUP('Hours Detail'!E594,'BASE_FUNCOES (hide)'!$A:$V,10,0),IF(AND('General Information'!$D$16=2,VLOOKUP(B594,Modules!$B$5:$E$496,4,0)=1)=TRUE,VLOOKUP('Hours Detail'!E594,'BASE_FUNCOES (hide)'!$A:$V,11,0),IF(AND('General Information'!$D$16=3,VLOOKUP(B594,Modules!$B$5:$E$496,4,0)=1)=TRUE,VLOOKUP('Hours Detail'!E594,'BASE_FUNCOES (hide)'!$A:$V,12,0),IF(AND('General Information'!$D$16=4,VLOOKUP(B594,Modules!$B$5:$E$496,4,0)=1)=TRUE,VLOOKUP('Hours Detail'!E594,'BASE_FUNCOES (hide)'!$A:$V,13,0),IF(AND('General Information'!$D$16=5,VLOOKUP(B594,Modules!$B$5:$E$496,4,0)=1)=TRUE,VLOOKUP('Hours Detail'!E594,'BASE_FUNCOES (hide)'!$A:$V,14,0),  IF(AND('General Information'!$D$16=6,VLOOKUP(B594,Modules!$B$5:$E$496,4,0)=1)=TRUE,VLOOKUP('Hours Detail'!E594,'BASE_FUNCOES (hide)'!$A:$V,15,0),"No"))))))</f>
        <v>#N/A</v>
      </c>
      <c r="H594" s="166" t="e">
        <f t="shared" si="11"/>
        <v>#N/A</v>
      </c>
      <c r="I594" s="75">
        <f>IF('General Information'!$C$4="Mexico",(ROUNDUP(VLOOKUP(E594,'BASE_FUNCOES (hide)'!A:X,21,0),0)),(ROUNDUP(VLOOKUP(E594,'BASE_FUNCOES (hide)'!A:L,9,0),0)))</f>
        <v>0</v>
      </c>
      <c r="J594" s="75">
        <f>ROUNDUP(SUMIF(Questions!$E$5:$E$558,'Hours Detail'!E594,Questions!$F$5:$F$558),0)</f>
        <v>0</v>
      </c>
      <c r="K594" s="76" t="e">
        <f>IF(H594="Yes",ROUNDUP(IF(VLOOKUP(E594,'BASE_FUNCOES (hide)'!A:T,16,FALSE)&lt;&gt;"No",IF('General Information'!$C$19="HTML5",(I594+J594)*'BASE_FUNCOES (hide)'!$T$2,I594+J594),I594+J594),I594+J594),I594+J594)</f>
        <v>#N/A</v>
      </c>
      <c r="L594" s="163" t="str">
        <f>IF(ISERROR(VLOOKUP(E594,Questions!$E$5:$L$568,6,0))=FALSE,VLOOKUP(E594,Questions!$E$5:$L$568,6,0),"")</f>
        <v/>
      </c>
      <c r="M594" s="164" t="s">
        <v>2396</v>
      </c>
      <c r="N594" s="369" t="s">
        <v>2377</v>
      </c>
    </row>
    <row r="595" spans="1:14" ht="14.5" customHeight="1">
      <c r="A595" s="59"/>
      <c r="B595" s="72"/>
      <c r="C595" s="72"/>
      <c r="D595" s="73"/>
      <c r="E595" s="74"/>
      <c r="F595" s="73"/>
      <c r="G595" s="73" t="e">
        <f>IF(AND('General Information'!$D$16=1,VLOOKUP(B595,Modules!$B$5:$E$496,4,0)=1)=TRUE,VLOOKUP('Hours Detail'!E595,'BASE_FUNCOES (hide)'!$A:$V,10,0),IF(AND('General Information'!$D$16=2,VLOOKUP(B595,Modules!$B$5:$E$496,4,0)=1)=TRUE,VLOOKUP('Hours Detail'!E595,'BASE_FUNCOES (hide)'!$A:$V,11,0),IF(AND('General Information'!$D$16=3,VLOOKUP(B595,Modules!$B$5:$E$496,4,0)=1)=TRUE,VLOOKUP('Hours Detail'!E595,'BASE_FUNCOES (hide)'!$A:$V,12,0),IF(AND('General Information'!$D$16=4,VLOOKUP(B595,Modules!$B$5:$E$496,4,0)=1)=TRUE,VLOOKUP('Hours Detail'!E595,'BASE_FUNCOES (hide)'!$A:$V,13,0),IF(AND('General Information'!$D$16=5,VLOOKUP(B595,Modules!$B$5:$E$496,4,0)=1)=TRUE,VLOOKUP('Hours Detail'!E595,'BASE_FUNCOES (hide)'!$A:$V,14,0),  IF(AND('General Information'!$D$16=6,VLOOKUP(B595,Modules!$B$5:$E$496,4,0)=1)=TRUE,VLOOKUP('Hours Detail'!E595,'BASE_FUNCOES (hide)'!$A:$V,15,0),"No"))))))</f>
        <v>#N/A</v>
      </c>
      <c r="H595" s="166" t="e">
        <f t="shared" si="11"/>
        <v>#N/A</v>
      </c>
      <c r="I595" s="75">
        <f>IF('General Information'!$C$4="Mexico",(ROUNDUP(VLOOKUP(E595,'BASE_FUNCOES (hide)'!A:X,21,0),0)),(ROUNDUP(VLOOKUP(E595,'BASE_FUNCOES (hide)'!A:L,9,0),0)))</f>
        <v>0</v>
      </c>
      <c r="J595" s="75">
        <f>ROUNDUP(SUMIF(Questions!$E$5:$E$558,'Hours Detail'!E595,Questions!$F$5:$F$558),0)</f>
        <v>0</v>
      </c>
      <c r="K595" s="76" t="e">
        <f>IF(H595="Yes",ROUNDUP(IF(VLOOKUP(E595,'BASE_FUNCOES (hide)'!A:T,16,FALSE)&lt;&gt;"No",IF('General Information'!$C$19="HTML5",(I595+J595)*'BASE_FUNCOES (hide)'!$T$2,I595+J595),I595+J595),I595+J595),I595+J595)</f>
        <v>#N/A</v>
      </c>
      <c r="L595" s="163" t="str">
        <f>IF(ISERROR(VLOOKUP(E595,Questions!$E$5:$L$568,6,0))=FALSE,VLOOKUP(E595,Questions!$E$5:$L$568,6,0),"")</f>
        <v/>
      </c>
      <c r="M595" s="164" t="s">
        <v>2396</v>
      </c>
      <c r="N595" s="369" t="s">
        <v>2377</v>
      </c>
    </row>
    <row r="596" spans="1:14" ht="14.5" customHeight="1">
      <c r="A596" s="59"/>
      <c r="B596" s="72"/>
      <c r="C596" s="72"/>
      <c r="D596" s="73"/>
      <c r="E596" s="74"/>
      <c r="F596" s="73"/>
      <c r="G596" s="73" t="e">
        <f>IF(AND('General Information'!$D$16=1,VLOOKUP(B596,Modules!$B$5:$E$496,4,0)=1)=TRUE,VLOOKUP('Hours Detail'!E596,'BASE_FUNCOES (hide)'!$A:$V,10,0),IF(AND('General Information'!$D$16=2,VLOOKUP(B596,Modules!$B$5:$E$496,4,0)=1)=TRUE,VLOOKUP('Hours Detail'!E596,'BASE_FUNCOES (hide)'!$A:$V,11,0),IF(AND('General Information'!$D$16=3,VLOOKUP(B596,Modules!$B$5:$E$496,4,0)=1)=TRUE,VLOOKUP('Hours Detail'!E596,'BASE_FUNCOES (hide)'!$A:$V,12,0),IF(AND('General Information'!$D$16=4,VLOOKUP(B596,Modules!$B$5:$E$496,4,0)=1)=TRUE,VLOOKUP('Hours Detail'!E596,'BASE_FUNCOES (hide)'!$A:$V,13,0),IF(AND('General Information'!$D$16=5,VLOOKUP(B596,Modules!$B$5:$E$496,4,0)=1)=TRUE,VLOOKUP('Hours Detail'!E596,'BASE_FUNCOES (hide)'!$A:$V,14,0),  IF(AND('General Information'!$D$16=6,VLOOKUP(B596,Modules!$B$5:$E$496,4,0)=1)=TRUE,VLOOKUP('Hours Detail'!E596,'BASE_FUNCOES (hide)'!$A:$V,15,0),"No"))))))</f>
        <v>#N/A</v>
      </c>
      <c r="H596" s="166" t="e">
        <f t="shared" si="11"/>
        <v>#N/A</v>
      </c>
      <c r="I596" s="75">
        <f>IF('General Information'!$C$4="Mexico",(ROUNDUP(VLOOKUP(E596,'BASE_FUNCOES (hide)'!A:X,21,0),0)),(ROUNDUP(VLOOKUP(E596,'BASE_FUNCOES (hide)'!A:L,9,0),0)))</f>
        <v>0</v>
      </c>
      <c r="J596" s="75">
        <f>ROUNDUP(SUMIF(Questions!$E$5:$E$558,'Hours Detail'!E596,Questions!$F$5:$F$558),0)</f>
        <v>0</v>
      </c>
      <c r="K596" s="76" t="e">
        <f>IF(H596="Yes",ROUNDUP(IF(VLOOKUP(E596,'BASE_FUNCOES (hide)'!A:T,16,FALSE)&lt;&gt;"No",IF('General Information'!$C$19="HTML5",(I596+J596)*'BASE_FUNCOES (hide)'!$T$2,I596+J596),I596+J596),I596+J596),I596+J596)</f>
        <v>#N/A</v>
      </c>
      <c r="L596" s="163" t="str">
        <f>IF(ISERROR(VLOOKUP(E596,Questions!$E$5:$L$568,6,0))=FALSE,VLOOKUP(E596,Questions!$E$5:$L$568,6,0),"")</f>
        <v/>
      </c>
      <c r="M596" s="164" t="s">
        <v>2396</v>
      </c>
      <c r="N596" s="369" t="s">
        <v>2377</v>
      </c>
    </row>
    <row r="597" spans="1:14" ht="14.5" customHeight="1">
      <c r="A597" s="59"/>
      <c r="B597" s="72"/>
      <c r="C597" s="72"/>
      <c r="D597" s="73"/>
      <c r="E597" s="74"/>
      <c r="F597" s="73"/>
      <c r="G597" s="73" t="e">
        <f>IF(AND('General Information'!$D$16=1,VLOOKUP(B597,Modules!$B$5:$E$496,4,0)=1)=TRUE,VLOOKUP('Hours Detail'!E597,'BASE_FUNCOES (hide)'!$A:$V,10,0),IF(AND('General Information'!$D$16=2,VLOOKUP(B597,Modules!$B$5:$E$496,4,0)=1)=TRUE,VLOOKUP('Hours Detail'!E597,'BASE_FUNCOES (hide)'!$A:$V,11,0),IF(AND('General Information'!$D$16=3,VLOOKUP(B597,Modules!$B$5:$E$496,4,0)=1)=TRUE,VLOOKUP('Hours Detail'!E597,'BASE_FUNCOES (hide)'!$A:$V,12,0),IF(AND('General Information'!$D$16=4,VLOOKUP(B597,Modules!$B$5:$E$496,4,0)=1)=TRUE,VLOOKUP('Hours Detail'!E597,'BASE_FUNCOES (hide)'!$A:$V,13,0),IF(AND('General Information'!$D$16=5,VLOOKUP(B597,Modules!$B$5:$E$496,4,0)=1)=TRUE,VLOOKUP('Hours Detail'!E597,'BASE_FUNCOES (hide)'!$A:$V,14,0),  IF(AND('General Information'!$D$16=6,VLOOKUP(B597,Modules!$B$5:$E$496,4,0)=1)=TRUE,VLOOKUP('Hours Detail'!E597,'BASE_FUNCOES (hide)'!$A:$V,15,0),"No"))))))</f>
        <v>#N/A</v>
      </c>
      <c r="H597" s="166" t="e">
        <f t="shared" si="11"/>
        <v>#N/A</v>
      </c>
      <c r="I597" s="75">
        <f>IF('General Information'!$C$4="Mexico",(ROUNDUP(VLOOKUP(E597,'BASE_FUNCOES (hide)'!A:X,21,0),0)),(ROUNDUP(VLOOKUP(E597,'BASE_FUNCOES (hide)'!A:L,9,0),0)))</f>
        <v>0</v>
      </c>
      <c r="J597" s="75">
        <f>ROUNDUP(SUMIF(Questions!$E$5:$E$558,'Hours Detail'!E597,Questions!$F$5:$F$558),0)</f>
        <v>0</v>
      </c>
      <c r="K597" s="76" t="e">
        <f>IF(H597="Yes",ROUNDUP(IF(VLOOKUP(E597,'BASE_FUNCOES (hide)'!A:T,16,FALSE)&lt;&gt;"No",IF('General Information'!$C$19="HTML5",(I597+J597)*'BASE_FUNCOES (hide)'!$T$2,I597+J597),I597+J597),I597+J597),I597+J597)</f>
        <v>#N/A</v>
      </c>
      <c r="L597" s="163" t="str">
        <f>IF(ISERROR(VLOOKUP(E597,Questions!$E$5:$L$568,6,0))=FALSE,VLOOKUP(E597,Questions!$E$5:$L$568,6,0),"")</f>
        <v/>
      </c>
      <c r="M597" s="164" t="s">
        <v>2396</v>
      </c>
      <c r="N597" s="369" t="s">
        <v>2377</v>
      </c>
    </row>
    <row r="598" spans="1:14" ht="14.5" customHeight="1">
      <c r="A598" s="59"/>
      <c r="B598" s="72"/>
      <c r="C598" s="72"/>
      <c r="D598" s="73"/>
      <c r="E598" s="74"/>
      <c r="F598" s="73"/>
      <c r="G598" s="73" t="e">
        <f>IF(AND('General Information'!$D$16=1,VLOOKUP(B598,Modules!$B$5:$E$496,4,0)=1)=TRUE,VLOOKUP('Hours Detail'!E598,'BASE_FUNCOES (hide)'!$A:$V,10,0),IF(AND('General Information'!$D$16=2,VLOOKUP(B598,Modules!$B$5:$E$496,4,0)=1)=TRUE,VLOOKUP('Hours Detail'!E598,'BASE_FUNCOES (hide)'!$A:$V,11,0),IF(AND('General Information'!$D$16=3,VLOOKUP(B598,Modules!$B$5:$E$496,4,0)=1)=TRUE,VLOOKUP('Hours Detail'!E598,'BASE_FUNCOES (hide)'!$A:$V,12,0),IF(AND('General Information'!$D$16=4,VLOOKUP(B598,Modules!$B$5:$E$496,4,0)=1)=TRUE,VLOOKUP('Hours Detail'!E598,'BASE_FUNCOES (hide)'!$A:$V,13,0),IF(AND('General Information'!$D$16=5,VLOOKUP(B598,Modules!$B$5:$E$496,4,0)=1)=TRUE,VLOOKUP('Hours Detail'!E598,'BASE_FUNCOES (hide)'!$A:$V,14,0),  IF(AND('General Information'!$D$16=6,VLOOKUP(B598,Modules!$B$5:$E$496,4,0)=1)=TRUE,VLOOKUP('Hours Detail'!E598,'BASE_FUNCOES (hide)'!$A:$V,15,0),"No"))))))</f>
        <v>#N/A</v>
      </c>
      <c r="H598" s="166" t="e">
        <f t="shared" si="11"/>
        <v>#N/A</v>
      </c>
      <c r="I598" s="75">
        <f>IF('General Information'!$C$4="Mexico",(ROUNDUP(VLOOKUP(E598,'BASE_FUNCOES (hide)'!A:X,21,0),0)),(ROUNDUP(VLOOKUP(E598,'BASE_FUNCOES (hide)'!A:L,9,0),0)))</f>
        <v>0</v>
      </c>
      <c r="J598" s="75">
        <f>ROUNDUP(SUMIF(Questions!$E$5:$E$558,'Hours Detail'!E598,Questions!$F$5:$F$558),0)</f>
        <v>0</v>
      </c>
      <c r="K598" s="76" t="e">
        <f>IF(H598="Yes",ROUNDUP(IF(VLOOKUP(E598,'BASE_FUNCOES (hide)'!A:T,16,FALSE)&lt;&gt;"No",IF('General Information'!$C$19="HTML5",(I598+J598)*'BASE_FUNCOES (hide)'!$T$2,I598+J598),I598+J598),I598+J598),I598+J598)</f>
        <v>#N/A</v>
      </c>
      <c r="L598" s="163" t="str">
        <f>IF(ISERROR(VLOOKUP(E598,Questions!$E$5:$L$568,6,0))=FALSE,VLOOKUP(E598,Questions!$E$5:$L$568,6,0),"")</f>
        <v/>
      </c>
      <c r="M598" s="164" t="s">
        <v>2396</v>
      </c>
      <c r="N598" s="369" t="s">
        <v>2377</v>
      </c>
    </row>
    <row r="599" spans="1:14" ht="14.5" customHeight="1">
      <c r="A599" s="59"/>
      <c r="B599" s="72"/>
      <c r="C599" s="72"/>
      <c r="D599" s="73" t="e">
        <f>IF('General Information'!$C$6="Português",VLOOKUP(B599,'ESTRUTURA_MODULO(hide)'!A:D,2,0),IF('General Information'!$C$6="English",VLOOKUP(B599,'ESTRUTURA_MODULO(hide)'!A:D,3,0),IF('General Information'!$C$6="Español",VLOOKUP(B599,'ESTRUTURA_MODULO(hide)'!A:D,4,0))))</f>
        <v>#N/A</v>
      </c>
      <c r="E599" s="74"/>
      <c r="F599" s="73"/>
      <c r="G599" s="73" t="e">
        <f>IF(AND('General Information'!$D$16=1,VLOOKUP(B599,Modules!$B$5:$E$496,4,0)=1)=TRUE,VLOOKUP('Hours Detail'!E599,'BASE_FUNCOES (hide)'!$A:$V,10,0),IF(AND('General Information'!$D$16=2,VLOOKUP(B599,Modules!$B$5:$E$496,4,0)=1)=TRUE,VLOOKUP('Hours Detail'!E599,'BASE_FUNCOES (hide)'!$A:$V,11,0),IF(AND('General Information'!$D$16=3,VLOOKUP(B599,Modules!$B$5:$E$496,4,0)=1)=TRUE,VLOOKUP('Hours Detail'!E599,'BASE_FUNCOES (hide)'!$A:$V,12,0),IF(AND('General Information'!$D$16=4,VLOOKUP(B599,Modules!$B$5:$E$496,4,0)=1)=TRUE,VLOOKUP('Hours Detail'!E599,'BASE_FUNCOES (hide)'!$A:$V,13,0),IF(AND('General Information'!$D$16=5,VLOOKUP(B599,Modules!$B$5:$E$496,4,0)=1)=TRUE,VLOOKUP('Hours Detail'!E599,'BASE_FUNCOES (hide)'!$A:$V,14,0),  IF(AND('General Information'!$D$16=6,VLOOKUP(B599,Modules!$B$5:$E$496,4,0)=1)=TRUE,VLOOKUP('Hours Detail'!E599,'BASE_FUNCOES (hide)'!$A:$V,15,0),"No"))))))</f>
        <v>#N/A</v>
      </c>
      <c r="H599" s="166" t="e">
        <f t="shared" si="11"/>
        <v>#N/A</v>
      </c>
      <c r="I599" s="75">
        <f>IF('General Information'!$C$4="Mexico",(ROUNDUP(VLOOKUP(E599,'BASE_FUNCOES (hide)'!A:X,21,0),0)),(ROUNDUP(VLOOKUP(E599,'BASE_FUNCOES (hide)'!A:L,9,0),0)))</f>
        <v>0</v>
      </c>
      <c r="J599" s="75">
        <f>ROUNDUP(SUMIF(Questions!$E$5:$E$558,'Hours Detail'!E599,Questions!$F$5:$F$558),0)</f>
        <v>0</v>
      </c>
      <c r="K599" s="76" t="e">
        <f>IF(H599="Yes",ROUNDUP(IF(VLOOKUP(E599,'BASE_FUNCOES (hide)'!A:T,16,FALSE)&lt;&gt;"No",IF('General Information'!$C$19="HTML5",(I599+J599)*'BASE_FUNCOES (hide)'!$T$2,I599+J599),I599+J599),I599+J599),I599+J599)</f>
        <v>#N/A</v>
      </c>
      <c r="L599" s="163" t="str">
        <f>IF(ISERROR(VLOOKUP(E599,Questions!$E$5:$L$568,6,0))=FALSE,VLOOKUP(E599,Questions!$E$5:$L$568,6,0),"")</f>
        <v/>
      </c>
      <c r="M599" s="164" t="s">
        <v>2396</v>
      </c>
      <c r="N599" s="369" t="s">
        <v>2377</v>
      </c>
    </row>
    <row r="600" spans="1:14" ht="14.5" customHeight="1">
      <c r="A600" s="59"/>
      <c r="B600" s="72"/>
      <c r="C600" s="72"/>
      <c r="D600" s="73" t="e">
        <f>IF('General Information'!$C$6="Português",VLOOKUP(B600,'ESTRUTURA_MODULO(hide)'!A:D,2,0),IF('General Information'!$C$6="English",VLOOKUP(B600,'ESTRUTURA_MODULO(hide)'!A:D,3,0),IF('General Information'!$C$6="Español",VLOOKUP(B600,'ESTRUTURA_MODULO(hide)'!A:D,4,0))))</f>
        <v>#N/A</v>
      </c>
      <c r="E600" s="74"/>
      <c r="F600" s="73"/>
      <c r="G600" s="73" t="e">
        <f>IF(AND('General Information'!$D$16=1,VLOOKUP(B600,Modules!$B$5:$E$496,4,0)=1)=TRUE,VLOOKUP('Hours Detail'!E600,'BASE_FUNCOES (hide)'!$A:$V,10,0),IF(AND('General Information'!$D$16=2,VLOOKUP(B600,Modules!$B$5:$E$496,4,0)=1)=TRUE,VLOOKUP('Hours Detail'!E600,'BASE_FUNCOES (hide)'!$A:$V,11,0),IF(AND('General Information'!$D$16=3,VLOOKUP(B600,Modules!$B$5:$E$496,4,0)=1)=TRUE,VLOOKUP('Hours Detail'!E600,'BASE_FUNCOES (hide)'!$A:$V,12,0),IF(AND('General Information'!$D$16=4,VLOOKUP(B600,Modules!$B$5:$E$496,4,0)=1)=TRUE,VLOOKUP('Hours Detail'!E600,'BASE_FUNCOES (hide)'!$A:$V,13,0),IF(AND('General Information'!$D$16=5,VLOOKUP(B600,Modules!$B$5:$E$496,4,0)=1)=TRUE,VLOOKUP('Hours Detail'!E600,'BASE_FUNCOES (hide)'!$A:$V,14,0),  IF(AND('General Information'!$D$16=6,VLOOKUP(B600,Modules!$B$5:$E$496,4,0)=1)=TRUE,VLOOKUP('Hours Detail'!E600,'BASE_FUNCOES (hide)'!$A:$V,15,0),"No"))))))</f>
        <v>#N/A</v>
      </c>
      <c r="H600" s="166" t="e">
        <f t="shared" si="11"/>
        <v>#N/A</v>
      </c>
      <c r="I600" s="75">
        <f>IF('General Information'!$C$4="Mexico",(ROUNDUP(VLOOKUP(E600,'BASE_FUNCOES (hide)'!A:X,21,0),0)),(ROUNDUP(VLOOKUP(E600,'BASE_FUNCOES (hide)'!A:L,9,0),0)))</f>
        <v>0</v>
      </c>
      <c r="J600" s="75">
        <f>ROUNDUP(SUMIF(Questions!$E$5:$E$558,'Hours Detail'!E600,Questions!$F$5:$F$558),0)</f>
        <v>0</v>
      </c>
      <c r="K600" s="76" t="e">
        <f>IF(H600="Yes",ROUNDUP(IF(VLOOKUP(E600,'BASE_FUNCOES (hide)'!A:T,16,FALSE)&lt;&gt;"No",IF('General Information'!$C$19="HTML5",(I600+J600)*'BASE_FUNCOES (hide)'!$T$2,I600+J600),I600+J600),I600+J600),I600+J600)</f>
        <v>#N/A</v>
      </c>
      <c r="L600" s="163" t="str">
        <f>IF(ISERROR(VLOOKUP(E600,Questions!$E$5:$L$568,6,0))=FALSE,VLOOKUP(E600,Questions!$E$5:$L$568,6,0),"")</f>
        <v/>
      </c>
      <c r="M600" s="164" t="s">
        <v>2396</v>
      </c>
      <c r="N600" s="369" t="s">
        <v>2377</v>
      </c>
    </row>
    <row r="601" spans="1:14" ht="14.5" customHeight="1">
      <c r="A601" s="59"/>
      <c r="B601" s="72"/>
      <c r="C601" s="72"/>
      <c r="D601" s="73" t="e">
        <f>IF('General Information'!$C$6="Português",VLOOKUP(B601,'ESTRUTURA_MODULO(hide)'!A:D,2,0),IF('General Information'!$C$6="English",VLOOKUP(B601,'ESTRUTURA_MODULO(hide)'!A:D,3,0),IF('General Information'!$C$6="Español",VLOOKUP(B601,'ESTRUTURA_MODULO(hide)'!A:D,4,0))))</f>
        <v>#N/A</v>
      </c>
      <c r="E601" s="74"/>
      <c r="F601" s="73"/>
      <c r="G601" s="73" t="e">
        <f>IF(AND('General Information'!$D$16=1,VLOOKUP(B601,Modules!$B$5:$E$496,4,0)=1)=TRUE,VLOOKUP('Hours Detail'!E601,'BASE_FUNCOES (hide)'!$A:$V,10,0),IF(AND('General Information'!$D$16=2,VLOOKUP(B601,Modules!$B$5:$E$496,4,0)=1)=TRUE,VLOOKUP('Hours Detail'!E601,'BASE_FUNCOES (hide)'!$A:$V,11,0),IF(AND('General Information'!$D$16=3,VLOOKUP(B601,Modules!$B$5:$E$496,4,0)=1)=TRUE,VLOOKUP('Hours Detail'!E601,'BASE_FUNCOES (hide)'!$A:$V,12,0),IF(AND('General Information'!$D$16=4,VLOOKUP(B601,Modules!$B$5:$E$496,4,0)=1)=TRUE,VLOOKUP('Hours Detail'!E601,'BASE_FUNCOES (hide)'!$A:$V,13,0),IF(AND('General Information'!$D$16=5,VLOOKUP(B601,Modules!$B$5:$E$496,4,0)=1)=TRUE,VLOOKUP('Hours Detail'!E601,'BASE_FUNCOES (hide)'!$A:$V,14,0),  IF(AND('General Information'!$D$16=6,VLOOKUP(B601,Modules!$B$5:$E$496,4,0)=1)=TRUE,VLOOKUP('Hours Detail'!E601,'BASE_FUNCOES (hide)'!$A:$V,15,0),"No"))))))</f>
        <v>#N/A</v>
      </c>
      <c r="H601" s="166" t="e">
        <f t="shared" si="11"/>
        <v>#N/A</v>
      </c>
      <c r="I601" s="75">
        <f>IF('General Information'!$C$4="Mexico",(ROUNDUP(VLOOKUP(E601,'BASE_FUNCOES (hide)'!A:X,21,0),0)),(ROUNDUP(VLOOKUP(E601,'BASE_FUNCOES (hide)'!A:L,9,0),0)))</f>
        <v>0</v>
      </c>
      <c r="J601" s="75">
        <f>ROUNDUP(SUMIF(Questions!$E$5:$E$558,'Hours Detail'!E601,Questions!$F$5:$F$558),0)</f>
        <v>0</v>
      </c>
      <c r="K601" s="76" t="e">
        <f>IF(H601="Yes",ROUNDUP(IF(VLOOKUP(E601,'BASE_FUNCOES (hide)'!A:T,16,FALSE)&lt;&gt;"No",IF('General Information'!$C$19="HTML5",(I601+J601)*'BASE_FUNCOES (hide)'!$T$2,I601+J601),I601+J601),I601+J601),I601+J601)</f>
        <v>#N/A</v>
      </c>
      <c r="L601" s="163" t="str">
        <f>IF(ISERROR(VLOOKUP(E601,Questions!$E$5:$L$568,6,0))=FALSE,VLOOKUP(E601,Questions!$E$5:$L$568,6,0),"")</f>
        <v/>
      </c>
      <c r="M601" s="164" t="s">
        <v>2396</v>
      </c>
      <c r="N601" s="369" t="s">
        <v>2377</v>
      </c>
    </row>
    <row r="602" spans="1:14" ht="14.5" customHeight="1">
      <c r="A602" s="59"/>
      <c r="B602" s="72"/>
      <c r="C602" s="72"/>
      <c r="D602" s="73" t="e">
        <f>IF('General Information'!$C$6="Português",VLOOKUP(B602,'ESTRUTURA_MODULO(hide)'!A:D,2,0),IF('General Information'!$C$6="English",VLOOKUP(B602,'ESTRUTURA_MODULO(hide)'!A:D,3,0),IF('General Information'!$C$6="Español",VLOOKUP(B602,'ESTRUTURA_MODULO(hide)'!A:D,4,0))))</f>
        <v>#N/A</v>
      </c>
      <c r="E602" s="74"/>
      <c r="F602" s="73"/>
      <c r="G602" s="73" t="e">
        <f>IF(AND('General Information'!$D$16=1,VLOOKUP(B602,Modules!$B$5:$E$496,4,0)=1)=TRUE,VLOOKUP('Hours Detail'!E602,'BASE_FUNCOES (hide)'!$A:$V,10,0),IF(AND('General Information'!$D$16=2,VLOOKUP(B602,Modules!$B$5:$E$496,4,0)=1)=TRUE,VLOOKUP('Hours Detail'!E602,'BASE_FUNCOES (hide)'!$A:$V,11,0),IF(AND('General Information'!$D$16=3,VLOOKUP(B602,Modules!$B$5:$E$496,4,0)=1)=TRUE,VLOOKUP('Hours Detail'!E602,'BASE_FUNCOES (hide)'!$A:$V,12,0),IF(AND('General Information'!$D$16=4,VLOOKUP(B602,Modules!$B$5:$E$496,4,0)=1)=TRUE,VLOOKUP('Hours Detail'!E602,'BASE_FUNCOES (hide)'!$A:$V,13,0),IF(AND('General Information'!$D$16=5,VLOOKUP(B602,Modules!$B$5:$E$496,4,0)=1)=TRUE,VLOOKUP('Hours Detail'!E602,'BASE_FUNCOES (hide)'!$A:$V,14,0),  IF(AND('General Information'!$D$16=6,VLOOKUP(B602,Modules!$B$5:$E$496,4,0)=1)=TRUE,VLOOKUP('Hours Detail'!E602,'BASE_FUNCOES (hide)'!$A:$V,15,0),"No"))))))</f>
        <v>#N/A</v>
      </c>
      <c r="H602" s="166" t="e">
        <f t="shared" si="11"/>
        <v>#N/A</v>
      </c>
      <c r="I602" s="75">
        <f>IF('General Information'!$C$4="Mexico",(ROUNDUP(VLOOKUP(E602,'BASE_FUNCOES (hide)'!A:X,21,0),0)),(ROUNDUP(VLOOKUP(E602,'BASE_FUNCOES (hide)'!A:L,9,0),0)))</f>
        <v>0</v>
      </c>
      <c r="J602" s="75">
        <f>ROUNDUP(SUMIF(Questions!$E$5:$E$558,'Hours Detail'!E602,Questions!$F$5:$F$558),0)</f>
        <v>0</v>
      </c>
      <c r="K602" s="76" t="e">
        <f>IF(H602="Yes",ROUNDUP(IF(VLOOKUP(E602,'BASE_FUNCOES (hide)'!A:T,16,FALSE)&lt;&gt;"No",IF('General Information'!$C$19="HTML5",(I602+J602)*'BASE_FUNCOES (hide)'!$T$2,I602+J602),I602+J602),I602+J602),I602+J602)</f>
        <v>#N/A</v>
      </c>
      <c r="L602" s="163" t="str">
        <f>IF(ISERROR(VLOOKUP(E602,Questions!$E$5:$L$568,6,0))=FALSE,VLOOKUP(E602,Questions!$E$5:$L$568,6,0),"")</f>
        <v/>
      </c>
      <c r="M602" s="164" t="s">
        <v>2396</v>
      </c>
      <c r="N602" s="369" t="s">
        <v>2377</v>
      </c>
    </row>
    <row r="603" spans="1:14" ht="14.5" customHeight="1">
      <c r="A603" s="59"/>
      <c r="B603" s="72"/>
      <c r="C603" s="72"/>
      <c r="D603" s="73" t="e">
        <f>IF('General Information'!$C$6="Português",VLOOKUP(B603,'ESTRUTURA_MODULO(hide)'!A:D,2,0),IF('General Information'!$C$6="English",VLOOKUP(B603,'ESTRUTURA_MODULO(hide)'!A:D,3,0),IF('General Information'!$C$6="Español",VLOOKUP(B603,'ESTRUTURA_MODULO(hide)'!A:D,4,0))))</f>
        <v>#N/A</v>
      </c>
      <c r="E603" s="74"/>
      <c r="F603" s="73"/>
      <c r="G603" s="73" t="e">
        <f>IF(AND('General Information'!$D$16=1,VLOOKUP(B603,Modules!$B$5:$E$496,4,0)=1)=TRUE,VLOOKUP('Hours Detail'!E603,'BASE_FUNCOES (hide)'!$A:$V,10,0),IF(AND('General Information'!$D$16=2,VLOOKUP(B603,Modules!$B$5:$E$496,4,0)=1)=TRUE,VLOOKUP('Hours Detail'!E603,'BASE_FUNCOES (hide)'!$A:$V,11,0),IF(AND('General Information'!$D$16=3,VLOOKUP(B603,Modules!$B$5:$E$496,4,0)=1)=TRUE,VLOOKUP('Hours Detail'!E603,'BASE_FUNCOES (hide)'!$A:$V,12,0),IF(AND('General Information'!$D$16=4,VLOOKUP(B603,Modules!$B$5:$E$496,4,0)=1)=TRUE,VLOOKUP('Hours Detail'!E603,'BASE_FUNCOES (hide)'!$A:$V,13,0),IF(AND('General Information'!$D$16=5,VLOOKUP(B603,Modules!$B$5:$E$496,4,0)=1)=TRUE,VLOOKUP('Hours Detail'!E603,'BASE_FUNCOES (hide)'!$A:$V,14,0),  IF(AND('General Information'!$D$16=6,VLOOKUP(B603,Modules!$B$5:$E$496,4,0)=1)=TRUE,VLOOKUP('Hours Detail'!E603,'BASE_FUNCOES (hide)'!$A:$V,15,0),"No"))))))</f>
        <v>#N/A</v>
      </c>
      <c r="H603" s="166" t="e">
        <f t="shared" si="11"/>
        <v>#N/A</v>
      </c>
      <c r="I603" s="75">
        <f>IF('General Information'!$C$4="Mexico",(ROUNDUP(VLOOKUP(E603,'BASE_FUNCOES (hide)'!A:X,21,0),0)),(ROUNDUP(VLOOKUP(E603,'BASE_FUNCOES (hide)'!A:L,9,0),0)))</f>
        <v>0</v>
      </c>
      <c r="J603" s="75">
        <f>ROUNDUP(SUMIF(Questions!$E$5:$E$558,'Hours Detail'!E603,Questions!$F$5:$F$558),0)</f>
        <v>0</v>
      </c>
      <c r="K603" s="76" t="e">
        <f>IF(H603="Yes",ROUNDUP(IF(VLOOKUP(E603,'BASE_FUNCOES (hide)'!A:T,16,FALSE)&lt;&gt;"No",IF('General Information'!$C$19="HTML5",(I603+J603)*'BASE_FUNCOES (hide)'!$T$2,I603+J603),I603+J603),I603+J603),I603+J603)</f>
        <v>#N/A</v>
      </c>
      <c r="L603" s="163" t="str">
        <f>IF(ISERROR(VLOOKUP(E603,Questions!$E$5:$L$568,6,0))=FALSE,VLOOKUP(E603,Questions!$E$5:$L$568,6,0),"")</f>
        <v/>
      </c>
      <c r="M603" s="164" t="s">
        <v>2396</v>
      </c>
      <c r="N603" s="369" t="s">
        <v>2377</v>
      </c>
    </row>
    <row r="604" spans="1:14" ht="14.5" customHeight="1">
      <c r="A604" s="59"/>
      <c r="B604" s="72"/>
      <c r="C604" s="72"/>
      <c r="D604" s="73" t="e">
        <f>IF('General Information'!$C$6="Português",VLOOKUP(B604,'ESTRUTURA_MODULO(hide)'!A:D,2,0),IF('General Information'!$C$6="English",VLOOKUP(B604,'ESTRUTURA_MODULO(hide)'!A:D,3,0),IF('General Information'!$C$6="Español",VLOOKUP(B604,'ESTRUTURA_MODULO(hide)'!A:D,4,0))))</f>
        <v>#N/A</v>
      </c>
      <c r="E604" s="74"/>
      <c r="F604" s="73"/>
      <c r="G604" s="73" t="e">
        <f>IF(AND('General Information'!$D$16=1,VLOOKUP(B604,Modules!$B$5:$E$496,4,0)=1)=TRUE,VLOOKUP('Hours Detail'!E604,'BASE_FUNCOES (hide)'!$A:$V,10,0),IF(AND('General Information'!$D$16=2,VLOOKUP(B604,Modules!$B$5:$E$496,4,0)=1)=TRUE,VLOOKUP('Hours Detail'!E604,'BASE_FUNCOES (hide)'!$A:$V,11,0),IF(AND('General Information'!$D$16=3,VLOOKUP(B604,Modules!$B$5:$E$496,4,0)=1)=TRUE,VLOOKUP('Hours Detail'!E604,'BASE_FUNCOES (hide)'!$A:$V,12,0),IF(AND('General Information'!$D$16=4,VLOOKUP(B604,Modules!$B$5:$E$496,4,0)=1)=TRUE,VLOOKUP('Hours Detail'!E604,'BASE_FUNCOES (hide)'!$A:$V,13,0),IF(AND('General Information'!$D$16=5,VLOOKUP(B604,Modules!$B$5:$E$496,4,0)=1)=TRUE,VLOOKUP('Hours Detail'!E604,'BASE_FUNCOES (hide)'!$A:$V,14,0),  IF(AND('General Information'!$D$16=6,VLOOKUP(B604,Modules!$B$5:$E$496,4,0)=1)=TRUE,VLOOKUP('Hours Detail'!E604,'BASE_FUNCOES (hide)'!$A:$V,15,0),"No"))))))</f>
        <v>#N/A</v>
      </c>
      <c r="H604" s="166" t="e">
        <f t="shared" si="11"/>
        <v>#N/A</v>
      </c>
      <c r="I604" s="75">
        <f>IF('General Information'!$C$4="Mexico",(ROUNDUP(VLOOKUP(E604,'BASE_FUNCOES (hide)'!A:X,21,0),0)),(ROUNDUP(VLOOKUP(E604,'BASE_FUNCOES (hide)'!A:L,9,0),0)))</f>
        <v>0</v>
      </c>
      <c r="J604" s="75">
        <f>ROUNDUP(SUMIF(Questions!$E$5:$E$558,'Hours Detail'!E604,Questions!$F$5:$F$558),0)</f>
        <v>0</v>
      </c>
      <c r="K604" s="76" t="e">
        <f>IF(H604="Yes",ROUNDUP(IF(VLOOKUP(E604,'BASE_FUNCOES (hide)'!A:T,16,FALSE)&lt;&gt;"No",IF('General Information'!$C$19="HTML5",(I604+J604)*'BASE_FUNCOES (hide)'!$T$2,I604+J604),I604+J604),I604+J604),I604+J604)</f>
        <v>#N/A</v>
      </c>
      <c r="L604" s="163" t="str">
        <f>IF(ISERROR(VLOOKUP(E604,Questions!$E$5:$L$568,6,0))=FALSE,VLOOKUP(E604,Questions!$E$5:$L$568,6,0),"")</f>
        <v/>
      </c>
      <c r="M604" s="164" t="s">
        <v>2396</v>
      </c>
      <c r="N604" s="369" t="s">
        <v>2377</v>
      </c>
    </row>
    <row r="605" spans="1:14" ht="14.5" customHeight="1">
      <c r="A605" s="59"/>
      <c r="B605" s="72"/>
      <c r="C605" s="72"/>
      <c r="D605" s="73" t="e">
        <f>IF('General Information'!$C$6="Português",VLOOKUP(B605,'ESTRUTURA_MODULO(hide)'!A:D,2,0),IF('General Information'!$C$6="English",VLOOKUP(B605,'ESTRUTURA_MODULO(hide)'!A:D,3,0),IF('General Information'!$C$6="Español",VLOOKUP(B605,'ESTRUTURA_MODULO(hide)'!A:D,4,0))))</f>
        <v>#N/A</v>
      </c>
      <c r="E605" s="74"/>
      <c r="F605" s="73"/>
      <c r="G605" s="73" t="e">
        <f>IF(AND('General Information'!$D$16=1,VLOOKUP(B605,Modules!$B$5:$E$496,4,0)=1)=TRUE,VLOOKUP('Hours Detail'!E605,'BASE_FUNCOES (hide)'!$A:$V,10,0),IF(AND('General Information'!$D$16=2,VLOOKUP(B605,Modules!$B$5:$E$496,4,0)=1)=TRUE,VLOOKUP('Hours Detail'!E605,'BASE_FUNCOES (hide)'!$A:$V,11,0),IF(AND('General Information'!$D$16=3,VLOOKUP(B605,Modules!$B$5:$E$496,4,0)=1)=TRUE,VLOOKUP('Hours Detail'!E605,'BASE_FUNCOES (hide)'!$A:$V,12,0),IF(AND('General Information'!$D$16=4,VLOOKUP(B605,Modules!$B$5:$E$496,4,0)=1)=TRUE,VLOOKUP('Hours Detail'!E605,'BASE_FUNCOES (hide)'!$A:$V,13,0),IF(AND('General Information'!$D$16=5,VLOOKUP(B605,Modules!$B$5:$E$496,4,0)=1)=TRUE,VLOOKUP('Hours Detail'!E605,'BASE_FUNCOES (hide)'!$A:$V,14,0),  IF(AND('General Information'!$D$16=6,VLOOKUP(B605,Modules!$B$5:$E$496,4,0)=1)=TRUE,VLOOKUP('Hours Detail'!E605,'BASE_FUNCOES (hide)'!$A:$V,15,0),"No"))))))</f>
        <v>#N/A</v>
      </c>
      <c r="H605" s="166" t="e">
        <f t="shared" si="11"/>
        <v>#N/A</v>
      </c>
      <c r="I605" s="75">
        <f>IF('General Information'!$C$4="Mexico",(ROUNDUP(VLOOKUP(E605,'BASE_FUNCOES (hide)'!A:X,21,0),0)),(ROUNDUP(VLOOKUP(E605,'BASE_FUNCOES (hide)'!A:L,9,0),0)))</f>
        <v>0</v>
      </c>
      <c r="J605" s="75">
        <f>ROUNDUP(SUMIF(Questions!$E$5:$E$558,'Hours Detail'!E605,Questions!$F$5:$F$558),0)</f>
        <v>0</v>
      </c>
      <c r="K605" s="76" t="e">
        <f>IF(H605="Yes",ROUNDUP(IF(VLOOKUP(E605,'BASE_FUNCOES (hide)'!A:T,16,FALSE)&lt;&gt;"No",IF('General Information'!$C$19="HTML5",(I605+J605)*'BASE_FUNCOES (hide)'!$T$2,I605+J605),I605+J605),I605+J605),I605+J605)</f>
        <v>#N/A</v>
      </c>
      <c r="L605" s="163" t="str">
        <f>IF(ISERROR(VLOOKUP(E605,Questions!$E$5:$L$568,6,0))=FALSE,VLOOKUP(E605,Questions!$E$5:$L$568,6,0),"")</f>
        <v/>
      </c>
      <c r="M605" s="164" t="s">
        <v>2396</v>
      </c>
      <c r="N605" s="369" t="s">
        <v>2377</v>
      </c>
    </row>
    <row r="606" spans="1:14" ht="14.5" customHeight="1">
      <c r="A606" s="59"/>
      <c r="B606" s="72"/>
      <c r="C606" s="72"/>
      <c r="D606" s="73" t="e">
        <f>IF('General Information'!$C$6="Português",VLOOKUP(B606,'ESTRUTURA_MODULO(hide)'!A:D,2,0),IF('General Information'!$C$6="English",VLOOKUP(B606,'ESTRUTURA_MODULO(hide)'!A:D,3,0),IF('General Information'!$C$6="Español",VLOOKUP(B606,'ESTRUTURA_MODULO(hide)'!A:D,4,0))))</f>
        <v>#N/A</v>
      </c>
      <c r="E606" s="74"/>
      <c r="F606" s="73"/>
      <c r="G606" s="73" t="e">
        <f>IF(AND('General Information'!$D$16=1,VLOOKUP(B606,Modules!$B$5:$E$496,4,0)=1)=TRUE,VLOOKUP('Hours Detail'!E606,'BASE_FUNCOES (hide)'!$A:$V,10,0),IF(AND('General Information'!$D$16=2,VLOOKUP(B606,Modules!$B$5:$E$496,4,0)=1)=TRUE,VLOOKUP('Hours Detail'!E606,'BASE_FUNCOES (hide)'!$A:$V,11,0),IF(AND('General Information'!$D$16=3,VLOOKUP(B606,Modules!$B$5:$E$496,4,0)=1)=TRUE,VLOOKUP('Hours Detail'!E606,'BASE_FUNCOES (hide)'!$A:$V,12,0),IF(AND('General Information'!$D$16=4,VLOOKUP(B606,Modules!$B$5:$E$496,4,0)=1)=TRUE,VLOOKUP('Hours Detail'!E606,'BASE_FUNCOES (hide)'!$A:$V,13,0),IF(AND('General Information'!$D$16=5,VLOOKUP(B606,Modules!$B$5:$E$496,4,0)=1)=TRUE,VLOOKUP('Hours Detail'!E606,'BASE_FUNCOES (hide)'!$A:$V,14,0),  IF(AND('General Information'!$D$16=6,VLOOKUP(B606,Modules!$B$5:$E$496,4,0)=1)=TRUE,VLOOKUP('Hours Detail'!E606,'BASE_FUNCOES (hide)'!$A:$V,15,0),"No"))))))</f>
        <v>#N/A</v>
      </c>
      <c r="H606" s="166" t="e">
        <f t="shared" si="11"/>
        <v>#N/A</v>
      </c>
      <c r="I606" s="75">
        <f>IF('General Information'!$C$4="Mexico",(ROUNDUP(VLOOKUP(E606,'BASE_FUNCOES (hide)'!A:X,21,0),0)),(ROUNDUP(VLOOKUP(E606,'BASE_FUNCOES (hide)'!A:L,9,0),0)))</f>
        <v>0</v>
      </c>
      <c r="J606" s="75">
        <f>ROUNDUP(SUMIF(Questions!$E$5:$E$558,'Hours Detail'!E606,Questions!$F$5:$F$558),0)</f>
        <v>0</v>
      </c>
      <c r="K606" s="76" t="e">
        <f>IF(H606="Yes",ROUNDUP(IF(VLOOKUP(E606,'BASE_FUNCOES (hide)'!A:T,16,FALSE)&lt;&gt;"No",IF('General Information'!$C$19="HTML5",(I606+J606)*'BASE_FUNCOES (hide)'!$T$2,I606+J606),I606+J606),I606+J606),I606+J606)</f>
        <v>#N/A</v>
      </c>
      <c r="L606" s="163" t="str">
        <f>IF(ISERROR(VLOOKUP(E606,Questions!$E$5:$L$568,6,0))=FALSE,VLOOKUP(E606,Questions!$E$5:$L$568,6,0),"")</f>
        <v/>
      </c>
      <c r="M606" s="164" t="s">
        <v>2396</v>
      </c>
      <c r="N606" s="369" t="s">
        <v>2377</v>
      </c>
    </row>
    <row r="607" spans="1:14" ht="14.5" customHeight="1">
      <c r="A607" s="59"/>
      <c r="B607" s="72"/>
      <c r="C607" s="72"/>
      <c r="D607" s="73" t="e">
        <f>IF('General Information'!$C$6="Português",VLOOKUP(B607,'ESTRUTURA_MODULO(hide)'!A:D,2,0),IF('General Information'!$C$6="English",VLOOKUP(B607,'ESTRUTURA_MODULO(hide)'!A:D,3,0),IF('General Information'!$C$6="Español",VLOOKUP(B607,'ESTRUTURA_MODULO(hide)'!A:D,4,0))))</f>
        <v>#N/A</v>
      </c>
      <c r="E607" s="74"/>
      <c r="F607" s="73"/>
      <c r="G607" s="73" t="e">
        <f>IF(AND('General Information'!$D$16=1,VLOOKUP(B607,Modules!$B$5:$E$496,4,0)=1)=TRUE,VLOOKUP('Hours Detail'!E607,'BASE_FUNCOES (hide)'!$A:$V,10,0),IF(AND('General Information'!$D$16=2,VLOOKUP(B607,Modules!$B$5:$E$496,4,0)=1)=TRUE,VLOOKUP('Hours Detail'!E607,'BASE_FUNCOES (hide)'!$A:$V,11,0),IF(AND('General Information'!$D$16=3,VLOOKUP(B607,Modules!$B$5:$E$496,4,0)=1)=TRUE,VLOOKUP('Hours Detail'!E607,'BASE_FUNCOES (hide)'!$A:$V,12,0),IF(AND('General Information'!$D$16=4,VLOOKUP(B607,Modules!$B$5:$E$496,4,0)=1)=TRUE,VLOOKUP('Hours Detail'!E607,'BASE_FUNCOES (hide)'!$A:$V,13,0),IF(AND('General Information'!$D$16=5,VLOOKUP(B607,Modules!$B$5:$E$496,4,0)=1)=TRUE,VLOOKUP('Hours Detail'!E607,'BASE_FUNCOES (hide)'!$A:$V,14,0),  IF(AND('General Information'!$D$16=6,VLOOKUP(B607,Modules!$B$5:$E$496,4,0)=1)=TRUE,VLOOKUP('Hours Detail'!E607,'BASE_FUNCOES (hide)'!$A:$V,15,0),"No"))))))</f>
        <v>#N/A</v>
      </c>
      <c r="H607" s="166" t="e">
        <f t="shared" si="11"/>
        <v>#N/A</v>
      </c>
      <c r="I607" s="75">
        <f>IF('General Information'!$C$4="Mexico",(ROUNDUP(VLOOKUP(E607,'BASE_FUNCOES (hide)'!A:X,21,0),0)),(ROUNDUP(VLOOKUP(E607,'BASE_FUNCOES (hide)'!A:L,9,0),0)))</f>
        <v>0</v>
      </c>
      <c r="J607" s="75">
        <f>ROUNDUP(SUMIF(Questions!$E$5:$E$558,'Hours Detail'!E607,Questions!$F$5:$F$558),0)</f>
        <v>0</v>
      </c>
      <c r="K607" s="76" t="e">
        <f>IF(H607="Yes",ROUNDUP(IF(VLOOKUP(E607,'BASE_FUNCOES (hide)'!A:T,16,FALSE)&lt;&gt;"No",IF('General Information'!$C$19="HTML5",(I607+J607)*'BASE_FUNCOES (hide)'!$T$2,I607+J607),I607+J607),I607+J607),I607+J607)</f>
        <v>#N/A</v>
      </c>
      <c r="L607" s="163" t="str">
        <f>IF(ISERROR(VLOOKUP(E607,Questions!$E$5:$L$568,6,0))=FALSE,VLOOKUP(E607,Questions!$E$5:$L$568,6,0),"")</f>
        <v/>
      </c>
      <c r="M607" s="164" t="s">
        <v>2396</v>
      </c>
      <c r="N607" s="369" t="s">
        <v>2377</v>
      </c>
    </row>
    <row r="608" spans="1:14" ht="14.5" customHeight="1">
      <c r="A608" s="59"/>
      <c r="B608" s="72"/>
      <c r="C608" s="72"/>
      <c r="D608" s="73" t="e">
        <f>IF('General Information'!$C$6="Português",VLOOKUP(B608,'ESTRUTURA_MODULO(hide)'!A:D,2,0),IF('General Information'!$C$6="English",VLOOKUP(B608,'ESTRUTURA_MODULO(hide)'!A:D,3,0),IF('General Information'!$C$6="Español",VLOOKUP(B608,'ESTRUTURA_MODULO(hide)'!A:D,4,0))))</f>
        <v>#N/A</v>
      </c>
      <c r="E608" s="74"/>
      <c r="F608" s="73"/>
      <c r="G608" s="73" t="e">
        <f>IF(AND('General Information'!$D$16=1,VLOOKUP(B608,Modules!$B$5:$E$496,4,0)=1)=TRUE,VLOOKUP('Hours Detail'!E608,'BASE_FUNCOES (hide)'!$A:$V,10,0),IF(AND('General Information'!$D$16=2,VLOOKUP(B608,Modules!$B$5:$E$496,4,0)=1)=TRUE,VLOOKUP('Hours Detail'!E608,'BASE_FUNCOES (hide)'!$A:$V,11,0),IF(AND('General Information'!$D$16=3,VLOOKUP(B608,Modules!$B$5:$E$496,4,0)=1)=TRUE,VLOOKUP('Hours Detail'!E608,'BASE_FUNCOES (hide)'!$A:$V,12,0),IF(AND('General Information'!$D$16=4,VLOOKUP(B608,Modules!$B$5:$E$496,4,0)=1)=TRUE,VLOOKUP('Hours Detail'!E608,'BASE_FUNCOES (hide)'!$A:$V,13,0),IF(AND('General Information'!$D$16=5,VLOOKUP(B608,Modules!$B$5:$E$496,4,0)=1)=TRUE,VLOOKUP('Hours Detail'!E608,'BASE_FUNCOES (hide)'!$A:$V,14,0),  IF(AND('General Information'!$D$16=6,VLOOKUP(B608,Modules!$B$5:$E$496,4,0)=1)=TRUE,VLOOKUP('Hours Detail'!E608,'BASE_FUNCOES (hide)'!$A:$V,15,0),"No"))))))</f>
        <v>#N/A</v>
      </c>
      <c r="H608" s="166" t="e">
        <f t="shared" si="11"/>
        <v>#N/A</v>
      </c>
      <c r="I608" s="75">
        <f>IF('General Information'!$C$4="Mexico",(ROUNDUP(VLOOKUP(E608,'BASE_FUNCOES (hide)'!A:X,21,0),0)),(ROUNDUP(VLOOKUP(E608,'BASE_FUNCOES (hide)'!A:L,9,0),0)))</f>
        <v>0</v>
      </c>
      <c r="J608" s="75">
        <f>ROUNDUP(SUMIF(Questions!$E$5:$E$558,'Hours Detail'!E608,Questions!$F$5:$F$558),0)</f>
        <v>0</v>
      </c>
      <c r="K608" s="76" t="e">
        <f>IF(H608="Yes",ROUNDUP(IF(VLOOKUP(E608,'BASE_FUNCOES (hide)'!A:T,16,FALSE)&lt;&gt;"No",IF('General Information'!$C$19="HTML5",(I608+J608)*'BASE_FUNCOES (hide)'!$T$2,I608+J608),I608+J608),I608+J608),I608+J608)</f>
        <v>#N/A</v>
      </c>
      <c r="L608" s="163" t="str">
        <f>IF(ISERROR(VLOOKUP(E608,Questions!$E$5:$L$568,6,0))=FALSE,VLOOKUP(E608,Questions!$E$5:$L$568,6,0),"")</f>
        <v/>
      </c>
      <c r="M608" s="164" t="s">
        <v>2396</v>
      </c>
      <c r="N608" s="369" t="s">
        <v>2377</v>
      </c>
    </row>
    <row r="609" spans="1:14" ht="14.5" customHeight="1">
      <c r="A609" s="59"/>
      <c r="B609" s="72"/>
      <c r="C609" s="72"/>
      <c r="D609" s="73" t="e">
        <f>IF('General Information'!$C$6="Português",VLOOKUP(B609,'ESTRUTURA_MODULO(hide)'!A:D,2,0),IF('General Information'!$C$6="English",VLOOKUP(B609,'ESTRUTURA_MODULO(hide)'!A:D,3,0),IF('General Information'!$C$6="Español",VLOOKUP(B609,'ESTRUTURA_MODULO(hide)'!A:D,4,0))))</f>
        <v>#N/A</v>
      </c>
      <c r="E609" s="74"/>
      <c r="F609" s="73"/>
      <c r="G609" s="73" t="e">
        <f>IF(AND('General Information'!$D$16=1,VLOOKUP(B609,Modules!$B$5:$E$496,4,0)=1)=TRUE,VLOOKUP('Hours Detail'!E609,'BASE_FUNCOES (hide)'!$A:$V,10,0),IF(AND('General Information'!$D$16=2,VLOOKUP(B609,Modules!$B$5:$E$496,4,0)=1)=TRUE,VLOOKUP('Hours Detail'!E609,'BASE_FUNCOES (hide)'!$A:$V,11,0),IF(AND('General Information'!$D$16=3,VLOOKUP(B609,Modules!$B$5:$E$496,4,0)=1)=TRUE,VLOOKUP('Hours Detail'!E609,'BASE_FUNCOES (hide)'!$A:$V,12,0),IF(AND('General Information'!$D$16=4,VLOOKUP(B609,Modules!$B$5:$E$496,4,0)=1)=TRUE,VLOOKUP('Hours Detail'!E609,'BASE_FUNCOES (hide)'!$A:$V,13,0),IF(AND('General Information'!$D$16=5,VLOOKUP(B609,Modules!$B$5:$E$496,4,0)=1)=TRUE,VLOOKUP('Hours Detail'!E609,'BASE_FUNCOES (hide)'!$A:$V,14,0),  IF(AND('General Information'!$D$16=6,VLOOKUP(B609,Modules!$B$5:$E$496,4,0)=1)=TRUE,VLOOKUP('Hours Detail'!E609,'BASE_FUNCOES (hide)'!$A:$V,15,0),"No"))))))</f>
        <v>#N/A</v>
      </c>
      <c r="H609" s="166" t="e">
        <f t="shared" si="11"/>
        <v>#N/A</v>
      </c>
      <c r="I609" s="75">
        <f>IF('General Information'!$C$4="Mexico",(ROUNDUP(VLOOKUP(E609,'BASE_FUNCOES (hide)'!A:X,21,0),0)),(ROUNDUP(VLOOKUP(E609,'BASE_FUNCOES (hide)'!A:L,9,0),0)))</f>
        <v>0</v>
      </c>
      <c r="J609" s="75">
        <f>ROUNDUP(SUMIF(Questions!$E$5:$E$558,'Hours Detail'!E609,Questions!$F$5:$F$558),0)</f>
        <v>0</v>
      </c>
      <c r="K609" s="76" t="e">
        <f>IF(H609="Yes",ROUNDUP(IF(VLOOKUP(E609,'BASE_FUNCOES (hide)'!A:T,16,FALSE)&lt;&gt;"No",IF('General Information'!$C$19="HTML5",(I609+J609)*'BASE_FUNCOES (hide)'!$T$2,I609+J609),I609+J609),I609+J609),I609+J609)</f>
        <v>#N/A</v>
      </c>
      <c r="L609" s="163" t="str">
        <f>IF(ISERROR(VLOOKUP(E609,Questions!$E$5:$L$568,6,0))=FALSE,VLOOKUP(E609,Questions!$E$5:$L$568,6,0),"")</f>
        <v/>
      </c>
      <c r="M609" s="164" t="s">
        <v>2396</v>
      </c>
      <c r="N609" s="369" t="s">
        <v>2377</v>
      </c>
    </row>
    <row r="610" spans="1:14" ht="14.5" customHeight="1">
      <c r="A610" s="59"/>
      <c r="B610" s="72"/>
      <c r="C610" s="72"/>
      <c r="D610" s="73" t="e">
        <f>IF('General Information'!$C$6="Português",VLOOKUP(B610,'ESTRUTURA_MODULO(hide)'!A:D,2,0),IF('General Information'!$C$6="English",VLOOKUP(B610,'ESTRUTURA_MODULO(hide)'!A:D,3,0),IF('General Information'!$C$6="Español",VLOOKUP(B610,'ESTRUTURA_MODULO(hide)'!A:D,4,0))))</f>
        <v>#N/A</v>
      </c>
      <c r="E610" s="74"/>
      <c r="F610" s="73"/>
      <c r="G610" s="73" t="e">
        <f>IF(AND('General Information'!$D$16=1,VLOOKUP(B610,Modules!$B$5:$E$496,4,0)=1)=TRUE,VLOOKUP('Hours Detail'!E610,'BASE_FUNCOES (hide)'!$A:$V,10,0),IF(AND('General Information'!$D$16=2,VLOOKUP(B610,Modules!$B$5:$E$496,4,0)=1)=TRUE,VLOOKUP('Hours Detail'!E610,'BASE_FUNCOES (hide)'!$A:$V,11,0),IF(AND('General Information'!$D$16=3,VLOOKUP(B610,Modules!$B$5:$E$496,4,0)=1)=TRUE,VLOOKUP('Hours Detail'!E610,'BASE_FUNCOES (hide)'!$A:$V,12,0),IF(AND('General Information'!$D$16=4,VLOOKUP(B610,Modules!$B$5:$E$496,4,0)=1)=TRUE,VLOOKUP('Hours Detail'!E610,'BASE_FUNCOES (hide)'!$A:$V,13,0),IF(AND('General Information'!$D$16=5,VLOOKUP(B610,Modules!$B$5:$E$496,4,0)=1)=TRUE,VLOOKUP('Hours Detail'!E610,'BASE_FUNCOES (hide)'!$A:$V,14,0),  IF(AND('General Information'!$D$16=6,VLOOKUP(B610,Modules!$B$5:$E$496,4,0)=1)=TRUE,VLOOKUP('Hours Detail'!E610,'BASE_FUNCOES (hide)'!$A:$V,15,0),"No"))))))</f>
        <v>#N/A</v>
      </c>
      <c r="H610" s="166" t="e">
        <f t="shared" si="11"/>
        <v>#N/A</v>
      </c>
      <c r="I610" s="75">
        <f>IF('General Information'!$C$4="Mexico",(ROUNDUP(VLOOKUP(E610,'BASE_FUNCOES (hide)'!A:X,21,0),0)),(ROUNDUP(VLOOKUP(E610,'BASE_FUNCOES (hide)'!A:L,9,0),0)))</f>
        <v>0</v>
      </c>
      <c r="J610" s="75">
        <f>ROUNDUP(SUMIF(Questions!$E$5:$E$558,'Hours Detail'!E610,Questions!$F$5:$F$558),0)</f>
        <v>0</v>
      </c>
      <c r="K610" s="76" t="e">
        <f>IF(H610="Yes",ROUNDUP(IF(VLOOKUP(E610,'BASE_FUNCOES (hide)'!A:T,16,FALSE)&lt;&gt;"No",IF('General Information'!$C$19="HTML5",(I610+J610)*'BASE_FUNCOES (hide)'!$T$2,I610+J610),I610+J610),I610+J610),I610+J610)</f>
        <v>#N/A</v>
      </c>
      <c r="L610" s="163" t="str">
        <f>IF(ISERROR(VLOOKUP(E610,Questions!$E$5:$L$568,6,0))=FALSE,VLOOKUP(E610,Questions!$E$5:$L$568,6,0),"")</f>
        <v/>
      </c>
      <c r="M610" s="164" t="s">
        <v>2396</v>
      </c>
      <c r="N610" s="369" t="s">
        <v>2377</v>
      </c>
    </row>
    <row r="611" spans="1:14" ht="14.5" customHeight="1">
      <c r="A611" s="59"/>
      <c r="B611" s="72"/>
      <c r="C611" s="72"/>
      <c r="D611" s="73" t="e">
        <f>IF('General Information'!$C$6="Português",VLOOKUP(B611,'ESTRUTURA_MODULO(hide)'!A:D,2,0),IF('General Information'!$C$6="English",VLOOKUP(B611,'ESTRUTURA_MODULO(hide)'!A:D,3,0),IF('General Information'!$C$6="Español",VLOOKUP(B611,'ESTRUTURA_MODULO(hide)'!A:D,4,0))))</f>
        <v>#N/A</v>
      </c>
      <c r="E611" s="74"/>
      <c r="F611" s="73"/>
      <c r="G611" s="73" t="e">
        <f>IF(AND('General Information'!$D$16=1,VLOOKUP(B611,Modules!$B$5:$E$496,4,0)=1)=TRUE,VLOOKUP('Hours Detail'!E611,'BASE_FUNCOES (hide)'!$A:$V,10,0),IF(AND('General Information'!$D$16=2,VLOOKUP(B611,Modules!$B$5:$E$496,4,0)=1)=TRUE,VLOOKUP('Hours Detail'!E611,'BASE_FUNCOES (hide)'!$A:$V,11,0),IF(AND('General Information'!$D$16=3,VLOOKUP(B611,Modules!$B$5:$E$496,4,0)=1)=TRUE,VLOOKUP('Hours Detail'!E611,'BASE_FUNCOES (hide)'!$A:$V,12,0),IF(AND('General Information'!$D$16=4,VLOOKUP(B611,Modules!$B$5:$E$496,4,0)=1)=TRUE,VLOOKUP('Hours Detail'!E611,'BASE_FUNCOES (hide)'!$A:$V,13,0),IF(AND('General Information'!$D$16=5,VLOOKUP(B611,Modules!$B$5:$E$496,4,0)=1)=TRUE,VLOOKUP('Hours Detail'!E611,'BASE_FUNCOES (hide)'!$A:$V,14,0),  IF(AND('General Information'!$D$16=6,VLOOKUP(B611,Modules!$B$5:$E$496,4,0)=1)=TRUE,VLOOKUP('Hours Detail'!E611,'BASE_FUNCOES (hide)'!$A:$V,15,0),"No"))))))</f>
        <v>#N/A</v>
      </c>
      <c r="H611" s="166" t="e">
        <f t="shared" si="11"/>
        <v>#N/A</v>
      </c>
      <c r="I611" s="75">
        <f>IF('General Information'!$C$4="Mexico",(ROUNDUP(VLOOKUP(E611,'BASE_FUNCOES (hide)'!A:X,21,0),0)),(ROUNDUP(VLOOKUP(E611,'BASE_FUNCOES (hide)'!A:L,9,0),0)))</f>
        <v>0</v>
      </c>
      <c r="J611" s="75">
        <f>ROUNDUP(SUMIF(Questions!$E$5:$E$558,'Hours Detail'!E611,Questions!$F$5:$F$558),0)</f>
        <v>0</v>
      </c>
      <c r="K611" s="76" t="e">
        <f>IF(H611="Yes",ROUNDUP(IF(VLOOKUP(E611,'BASE_FUNCOES (hide)'!A:T,16,FALSE)&lt;&gt;"No",IF('General Information'!$C$19="HTML5",(I611+J611)*'BASE_FUNCOES (hide)'!$T$2,I611+J611),I611+J611),I611+J611),I611+J611)</f>
        <v>#N/A</v>
      </c>
      <c r="L611" s="163" t="str">
        <f>IF(ISERROR(VLOOKUP(E611,Questions!$E$5:$L$568,6,0))=FALSE,VLOOKUP(E611,Questions!$E$5:$L$568,6,0),"")</f>
        <v/>
      </c>
      <c r="M611" s="164" t="s">
        <v>2396</v>
      </c>
      <c r="N611" s="369" t="s">
        <v>2377</v>
      </c>
    </row>
    <row r="612" spans="1:14" ht="14.5" customHeight="1">
      <c r="A612" s="59"/>
      <c r="B612" s="72"/>
      <c r="C612" s="72"/>
      <c r="D612" s="73" t="e">
        <f>IF('General Information'!$C$6="Português",VLOOKUP(B612,'ESTRUTURA_MODULO(hide)'!A:D,2,0),IF('General Information'!$C$6="English",VLOOKUP(B612,'ESTRUTURA_MODULO(hide)'!A:D,3,0),IF('General Information'!$C$6="Español",VLOOKUP(B612,'ESTRUTURA_MODULO(hide)'!A:D,4,0))))</f>
        <v>#N/A</v>
      </c>
      <c r="E612" s="74"/>
      <c r="F612" s="73"/>
      <c r="G612" s="73" t="e">
        <f>IF(AND('General Information'!$D$16=1,VLOOKUP(B612,Modules!$B$5:$E$496,4,0)=1)=TRUE,VLOOKUP('Hours Detail'!E612,'BASE_FUNCOES (hide)'!$A:$V,10,0),IF(AND('General Information'!$D$16=2,VLOOKUP(B612,Modules!$B$5:$E$496,4,0)=1)=TRUE,VLOOKUP('Hours Detail'!E612,'BASE_FUNCOES (hide)'!$A:$V,11,0),IF(AND('General Information'!$D$16=3,VLOOKUP(B612,Modules!$B$5:$E$496,4,0)=1)=TRUE,VLOOKUP('Hours Detail'!E612,'BASE_FUNCOES (hide)'!$A:$V,12,0),IF(AND('General Information'!$D$16=4,VLOOKUP(B612,Modules!$B$5:$E$496,4,0)=1)=TRUE,VLOOKUP('Hours Detail'!E612,'BASE_FUNCOES (hide)'!$A:$V,13,0),IF(AND('General Information'!$D$16=5,VLOOKUP(B612,Modules!$B$5:$E$496,4,0)=1)=TRUE,VLOOKUP('Hours Detail'!E612,'BASE_FUNCOES (hide)'!$A:$V,14,0),  IF(AND('General Information'!$D$16=6,VLOOKUP(B612,Modules!$B$5:$E$496,4,0)=1)=TRUE,VLOOKUP('Hours Detail'!E612,'BASE_FUNCOES (hide)'!$A:$V,15,0),"No"))))))</f>
        <v>#N/A</v>
      </c>
      <c r="H612" s="166" t="e">
        <f t="shared" si="11"/>
        <v>#N/A</v>
      </c>
      <c r="I612" s="75">
        <f>IF('General Information'!$C$4="Mexico",(ROUNDUP(VLOOKUP(E612,'BASE_FUNCOES (hide)'!A:X,21,0),0)),(ROUNDUP(VLOOKUP(E612,'BASE_FUNCOES (hide)'!A:L,9,0),0)))</f>
        <v>0</v>
      </c>
      <c r="J612" s="75">
        <f>ROUNDUP(SUMIF(Questions!$E$5:$E$558,'Hours Detail'!E612,Questions!$F$5:$F$558),0)</f>
        <v>0</v>
      </c>
      <c r="K612" s="76" t="e">
        <f>IF(H612="Yes",ROUNDUP(IF(VLOOKUP(E612,'BASE_FUNCOES (hide)'!A:T,16,FALSE)&lt;&gt;"No",IF('General Information'!$C$19="HTML5",(I612+J612)*'BASE_FUNCOES (hide)'!$T$2,I612+J612),I612+J612),I612+J612),I612+J612)</f>
        <v>#N/A</v>
      </c>
      <c r="L612" s="163" t="str">
        <f>IF(ISERROR(VLOOKUP(E612,Questions!$E$5:$L$568,6,0))=FALSE,VLOOKUP(E612,Questions!$E$5:$L$568,6,0),"")</f>
        <v/>
      </c>
      <c r="M612" s="164" t="s">
        <v>2396</v>
      </c>
      <c r="N612" s="369" t="s">
        <v>2377</v>
      </c>
    </row>
    <row r="613" spans="1:14" ht="14.5" customHeight="1">
      <c r="A613" s="59"/>
      <c r="B613" s="72"/>
      <c r="C613" s="72"/>
      <c r="D613" s="73" t="e">
        <f>IF('General Information'!$C$6="Português",VLOOKUP(B613,'ESTRUTURA_MODULO(hide)'!A:D,2,0),IF('General Information'!$C$6="English",VLOOKUP(B613,'ESTRUTURA_MODULO(hide)'!A:D,3,0),IF('General Information'!$C$6="Español",VLOOKUP(B613,'ESTRUTURA_MODULO(hide)'!A:D,4,0))))</f>
        <v>#N/A</v>
      </c>
      <c r="E613" s="74"/>
      <c r="F613" s="73"/>
      <c r="G613" s="73" t="e">
        <f>IF(AND('General Information'!$D$16=1,VLOOKUP(B613,Modules!$B$5:$E$496,4,0)=1)=TRUE,VLOOKUP('Hours Detail'!E613,'BASE_FUNCOES (hide)'!$A:$V,10,0),IF(AND('General Information'!$D$16=2,VLOOKUP(B613,Modules!$B$5:$E$496,4,0)=1)=TRUE,VLOOKUP('Hours Detail'!E613,'BASE_FUNCOES (hide)'!$A:$V,11,0),IF(AND('General Information'!$D$16=3,VLOOKUP(B613,Modules!$B$5:$E$496,4,0)=1)=TRUE,VLOOKUP('Hours Detail'!E613,'BASE_FUNCOES (hide)'!$A:$V,12,0),IF(AND('General Information'!$D$16=4,VLOOKUP(B613,Modules!$B$5:$E$496,4,0)=1)=TRUE,VLOOKUP('Hours Detail'!E613,'BASE_FUNCOES (hide)'!$A:$V,13,0),IF(AND('General Information'!$D$16=5,VLOOKUP(B613,Modules!$B$5:$E$496,4,0)=1)=TRUE,VLOOKUP('Hours Detail'!E613,'BASE_FUNCOES (hide)'!$A:$V,14,0),  IF(AND('General Information'!$D$16=6,VLOOKUP(B613,Modules!$B$5:$E$496,4,0)=1)=TRUE,VLOOKUP('Hours Detail'!E613,'BASE_FUNCOES (hide)'!$A:$V,15,0),"No"))))))</f>
        <v>#N/A</v>
      </c>
      <c r="H613" s="166" t="e">
        <f t="shared" si="11"/>
        <v>#N/A</v>
      </c>
      <c r="I613" s="75">
        <f>IF('General Information'!$C$4="Mexico",(ROUNDUP(VLOOKUP(E613,'BASE_FUNCOES (hide)'!A:X,21,0),0)),(ROUNDUP(VLOOKUP(E613,'BASE_FUNCOES (hide)'!A:L,9,0),0)))</f>
        <v>0</v>
      </c>
      <c r="J613" s="75">
        <f>ROUNDUP(SUMIF(Questions!$E$5:$E$558,'Hours Detail'!E613,Questions!$F$5:$F$558),0)</f>
        <v>0</v>
      </c>
      <c r="K613" s="76" t="e">
        <f>IF(H613="Yes",ROUNDUP(IF(VLOOKUP(E613,'BASE_FUNCOES (hide)'!A:T,16,FALSE)&lt;&gt;"No",IF('General Information'!$C$19="HTML5",(I613+J613)*'BASE_FUNCOES (hide)'!$T$2,I613+J613),I613+J613),I613+J613),I613+J613)</f>
        <v>#N/A</v>
      </c>
      <c r="L613" s="163" t="str">
        <f>IF(ISERROR(VLOOKUP(E613,Questions!$E$5:$L$568,6,0))=FALSE,VLOOKUP(E613,Questions!$E$5:$L$568,6,0),"")</f>
        <v/>
      </c>
      <c r="M613" s="164" t="s">
        <v>2396</v>
      </c>
      <c r="N613" s="369" t="s">
        <v>2377</v>
      </c>
    </row>
    <row r="614" spans="1:14" ht="14.5" customHeight="1">
      <c r="A614" s="59"/>
      <c r="B614" s="72"/>
      <c r="C614" s="72"/>
      <c r="D614" s="73" t="e">
        <f>IF('General Information'!$C$6="Português",VLOOKUP(B614,'ESTRUTURA_MODULO(hide)'!A:D,2,0),IF('General Information'!$C$6="English",VLOOKUP(B614,'ESTRUTURA_MODULO(hide)'!A:D,3,0),IF('General Information'!$C$6="Español",VLOOKUP(B614,'ESTRUTURA_MODULO(hide)'!A:D,4,0))))</f>
        <v>#N/A</v>
      </c>
      <c r="E614" s="74"/>
      <c r="F614" s="73"/>
      <c r="G614" s="73" t="e">
        <f>IF(AND('General Information'!$D$16=1,VLOOKUP(B614,Modules!$B$5:$E$496,4,0)=1)=TRUE,VLOOKUP('Hours Detail'!E614,'BASE_FUNCOES (hide)'!$A:$V,10,0),IF(AND('General Information'!$D$16=2,VLOOKUP(B614,Modules!$B$5:$E$496,4,0)=1)=TRUE,VLOOKUP('Hours Detail'!E614,'BASE_FUNCOES (hide)'!$A:$V,11,0),IF(AND('General Information'!$D$16=3,VLOOKUP(B614,Modules!$B$5:$E$496,4,0)=1)=TRUE,VLOOKUP('Hours Detail'!E614,'BASE_FUNCOES (hide)'!$A:$V,12,0),IF(AND('General Information'!$D$16=4,VLOOKUP(B614,Modules!$B$5:$E$496,4,0)=1)=TRUE,VLOOKUP('Hours Detail'!E614,'BASE_FUNCOES (hide)'!$A:$V,13,0),IF(AND('General Information'!$D$16=5,VLOOKUP(B614,Modules!$B$5:$E$496,4,0)=1)=TRUE,VLOOKUP('Hours Detail'!E614,'BASE_FUNCOES (hide)'!$A:$V,14,0),  IF(AND('General Information'!$D$16=6,VLOOKUP(B614,Modules!$B$5:$E$496,4,0)=1)=TRUE,VLOOKUP('Hours Detail'!E614,'BASE_FUNCOES (hide)'!$A:$V,15,0),"No"))))))</f>
        <v>#N/A</v>
      </c>
      <c r="H614" s="166" t="e">
        <f t="shared" si="11"/>
        <v>#N/A</v>
      </c>
      <c r="I614" s="75">
        <f>IF('General Information'!$C$4="Mexico",(ROUNDUP(VLOOKUP(E614,'BASE_FUNCOES (hide)'!A:X,21,0),0)),(ROUNDUP(VLOOKUP(E614,'BASE_FUNCOES (hide)'!A:L,9,0),0)))</f>
        <v>0</v>
      </c>
      <c r="J614" s="75">
        <f>ROUNDUP(SUMIF(Questions!$E$5:$E$558,'Hours Detail'!E614,Questions!$F$5:$F$558),0)</f>
        <v>0</v>
      </c>
      <c r="K614" s="76" t="e">
        <f>IF(H614="Yes",ROUNDUP(IF(VLOOKUP(E614,'BASE_FUNCOES (hide)'!A:T,16,FALSE)&lt;&gt;"No",IF('General Information'!$C$19="HTML5",(I614+J614)*'BASE_FUNCOES (hide)'!$T$2,I614+J614),I614+J614),I614+J614),I614+J614)</f>
        <v>#N/A</v>
      </c>
      <c r="L614" s="163" t="str">
        <f>IF(ISERROR(VLOOKUP(E614,Questions!$E$5:$L$568,6,0))=FALSE,VLOOKUP(E614,Questions!$E$5:$L$568,6,0),"")</f>
        <v/>
      </c>
      <c r="M614" s="164" t="s">
        <v>2396</v>
      </c>
      <c r="N614" s="369" t="s">
        <v>2377</v>
      </c>
    </row>
    <row r="615" spans="1:14" ht="14.5" customHeight="1">
      <c r="A615" s="59"/>
      <c r="B615" s="72"/>
      <c r="C615" s="72"/>
      <c r="D615" s="73" t="e">
        <f>IF('General Information'!$C$6="Português",VLOOKUP(B615,'ESTRUTURA_MODULO(hide)'!A:D,2,0),IF('General Information'!$C$6="English",VLOOKUP(B615,'ESTRUTURA_MODULO(hide)'!A:D,3,0),IF('General Information'!$C$6="Español",VLOOKUP(B615,'ESTRUTURA_MODULO(hide)'!A:D,4,0))))</f>
        <v>#N/A</v>
      </c>
      <c r="E615" s="74"/>
      <c r="F615" s="73"/>
      <c r="G615" s="73" t="e">
        <f>IF(AND('General Information'!$D$16=1,VLOOKUP(B615,Modules!$B$5:$E$496,4,0)=1)=TRUE,VLOOKUP('Hours Detail'!E615,'BASE_FUNCOES (hide)'!$A:$V,10,0),IF(AND('General Information'!$D$16=2,VLOOKUP(B615,Modules!$B$5:$E$496,4,0)=1)=TRUE,VLOOKUP('Hours Detail'!E615,'BASE_FUNCOES (hide)'!$A:$V,11,0),IF(AND('General Information'!$D$16=3,VLOOKUP(B615,Modules!$B$5:$E$496,4,0)=1)=TRUE,VLOOKUP('Hours Detail'!E615,'BASE_FUNCOES (hide)'!$A:$V,12,0),IF(AND('General Information'!$D$16=4,VLOOKUP(B615,Modules!$B$5:$E$496,4,0)=1)=TRUE,VLOOKUP('Hours Detail'!E615,'BASE_FUNCOES (hide)'!$A:$V,13,0),IF(AND('General Information'!$D$16=5,VLOOKUP(B615,Modules!$B$5:$E$496,4,0)=1)=TRUE,VLOOKUP('Hours Detail'!E615,'BASE_FUNCOES (hide)'!$A:$V,14,0),  IF(AND('General Information'!$D$16=6,VLOOKUP(B615,Modules!$B$5:$E$496,4,0)=1)=TRUE,VLOOKUP('Hours Detail'!E615,'BASE_FUNCOES (hide)'!$A:$V,15,0),"No"))))))</f>
        <v>#N/A</v>
      </c>
      <c r="H615" s="166" t="e">
        <f t="shared" si="11"/>
        <v>#N/A</v>
      </c>
      <c r="I615" s="75">
        <f>IF('General Information'!$C$4="Mexico",(ROUNDUP(VLOOKUP(E615,'BASE_FUNCOES (hide)'!A:X,21,0),0)),(ROUNDUP(VLOOKUP(E615,'BASE_FUNCOES (hide)'!A:L,9,0),0)))</f>
        <v>0</v>
      </c>
      <c r="J615" s="75">
        <f>ROUNDUP(SUMIF(Questions!$E$5:$E$558,'Hours Detail'!E615,Questions!$F$5:$F$558),0)</f>
        <v>0</v>
      </c>
      <c r="K615" s="76" t="e">
        <f>IF(H615="Yes",ROUNDUP(IF(VLOOKUP(E615,'BASE_FUNCOES (hide)'!A:T,16,FALSE)&lt;&gt;"No",IF('General Information'!$C$19="HTML5",(I615+J615)*'BASE_FUNCOES (hide)'!$T$2,I615+J615),I615+J615),I615+J615),I615+J615)</f>
        <v>#N/A</v>
      </c>
      <c r="L615" s="163" t="str">
        <f>IF(ISERROR(VLOOKUP(E615,Questions!$E$5:$L$568,6,0))=FALSE,VLOOKUP(E615,Questions!$E$5:$L$568,6,0),"")</f>
        <v/>
      </c>
      <c r="M615" s="164" t="s">
        <v>2396</v>
      </c>
      <c r="N615" s="369" t="s">
        <v>2377</v>
      </c>
    </row>
    <row r="616" spans="1:14" ht="14.5" customHeight="1">
      <c r="A616" s="59"/>
      <c r="B616" s="72"/>
      <c r="C616" s="72"/>
      <c r="D616" s="73" t="e">
        <f>IF('General Information'!$C$6="Português",VLOOKUP(B616,'ESTRUTURA_MODULO(hide)'!A:D,2,0),IF('General Information'!$C$6="English",VLOOKUP(B616,'ESTRUTURA_MODULO(hide)'!A:D,3,0),IF('General Information'!$C$6="Español",VLOOKUP(B616,'ESTRUTURA_MODULO(hide)'!A:D,4,0))))</f>
        <v>#N/A</v>
      </c>
      <c r="E616" s="74"/>
      <c r="F616" s="73"/>
      <c r="G616" s="73" t="e">
        <f>IF(AND('General Information'!$D$16=1,VLOOKUP(B616,Modules!$B$5:$E$496,4,0)=1)=TRUE,VLOOKUP('Hours Detail'!E616,'BASE_FUNCOES (hide)'!$A:$V,10,0),IF(AND('General Information'!$D$16=2,VLOOKUP(B616,Modules!$B$5:$E$496,4,0)=1)=TRUE,VLOOKUP('Hours Detail'!E616,'BASE_FUNCOES (hide)'!$A:$V,11,0),IF(AND('General Information'!$D$16=3,VLOOKUP(B616,Modules!$B$5:$E$496,4,0)=1)=TRUE,VLOOKUP('Hours Detail'!E616,'BASE_FUNCOES (hide)'!$A:$V,12,0),IF(AND('General Information'!$D$16=4,VLOOKUP(B616,Modules!$B$5:$E$496,4,0)=1)=TRUE,VLOOKUP('Hours Detail'!E616,'BASE_FUNCOES (hide)'!$A:$V,13,0),IF(AND('General Information'!$D$16=5,VLOOKUP(B616,Modules!$B$5:$E$496,4,0)=1)=TRUE,VLOOKUP('Hours Detail'!E616,'BASE_FUNCOES (hide)'!$A:$V,14,0),  IF(AND('General Information'!$D$16=6,VLOOKUP(B616,Modules!$B$5:$E$496,4,0)=1)=TRUE,VLOOKUP('Hours Detail'!E616,'BASE_FUNCOES (hide)'!$A:$V,15,0),"No"))))))</f>
        <v>#N/A</v>
      </c>
      <c r="H616" s="166" t="e">
        <f t="shared" si="11"/>
        <v>#N/A</v>
      </c>
      <c r="I616" s="75">
        <f>IF('General Information'!$C$4="Mexico",(ROUNDUP(VLOOKUP(E616,'BASE_FUNCOES (hide)'!A:X,21,0),0)),(ROUNDUP(VLOOKUP(E616,'BASE_FUNCOES (hide)'!A:L,9,0),0)))</f>
        <v>0</v>
      </c>
      <c r="J616" s="75">
        <f>ROUNDUP(SUMIF(Questions!$E$5:$E$558,'Hours Detail'!E616,Questions!$F$5:$F$558),0)</f>
        <v>0</v>
      </c>
      <c r="K616" s="76" t="e">
        <f>IF(H616="Yes",ROUNDUP(IF(VLOOKUP(E616,'BASE_FUNCOES (hide)'!A:T,16,FALSE)&lt;&gt;"No",IF('General Information'!$C$19="HTML5",(I616+J616)*'BASE_FUNCOES (hide)'!$T$2,I616+J616),I616+J616),I616+J616),I616+J616)</f>
        <v>#N/A</v>
      </c>
      <c r="L616" s="163" t="str">
        <f>IF(ISERROR(VLOOKUP(E616,Questions!$E$5:$L$568,6,0))=FALSE,VLOOKUP(E616,Questions!$E$5:$L$568,6,0),"")</f>
        <v/>
      </c>
      <c r="M616" s="164" t="s">
        <v>2396</v>
      </c>
      <c r="N616" s="369" t="s">
        <v>2377</v>
      </c>
    </row>
    <row r="617" spans="1:14" ht="14.5" customHeight="1">
      <c r="A617" s="59"/>
      <c r="B617" s="72"/>
      <c r="C617" s="72"/>
      <c r="D617" s="73" t="e">
        <f>IF('General Information'!$C$6="Português",VLOOKUP(B617,'ESTRUTURA_MODULO(hide)'!A:D,2,0),IF('General Information'!$C$6="English",VLOOKUP(B617,'ESTRUTURA_MODULO(hide)'!A:D,3,0),IF('General Information'!$C$6="Español",VLOOKUP(B617,'ESTRUTURA_MODULO(hide)'!A:D,4,0))))</f>
        <v>#N/A</v>
      </c>
      <c r="E617" s="74"/>
      <c r="F617" s="73"/>
      <c r="G617" s="73" t="e">
        <f>IF(AND('General Information'!$D$16=1,VLOOKUP(B617,Modules!$B$5:$E$496,4,0)=1)=TRUE,VLOOKUP('Hours Detail'!E617,'BASE_FUNCOES (hide)'!$A:$V,10,0),IF(AND('General Information'!$D$16=2,VLOOKUP(B617,Modules!$B$5:$E$496,4,0)=1)=TRUE,VLOOKUP('Hours Detail'!E617,'BASE_FUNCOES (hide)'!$A:$V,11,0),IF(AND('General Information'!$D$16=3,VLOOKUP(B617,Modules!$B$5:$E$496,4,0)=1)=TRUE,VLOOKUP('Hours Detail'!E617,'BASE_FUNCOES (hide)'!$A:$V,12,0),IF(AND('General Information'!$D$16=4,VLOOKUP(B617,Modules!$B$5:$E$496,4,0)=1)=TRUE,VLOOKUP('Hours Detail'!E617,'BASE_FUNCOES (hide)'!$A:$V,13,0),IF(AND('General Information'!$D$16=5,VLOOKUP(B617,Modules!$B$5:$E$496,4,0)=1)=TRUE,VLOOKUP('Hours Detail'!E617,'BASE_FUNCOES (hide)'!$A:$V,14,0),  IF(AND('General Information'!$D$16=6,VLOOKUP(B617,Modules!$B$5:$E$496,4,0)=1)=TRUE,VLOOKUP('Hours Detail'!E617,'BASE_FUNCOES (hide)'!$A:$V,15,0),"No"))))))</f>
        <v>#N/A</v>
      </c>
      <c r="H617" s="166" t="e">
        <f t="shared" si="11"/>
        <v>#N/A</v>
      </c>
      <c r="I617" s="75">
        <f>IF('General Information'!$C$4="Mexico",(ROUNDUP(VLOOKUP(E617,'BASE_FUNCOES (hide)'!A:X,21,0),0)),(ROUNDUP(VLOOKUP(E617,'BASE_FUNCOES (hide)'!A:L,9,0),0)))</f>
        <v>0</v>
      </c>
      <c r="J617" s="75">
        <f>ROUNDUP(SUMIF(Questions!$E$5:$E$558,'Hours Detail'!E617,Questions!$F$5:$F$558),0)</f>
        <v>0</v>
      </c>
      <c r="K617" s="76" t="e">
        <f>IF(H617="Yes",ROUNDUP(IF(VLOOKUP(E617,'BASE_FUNCOES (hide)'!A:T,16,FALSE)&lt;&gt;"No",IF('General Information'!$C$19="HTML5",(I617+J617)*'BASE_FUNCOES (hide)'!$T$2,I617+J617),I617+J617),I617+J617),I617+J617)</f>
        <v>#N/A</v>
      </c>
      <c r="L617" s="163" t="str">
        <f>IF(ISERROR(VLOOKUP(E617,Questions!$E$5:$L$568,6,0))=FALSE,VLOOKUP(E617,Questions!$E$5:$L$568,6,0),"")</f>
        <v/>
      </c>
      <c r="M617" s="164" t="s">
        <v>2396</v>
      </c>
      <c r="N617" s="369" t="s">
        <v>2377</v>
      </c>
    </row>
    <row r="618" spans="1:14" ht="14.5" customHeight="1">
      <c r="A618" s="59"/>
      <c r="B618" s="72"/>
      <c r="C618" s="72"/>
      <c r="D618" s="73" t="e">
        <f>IF('General Information'!$C$6="Português",VLOOKUP(B618,'ESTRUTURA_MODULO(hide)'!A:D,2,0),IF('General Information'!$C$6="English",VLOOKUP(B618,'ESTRUTURA_MODULO(hide)'!A:D,3,0),IF('General Information'!$C$6="Español",VLOOKUP(B618,'ESTRUTURA_MODULO(hide)'!A:D,4,0))))</f>
        <v>#N/A</v>
      </c>
      <c r="E618" s="74"/>
      <c r="F618" s="73"/>
      <c r="G618" s="73" t="e">
        <f>IF(AND('General Information'!$D$16=1,VLOOKUP(B618,Modules!$B$5:$E$496,4,0)=1)=TRUE,VLOOKUP('Hours Detail'!E618,'BASE_FUNCOES (hide)'!$A:$V,10,0),IF(AND('General Information'!$D$16=2,VLOOKUP(B618,Modules!$B$5:$E$496,4,0)=1)=TRUE,VLOOKUP('Hours Detail'!E618,'BASE_FUNCOES (hide)'!$A:$V,11,0),IF(AND('General Information'!$D$16=3,VLOOKUP(B618,Modules!$B$5:$E$496,4,0)=1)=TRUE,VLOOKUP('Hours Detail'!E618,'BASE_FUNCOES (hide)'!$A:$V,12,0),IF(AND('General Information'!$D$16=4,VLOOKUP(B618,Modules!$B$5:$E$496,4,0)=1)=TRUE,VLOOKUP('Hours Detail'!E618,'BASE_FUNCOES (hide)'!$A:$V,13,0),IF(AND('General Information'!$D$16=5,VLOOKUP(B618,Modules!$B$5:$E$496,4,0)=1)=TRUE,VLOOKUP('Hours Detail'!E618,'BASE_FUNCOES (hide)'!$A:$V,14,0),  IF(AND('General Information'!$D$16=6,VLOOKUP(B618,Modules!$B$5:$E$496,4,0)=1)=TRUE,VLOOKUP('Hours Detail'!E618,'BASE_FUNCOES (hide)'!$A:$V,15,0),"No"))))))</f>
        <v>#N/A</v>
      </c>
      <c r="H618" s="166" t="e">
        <f t="shared" si="11"/>
        <v>#N/A</v>
      </c>
      <c r="I618" s="75">
        <f>IF('General Information'!$C$4="Mexico",(ROUNDUP(VLOOKUP(E618,'BASE_FUNCOES (hide)'!A:X,21,0),0)),(ROUNDUP(VLOOKUP(E618,'BASE_FUNCOES (hide)'!A:L,9,0),0)))</f>
        <v>0</v>
      </c>
      <c r="J618" s="75">
        <f>ROUNDUP(SUMIF(Questions!$E$5:$E$558,'Hours Detail'!E618,Questions!$F$5:$F$558),0)</f>
        <v>0</v>
      </c>
      <c r="K618" s="76" t="e">
        <f>IF(H618="Yes",ROUNDUP(IF(VLOOKUP(E618,'BASE_FUNCOES (hide)'!A:T,16,FALSE)&lt;&gt;"No",IF('General Information'!$C$19="HTML5",(I618+J618)*'BASE_FUNCOES (hide)'!$T$2,I618+J618),I618+J618),I618+J618),I618+J618)</f>
        <v>#N/A</v>
      </c>
      <c r="L618" s="163" t="str">
        <f>IF(ISERROR(VLOOKUP(E618,Questions!$E$5:$L$568,6,0))=FALSE,VLOOKUP(E618,Questions!$E$5:$L$568,6,0),"")</f>
        <v/>
      </c>
      <c r="M618" s="164" t="s">
        <v>2396</v>
      </c>
      <c r="N618" s="369" t="s">
        <v>2377</v>
      </c>
    </row>
    <row r="619" spans="1:14" ht="14.5" customHeight="1">
      <c r="A619" s="59"/>
      <c r="B619" s="72"/>
      <c r="C619" s="72"/>
      <c r="D619" s="73" t="e">
        <f>IF('General Information'!$C$6="Português",VLOOKUP(B619,'ESTRUTURA_MODULO(hide)'!A:D,2,0),IF('General Information'!$C$6="English",VLOOKUP(B619,'ESTRUTURA_MODULO(hide)'!A:D,3,0),IF('General Information'!$C$6="Español",VLOOKUP(B619,'ESTRUTURA_MODULO(hide)'!A:D,4,0))))</f>
        <v>#N/A</v>
      </c>
      <c r="E619" s="74"/>
      <c r="F619" s="73"/>
      <c r="G619" s="73" t="e">
        <f>IF(AND('General Information'!$D$16=1,VLOOKUP(B619,Modules!$B$5:$E$496,4,0)=1)=TRUE,VLOOKUP('Hours Detail'!E619,'BASE_FUNCOES (hide)'!$A:$V,10,0),IF(AND('General Information'!$D$16=2,VLOOKUP(B619,Modules!$B$5:$E$496,4,0)=1)=TRUE,VLOOKUP('Hours Detail'!E619,'BASE_FUNCOES (hide)'!$A:$V,11,0),IF(AND('General Information'!$D$16=3,VLOOKUP(B619,Modules!$B$5:$E$496,4,0)=1)=TRUE,VLOOKUP('Hours Detail'!E619,'BASE_FUNCOES (hide)'!$A:$V,12,0),IF(AND('General Information'!$D$16=4,VLOOKUP(B619,Modules!$B$5:$E$496,4,0)=1)=TRUE,VLOOKUP('Hours Detail'!E619,'BASE_FUNCOES (hide)'!$A:$V,13,0),IF(AND('General Information'!$D$16=5,VLOOKUP(B619,Modules!$B$5:$E$496,4,0)=1)=TRUE,VLOOKUP('Hours Detail'!E619,'BASE_FUNCOES (hide)'!$A:$V,14,0),  IF(AND('General Information'!$D$16=6,VLOOKUP(B619,Modules!$B$5:$E$496,4,0)=1)=TRUE,VLOOKUP('Hours Detail'!E619,'BASE_FUNCOES (hide)'!$A:$V,15,0),"No"))))))</f>
        <v>#N/A</v>
      </c>
      <c r="H619" s="166" t="e">
        <f t="shared" si="11"/>
        <v>#N/A</v>
      </c>
      <c r="I619" s="75">
        <f>IF('General Information'!$C$4="Mexico",(ROUNDUP(VLOOKUP(E619,'BASE_FUNCOES (hide)'!A:X,21,0),0)),(ROUNDUP(VLOOKUP(E619,'BASE_FUNCOES (hide)'!A:L,9,0),0)))</f>
        <v>0</v>
      </c>
      <c r="J619" s="75">
        <f>ROUNDUP(SUMIF(Questions!$E$5:$E$558,'Hours Detail'!E619,Questions!$F$5:$F$558),0)</f>
        <v>0</v>
      </c>
      <c r="K619" s="76" t="e">
        <f>IF(H619="Yes",ROUNDUP(IF(VLOOKUP(E619,'BASE_FUNCOES (hide)'!A:T,16,FALSE)&lt;&gt;"No",IF('General Information'!$C$19="HTML5",(I619+J619)*'BASE_FUNCOES (hide)'!$T$2,I619+J619),I619+J619),I619+J619),I619+J619)</f>
        <v>#N/A</v>
      </c>
      <c r="L619" s="163" t="str">
        <f>IF(ISERROR(VLOOKUP(E619,Questions!$E$5:$L$568,6,0))=FALSE,VLOOKUP(E619,Questions!$E$5:$L$568,6,0),"")</f>
        <v/>
      </c>
      <c r="M619" s="164" t="s">
        <v>2396</v>
      </c>
      <c r="N619" s="369" t="s">
        <v>2377</v>
      </c>
    </row>
    <row r="620" spans="1:14" ht="14.5" customHeight="1">
      <c r="A620" s="59"/>
      <c r="B620" s="72"/>
      <c r="C620" s="72"/>
      <c r="D620" s="73" t="e">
        <f>IF('General Information'!$C$6="Português",VLOOKUP(B620,'ESTRUTURA_MODULO(hide)'!A:D,2,0),IF('General Information'!$C$6="English",VLOOKUP(B620,'ESTRUTURA_MODULO(hide)'!A:D,3,0),IF('General Information'!$C$6="Español",VLOOKUP(B620,'ESTRUTURA_MODULO(hide)'!A:D,4,0))))</f>
        <v>#N/A</v>
      </c>
      <c r="E620" s="74"/>
      <c r="F620" s="73"/>
      <c r="G620" s="73" t="e">
        <f>IF(AND('General Information'!$D$16=1,VLOOKUP(B620,Modules!$B$5:$E$496,4,0)=1)=TRUE,VLOOKUP('Hours Detail'!E620,'BASE_FUNCOES (hide)'!$A:$V,10,0),IF(AND('General Information'!$D$16=2,VLOOKUP(B620,Modules!$B$5:$E$496,4,0)=1)=TRUE,VLOOKUP('Hours Detail'!E620,'BASE_FUNCOES (hide)'!$A:$V,11,0),IF(AND('General Information'!$D$16=3,VLOOKUP(B620,Modules!$B$5:$E$496,4,0)=1)=TRUE,VLOOKUP('Hours Detail'!E620,'BASE_FUNCOES (hide)'!$A:$V,12,0),IF(AND('General Information'!$D$16=4,VLOOKUP(B620,Modules!$B$5:$E$496,4,0)=1)=TRUE,VLOOKUP('Hours Detail'!E620,'BASE_FUNCOES (hide)'!$A:$V,13,0),IF(AND('General Information'!$D$16=5,VLOOKUP(B620,Modules!$B$5:$E$496,4,0)=1)=TRUE,VLOOKUP('Hours Detail'!E620,'BASE_FUNCOES (hide)'!$A:$V,14,0),  IF(AND('General Information'!$D$16=6,VLOOKUP(B620,Modules!$B$5:$E$496,4,0)=1)=TRUE,VLOOKUP('Hours Detail'!E620,'BASE_FUNCOES (hide)'!$A:$V,15,0),"No"))))))</f>
        <v>#N/A</v>
      </c>
      <c r="H620" s="166" t="e">
        <f t="shared" si="11"/>
        <v>#N/A</v>
      </c>
      <c r="I620" s="75">
        <f>IF('General Information'!$C$4="Mexico",(ROUNDUP(VLOOKUP(E620,'BASE_FUNCOES (hide)'!A:X,21,0),0)),(ROUNDUP(VLOOKUP(E620,'BASE_FUNCOES (hide)'!A:L,9,0),0)))</f>
        <v>0</v>
      </c>
      <c r="J620" s="75">
        <f>ROUNDUP(SUMIF(Questions!$E$5:$E$558,'Hours Detail'!E620,Questions!$F$5:$F$558),0)</f>
        <v>0</v>
      </c>
      <c r="K620" s="76" t="e">
        <f>IF(H620="Yes",ROUNDUP(IF(VLOOKUP(E620,'BASE_FUNCOES (hide)'!A:T,16,FALSE)&lt;&gt;"No",IF('General Information'!$C$19="HTML5",(I620+J620)*'BASE_FUNCOES (hide)'!$T$2,I620+J620),I620+J620),I620+J620),I620+J620)</f>
        <v>#N/A</v>
      </c>
      <c r="L620" s="163" t="str">
        <f>IF(ISERROR(VLOOKUP(E620,Questions!$E$5:$L$568,6,0))=FALSE,VLOOKUP(E620,Questions!$E$5:$L$568,6,0),"")</f>
        <v/>
      </c>
      <c r="M620" s="164" t="s">
        <v>2396</v>
      </c>
      <c r="N620" s="369" t="s">
        <v>2377</v>
      </c>
    </row>
    <row r="621" spans="1:14" ht="14.5" customHeight="1">
      <c r="A621" s="59"/>
      <c r="B621" s="72"/>
      <c r="C621" s="72"/>
      <c r="D621" s="73" t="e">
        <f>IF('General Information'!$C$6="Português",VLOOKUP(B621,'ESTRUTURA_MODULO(hide)'!A:D,2,0),IF('General Information'!$C$6="English",VLOOKUP(B621,'ESTRUTURA_MODULO(hide)'!A:D,3,0),IF('General Information'!$C$6="Español",VLOOKUP(B621,'ESTRUTURA_MODULO(hide)'!A:D,4,0))))</f>
        <v>#N/A</v>
      </c>
      <c r="E621" s="74"/>
      <c r="F621" s="73"/>
      <c r="G621" s="73" t="e">
        <f>IF(AND('General Information'!$D$16=1,VLOOKUP(B621,Modules!$B$5:$E$496,4,0)=1)=TRUE,VLOOKUP('Hours Detail'!E621,'BASE_FUNCOES (hide)'!$A:$V,10,0),IF(AND('General Information'!$D$16=2,VLOOKUP(B621,Modules!$B$5:$E$496,4,0)=1)=TRUE,VLOOKUP('Hours Detail'!E621,'BASE_FUNCOES (hide)'!$A:$V,11,0),IF(AND('General Information'!$D$16=3,VLOOKUP(B621,Modules!$B$5:$E$496,4,0)=1)=TRUE,VLOOKUP('Hours Detail'!E621,'BASE_FUNCOES (hide)'!$A:$V,12,0),IF(AND('General Information'!$D$16=4,VLOOKUP(B621,Modules!$B$5:$E$496,4,0)=1)=TRUE,VLOOKUP('Hours Detail'!E621,'BASE_FUNCOES (hide)'!$A:$V,13,0),IF(AND('General Information'!$D$16=5,VLOOKUP(B621,Modules!$B$5:$E$496,4,0)=1)=TRUE,VLOOKUP('Hours Detail'!E621,'BASE_FUNCOES (hide)'!$A:$V,14,0),  IF(AND('General Information'!$D$16=6,VLOOKUP(B621,Modules!$B$5:$E$496,4,0)=1)=TRUE,VLOOKUP('Hours Detail'!E621,'BASE_FUNCOES (hide)'!$A:$V,15,0),"No"))))))</f>
        <v>#N/A</v>
      </c>
      <c r="H621" s="166" t="e">
        <f t="shared" si="11"/>
        <v>#N/A</v>
      </c>
      <c r="I621" s="75">
        <f>IF('General Information'!$C$4="Mexico",(ROUNDUP(VLOOKUP(E621,'BASE_FUNCOES (hide)'!A:X,21,0),0)),(ROUNDUP(VLOOKUP(E621,'BASE_FUNCOES (hide)'!A:L,9,0),0)))</f>
        <v>0</v>
      </c>
      <c r="J621" s="75">
        <f>ROUNDUP(SUMIF(Questions!$E$5:$E$558,'Hours Detail'!E621,Questions!$F$5:$F$558),0)</f>
        <v>0</v>
      </c>
      <c r="K621" s="76" t="e">
        <f>IF(H621="Yes",ROUNDUP(IF(VLOOKUP(E621,'BASE_FUNCOES (hide)'!A:T,16,FALSE)&lt;&gt;"No",IF('General Information'!$C$19="HTML5",(I621+J621)*'BASE_FUNCOES (hide)'!$T$2,I621+J621),I621+J621),I621+J621),I621+J621)</f>
        <v>#N/A</v>
      </c>
      <c r="L621" s="163" t="str">
        <f>IF(ISERROR(VLOOKUP(E621,Questions!$E$5:$L$568,6,0))=FALSE,VLOOKUP(E621,Questions!$E$5:$L$568,6,0),"")</f>
        <v/>
      </c>
      <c r="M621" s="164" t="s">
        <v>2396</v>
      </c>
      <c r="N621" s="369" t="s">
        <v>2377</v>
      </c>
    </row>
    <row r="622" spans="1:14" ht="14.5" customHeight="1">
      <c r="A622" s="59"/>
      <c r="B622" s="72"/>
      <c r="C622" s="72"/>
      <c r="D622" s="73" t="e">
        <f>IF('General Information'!$C$6="Português",VLOOKUP(B622,'ESTRUTURA_MODULO(hide)'!A:D,2,0),IF('General Information'!$C$6="English",VLOOKUP(B622,'ESTRUTURA_MODULO(hide)'!A:D,3,0),IF('General Information'!$C$6="Español",VLOOKUP(B622,'ESTRUTURA_MODULO(hide)'!A:D,4,0))))</f>
        <v>#N/A</v>
      </c>
      <c r="E622" s="74"/>
      <c r="F622" s="73"/>
      <c r="G622" s="73" t="e">
        <f>IF(AND('General Information'!$D$16=1,VLOOKUP(B622,Modules!$B$5:$E$496,4,0)=1)=TRUE,VLOOKUP('Hours Detail'!E622,'BASE_FUNCOES (hide)'!$A:$V,10,0),IF(AND('General Information'!$D$16=2,VLOOKUP(B622,Modules!$B$5:$E$496,4,0)=1)=TRUE,VLOOKUP('Hours Detail'!E622,'BASE_FUNCOES (hide)'!$A:$V,11,0),IF(AND('General Information'!$D$16=3,VLOOKUP(B622,Modules!$B$5:$E$496,4,0)=1)=TRUE,VLOOKUP('Hours Detail'!E622,'BASE_FUNCOES (hide)'!$A:$V,12,0),IF(AND('General Information'!$D$16=4,VLOOKUP(B622,Modules!$B$5:$E$496,4,0)=1)=TRUE,VLOOKUP('Hours Detail'!E622,'BASE_FUNCOES (hide)'!$A:$V,13,0),IF(AND('General Information'!$D$16=5,VLOOKUP(B622,Modules!$B$5:$E$496,4,0)=1)=TRUE,VLOOKUP('Hours Detail'!E622,'BASE_FUNCOES (hide)'!$A:$V,14,0),  IF(AND('General Information'!$D$16=6,VLOOKUP(B622,Modules!$B$5:$E$496,4,0)=1)=TRUE,VLOOKUP('Hours Detail'!E622,'BASE_FUNCOES (hide)'!$A:$V,15,0),"No"))))))</f>
        <v>#N/A</v>
      </c>
      <c r="H622" s="166" t="e">
        <f t="shared" si="11"/>
        <v>#N/A</v>
      </c>
      <c r="I622" s="75">
        <f>IF('General Information'!$C$4="Mexico",(ROUNDUP(VLOOKUP(E622,'BASE_FUNCOES (hide)'!A:X,21,0),0)),(ROUNDUP(VLOOKUP(E622,'BASE_FUNCOES (hide)'!A:L,9,0),0)))</f>
        <v>0</v>
      </c>
      <c r="J622" s="75">
        <f>ROUNDUP(SUMIF(Questions!$E$5:$E$558,'Hours Detail'!E622,Questions!$F$5:$F$558),0)</f>
        <v>0</v>
      </c>
      <c r="K622" s="76" t="e">
        <f>IF(H622="Yes",ROUNDUP(IF(VLOOKUP(E622,'BASE_FUNCOES (hide)'!A:T,16,FALSE)&lt;&gt;"No",IF('General Information'!$C$19="HTML5",(I622+J622)*'BASE_FUNCOES (hide)'!$T$2,I622+J622),I622+J622),I622+J622),I622+J622)</f>
        <v>#N/A</v>
      </c>
      <c r="L622" s="163" t="str">
        <f>IF(ISERROR(VLOOKUP(E622,Questions!$E$5:$L$568,6,0))=FALSE,VLOOKUP(E622,Questions!$E$5:$L$568,6,0),"")</f>
        <v/>
      </c>
      <c r="M622" s="164" t="s">
        <v>2396</v>
      </c>
      <c r="N622" s="369" t="s">
        <v>2377</v>
      </c>
    </row>
    <row r="623" spans="1:14" ht="14.5" customHeight="1">
      <c r="A623" s="59"/>
      <c r="B623" s="72"/>
      <c r="C623" s="72"/>
      <c r="D623" s="73" t="e">
        <f>IF('General Information'!$C$6="Português",VLOOKUP(B623,'ESTRUTURA_MODULO(hide)'!A:D,2,0),IF('General Information'!$C$6="English",VLOOKUP(B623,'ESTRUTURA_MODULO(hide)'!A:D,3,0),IF('General Information'!$C$6="Español",VLOOKUP(B623,'ESTRUTURA_MODULO(hide)'!A:D,4,0))))</f>
        <v>#N/A</v>
      </c>
      <c r="E623" s="74"/>
      <c r="F623" s="73"/>
      <c r="G623" s="73" t="e">
        <f>IF(AND('General Information'!$D$16=1,VLOOKUP(B623,Modules!$B$5:$E$496,4,0)=1)=TRUE,VLOOKUP('Hours Detail'!E623,'BASE_FUNCOES (hide)'!$A:$V,10,0),IF(AND('General Information'!$D$16=2,VLOOKUP(B623,Modules!$B$5:$E$496,4,0)=1)=TRUE,VLOOKUP('Hours Detail'!E623,'BASE_FUNCOES (hide)'!$A:$V,11,0),IF(AND('General Information'!$D$16=3,VLOOKUP(B623,Modules!$B$5:$E$496,4,0)=1)=TRUE,VLOOKUP('Hours Detail'!E623,'BASE_FUNCOES (hide)'!$A:$V,12,0),IF(AND('General Information'!$D$16=4,VLOOKUP(B623,Modules!$B$5:$E$496,4,0)=1)=TRUE,VLOOKUP('Hours Detail'!E623,'BASE_FUNCOES (hide)'!$A:$V,13,0),IF(AND('General Information'!$D$16=5,VLOOKUP(B623,Modules!$B$5:$E$496,4,0)=1)=TRUE,VLOOKUP('Hours Detail'!E623,'BASE_FUNCOES (hide)'!$A:$V,14,0),  IF(AND('General Information'!$D$16=6,VLOOKUP(B623,Modules!$B$5:$E$496,4,0)=1)=TRUE,VLOOKUP('Hours Detail'!E623,'BASE_FUNCOES (hide)'!$A:$V,15,0),"No"))))))</f>
        <v>#N/A</v>
      </c>
      <c r="H623" s="166" t="e">
        <f t="shared" si="11"/>
        <v>#N/A</v>
      </c>
      <c r="I623" s="75">
        <f>IF('General Information'!$C$4="Mexico",(ROUNDUP(VLOOKUP(E623,'BASE_FUNCOES (hide)'!A:X,21,0),0)),(ROUNDUP(VLOOKUP(E623,'BASE_FUNCOES (hide)'!A:L,9,0),0)))</f>
        <v>0</v>
      </c>
      <c r="J623" s="75">
        <f>ROUNDUP(SUMIF(Questions!$E$5:$E$558,'Hours Detail'!E623,Questions!$F$5:$F$558),0)</f>
        <v>0</v>
      </c>
      <c r="K623" s="76" t="e">
        <f>IF(H623="Yes",ROUNDUP(IF(VLOOKUP(E623,'BASE_FUNCOES (hide)'!A:T,16,FALSE)&lt;&gt;"No",IF('General Information'!$C$19="HTML5",(I623+J623)*'BASE_FUNCOES (hide)'!$T$2,I623+J623),I623+J623),I623+J623),I623+J623)</f>
        <v>#N/A</v>
      </c>
      <c r="L623" s="163" t="str">
        <f>IF(ISERROR(VLOOKUP(E623,Questions!$E$5:$L$568,6,0))=FALSE,VLOOKUP(E623,Questions!$E$5:$L$568,6,0),"")</f>
        <v/>
      </c>
      <c r="M623" s="164" t="s">
        <v>2396</v>
      </c>
      <c r="N623" s="369" t="s">
        <v>2377</v>
      </c>
    </row>
    <row r="624" spans="1:14" ht="14.5" customHeight="1">
      <c r="A624" s="59"/>
      <c r="B624" s="72"/>
      <c r="C624" s="72"/>
      <c r="D624" s="73" t="e">
        <f>IF('General Information'!$C$6="Português",VLOOKUP(B624,'ESTRUTURA_MODULO(hide)'!A:D,2,0),IF('General Information'!$C$6="English",VLOOKUP(B624,'ESTRUTURA_MODULO(hide)'!A:D,3,0),IF('General Information'!$C$6="Español",VLOOKUP(B624,'ESTRUTURA_MODULO(hide)'!A:D,4,0))))</f>
        <v>#N/A</v>
      </c>
      <c r="E624" s="74"/>
      <c r="F624" s="73"/>
      <c r="G624" s="73" t="e">
        <f>IF(AND('General Information'!$D$16=1,VLOOKUP(B624,Modules!$B$5:$E$496,4,0)=1)=TRUE,VLOOKUP('Hours Detail'!E624,'BASE_FUNCOES (hide)'!$A:$V,10,0),IF(AND('General Information'!$D$16=2,VLOOKUP(B624,Modules!$B$5:$E$496,4,0)=1)=TRUE,VLOOKUP('Hours Detail'!E624,'BASE_FUNCOES (hide)'!$A:$V,11,0),IF(AND('General Information'!$D$16=3,VLOOKUP(B624,Modules!$B$5:$E$496,4,0)=1)=TRUE,VLOOKUP('Hours Detail'!E624,'BASE_FUNCOES (hide)'!$A:$V,12,0),IF(AND('General Information'!$D$16=4,VLOOKUP(B624,Modules!$B$5:$E$496,4,0)=1)=TRUE,VLOOKUP('Hours Detail'!E624,'BASE_FUNCOES (hide)'!$A:$V,13,0),IF(AND('General Information'!$D$16=5,VLOOKUP(B624,Modules!$B$5:$E$496,4,0)=1)=TRUE,VLOOKUP('Hours Detail'!E624,'BASE_FUNCOES (hide)'!$A:$V,14,0),  IF(AND('General Information'!$D$16=6,VLOOKUP(B624,Modules!$B$5:$E$496,4,0)=1)=TRUE,VLOOKUP('Hours Detail'!E624,'BASE_FUNCOES (hide)'!$A:$V,15,0),"No"))))))</f>
        <v>#N/A</v>
      </c>
      <c r="H624" s="166" t="e">
        <f t="shared" si="11"/>
        <v>#N/A</v>
      </c>
      <c r="I624" s="75">
        <f>IF('General Information'!$C$4="Mexico",(ROUNDUP(VLOOKUP(E624,'BASE_FUNCOES (hide)'!A:X,21,0),0)),(ROUNDUP(VLOOKUP(E624,'BASE_FUNCOES (hide)'!A:L,9,0),0)))</f>
        <v>0</v>
      </c>
      <c r="J624" s="75">
        <f>ROUNDUP(SUMIF(Questions!$E$5:$E$558,'Hours Detail'!E624,Questions!$F$5:$F$558),0)</f>
        <v>0</v>
      </c>
      <c r="K624" s="76" t="e">
        <f>IF(H624="Yes",ROUNDUP(IF(VLOOKUP(E624,'BASE_FUNCOES (hide)'!A:T,16,FALSE)&lt;&gt;"No",IF('General Information'!$C$19="HTML5",(I624+J624)*'BASE_FUNCOES (hide)'!$T$2,I624+J624),I624+J624),I624+J624),I624+J624)</f>
        <v>#N/A</v>
      </c>
      <c r="L624" s="163" t="str">
        <f>IF(ISERROR(VLOOKUP(E624,Questions!$E$5:$L$568,6,0))=FALSE,VLOOKUP(E624,Questions!$E$5:$L$568,6,0),"")</f>
        <v/>
      </c>
      <c r="M624" s="164" t="s">
        <v>2396</v>
      </c>
      <c r="N624" s="369" t="s">
        <v>2377</v>
      </c>
    </row>
    <row r="625" spans="1:14" ht="14.5" customHeight="1">
      <c r="A625" s="59"/>
      <c r="B625" s="72"/>
      <c r="C625" s="72"/>
      <c r="D625" s="73" t="e">
        <f>IF('General Information'!$C$6="Português",VLOOKUP(B625,'ESTRUTURA_MODULO(hide)'!A:D,2,0),IF('General Information'!$C$6="English",VLOOKUP(B625,'ESTRUTURA_MODULO(hide)'!A:D,3,0),IF('General Information'!$C$6="Español",VLOOKUP(B625,'ESTRUTURA_MODULO(hide)'!A:D,4,0))))</f>
        <v>#N/A</v>
      </c>
      <c r="E625" s="74"/>
      <c r="F625" s="73"/>
      <c r="G625" s="73" t="e">
        <f>IF(AND('General Information'!$D$16=1,VLOOKUP(B625,Modules!$B$5:$E$496,4,0)=1)=TRUE,VLOOKUP('Hours Detail'!E625,'BASE_FUNCOES (hide)'!$A:$V,10,0),IF(AND('General Information'!$D$16=2,VLOOKUP(B625,Modules!$B$5:$E$496,4,0)=1)=TRUE,VLOOKUP('Hours Detail'!E625,'BASE_FUNCOES (hide)'!$A:$V,11,0),IF(AND('General Information'!$D$16=3,VLOOKUP(B625,Modules!$B$5:$E$496,4,0)=1)=TRUE,VLOOKUP('Hours Detail'!E625,'BASE_FUNCOES (hide)'!$A:$V,12,0),IF(AND('General Information'!$D$16=4,VLOOKUP(B625,Modules!$B$5:$E$496,4,0)=1)=TRUE,VLOOKUP('Hours Detail'!E625,'BASE_FUNCOES (hide)'!$A:$V,13,0),IF(AND('General Information'!$D$16=5,VLOOKUP(B625,Modules!$B$5:$E$496,4,0)=1)=TRUE,VLOOKUP('Hours Detail'!E625,'BASE_FUNCOES (hide)'!$A:$V,14,0),  IF(AND('General Information'!$D$16=6,VLOOKUP(B625,Modules!$B$5:$E$496,4,0)=1)=TRUE,VLOOKUP('Hours Detail'!E625,'BASE_FUNCOES (hide)'!$A:$V,15,0),"No"))))))</f>
        <v>#N/A</v>
      </c>
      <c r="H625" s="166" t="e">
        <f t="shared" si="11"/>
        <v>#N/A</v>
      </c>
      <c r="I625" s="75">
        <f>IF('General Information'!$C$4="Mexico",(ROUNDUP(VLOOKUP(E625,'BASE_FUNCOES (hide)'!A:X,21,0),0)),(ROUNDUP(VLOOKUP(E625,'BASE_FUNCOES (hide)'!A:L,9,0),0)))</f>
        <v>0</v>
      </c>
      <c r="J625" s="75">
        <f>ROUNDUP(SUMIF(Questions!$E$5:$E$558,'Hours Detail'!E625,Questions!$F$5:$F$558),0)</f>
        <v>0</v>
      </c>
      <c r="K625" s="76" t="e">
        <f>IF(H625="Yes",ROUNDUP(IF(VLOOKUP(E625,'BASE_FUNCOES (hide)'!A:T,16,FALSE)&lt;&gt;"No",IF('General Information'!$C$19="HTML5",(I625+J625)*'BASE_FUNCOES (hide)'!$T$2,I625+J625),I625+J625),I625+J625),I625+J625)</f>
        <v>#N/A</v>
      </c>
      <c r="L625" s="163" t="str">
        <f>IF(ISERROR(VLOOKUP(E625,Questions!$E$5:$L$568,6,0))=FALSE,VLOOKUP(E625,Questions!$E$5:$L$568,6,0),"")</f>
        <v/>
      </c>
      <c r="M625" s="164" t="s">
        <v>2396</v>
      </c>
      <c r="N625" s="369" t="s">
        <v>2377</v>
      </c>
    </row>
    <row r="626" spans="1:14" ht="14.5" customHeight="1">
      <c r="A626" s="59"/>
      <c r="B626" s="72"/>
      <c r="C626" s="72"/>
      <c r="D626" s="73" t="e">
        <f>IF('General Information'!$C$6="Português",VLOOKUP(B626,'ESTRUTURA_MODULO(hide)'!A:D,2,0),IF('General Information'!$C$6="English",VLOOKUP(B626,'ESTRUTURA_MODULO(hide)'!A:D,3,0),IF('General Information'!$C$6="Español",VLOOKUP(B626,'ESTRUTURA_MODULO(hide)'!A:D,4,0))))</f>
        <v>#N/A</v>
      </c>
      <c r="E626" s="74"/>
      <c r="F626" s="73"/>
      <c r="G626" s="73" t="e">
        <f>IF(AND('General Information'!$D$16=1,VLOOKUP(B626,Modules!$B$5:$E$496,4,0)=1)=TRUE,VLOOKUP('Hours Detail'!E626,'BASE_FUNCOES (hide)'!$A:$V,10,0),IF(AND('General Information'!$D$16=2,VLOOKUP(B626,Modules!$B$5:$E$496,4,0)=1)=TRUE,VLOOKUP('Hours Detail'!E626,'BASE_FUNCOES (hide)'!$A:$V,11,0),IF(AND('General Information'!$D$16=3,VLOOKUP(B626,Modules!$B$5:$E$496,4,0)=1)=TRUE,VLOOKUP('Hours Detail'!E626,'BASE_FUNCOES (hide)'!$A:$V,12,0),IF(AND('General Information'!$D$16=4,VLOOKUP(B626,Modules!$B$5:$E$496,4,0)=1)=TRUE,VLOOKUP('Hours Detail'!E626,'BASE_FUNCOES (hide)'!$A:$V,13,0),IF(AND('General Information'!$D$16=5,VLOOKUP(B626,Modules!$B$5:$E$496,4,0)=1)=TRUE,VLOOKUP('Hours Detail'!E626,'BASE_FUNCOES (hide)'!$A:$V,14,0),  IF(AND('General Information'!$D$16=6,VLOOKUP(B626,Modules!$B$5:$E$496,4,0)=1)=TRUE,VLOOKUP('Hours Detail'!E626,'BASE_FUNCOES (hide)'!$A:$V,15,0),"No"))))))</f>
        <v>#N/A</v>
      </c>
      <c r="H626" s="166" t="e">
        <f t="shared" si="11"/>
        <v>#N/A</v>
      </c>
      <c r="I626" s="75">
        <f>IF('General Information'!$C$4="Mexico",(ROUNDUP(VLOOKUP(E626,'BASE_FUNCOES (hide)'!A:X,21,0),0)),(ROUNDUP(VLOOKUP(E626,'BASE_FUNCOES (hide)'!A:L,9,0),0)))</f>
        <v>0</v>
      </c>
      <c r="J626" s="75">
        <f>ROUNDUP(SUMIF(Questions!$E$5:$E$558,'Hours Detail'!E626,Questions!$F$5:$F$558),0)</f>
        <v>0</v>
      </c>
      <c r="K626" s="76" t="e">
        <f>IF(H626="Yes",ROUNDUP(IF(VLOOKUP(E626,'BASE_FUNCOES (hide)'!A:T,16,FALSE)&lt;&gt;"No",IF('General Information'!$C$19="HTML5",(I626+J626)*'BASE_FUNCOES (hide)'!$T$2,I626+J626),I626+J626),I626+J626),I626+J626)</f>
        <v>#N/A</v>
      </c>
      <c r="L626" s="163" t="str">
        <f>IF(ISERROR(VLOOKUP(E626,Questions!$E$5:$L$568,6,0))=FALSE,VLOOKUP(E626,Questions!$E$5:$L$568,6,0),"")</f>
        <v/>
      </c>
      <c r="M626" s="164" t="s">
        <v>2396</v>
      </c>
      <c r="N626" s="369" t="s">
        <v>2377</v>
      </c>
    </row>
    <row r="627" spans="1:14" ht="14.5" customHeight="1">
      <c r="A627" s="59"/>
      <c r="B627" s="72"/>
      <c r="C627" s="72"/>
      <c r="D627" s="73" t="e">
        <f>IF('General Information'!$C$6="Português",VLOOKUP(B627,'ESTRUTURA_MODULO(hide)'!A:D,2,0),IF('General Information'!$C$6="English",VLOOKUP(B627,'ESTRUTURA_MODULO(hide)'!A:D,3,0),IF('General Information'!$C$6="Español",VLOOKUP(B627,'ESTRUTURA_MODULO(hide)'!A:D,4,0))))</f>
        <v>#N/A</v>
      </c>
      <c r="E627" s="74"/>
      <c r="F627" s="73"/>
      <c r="G627" s="73" t="e">
        <f>IF(AND('General Information'!$D$16=1,VLOOKUP(B627,Modules!$B$5:$E$496,4,0)=1)=TRUE,VLOOKUP('Hours Detail'!E627,'BASE_FUNCOES (hide)'!$A:$V,10,0),IF(AND('General Information'!$D$16=2,VLOOKUP(B627,Modules!$B$5:$E$496,4,0)=1)=TRUE,VLOOKUP('Hours Detail'!E627,'BASE_FUNCOES (hide)'!$A:$V,11,0),IF(AND('General Information'!$D$16=3,VLOOKUP(B627,Modules!$B$5:$E$496,4,0)=1)=TRUE,VLOOKUP('Hours Detail'!E627,'BASE_FUNCOES (hide)'!$A:$V,12,0),IF(AND('General Information'!$D$16=4,VLOOKUP(B627,Modules!$B$5:$E$496,4,0)=1)=TRUE,VLOOKUP('Hours Detail'!E627,'BASE_FUNCOES (hide)'!$A:$V,13,0),IF(AND('General Information'!$D$16=5,VLOOKUP(B627,Modules!$B$5:$E$496,4,0)=1)=TRUE,VLOOKUP('Hours Detail'!E627,'BASE_FUNCOES (hide)'!$A:$V,14,0),  IF(AND('General Information'!$D$16=6,VLOOKUP(B627,Modules!$B$5:$E$496,4,0)=1)=TRUE,VLOOKUP('Hours Detail'!E627,'BASE_FUNCOES (hide)'!$A:$V,15,0),"No"))))))</f>
        <v>#N/A</v>
      </c>
      <c r="H627" s="166" t="e">
        <f t="shared" si="11"/>
        <v>#N/A</v>
      </c>
      <c r="I627" s="75">
        <f>IF('General Information'!$C$4="Mexico",(ROUNDUP(VLOOKUP(E627,'BASE_FUNCOES (hide)'!A:X,21,0),0)),(ROUNDUP(VLOOKUP(E627,'BASE_FUNCOES (hide)'!A:L,9,0),0)))</f>
        <v>0</v>
      </c>
      <c r="J627" s="75">
        <f>ROUNDUP(SUMIF(Questions!$E$5:$E$558,'Hours Detail'!E627,Questions!$F$5:$F$558),0)</f>
        <v>0</v>
      </c>
      <c r="K627" s="76" t="e">
        <f>IF(H627="Yes",ROUNDUP(IF(VLOOKUP(E627,'BASE_FUNCOES (hide)'!A:T,16,FALSE)&lt;&gt;"No",IF('General Information'!$C$19="HTML5",(I627+J627)*'BASE_FUNCOES (hide)'!$T$2,I627+J627),I627+J627),I627+J627),I627+J627)</f>
        <v>#N/A</v>
      </c>
      <c r="L627" s="163" t="str">
        <f>IF(ISERROR(VLOOKUP(E627,Questions!$E$5:$L$568,6,0))=FALSE,VLOOKUP(E627,Questions!$E$5:$L$568,6,0),"")</f>
        <v/>
      </c>
      <c r="M627" s="164" t="s">
        <v>2396</v>
      </c>
      <c r="N627" s="369" t="s">
        <v>2377</v>
      </c>
    </row>
    <row r="628" spans="1:14" ht="14.5" customHeight="1">
      <c r="A628" s="59"/>
      <c r="B628" s="72"/>
      <c r="C628" s="72"/>
      <c r="D628" s="73" t="e">
        <f>IF('General Information'!$C$6="Português",VLOOKUP(B628,'ESTRUTURA_MODULO(hide)'!A:D,2,0),IF('General Information'!$C$6="English",VLOOKUP(B628,'ESTRUTURA_MODULO(hide)'!A:D,3,0),IF('General Information'!$C$6="Español",VLOOKUP(B628,'ESTRUTURA_MODULO(hide)'!A:D,4,0))))</f>
        <v>#N/A</v>
      </c>
      <c r="E628" s="74"/>
      <c r="F628" s="73"/>
      <c r="G628" s="73" t="e">
        <f>IF(AND('General Information'!$D$16=1,VLOOKUP(B628,Modules!$B$5:$E$496,4,0)=1)=TRUE,VLOOKUP('Hours Detail'!E628,'BASE_FUNCOES (hide)'!$A:$V,10,0),IF(AND('General Information'!$D$16=2,VLOOKUP(B628,Modules!$B$5:$E$496,4,0)=1)=TRUE,VLOOKUP('Hours Detail'!E628,'BASE_FUNCOES (hide)'!$A:$V,11,0),IF(AND('General Information'!$D$16=3,VLOOKUP(B628,Modules!$B$5:$E$496,4,0)=1)=TRUE,VLOOKUP('Hours Detail'!E628,'BASE_FUNCOES (hide)'!$A:$V,12,0),IF(AND('General Information'!$D$16=4,VLOOKUP(B628,Modules!$B$5:$E$496,4,0)=1)=TRUE,VLOOKUP('Hours Detail'!E628,'BASE_FUNCOES (hide)'!$A:$V,13,0),IF(AND('General Information'!$D$16=5,VLOOKUP(B628,Modules!$B$5:$E$496,4,0)=1)=TRUE,VLOOKUP('Hours Detail'!E628,'BASE_FUNCOES (hide)'!$A:$V,14,0),  IF(AND('General Information'!$D$16=6,VLOOKUP(B628,Modules!$B$5:$E$496,4,0)=1)=TRUE,VLOOKUP('Hours Detail'!E628,'BASE_FUNCOES (hide)'!$A:$V,15,0),"No"))))))</f>
        <v>#N/A</v>
      </c>
      <c r="H628" s="166" t="e">
        <f t="shared" si="11"/>
        <v>#N/A</v>
      </c>
      <c r="I628" s="75">
        <f>IF('General Information'!$C$4="Mexico",(ROUNDUP(VLOOKUP(E628,'BASE_FUNCOES (hide)'!A:X,21,0),0)),(ROUNDUP(VLOOKUP(E628,'BASE_FUNCOES (hide)'!A:L,9,0),0)))</f>
        <v>0</v>
      </c>
      <c r="J628" s="75">
        <f>ROUNDUP(SUMIF(Questions!$E$5:$E$558,'Hours Detail'!E628,Questions!$F$5:$F$558),0)</f>
        <v>0</v>
      </c>
      <c r="K628" s="76" t="e">
        <f>IF(H628="Yes",ROUNDUP(IF(VLOOKUP(E628,'BASE_FUNCOES (hide)'!A:T,16,FALSE)&lt;&gt;"No",IF('General Information'!$C$19="HTML5",(I628+J628)*'BASE_FUNCOES (hide)'!$T$2,I628+J628),I628+J628),I628+J628),I628+J628)</f>
        <v>#N/A</v>
      </c>
      <c r="L628" s="163" t="str">
        <f>IF(ISERROR(VLOOKUP(E628,Questions!$E$5:$L$568,6,0))=FALSE,VLOOKUP(E628,Questions!$E$5:$L$568,6,0),"")</f>
        <v/>
      </c>
      <c r="M628" s="164" t="s">
        <v>2396</v>
      </c>
      <c r="N628" s="369" t="s">
        <v>2377</v>
      </c>
    </row>
    <row r="629" spans="1:14" ht="14.5" customHeight="1">
      <c r="A629" s="59"/>
      <c r="B629" s="72"/>
      <c r="C629" s="72"/>
      <c r="D629" s="73" t="e">
        <f>IF('General Information'!$C$6="Português",VLOOKUP(B629,'ESTRUTURA_MODULO(hide)'!A:D,2,0),IF('General Information'!$C$6="English",VLOOKUP(B629,'ESTRUTURA_MODULO(hide)'!A:D,3,0),IF('General Information'!$C$6="Español",VLOOKUP(B629,'ESTRUTURA_MODULO(hide)'!A:D,4,0))))</f>
        <v>#N/A</v>
      </c>
      <c r="E629" s="74"/>
      <c r="F629" s="73"/>
      <c r="G629" s="73" t="e">
        <f>IF(AND('General Information'!$D$16=1,VLOOKUP(B629,Modules!$B$5:$E$496,4,0)=1)=TRUE,VLOOKUP('Hours Detail'!E629,'BASE_FUNCOES (hide)'!$A:$V,10,0),IF(AND('General Information'!$D$16=2,VLOOKUP(B629,Modules!$B$5:$E$496,4,0)=1)=TRUE,VLOOKUP('Hours Detail'!E629,'BASE_FUNCOES (hide)'!$A:$V,11,0),IF(AND('General Information'!$D$16=3,VLOOKUP(B629,Modules!$B$5:$E$496,4,0)=1)=TRUE,VLOOKUP('Hours Detail'!E629,'BASE_FUNCOES (hide)'!$A:$V,12,0),IF(AND('General Information'!$D$16=4,VLOOKUP(B629,Modules!$B$5:$E$496,4,0)=1)=TRUE,VLOOKUP('Hours Detail'!E629,'BASE_FUNCOES (hide)'!$A:$V,13,0),IF(AND('General Information'!$D$16=5,VLOOKUP(B629,Modules!$B$5:$E$496,4,0)=1)=TRUE,VLOOKUP('Hours Detail'!E629,'BASE_FUNCOES (hide)'!$A:$V,14,0),  IF(AND('General Information'!$D$16=6,VLOOKUP(B629,Modules!$B$5:$E$496,4,0)=1)=TRUE,VLOOKUP('Hours Detail'!E629,'BASE_FUNCOES (hide)'!$A:$V,15,0),"No"))))))</f>
        <v>#N/A</v>
      </c>
      <c r="H629" s="166" t="e">
        <f t="shared" si="11"/>
        <v>#N/A</v>
      </c>
      <c r="I629" s="75">
        <f>IF('General Information'!$C$4="Mexico",(ROUNDUP(VLOOKUP(E629,'BASE_FUNCOES (hide)'!A:X,21,0),0)),(ROUNDUP(VLOOKUP(E629,'BASE_FUNCOES (hide)'!A:L,9,0),0)))</f>
        <v>0</v>
      </c>
      <c r="J629" s="75">
        <f>ROUNDUP(SUMIF(Questions!$E$5:$E$558,'Hours Detail'!E629,Questions!$F$5:$F$558),0)</f>
        <v>0</v>
      </c>
      <c r="K629" s="76" t="e">
        <f>IF(H629="Yes",ROUNDUP(IF(VLOOKUP(E629,'BASE_FUNCOES (hide)'!A:T,16,FALSE)&lt;&gt;"No",IF('General Information'!$C$19="HTML5",(I629+J629)*'BASE_FUNCOES (hide)'!$T$2,I629+J629),I629+J629),I629+J629),I629+J629)</f>
        <v>#N/A</v>
      </c>
      <c r="L629" s="163" t="str">
        <f>IF(ISERROR(VLOOKUP(E629,Questions!$E$5:$L$568,6,0))=FALSE,VLOOKUP(E629,Questions!$E$5:$L$568,6,0),"")</f>
        <v/>
      </c>
      <c r="M629" s="164" t="s">
        <v>2396</v>
      </c>
      <c r="N629" s="369" t="s">
        <v>2377</v>
      </c>
    </row>
    <row r="630" spans="1:14" ht="14.5" customHeight="1">
      <c r="A630" s="59"/>
      <c r="B630" s="72"/>
      <c r="C630" s="72"/>
      <c r="D630" s="73" t="e">
        <f>IF('General Information'!$C$6="Português",VLOOKUP(B630,'ESTRUTURA_MODULO(hide)'!A:D,2,0),IF('General Information'!$C$6="English",VLOOKUP(B630,'ESTRUTURA_MODULO(hide)'!A:D,3,0),IF('General Information'!$C$6="Español",VLOOKUP(B630,'ESTRUTURA_MODULO(hide)'!A:D,4,0))))</f>
        <v>#N/A</v>
      </c>
      <c r="E630" s="74"/>
      <c r="F630" s="73"/>
      <c r="G630" s="73" t="e">
        <f>IF(AND('General Information'!$D$16=1,VLOOKUP(B630,Modules!$B$5:$E$496,4,0)=1)=TRUE,VLOOKUP('Hours Detail'!E630,'BASE_FUNCOES (hide)'!$A:$V,10,0),IF(AND('General Information'!$D$16=2,VLOOKUP(B630,Modules!$B$5:$E$496,4,0)=1)=TRUE,VLOOKUP('Hours Detail'!E630,'BASE_FUNCOES (hide)'!$A:$V,11,0),IF(AND('General Information'!$D$16=3,VLOOKUP(B630,Modules!$B$5:$E$496,4,0)=1)=TRUE,VLOOKUP('Hours Detail'!E630,'BASE_FUNCOES (hide)'!$A:$V,12,0),IF(AND('General Information'!$D$16=4,VLOOKUP(B630,Modules!$B$5:$E$496,4,0)=1)=TRUE,VLOOKUP('Hours Detail'!E630,'BASE_FUNCOES (hide)'!$A:$V,13,0),IF(AND('General Information'!$D$16=5,VLOOKUP(B630,Modules!$B$5:$E$496,4,0)=1)=TRUE,VLOOKUP('Hours Detail'!E630,'BASE_FUNCOES (hide)'!$A:$V,14,0),  IF(AND('General Information'!$D$16=6,VLOOKUP(B630,Modules!$B$5:$E$496,4,0)=1)=TRUE,VLOOKUP('Hours Detail'!E630,'BASE_FUNCOES (hide)'!$A:$V,15,0),"No"))))))</f>
        <v>#N/A</v>
      </c>
      <c r="H630" s="166" t="e">
        <f t="shared" si="11"/>
        <v>#N/A</v>
      </c>
      <c r="I630" s="75">
        <f>IF('General Information'!$C$4="Mexico",(ROUNDUP(VLOOKUP(E630,'BASE_FUNCOES (hide)'!A:X,21,0),0)),(ROUNDUP(VLOOKUP(E630,'BASE_FUNCOES (hide)'!A:L,9,0),0)))</f>
        <v>0</v>
      </c>
      <c r="J630" s="75">
        <f>ROUNDUP(SUMIF(Questions!$E$5:$E$558,'Hours Detail'!E630,Questions!$F$5:$F$558),0)</f>
        <v>0</v>
      </c>
      <c r="K630" s="76" t="e">
        <f>IF(H630="Yes",ROUNDUP(IF(VLOOKUP(E630,'BASE_FUNCOES (hide)'!A:T,16,FALSE)&lt;&gt;"No",IF('General Information'!$C$19="HTML5",(I630+J630)*'BASE_FUNCOES (hide)'!$T$2,I630+J630),I630+J630),I630+J630),I630+J630)</f>
        <v>#N/A</v>
      </c>
      <c r="L630" s="163" t="str">
        <f>IF(ISERROR(VLOOKUP(E630,Questions!$E$5:$L$568,6,0))=FALSE,VLOOKUP(E630,Questions!$E$5:$L$568,6,0),"")</f>
        <v/>
      </c>
      <c r="M630" s="164" t="s">
        <v>2396</v>
      </c>
      <c r="N630" s="369" t="s">
        <v>2377</v>
      </c>
    </row>
    <row r="631" spans="1:14" ht="14.5" customHeight="1">
      <c r="A631" s="59"/>
      <c r="B631" s="72"/>
      <c r="C631" s="72"/>
      <c r="D631" s="73" t="e">
        <f>IF('General Information'!$C$6="Português",VLOOKUP(B631,'ESTRUTURA_MODULO(hide)'!A:D,2,0),IF('General Information'!$C$6="English",VLOOKUP(B631,'ESTRUTURA_MODULO(hide)'!A:D,3,0),IF('General Information'!$C$6="Español",VLOOKUP(B631,'ESTRUTURA_MODULO(hide)'!A:D,4,0))))</f>
        <v>#N/A</v>
      </c>
      <c r="E631" s="74"/>
      <c r="F631" s="73"/>
      <c r="G631" s="73" t="e">
        <f>IF(AND('General Information'!$D$16=1,VLOOKUP(B631,Modules!$B$5:$E$496,4,0)=1)=TRUE,VLOOKUP('Hours Detail'!E631,'BASE_FUNCOES (hide)'!$A:$V,10,0),IF(AND('General Information'!$D$16=2,VLOOKUP(B631,Modules!$B$5:$E$496,4,0)=1)=TRUE,VLOOKUP('Hours Detail'!E631,'BASE_FUNCOES (hide)'!$A:$V,11,0),IF(AND('General Information'!$D$16=3,VLOOKUP(B631,Modules!$B$5:$E$496,4,0)=1)=TRUE,VLOOKUP('Hours Detail'!E631,'BASE_FUNCOES (hide)'!$A:$V,12,0),IF(AND('General Information'!$D$16=4,VLOOKUP(B631,Modules!$B$5:$E$496,4,0)=1)=TRUE,VLOOKUP('Hours Detail'!E631,'BASE_FUNCOES (hide)'!$A:$V,13,0),IF(AND('General Information'!$D$16=5,VLOOKUP(B631,Modules!$B$5:$E$496,4,0)=1)=TRUE,VLOOKUP('Hours Detail'!E631,'BASE_FUNCOES (hide)'!$A:$V,14,0),  IF(AND('General Information'!$D$16=6,VLOOKUP(B631,Modules!$B$5:$E$496,4,0)=1)=TRUE,VLOOKUP('Hours Detail'!E631,'BASE_FUNCOES (hide)'!$A:$V,15,0),"No"))))))</f>
        <v>#N/A</v>
      </c>
      <c r="H631" s="166" t="e">
        <f t="shared" si="11"/>
        <v>#N/A</v>
      </c>
      <c r="I631" s="75">
        <f>IF('General Information'!$C$4="Mexico",(ROUNDUP(VLOOKUP(E631,'BASE_FUNCOES (hide)'!A:X,21,0),0)),(ROUNDUP(VLOOKUP(E631,'BASE_FUNCOES (hide)'!A:L,9,0),0)))</f>
        <v>0</v>
      </c>
      <c r="J631" s="75">
        <f>ROUNDUP(SUMIF(Questions!$E$5:$E$558,'Hours Detail'!E631,Questions!$F$5:$F$558),0)</f>
        <v>0</v>
      </c>
      <c r="K631" s="76" t="e">
        <f>IF(H631="Yes",ROUNDUP(IF(VLOOKUP(E631,'BASE_FUNCOES (hide)'!A:T,16,FALSE)&lt;&gt;"No",IF('General Information'!$C$19="HTML5",(I631+J631)*'BASE_FUNCOES (hide)'!$T$2,I631+J631),I631+J631),I631+J631),I631+J631)</f>
        <v>#N/A</v>
      </c>
      <c r="L631" s="163" t="str">
        <f>IF(ISERROR(VLOOKUP(E631,Questions!$E$5:$L$568,6,0))=FALSE,VLOOKUP(E631,Questions!$E$5:$L$568,6,0),"")</f>
        <v/>
      </c>
      <c r="M631" s="164" t="s">
        <v>2396</v>
      </c>
      <c r="N631" s="369" t="s">
        <v>2377</v>
      </c>
    </row>
    <row r="632" spans="1:14" ht="14.5" customHeight="1">
      <c r="A632" s="59"/>
      <c r="B632" s="72"/>
      <c r="C632" s="72"/>
      <c r="D632" s="73" t="e">
        <f>IF('General Information'!$C$6="Português",VLOOKUP(B632,'ESTRUTURA_MODULO(hide)'!A:D,2,0),IF('General Information'!$C$6="English",VLOOKUP(B632,'ESTRUTURA_MODULO(hide)'!A:D,3,0),IF('General Information'!$C$6="Español",VLOOKUP(B632,'ESTRUTURA_MODULO(hide)'!A:D,4,0))))</f>
        <v>#N/A</v>
      </c>
      <c r="E632" s="74"/>
      <c r="F632" s="73"/>
      <c r="G632" s="73" t="e">
        <f>IF(AND('General Information'!$D$16=1,VLOOKUP(B632,Modules!$B$5:$E$496,4,0)=1)=TRUE,VLOOKUP('Hours Detail'!E632,'BASE_FUNCOES (hide)'!$A:$V,10,0),IF(AND('General Information'!$D$16=2,VLOOKUP(B632,Modules!$B$5:$E$496,4,0)=1)=TRUE,VLOOKUP('Hours Detail'!E632,'BASE_FUNCOES (hide)'!$A:$V,11,0),IF(AND('General Information'!$D$16=3,VLOOKUP(B632,Modules!$B$5:$E$496,4,0)=1)=TRUE,VLOOKUP('Hours Detail'!E632,'BASE_FUNCOES (hide)'!$A:$V,12,0),IF(AND('General Information'!$D$16=4,VLOOKUP(B632,Modules!$B$5:$E$496,4,0)=1)=TRUE,VLOOKUP('Hours Detail'!E632,'BASE_FUNCOES (hide)'!$A:$V,13,0),IF(AND('General Information'!$D$16=5,VLOOKUP(B632,Modules!$B$5:$E$496,4,0)=1)=TRUE,VLOOKUP('Hours Detail'!E632,'BASE_FUNCOES (hide)'!$A:$V,14,0),  IF(AND('General Information'!$D$16=6,VLOOKUP(B632,Modules!$B$5:$E$496,4,0)=1)=TRUE,VLOOKUP('Hours Detail'!E632,'BASE_FUNCOES (hide)'!$A:$V,15,0),"No"))))))</f>
        <v>#N/A</v>
      </c>
      <c r="H632" s="166" t="e">
        <f t="shared" si="11"/>
        <v>#N/A</v>
      </c>
      <c r="I632" s="75">
        <f>IF('General Information'!$C$4="Mexico",(ROUNDUP(VLOOKUP(E632,'BASE_FUNCOES (hide)'!A:X,21,0),0)),(ROUNDUP(VLOOKUP(E632,'BASE_FUNCOES (hide)'!A:L,9,0),0)))</f>
        <v>0</v>
      </c>
      <c r="J632" s="75">
        <f>ROUNDUP(SUMIF(Questions!$E$5:$E$558,'Hours Detail'!E632,Questions!$F$5:$F$558),0)</f>
        <v>0</v>
      </c>
      <c r="K632" s="76" t="e">
        <f>IF(H632="Yes",ROUNDUP(IF(VLOOKUP(E632,'BASE_FUNCOES (hide)'!A:T,16,FALSE)&lt;&gt;"No",IF('General Information'!$C$19="HTML5",(I632+J632)*'BASE_FUNCOES (hide)'!$T$2,I632+J632),I632+J632),I632+J632),I632+J632)</f>
        <v>#N/A</v>
      </c>
      <c r="L632" s="163" t="str">
        <f>IF(ISERROR(VLOOKUP(E632,Questions!$E$5:$L$568,6,0))=FALSE,VLOOKUP(E632,Questions!$E$5:$L$568,6,0),"")</f>
        <v/>
      </c>
      <c r="M632" s="164" t="s">
        <v>2396</v>
      </c>
      <c r="N632" s="369" t="s">
        <v>2377</v>
      </c>
    </row>
    <row r="633" spans="1:14" ht="14.5" customHeight="1">
      <c r="A633" s="59"/>
      <c r="B633" s="72"/>
      <c r="C633" s="72"/>
      <c r="D633" s="73" t="e">
        <f>IF('General Information'!$C$6="Português",VLOOKUP(B633,'ESTRUTURA_MODULO(hide)'!A:D,2,0),IF('General Information'!$C$6="English",VLOOKUP(B633,'ESTRUTURA_MODULO(hide)'!A:D,3,0),IF('General Information'!$C$6="Español",VLOOKUP(B633,'ESTRUTURA_MODULO(hide)'!A:D,4,0))))</f>
        <v>#N/A</v>
      </c>
      <c r="E633" s="74"/>
      <c r="F633" s="73"/>
      <c r="G633" s="73" t="e">
        <f>IF(AND('General Information'!$D$16=1,VLOOKUP(B633,Modules!$B$5:$E$496,4,0)=1)=TRUE,VLOOKUP('Hours Detail'!E633,'BASE_FUNCOES (hide)'!$A:$V,10,0),IF(AND('General Information'!$D$16=2,VLOOKUP(B633,Modules!$B$5:$E$496,4,0)=1)=TRUE,VLOOKUP('Hours Detail'!E633,'BASE_FUNCOES (hide)'!$A:$V,11,0),IF(AND('General Information'!$D$16=3,VLOOKUP(B633,Modules!$B$5:$E$496,4,0)=1)=TRUE,VLOOKUP('Hours Detail'!E633,'BASE_FUNCOES (hide)'!$A:$V,12,0),IF(AND('General Information'!$D$16=4,VLOOKUP(B633,Modules!$B$5:$E$496,4,0)=1)=TRUE,VLOOKUP('Hours Detail'!E633,'BASE_FUNCOES (hide)'!$A:$V,13,0),IF(AND('General Information'!$D$16=5,VLOOKUP(B633,Modules!$B$5:$E$496,4,0)=1)=TRUE,VLOOKUP('Hours Detail'!E633,'BASE_FUNCOES (hide)'!$A:$V,14,0),  IF(AND('General Information'!$D$16=6,VLOOKUP(B633,Modules!$B$5:$E$496,4,0)=1)=TRUE,VLOOKUP('Hours Detail'!E633,'BASE_FUNCOES (hide)'!$A:$V,15,0),"No"))))))</f>
        <v>#N/A</v>
      </c>
      <c r="H633" s="166" t="e">
        <f t="shared" si="11"/>
        <v>#N/A</v>
      </c>
      <c r="I633" s="75">
        <f>IF('General Information'!$C$4="Mexico",(ROUNDUP(VLOOKUP(E633,'BASE_FUNCOES (hide)'!A:X,21,0),0)),(ROUNDUP(VLOOKUP(E633,'BASE_FUNCOES (hide)'!A:L,9,0),0)))</f>
        <v>0</v>
      </c>
      <c r="J633" s="75">
        <f>ROUNDUP(SUMIF(Questions!$E$5:$E$558,'Hours Detail'!E633,Questions!$F$5:$F$558),0)</f>
        <v>0</v>
      </c>
      <c r="K633" s="76" t="e">
        <f>IF(H633="Yes",ROUNDUP(IF(VLOOKUP(E633,'BASE_FUNCOES (hide)'!A:T,16,FALSE)&lt;&gt;"No",IF('General Information'!$C$19="HTML5",(I633+J633)*'BASE_FUNCOES (hide)'!$T$2,I633+J633),I633+J633),I633+J633),I633+J633)</f>
        <v>#N/A</v>
      </c>
      <c r="L633" s="163" t="str">
        <f>IF(ISERROR(VLOOKUP(E633,Questions!$E$5:$L$568,6,0))=FALSE,VLOOKUP(E633,Questions!$E$5:$L$568,6,0),"")</f>
        <v/>
      </c>
      <c r="M633" s="164" t="s">
        <v>2396</v>
      </c>
      <c r="N633" s="369" t="s">
        <v>2377</v>
      </c>
    </row>
    <row r="634" spans="1:14" ht="14.5" customHeight="1">
      <c r="A634" s="59"/>
      <c r="B634" s="72"/>
      <c r="C634" s="72"/>
      <c r="D634" s="73" t="e">
        <f>IF('General Information'!$C$6="Português",VLOOKUP(B634,'ESTRUTURA_MODULO(hide)'!A:D,2,0),IF('General Information'!$C$6="English",VLOOKUP(B634,'ESTRUTURA_MODULO(hide)'!A:D,3,0),IF('General Information'!$C$6="Español",VLOOKUP(B634,'ESTRUTURA_MODULO(hide)'!A:D,4,0))))</f>
        <v>#N/A</v>
      </c>
      <c r="E634" s="74"/>
      <c r="F634" s="73"/>
      <c r="G634" s="73" t="e">
        <f>IF(AND('General Information'!$D$16=1,VLOOKUP(B634,Modules!$B$5:$E$496,4,0)=1)=TRUE,VLOOKUP('Hours Detail'!E634,'BASE_FUNCOES (hide)'!$A:$V,10,0),IF(AND('General Information'!$D$16=2,VLOOKUP(B634,Modules!$B$5:$E$496,4,0)=1)=TRUE,VLOOKUP('Hours Detail'!E634,'BASE_FUNCOES (hide)'!$A:$V,11,0),IF(AND('General Information'!$D$16=3,VLOOKUP(B634,Modules!$B$5:$E$496,4,0)=1)=TRUE,VLOOKUP('Hours Detail'!E634,'BASE_FUNCOES (hide)'!$A:$V,12,0),IF(AND('General Information'!$D$16=4,VLOOKUP(B634,Modules!$B$5:$E$496,4,0)=1)=TRUE,VLOOKUP('Hours Detail'!E634,'BASE_FUNCOES (hide)'!$A:$V,13,0),IF(AND('General Information'!$D$16=5,VLOOKUP(B634,Modules!$B$5:$E$496,4,0)=1)=TRUE,VLOOKUP('Hours Detail'!E634,'BASE_FUNCOES (hide)'!$A:$V,14,0),  IF(AND('General Information'!$D$16=6,VLOOKUP(B634,Modules!$B$5:$E$496,4,0)=1)=TRUE,VLOOKUP('Hours Detail'!E634,'BASE_FUNCOES (hide)'!$A:$V,15,0),"No"))))))</f>
        <v>#N/A</v>
      </c>
      <c r="H634" s="166" t="e">
        <f t="shared" si="11"/>
        <v>#N/A</v>
      </c>
      <c r="I634" s="75">
        <f>IF('General Information'!$C$4="Mexico",(ROUNDUP(VLOOKUP(E634,'BASE_FUNCOES (hide)'!A:X,21,0),0)),(ROUNDUP(VLOOKUP(E634,'BASE_FUNCOES (hide)'!A:L,9,0),0)))</f>
        <v>0</v>
      </c>
      <c r="J634" s="75">
        <f>ROUNDUP(SUMIF(Questions!$E$5:$E$558,'Hours Detail'!E634,Questions!$F$5:$F$558),0)</f>
        <v>0</v>
      </c>
      <c r="K634" s="76" t="e">
        <f>IF(H634="Yes",ROUNDUP(IF(VLOOKUP(E634,'BASE_FUNCOES (hide)'!A:T,16,FALSE)&lt;&gt;"No",IF('General Information'!$C$19="HTML5",(I634+J634)*'BASE_FUNCOES (hide)'!$T$2,I634+J634),I634+J634),I634+J634),I634+J634)</f>
        <v>#N/A</v>
      </c>
      <c r="L634" s="163" t="str">
        <f>IF(ISERROR(VLOOKUP(E634,Questions!$E$5:$L$568,6,0))=FALSE,VLOOKUP(E634,Questions!$E$5:$L$568,6,0),"")</f>
        <v/>
      </c>
      <c r="M634" s="164" t="s">
        <v>2396</v>
      </c>
      <c r="N634" s="369" t="s">
        <v>2377</v>
      </c>
    </row>
    <row r="635" spans="1:14" ht="14.5" customHeight="1">
      <c r="A635" s="59"/>
      <c r="B635" s="72"/>
      <c r="C635" s="72"/>
      <c r="D635" s="73" t="e">
        <f>IF('General Information'!$C$6="Português",VLOOKUP(B635,'ESTRUTURA_MODULO(hide)'!A:D,2,0),IF('General Information'!$C$6="English",VLOOKUP(B635,'ESTRUTURA_MODULO(hide)'!A:D,3,0),IF('General Information'!$C$6="Español",VLOOKUP(B635,'ESTRUTURA_MODULO(hide)'!A:D,4,0))))</f>
        <v>#N/A</v>
      </c>
      <c r="E635" s="74"/>
      <c r="F635" s="73"/>
      <c r="G635" s="73" t="e">
        <f>IF(AND('General Information'!$D$16=1,VLOOKUP(B635,Modules!$B$5:$E$496,4,0)=1)=TRUE,VLOOKUP('Hours Detail'!E635,'BASE_FUNCOES (hide)'!$A:$V,10,0),IF(AND('General Information'!$D$16=2,VLOOKUP(B635,Modules!$B$5:$E$496,4,0)=1)=TRUE,VLOOKUP('Hours Detail'!E635,'BASE_FUNCOES (hide)'!$A:$V,11,0),IF(AND('General Information'!$D$16=3,VLOOKUP(B635,Modules!$B$5:$E$496,4,0)=1)=TRUE,VLOOKUP('Hours Detail'!E635,'BASE_FUNCOES (hide)'!$A:$V,12,0),IF(AND('General Information'!$D$16=4,VLOOKUP(B635,Modules!$B$5:$E$496,4,0)=1)=TRUE,VLOOKUP('Hours Detail'!E635,'BASE_FUNCOES (hide)'!$A:$V,13,0),IF(AND('General Information'!$D$16=5,VLOOKUP(B635,Modules!$B$5:$E$496,4,0)=1)=TRUE,VLOOKUP('Hours Detail'!E635,'BASE_FUNCOES (hide)'!$A:$V,14,0),  IF(AND('General Information'!$D$16=6,VLOOKUP(B635,Modules!$B$5:$E$496,4,0)=1)=TRUE,VLOOKUP('Hours Detail'!E635,'BASE_FUNCOES (hide)'!$A:$V,15,0),"No"))))))</f>
        <v>#N/A</v>
      </c>
      <c r="H635" s="166" t="e">
        <f t="shared" si="11"/>
        <v>#N/A</v>
      </c>
      <c r="I635" s="75">
        <f>IF('General Information'!$C$4="Mexico",(ROUNDUP(VLOOKUP(E635,'BASE_FUNCOES (hide)'!A:X,21,0),0)),(ROUNDUP(VLOOKUP(E635,'BASE_FUNCOES (hide)'!A:L,9,0),0)))</f>
        <v>0</v>
      </c>
      <c r="J635" s="75">
        <f>ROUNDUP(SUMIF(Questions!$E$5:$E$558,'Hours Detail'!E635,Questions!$F$5:$F$558),0)</f>
        <v>0</v>
      </c>
      <c r="K635" s="76" t="e">
        <f>IF(H635="Yes",ROUNDUP(IF(VLOOKUP(E635,'BASE_FUNCOES (hide)'!A:T,16,FALSE)&lt;&gt;"No",IF('General Information'!$C$19="HTML5",(I635+J635)*'BASE_FUNCOES (hide)'!$T$2,I635+J635),I635+J635),I635+J635),I635+J635)</f>
        <v>#N/A</v>
      </c>
      <c r="L635" s="163" t="str">
        <f>IF(ISERROR(VLOOKUP(E635,Questions!$E$5:$L$568,6,0))=FALSE,VLOOKUP(E635,Questions!$E$5:$L$568,6,0),"")</f>
        <v/>
      </c>
      <c r="M635" s="164" t="s">
        <v>2396</v>
      </c>
      <c r="N635" s="369" t="s">
        <v>2377</v>
      </c>
    </row>
    <row r="636" spans="1:14" ht="14.5" customHeight="1">
      <c r="A636" s="59"/>
      <c r="B636" s="72"/>
      <c r="C636" s="72"/>
      <c r="D636" s="73" t="e">
        <f>IF('General Information'!$C$6="Português",VLOOKUP(B636,'ESTRUTURA_MODULO(hide)'!A:D,2,0),IF('General Information'!$C$6="English",VLOOKUP(B636,'ESTRUTURA_MODULO(hide)'!A:D,3,0),IF('General Information'!$C$6="Español",VLOOKUP(B636,'ESTRUTURA_MODULO(hide)'!A:D,4,0))))</f>
        <v>#N/A</v>
      </c>
      <c r="E636" s="74"/>
      <c r="F636" s="73"/>
      <c r="G636" s="73" t="e">
        <f>IF(AND('General Information'!$D$16=1,VLOOKUP(B636,Modules!$B$5:$E$496,4,0)=1)=TRUE,VLOOKUP('Hours Detail'!E636,'BASE_FUNCOES (hide)'!$A:$V,10,0),IF(AND('General Information'!$D$16=2,VLOOKUP(B636,Modules!$B$5:$E$496,4,0)=1)=TRUE,VLOOKUP('Hours Detail'!E636,'BASE_FUNCOES (hide)'!$A:$V,11,0),IF(AND('General Information'!$D$16=3,VLOOKUP(B636,Modules!$B$5:$E$496,4,0)=1)=TRUE,VLOOKUP('Hours Detail'!E636,'BASE_FUNCOES (hide)'!$A:$V,12,0),IF(AND('General Information'!$D$16=4,VLOOKUP(B636,Modules!$B$5:$E$496,4,0)=1)=TRUE,VLOOKUP('Hours Detail'!E636,'BASE_FUNCOES (hide)'!$A:$V,13,0),IF(AND('General Information'!$D$16=5,VLOOKUP(B636,Modules!$B$5:$E$496,4,0)=1)=TRUE,VLOOKUP('Hours Detail'!E636,'BASE_FUNCOES (hide)'!$A:$V,14,0),  IF(AND('General Information'!$D$16=6,VLOOKUP(B636,Modules!$B$5:$E$496,4,0)=1)=TRUE,VLOOKUP('Hours Detail'!E636,'BASE_FUNCOES (hide)'!$A:$V,15,0),"No"))))))</f>
        <v>#N/A</v>
      </c>
      <c r="H636" s="166" t="e">
        <f t="shared" si="11"/>
        <v>#N/A</v>
      </c>
      <c r="I636" s="75">
        <f>IF('General Information'!$C$4="Mexico",(ROUNDUP(VLOOKUP(E636,'BASE_FUNCOES (hide)'!A:X,21,0),0)),(ROUNDUP(VLOOKUP(E636,'BASE_FUNCOES (hide)'!A:L,9,0),0)))</f>
        <v>0</v>
      </c>
      <c r="J636" s="75">
        <f>ROUNDUP(SUMIF(Questions!$E$5:$E$558,'Hours Detail'!E636,Questions!$F$5:$F$558),0)</f>
        <v>0</v>
      </c>
      <c r="K636" s="76" t="e">
        <f>IF(H636="Yes",ROUNDUP(IF(VLOOKUP(E636,'BASE_FUNCOES (hide)'!A:T,16,FALSE)&lt;&gt;"No",IF('General Information'!$C$19="HTML5",(I636+J636)*'BASE_FUNCOES (hide)'!$T$2,I636+J636),I636+J636),I636+J636),I636+J636)</f>
        <v>#N/A</v>
      </c>
      <c r="L636" s="163" t="str">
        <f>IF(ISERROR(VLOOKUP(E636,Questions!$E$5:$L$568,6,0))=FALSE,VLOOKUP(E636,Questions!$E$5:$L$568,6,0),"")</f>
        <v/>
      </c>
      <c r="M636" s="164" t="s">
        <v>2396</v>
      </c>
      <c r="N636" s="369" t="s">
        <v>2377</v>
      </c>
    </row>
    <row r="637" spans="1:14" ht="14.5" customHeight="1">
      <c r="A637" s="59"/>
      <c r="B637" s="72"/>
      <c r="C637" s="72"/>
      <c r="D637" s="73" t="e">
        <f>IF('General Information'!$C$6="Português",VLOOKUP(B637,'ESTRUTURA_MODULO(hide)'!A:D,2,0),IF('General Information'!$C$6="English",VLOOKUP(B637,'ESTRUTURA_MODULO(hide)'!A:D,3,0),IF('General Information'!$C$6="Español",VLOOKUP(B637,'ESTRUTURA_MODULO(hide)'!A:D,4,0))))</f>
        <v>#N/A</v>
      </c>
      <c r="E637" s="74"/>
      <c r="F637" s="73"/>
      <c r="G637" s="73" t="e">
        <f>IF(AND('General Information'!$D$16=1,VLOOKUP(B637,Modules!$B$5:$E$496,4,0)=1)=TRUE,VLOOKUP('Hours Detail'!E637,'BASE_FUNCOES (hide)'!$A:$V,10,0),IF(AND('General Information'!$D$16=2,VLOOKUP(B637,Modules!$B$5:$E$496,4,0)=1)=TRUE,VLOOKUP('Hours Detail'!E637,'BASE_FUNCOES (hide)'!$A:$V,11,0),IF(AND('General Information'!$D$16=3,VLOOKUP(B637,Modules!$B$5:$E$496,4,0)=1)=TRUE,VLOOKUP('Hours Detail'!E637,'BASE_FUNCOES (hide)'!$A:$V,12,0),IF(AND('General Information'!$D$16=4,VLOOKUP(B637,Modules!$B$5:$E$496,4,0)=1)=TRUE,VLOOKUP('Hours Detail'!E637,'BASE_FUNCOES (hide)'!$A:$V,13,0),IF(AND('General Information'!$D$16=5,VLOOKUP(B637,Modules!$B$5:$E$496,4,0)=1)=TRUE,VLOOKUP('Hours Detail'!E637,'BASE_FUNCOES (hide)'!$A:$V,14,0),  IF(AND('General Information'!$D$16=6,VLOOKUP(B637,Modules!$B$5:$E$496,4,0)=1)=TRUE,VLOOKUP('Hours Detail'!E637,'BASE_FUNCOES (hide)'!$A:$V,15,0),"No"))))))</f>
        <v>#N/A</v>
      </c>
      <c r="H637" s="166" t="e">
        <f t="shared" si="11"/>
        <v>#N/A</v>
      </c>
      <c r="I637" s="75">
        <f>IF('General Information'!$C$4="Mexico",(ROUNDUP(VLOOKUP(E637,'BASE_FUNCOES (hide)'!A:X,21,0),0)),(ROUNDUP(VLOOKUP(E637,'BASE_FUNCOES (hide)'!A:L,9,0),0)))</f>
        <v>0</v>
      </c>
      <c r="J637" s="75">
        <f>ROUNDUP(SUMIF(Questions!$E$5:$E$558,'Hours Detail'!E637,Questions!$F$5:$F$558),0)</f>
        <v>0</v>
      </c>
      <c r="K637" s="76" t="e">
        <f>IF(H637="Yes",ROUNDUP(IF(VLOOKUP(E637,'BASE_FUNCOES (hide)'!A:T,16,FALSE)&lt;&gt;"No",IF('General Information'!$C$19="HTML5",(I637+J637)*'BASE_FUNCOES (hide)'!$T$2,I637+J637),I637+J637),I637+J637),I637+J637)</f>
        <v>#N/A</v>
      </c>
      <c r="L637" s="163" t="str">
        <f>IF(ISERROR(VLOOKUP(E637,Questions!$E$5:$L$568,6,0))=FALSE,VLOOKUP(E637,Questions!$E$5:$L$568,6,0),"")</f>
        <v/>
      </c>
      <c r="M637" s="164" t="s">
        <v>2396</v>
      </c>
      <c r="N637" s="369" t="s">
        <v>2377</v>
      </c>
    </row>
    <row r="638" spans="1:14" ht="14.5" customHeight="1">
      <c r="A638" s="59"/>
      <c r="B638" s="72"/>
      <c r="C638" s="72"/>
      <c r="D638" s="73" t="e">
        <f>IF('General Information'!$C$6="Português",VLOOKUP(B638,'ESTRUTURA_MODULO(hide)'!A:D,2,0),IF('General Information'!$C$6="English",VLOOKUP(B638,'ESTRUTURA_MODULO(hide)'!A:D,3,0),IF('General Information'!$C$6="Español",VLOOKUP(B638,'ESTRUTURA_MODULO(hide)'!A:D,4,0))))</f>
        <v>#N/A</v>
      </c>
      <c r="E638" s="74"/>
      <c r="F638" s="73"/>
      <c r="G638" s="73" t="e">
        <f>IF(AND('General Information'!$D$16=1,VLOOKUP(B638,Modules!$B$5:$E$496,4,0)=1)=TRUE,VLOOKUP('Hours Detail'!E638,'BASE_FUNCOES (hide)'!$A:$V,10,0),IF(AND('General Information'!$D$16=2,VLOOKUP(B638,Modules!$B$5:$E$496,4,0)=1)=TRUE,VLOOKUP('Hours Detail'!E638,'BASE_FUNCOES (hide)'!$A:$V,11,0),IF(AND('General Information'!$D$16=3,VLOOKUP(B638,Modules!$B$5:$E$496,4,0)=1)=TRUE,VLOOKUP('Hours Detail'!E638,'BASE_FUNCOES (hide)'!$A:$V,12,0),IF(AND('General Information'!$D$16=4,VLOOKUP(B638,Modules!$B$5:$E$496,4,0)=1)=TRUE,VLOOKUP('Hours Detail'!E638,'BASE_FUNCOES (hide)'!$A:$V,13,0),IF(AND('General Information'!$D$16=5,VLOOKUP(B638,Modules!$B$5:$E$496,4,0)=1)=TRUE,VLOOKUP('Hours Detail'!E638,'BASE_FUNCOES (hide)'!$A:$V,14,0),  IF(AND('General Information'!$D$16=6,VLOOKUP(B638,Modules!$B$5:$E$496,4,0)=1)=TRUE,VLOOKUP('Hours Detail'!E638,'BASE_FUNCOES (hide)'!$A:$V,15,0),"No"))))))</f>
        <v>#N/A</v>
      </c>
      <c r="H638" s="166" t="e">
        <f t="shared" si="11"/>
        <v>#N/A</v>
      </c>
      <c r="I638" s="75">
        <f>IF('General Information'!$C$4="Mexico",(ROUNDUP(VLOOKUP(E638,'BASE_FUNCOES (hide)'!A:X,21,0),0)),(ROUNDUP(VLOOKUP(E638,'BASE_FUNCOES (hide)'!A:L,9,0),0)))</f>
        <v>0</v>
      </c>
      <c r="J638" s="75">
        <f>ROUNDUP(SUMIF(Questions!$E$5:$E$558,'Hours Detail'!E638,Questions!$F$5:$F$558),0)</f>
        <v>0</v>
      </c>
      <c r="K638" s="76" t="e">
        <f>IF(H638="Yes",ROUNDUP(IF(VLOOKUP(E638,'BASE_FUNCOES (hide)'!A:T,16,FALSE)&lt;&gt;"No",IF('General Information'!$C$19="HTML5",(I638+J638)*'BASE_FUNCOES (hide)'!$T$2,I638+J638),I638+J638),I638+J638),I638+J638)</f>
        <v>#N/A</v>
      </c>
      <c r="L638" s="163" t="str">
        <f>IF(ISERROR(VLOOKUP(E638,Questions!$E$5:$L$568,6,0))=FALSE,VLOOKUP(E638,Questions!$E$5:$L$568,6,0),"")</f>
        <v/>
      </c>
      <c r="M638" s="164" t="s">
        <v>2396</v>
      </c>
      <c r="N638" s="369" t="s">
        <v>2377</v>
      </c>
    </row>
    <row r="639" spans="1:14" ht="14.5" customHeight="1">
      <c r="A639" s="59"/>
      <c r="B639" s="72"/>
      <c r="C639" s="72"/>
      <c r="D639" s="73" t="e">
        <f>IF('General Information'!$C$6="Português",VLOOKUP(B639,'ESTRUTURA_MODULO(hide)'!A:D,2,0),IF('General Information'!$C$6="English",VLOOKUP(B639,'ESTRUTURA_MODULO(hide)'!A:D,3,0),IF('General Information'!$C$6="Español",VLOOKUP(B639,'ESTRUTURA_MODULO(hide)'!A:D,4,0))))</f>
        <v>#N/A</v>
      </c>
      <c r="E639" s="74"/>
      <c r="F639" s="73"/>
      <c r="G639" s="73" t="e">
        <f>IF(AND('General Information'!$D$16=1,VLOOKUP(B639,Modules!$B$5:$E$496,4,0)=1)=TRUE,VLOOKUP('Hours Detail'!E639,'BASE_FUNCOES (hide)'!$A:$V,10,0),IF(AND('General Information'!$D$16=2,VLOOKUP(B639,Modules!$B$5:$E$496,4,0)=1)=TRUE,VLOOKUP('Hours Detail'!E639,'BASE_FUNCOES (hide)'!$A:$V,11,0),IF(AND('General Information'!$D$16=3,VLOOKUP(B639,Modules!$B$5:$E$496,4,0)=1)=TRUE,VLOOKUP('Hours Detail'!E639,'BASE_FUNCOES (hide)'!$A:$V,12,0),IF(AND('General Information'!$D$16=4,VLOOKUP(B639,Modules!$B$5:$E$496,4,0)=1)=TRUE,VLOOKUP('Hours Detail'!E639,'BASE_FUNCOES (hide)'!$A:$V,13,0),IF(AND('General Information'!$D$16=5,VLOOKUP(B639,Modules!$B$5:$E$496,4,0)=1)=TRUE,VLOOKUP('Hours Detail'!E639,'BASE_FUNCOES (hide)'!$A:$V,14,0),  IF(AND('General Information'!$D$16=6,VLOOKUP(B639,Modules!$B$5:$E$496,4,0)=1)=TRUE,VLOOKUP('Hours Detail'!E639,'BASE_FUNCOES (hide)'!$A:$V,15,0),"No"))))))</f>
        <v>#N/A</v>
      </c>
      <c r="H639" s="166" t="e">
        <f t="shared" si="11"/>
        <v>#N/A</v>
      </c>
      <c r="I639" s="75">
        <f>IF('General Information'!$C$4="Mexico",(ROUNDUP(VLOOKUP(E639,'BASE_FUNCOES (hide)'!A:X,21,0),0)),(ROUNDUP(VLOOKUP(E639,'BASE_FUNCOES (hide)'!A:L,9,0),0)))</f>
        <v>0</v>
      </c>
      <c r="J639" s="75">
        <f>ROUNDUP(SUMIF(Questions!$E$5:$E$558,'Hours Detail'!E639,Questions!$F$5:$F$558),0)</f>
        <v>0</v>
      </c>
      <c r="K639" s="76" t="e">
        <f>IF(H639="Yes",ROUNDUP(IF(VLOOKUP(E639,'BASE_FUNCOES (hide)'!A:T,16,FALSE)&lt;&gt;"No",IF('General Information'!$C$19="HTML5",(I639+J639)*'BASE_FUNCOES (hide)'!$T$2,I639+J639),I639+J639),I639+J639),I639+J639)</f>
        <v>#N/A</v>
      </c>
      <c r="L639" s="163" t="str">
        <f>IF(ISERROR(VLOOKUP(E639,Questions!$E$5:$L$568,6,0))=FALSE,VLOOKUP(E639,Questions!$E$5:$L$568,6,0),"")</f>
        <v/>
      </c>
      <c r="M639" s="164" t="s">
        <v>2396</v>
      </c>
      <c r="N639" s="369" t="s">
        <v>2377</v>
      </c>
    </row>
    <row r="640" spans="1:14" ht="14.5" customHeight="1">
      <c r="A640" s="59"/>
      <c r="B640" s="72"/>
      <c r="C640" s="72"/>
      <c r="D640" s="73" t="e">
        <f>IF('General Information'!$C$6="Português",VLOOKUP(B640,'ESTRUTURA_MODULO(hide)'!A:D,2,0),IF('General Information'!$C$6="English",VLOOKUP(B640,'ESTRUTURA_MODULO(hide)'!A:D,3,0),IF('General Information'!$C$6="Español",VLOOKUP(B640,'ESTRUTURA_MODULO(hide)'!A:D,4,0))))</f>
        <v>#N/A</v>
      </c>
      <c r="E640" s="74"/>
      <c r="F640" s="73"/>
      <c r="G640" s="73" t="e">
        <f>IF(AND('General Information'!$D$16=1,VLOOKUP(B640,Modules!$B$5:$E$496,4,0)=1)=TRUE,VLOOKUP('Hours Detail'!E640,'BASE_FUNCOES (hide)'!$A:$V,10,0),IF(AND('General Information'!$D$16=2,VLOOKUP(B640,Modules!$B$5:$E$496,4,0)=1)=TRUE,VLOOKUP('Hours Detail'!E640,'BASE_FUNCOES (hide)'!$A:$V,11,0),IF(AND('General Information'!$D$16=3,VLOOKUP(B640,Modules!$B$5:$E$496,4,0)=1)=TRUE,VLOOKUP('Hours Detail'!E640,'BASE_FUNCOES (hide)'!$A:$V,12,0),IF(AND('General Information'!$D$16=4,VLOOKUP(B640,Modules!$B$5:$E$496,4,0)=1)=TRUE,VLOOKUP('Hours Detail'!E640,'BASE_FUNCOES (hide)'!$A:$V,13,0),IF(AND('General Information'!$D$16=5,VLOOKUP(B640,Modules!$B$5:$E$496,4,0)=1)=TRUE,VLOOKUP('Hours Detail'!E640,'BASE_FUNCOES (hide)'!$A:$V,14,0),  IF(AND('General Information'!$D$16=6,VLOOKUP(B640,Modules!$B$5:$E$496,4,0)=1)=TRUE,VLOOKUP('Hours Detail'!E640,'BASE_FUNCOES (hide)'!$A:$V,15,0),"No"))))))</f>
        <v>#N/A</v>
      </c>
      <c r="H640" s="166" t="e">
        <f t="shared" si="11"/>
        <v>#N/A</v>
      </c>
      <c r="I640" s="75">
        <f>IF('General Information'!$C$4="Mexico",(ROUNDUP(VLOOKUP(E640,'BASE_FUNCOES (hide)'!A:X,21,0),0)),(ROUNDUP(VLOOKUP(E640,'BASE_FUNCOES (hide)'!A:L,9,0),0)))</f>
        <v>0</v>
      </c>
      <c r="J640" s="75">
        <f>ROUNDUP(SUMIF(Questions!$E$5:$E$558,'Hours Detail'!E640,Questions!$F$5:$F$558),0)</f>
        <v>0</v>
      </c>
      <c r="K640" s="76" t="e">
        <f>IF(H640="Yes",ROUNDUP(IF(VLOOKUP(E640,'BASE_FUNCOES (hide)'!A:T,16,FALSE)&lt;&gt;"No",IF('General Information'!$C$19="HTML5",(I640+J640)*'BASE_FUNCOES (hide)'!$T$2,I640+J640),I640+J640),I640+J640),I640+J640)</f>
        <v>#N/A</v>
      </c>
      <c r="L640" s="163" t="str">
        <f>IF(ISERROR(VLOOKUP(E640,Questions!$E$5:$L$568,6,0))=FALSE,VLOOKUP(E640,Questions!$E$5:$L$568,6,0),"")</f>
        <v/>
      </c>
      <c r="M640" s="164" t="s">
        <v>2396</v>
      </c>
      <c r="N640" s="369" t="s">
        <v>2377</v>
      </c>
    </row>
    <row r="641" spans="1:14" ht="14.5" customHeight="1">
      <c r="A641" s="59"/>
      <c r="B641" s="72"/>
      <c r="C641" s="72"/>
      <c r="D641" s="73" t="e">
        <f>IF('General Information'!$C$6="Português",VLOOKUP(B641,'ESTRUTURA_MODULO(hide)'!A:D,2,0),IF('General Information'!$C$6="English",VLOOKUP(B641,'ESTRUTURA_MODULO(hide)'!A:D,3,0),IF('General Information'!$C$6="Español",VLOOKUP(B641,'ESTRUTURA_MODULO(hide)'!A:D,4,0))))</f>
        <v>#N/A</v>
      </c>
      <c r="E641" s="74"/>
      <c r="F641" s="73"/>
      <c r="G641" s="73" t="e">
        <f>IF(AND('General Information'!$D$16=1,VLOOKUP(B641,Modules!$B$5:$E$496,4,0)=1)=TRUE,VLOOKUP('Hours Detail'!E641,'BASE_FUNCOES (hide)'!$A:$V,10,0),IF(AND('General Information'!$D$16=2,VLOOKUP(B641,Modules!$B$5:$E$496,4,0)=1)=TRUE,VLOOKUP('Hours Detail'!E641,'BASE_FUNCOES (hide)'!$A:$V,11,0),IF(AND('General Information'!$D$16=3,VLOOKUP(B641,Modules!$B$5:$E$496,4,0)=1)=TRUE,VLOOKUP('Hours Detail'!E641,'BASE_FUNCOES (hide)'!$A:$V,12,0),IF(AND('General Information'!$D$16=4,VLOOKUP(B641,Modules!$B$5:$E$496,4,0)=1)=TRUE,VLOOKUP('Hours Detail'!E641,'BASE_FUNCOES (hide)'!$A:$V,13,0),IF(AND('General Information'!$D$16=5,VLOOKUP(B641,Modules!$B$5:$E$496,4,0)=1)=TRUE,VLOOKUP('Hours Detail'!E641,'BASE_FUNCOES (hide)'!$A:$V,14,0),  IF(AND('General Information'!$D$16=6,VLOOKUP(B641,Modules!$B$5:$E$496,4,0)=1)=TRUE,VLOOKUP('Hours Detail'!E641,'BASE_FUNCOES (hide)'!$A:$V,15,0),"No"))))))</f>
        <v>#N/A</v>
      </c>
      <c r="H641" s="166" t="e">
        <f t="shared" si="11"/>
        <v>#N/A</v>
      </c>
      <c r="I641" s="75">
        <f>IF('General Information'!$C$4="Mexico",(ROUNDUP(VLOOKUP(E641,'BASE_FUNCOES (hide)'!A:X,21,0),0)),(ROUNDUP(VLOOKUP(E641,'BASE_FUNCOES (hide)'!A:L,9,0),0)))</f>
        <v>0</v>
      </c>
      <c r="J641" s="75">
        <f>ROUNDUP(SUMIF(Questions!$E$5:$E$558,'Hours Detail'!E641,Questions!$F$5:$F$558),0)</f>
        <v>0</v>
      </c>
      <c r="K641" s="76" t="e">
        <f>IF(H641="Yes",ROUNDUP(IF(VLOOKUP(E641,'BASE_FUNCOES (hide)'!A:T,16,FALSE)&lt;&gt;"No",IF('General Information'!$C$19="HTML5",(I641+J641)*'BASE_FUNCOES (hide)'!$T$2,I641+J641),I641+J641),I641+J641),I641+J641)</f>
        <v>#N/A</v>
      </c>
      <c r="L641" s="163" t="str">
        <f>IF(ISERROR(VLOOKUP(E641,Questions!$E$5:$L$568,6,0))=FALSE,VLOOKUP(E641,Questions!$E$5:$L$568,6,0),"")</f>
        <v/>
      </c>
      <c r="M641" s="164" t="s">
        <v>2396</v>
      </c>
      <c r="N641" s="369" t="s">
        <v>2377</v>
      </c>
    </row>
    <row r="642" spans="1:14" ht="14.5" customHeight="1">
      <c r="A642" s="59"/>
      <c r="B642" s="72"/>
      <c r="C642" s="72"/>
      <c r="D642" s="73" t="e">
        <f>IF('General Information'!$C$6="Português",VLOOKUP(B642,'ESTRUTURA_MODULO(hide)'!A:D,2,0),IF('General Information'!$C$6="English",VLOOKUP(B642,'ESTRUTURA_MODULO(hide)'!A:D,3,0),IF('General Information'!$C$6="Español",VLOOKUP(B642,'ESTRUTURA_MODULO(hide)'!A:D,4,0))))</f>
        <v>#N/A</v>
      </c>
      <c r="E642" s="74"/>
      <c r="F642" s="73"/>
      <c r="G642" s="73" t="e">
        <f>IF(AND('General Information'!$D$16=1,VLOOKUP(B642,Modules!$B$5:$E$496,4,0)=1)=TRUE,VLOOKUP('Hours Detail'!E642,'BASE_FUNCOES (hide)'!$A:$V,10,0),IF(AND('General Information'!$D$16=2,VLOOKUP(B642,Modules!$B$5:$E$496,4,0)=1)=TRUE,VLOOKUP('Hours Detail'!E642,'BASE_FUNCOES (hide)'!$A:$V,11,0),IF(AND('General Information'!$D$16=3,VLOOKUP(B642,Modules!$B$5:$E$496,4,0)=1)=TRUE,VLOOKUP('Hours Detail'!E642,'BASE_FUNCOES (hide)'!$A:$V,12,0),IF(AND('General Information'!$D$16=4,VLOOKUP(B642,Modules!$B$5:$E$496,4,0)=1)=TRUE,VLOOKUP('Hours Detail'!E642,'BASE_FUNCOES (hide)'!$A:$V,13,0),IF(AND('General Information'!$D$16=5,VLOOKUP(B642,Modules!$B$5:$E$496,4,0)=1)=TRUE,VLOOKUP('Hours Detail'!E642,'BASE_FUNCOES (hide)'!$A:$V,14,0),  IF(AND('General Information'!$D$16=6,VLOOKUP(B642,Modules!$B$5:$E$496,4,0)=1)=TRUE,VLOOKUP('Hours Detail'!E642,'BASE_FUNCOES (hide)'!$A:$V,15,0),"No"))))))</f>
        <v>#N/A</v>
      </c>
      <c r="H642" s="166" t="e">
        <f t="shared" si="11"/>
        <v>#N/A</v>
      </c>
      <c r="I642" s="75">
        <f>IF('General Information'!$C$4="Mexico",(ROUNDUP(VLOOKUP(E642,'BASE_FUNCOES (hide)'!A:X,21,0),0)),(ROUNDUP(VLOOKUP(E642,'BASE_FUNCOES (hide)'!A:L,9,0),0)))</f>
        <v>0</v>
      </c>
      <c r="J642" s="75">
        <f>ROUNDUP(SUMIF(Questions!$E$5:$E$558,'Hours Detail'!E642,Questions!$F$5:$F$558),0)</f>
        <v>0</v>
      </c>
      <c r="K642" s="76" t="e">
        <f>IF(H642="Yes",ROUNDUP(IF(VLOOKUP(E642,'BASE_FUNCOES (hide)'!A:T,16,FALSE)&lt;&gt;"No",IF('General Information'!$C$19="HTML5",(I642+J642)*'BASE_FUNCOES (hide)'!$T$2,I642+J642),I642+J642),I642+J642),I642+J642)</f>
        <v>#N/A</v>
      </c>
      <c r="L642" s="163" t="str">
        <f>IF(ISERROR(VLOOKUP(E642,Questions!$E$5:$L$568,6,0))=FALSE,VLOOKUP(E642,Questions!$E$5:$L$568,6,0),"")</f>
        <v/>
      </c>
      <c r="M642" s="164" t="s">
        <v>2396</v>
      </c>
      <c r="N642" s="369" t="s">
        <v>2377</v>
      </c>
    </row>
    <row r="643" spans="1:14" ht="14.5" customHeight="1">
      <c r="A643" s="59"/>
      <c r="B643" s="72"/>
      <c r="C643" s="72"/>
      <c r="D643" s="73" t="e">
        <f>IF('General Information'!$C$6="Português",VLOOKUP(B643,'ESTRUTURA_MODULO(hide)'!A:D,2,0),IF('General Information'!$C$6="English",VLOOKUP(B643,'ESTRUTURA_MODULO(hide)'!A:D,3,0),IF('General Information'!$C$6="Español",VLOOKUP(B643,'ESTRUTURA_MODULO(hide)'!A:D,4,0))))</f>
        <v>#N/A</v>
      </c>
      <c r="E643" s="74"/>
      <c r="F643" s="73"/>
      <c r="G643" s="73" t="e">
        <f>IF(AND('General Information'!$D$16=1,VLOOKUP(B643,Modules!$B$5:$E$496,4,0)=1)=TRUE,VLOOKUP('Hours Detail'!E643,'BASE_FUNCOES (hide)'!$A:$V,10,0),IF(AND('General Information'!$D$16=2,VLOOKUP(B643,Modules!$B$5:$E$496,4,0)=1)=TRUE,VLOOKUP('Hours Detail'!E643,'BASE_FUNCOES (hide)'!$A:$V,11,0),IF(AND('General Information'!$D$16=3,VLOOKUP(B643,Modules!$B$5:$E$496,4,0)=1)=TRUE,VLOOKUP('Hours Detail'!E643,'BASE_FUNCOES (hide)'!$A:$V,12,0),IF(AND('General Information'!$D$16=4,VLOOKUP(B643,Modules!$B$5:$E$496,4,0)=1)=TRUE,VLOOKUP('Hours Detail'!E643,'BASE_FUNCOES (hide)'!$A:$V,13,0),IF(AND('General Information'!$D$16=5,VLOOKUP(B643,Modules!$B$5:$E$496,4,0)=1)=TRUE,VLOOKUP('Hours Detail'!E643,'BASE_FUNCOES (hide)'!$A:$V,14,0),  IF(AND('General Information'!$D$16=6,VLOOKUP(B643,Modules!$B$5:$E$496,4,0)=1)=TRUE,VLOOKUP('Hours Detail'!E643,'BASE_FUNCOES (hide)'!$A:$V,15,0),"No"))))))</f>
        <v>#N/A</v>
      </c>
      <c r="H643" s="166" t="e">
        <f t="shared" si="11"/>
        <v>#N/A</v>
      </c>
      <c r="I643" s="75">
        <f>IF('General Information'!$C$4="Mexico",(ROUNDUP(VLOOKUP(E643,'BASE_FUNCOES (hide)'!A:X,21,0),0)),(ROUNDUP(VLOOKUP(E643,'BASE_FUNCOES (hide)'!A:L,9,0),0)))</f>
        <v>0</v>
      </c>
      <c r="J643" s="75">
        <f>ROUNDUP(SUMIF(Questions!$E$5:$E$558,'Hours Detail'!E643,Questions!$F$5:$F$558),0)</f>
        <v>0</v>
      </c>
      <c r="K643" s="76" t="e">
        <f>IF(H643="Yes",ROUNDUP(IF(VLOOKUP(E643,'BASE_FUNCOES (hide)'!A:T,16,FALSE)&lt;&gt;"No",IF('General Information'!$C$19="HTML5",(I643+J643)*'BASE_FUNCOES (hide)'!$T$2,I643+J643),I643+J643),I643+J643),I643+J643)</f>
        <v>#N/A</v>
      </c>
      <c r="L643" s="163" t="str">
        <f>IF(ISERROR(VLOOKUP(E643,Questions!$E$5:$L$568,6,0))=FALSE,VLOOKUP(E643,Questions!$E$5:$L$568,6,0),"")</f>
        <v/>
      </c>
      <c r="M643" s="164" t="s">
        <v>2396</v>
      </c>
      <c r="N643" s="369" t="s">
        <v>2377</v>
      </c>
    </row>
    <row r="644" spans="1:14" ht="14.5" customHeight="1">
      <c r="A644" s="59"/>
      <c r="B644" s="72"/>
      <c r="C644" s="72"/>
      <c r="D644" s="73" t="e">
        <f>IF('General Information'!$C$6="Português",VLOOKUP(B644,'ESTRUTURA_MODULO(hide)'!A:D,2,0),IF('General Information'!$C$6="English",VLOOKUP(B644,'ESTRUTURA_MODULO(hide)'!A:D,3,0),IF('General Information'!$C$6="Español",VLOOKUP(B644,'ESTRUTURA_MODULO(hide)'!A:D,4,0))))</f>
        <v>#N/A</v>
      </c>
      <c r="E644" s="74"/>
      <c r="F644" s="73"/>
      <c r="G644" s="73" t="e">
        <f>IF(AND('General Information'!$D$16=1,VLOOKUP(B644,Modules!$B$5:$E$496,4,0)=1)=TRUE,VLOOKUP('Hours Detail'!E644,'BASE_FUNCOES (hide)'!$A:$V,10,0),IF(AND('General Information'!$D$16=2,VLOOKUP(B644,Modules!$B$5:$E$496,4,0)=1)=TRUE,VLOOKUP('Hours Detail'!E644,'BASE_FUNCOES (hide)'!$A:$V,11,0),IF(AND('General Information'!$D$16=3,VLOOKUP(B644,Modules!$B$5:$E$496,4,0)=1)=TRUE,VLOOKUP('Hours Detail'!E644,'BASE_FUNCOES (hide)'!$A:$V,12,0),IF(AND('General Information'!$D$16=4,VLOOKUP(B644,Modules!$B$5:$E$496,4,0)=1)=TRUE,VLOOKUP('Hours Detail'!E644,'BASE_FUNCOES (hide)'!$A:$V,13,0),IF(AND('General Information'!$D$16=5,VLOOKUP(B644,Modules!$B$5:$E$496,4,0)=1)=TRUE,VLOOKUP('Hours Detail'!E644,'BASE_FUNCOES (hide)'!$A:$V,14,0),  IF(AND('General Information'!$D$16=6,VLOOKUP(B644,Modules!$B$5:$E$496,4,0)=1)=TRUE,VLOOKUP('Hours Detail'!E644,'BASE_FUNCOES (hide)'!$A:$V,15,0),"No"))))))</f>
        <v>#N/A</v>
      </c>
      <c r="H644" s="166" t="e">
        <f t="shared" si="11"/>
        <v>#N/A</v>
      </c>
      <c r="I644" s="75">
        <f>IF('General Information'!$C$4="Mexico",(ROUNDUP(VLOOKUP(E644,'BASE_FUNCOES (hide)'!A:X,21,0),0)),(ROUNDUP(VLOOKUP(E644,'BASE_FUNCOES (hide)'!A:L,9,0),0)))</f>
        <v>0</v>
      </c>
      <c r="J644" s="75">
        <f>ROUNDUP(SUMIF(Questions!$E$5:$E$558,'Hours Detail'!E644,Questions!$F$5:$F$558),0)</f>
        <v>0</v>
      </c>
      <c r="K644" s="76" t="e">
        <f>IF(H644="Yes",ROUNDUP(IF(VLOOKUP(E644,'BASE_FUNCOES (hide)'!A:T,16,FALSE)&lt;&gt;"No",IF('General Information'!$C$19="HTML5",(I644+J644)*'BASE_FUNCOES (hide)'!$T$2,I644+J644),I644+J644),I644+J644),I644+J644)</f>
        <v>#N/A</v>
      </c>
      <c r="L644" s="163" t="str">
        <f>IF(ISERROR(VLOOKUP(E644,Questions!$E$5:$L$568,6,0))=FALSE,VLOOKUP(E644,Questions!$E$5:$L$568,6,0),"")</f>
        <v/>
      </c>
      <c r="M644" s="164" t="s">
        <v>2396</v>
      </c>
      <c r="N644" s="369" t="s">
        <v>2377</v>
      </c>
    </row>
    <row r="645" spans="1:14" ht="14.5" customHeight="1">
      <c r="A645" s="59"/>
      <c r="B645" s="72"/>
      <c r="C645" s="72"/>
      <c r="D645" s="73" t="e">
        <f>IF('General Information'!$C$6="Português",VLOOKUP(B645,'ESTRUTURA_MODULO(hide)'!A:D,2,0),IF('General Information'!$C$6="English",VLOOKUP(B645,'ESTRUTURA_MODULO(hide)'!A:D,3,0),IF('General Information'!$C$6="Español",VLOOKUP(B645,'ESTRUTURA_MODULO(hide)'!A:D,4,0))))</f>
        <v>#N/A</v>
      </c>
      <c r="E645" s="74"/>
      <c r="F645" s="73"/>
      <c r="G645" s="73" t="e">
        <f>IF(AND('General Information'!$D$16=1,VLOOKUP(B645,Modules!$B$5:$E$496,4,0)=1)=TRUE,VLOOKUP('Hours Detail'!E645,'BASE_FUNCOES (hide)'!$A:$V,10,0),IF(AND('General Information'!$D$16=2,VLOOKUP(B645,Modules!$B$5:$E$496,4,0)=1)=TRUE,VLOOKUP('Hours Detail'!E645,'BASE_FUNCOES (hide)'!$A:$V,11,0),IF(AND('General Information'!$D$16=3,VLOOKUP(B645,Modules!$B$5:$E$496,4,0)=1)=TRUE,VLOOKUP('Hours Detail'!E645,'BASE_FUNCOES (hide)'!$A:$V,12,0),IF(AND('General Information'!$D$16=4,VLOOKUP(B645,Modules!$B$5:$E$496,4,0)=1)=TRUE,VLOOKUP('Hours Detail'!E645,'BASE_FUNCOES (hide)'!$A:$V,13,0),IF(AND('General Information'!$D$16=5,VLOOKUP(B645,Modules!$B$5:$E$496,4,0)=1)=TRUE,VLOOKUP('Hours Detail'!E645,'BASE_FUNCOES (hide)'!$A:$V,14,0),  IF(AND('General Information'!$D$16=6,VLOOKUP(B645,Modules!$B$5:$E$496,4,0)=1)=TRUE,VLOOKUP('Hours Detail'!E645,'BASE_FUNCOES (hide)'!$A:$V,15,0),"No"))))))</f>
        <v>#N/A</v>
      </c>
      <c r="H645" s="166" t="e">
        <f t="shared" si="11"/>
        <v>#N/A</v>
      </c>
      <c r="I645" s="75">
        <f>IF('General Information'!$C$4="Mexico",(ROUNDUP(VLOOKUP(E645,'BASE_FUNCOES (hide)'!A:X,21,0),0)),(ROUNDUP(VLOOKUP(E645,'BASE_FUNCOES (hide)'!A:L,9,0),0)))</f>
        <v>0</v>
      </c>
      <c r="J645" s="75">
        <f>ROUNDUP(SUMIF(Questions!$E$5:$E$558,'Hours Detail'!E645,Questions!$F$5:$F$558),0)</f>
        <v>0</v>
      </c>
      <c r="K645" s="76" t="e">
        <f>IF(H645="Yes",ROUNDUP(IF(VLOOKUP(E645,'BASE_FUNCOES (hide)'!A:T,16,FALSE)&lt;&gt;"No",IF('General Information'!$C$19="HTML5",(I645+J645)*'BASE_FUNCOES (hide)'!$T$2,I645+J645),I645+J645),I645+J645),I645+J645)</f>
        <v>#N/A</v>
      </c>
      <c r="L645" s="163" t="str">
        <f>IF(ISERROR(VLOOKUP(E645,Questions!$E$5:$L$568,6,0))=FALSE,VLOOKUP(E645,Questions!$E$5:$L$568,6,0),"")</f>
        <v/>
      </c>
      <c r="M645" s="164" t="s">
        <v>2396</v>
      </c>
      <c r="N645" s="369" t="s">
        <v>2377</v>
      </c>
    </row>
    <row r="646" spans="1:14" ht="14.5" customHeight="1">
      <c r="A646" s="59"/>
      <c r="B646" s="72"/>
      <c r="C646" s="72"/>
      <c r="D646" s="73" t="e">
        <f>IF('General Information'!$C$6="Português",VLOOKUP(B646,'ESTRUTURA_MODULO(hide)'!A:D,2,0),IF('General Information'!$C$6="English",VLOOKUP(B646,'ESTRUTURA_MODULO(hide)'!A:D,3,0),IF('General Information'!$C$6="Español",VLOOKUP(B646,'ESTRUTURA_MODULO(hide)'!A:D,4,0))))</f>
        <v>#N/A</v>
      </c>
      <c r="E646" s="74"/>
      <c r="F646" s="73"/>
      <c r="G646" s="73" t="e">
        <f>IF(AND('General Information'!$D$16=1,VLOOKUP(B646,Modules!$B$5:$E$496,4,0)=1)=TRUE,VLOOKUP('Hours Detail'!E646,'BASE_FUNCOES (hide)'!$A:$V,10,0),IF(AND('General Information'!$D$16=2,VLOOKUP(B646,Modules!$B$5:$E$496,4,0)=1)=TRUE,VLOOKUP('Hours Detail'!E646,'BASE_FUNCOES (hide)'!$A:$V,11,0),IF(AND('General Information'!$D$16=3,VLOOKUP(B646,Modules!$B$5:$E$496,4,0)=1)=TRUE,VLOOKUP('Hours Detail'!E646,'BASE_FUNCOES (hide)'!$A:$V,12,0),IF(AND('General Information'!$D$16=4,VLOOKUP(B646,Modules!$B$5:$E$496,4,0)=1)=TRUE,VLOOKUP('Hours Detail'!E646,'BASE_FUNCOES (hide)'!$A:$V,13,0),IF(AND('General Information'!$D$16=5,VLOOKUP(B646,Modules!$B$5:$E$496,4,0)=1)=TRUE,VLOOKUP('Hours Detail'!E646,'BASE_FUNCOES (hide)'!$A:$V,14,0),  IF(AND('General Information'!$D$16=6,VLOOKUP(B646,Modules!$B$5:$E$496,4,0)=1)=TRUE,VLOOKUP('Hours Detail'!E646,'BASE_FUNCOES (hide)'!$A:$V,15,0),"No"))))))</f>
        <v>#N/A</v>
      </c>
      <c r="H646" s="166" t="e">
        <f t="shared" si="11"/>
        <v>#N/A</v>
      </c>
      <c r="I646" s="75">
        <f>IF('General Information'!$C$4="Mexico",(ROUNDUP(VLOOKUP(E646,'BASE_FUNCOES (hide)'!A:X,21,0),0)),(ROUNDUP(VLOOKUP(E646,'BASE_FUNCOES (hide)'!A:L,9,0),0)))</f>
        <v>0</v>
      </c>
      <c r="J646" s="75">
        <f>ROUNDUP(SUMIF(Questions!$E$5:$E$558,'Hours Detail'!E646,Questions!$F$5:$F$558),0)</f>
        <v>0</v>
      </c>
      <c r="K646" s="76" t="e">
        <f>IF(H646="Yes",ROUNDUP(IF(VLOOKUP(E646,'BASE_FUNCOES (hide)'!A:T,16,FALSE)&lt;&gt;"No",IF('General Information'!$C$19="HTML5",(I646+J646)*'BASE_FUNCOES (hide)'!$T$2,I646+J646),I646+J646),I646+J646),I646+J646)</f>
        <v>#N/A</v>
      </c>
      <c r="L646" s="163" t="str">
        <f>IF(ISERROR(VLOOKUP(E646,Questions!$E$5:$L$568,6,0))=FALSE,VLOOKUP(E646,Questions!$E$5:$L$568,6,0),"")</f>
        <v/>
      </c>
      <c r="M646" s="164" t="s">
        <v>2396</v>
      </c>
      <c r="N646" s="369" t="s">
        <v>2377</v>
      </c>
    </row>
    <row r="647" spans="1:14" ht="14.5" customHeight="1">
      <c r="A647" s="59"/>
      <c r="B647" s="72"/>
      <c r="C647" s="72"/>
      <c r="D647" s="73" t="e">
        <f>IF('General Information'!$C$6="Português",VLOOKUP(B647,'ESTRUTURA_MODULO(hide)'!A:D,2,0),IF('General Information'!$C$6="English",VLOOKUP(B647,'ESTRUTURA_MODULO(hide)'!A:D,3,0),IF('General Information'!$C$6="Español",VLOOKUP(B647,'ESTRUTURA_MODULO(hide)'!A:D,4,0))))</f>
        <v>#N/A</v>
      </c>
      <c r="E647" s="74"/>
      <c r="F647" s="73"/>
      <c r="G647" s="73" t="e">
        <f>IF(AND('General Information'!$D$16=1,VLOOKUP(B647,Modules!$B$5:$E$496,4,0)=1)=TRUE,VLOOKUP('Hours Detail'!E647,'BASE_FUNCOES (hide)'!$A:$V,10,0),IF(AND('General Information'!$D$16=2,VLOOKUP(B647,Modules!$B$5:$E$496,4,0)=1)=TRUE,VLOOKUP('Hours Detail'!E647,'BASE_FUNCOES (hide)'!$A:$V,11,0),IF(AND('General Information'!$D$16=3,VLOOKUP(B647,Modules!$B$5:$E$496,4,0)=1)=TRUE,VLOOKUP('Hours Detail'!E647,'BASE_FUNCOES (hide)'!$A:$V,12,0),IF(AND('General Information'!$D$16=4,VLOOKUP(B647,Modules!$B$5:$E$496,4,0)=1)=TRUE,VLOOKUP('Hours Detail'!E647,'BASE_FUNCOES (hide)'!$A:$V,13,0),IF(AND('General Information'!$D$16=5,VLOOKUP(B647,Modules!$B$5:$E$496,4,0)=1)=TRUE,VLOOKUP('Hours Detail'!E647,'BASE_FUNCOES (hide)'!$A:$V,14,0),  IF(AND('General Information'!$D$16=6,VLOOKUP(B647,Modules!$B$5:$E$496,4,0)=1)=TRUE,VLOOKUP('Hours Detail'!E647,'BASE_FUNCOES (hide)'!$A:$V,15,0),"No"))))))</f>
        <v>#N/A</v>
      </c>
      <c r="H647" s="166" t="e">
        <f t="shared" si="11"/>
        <v>#N/A</v>
      </c>
      <c r="I647" s="75">
        <f>IF('General Information'!$C$4="Mexico",(ROUNDUP(VLOOKUP(E647,'BASE_FUNCOES (hide)'!A:X,21,0),0)),(ROUNDUP(VLOOKUP(E647,'BASE_FUNCOES (hide)'!A:L,9,0),0)))</f>
        <v>0</v>
      </c>
      <c r="J647" s="75">
        <f>ROUNDUP(SUMIF(Questions!$E$5:$E$558,'Hours Detail'!E647,Questions!$F$5:$F$558),0)</f>
        <v>0</v>
      </c>
      <c r="K647" s="76" t="e">
        <f>IF(H647="Yes",ROUNDUP(IF(VLOOKUP(E647,'BASE_FUNCOES (hide)'!A:T,16,FALSE)&lt;&gt;"No",IF('General Information'!$C$19="HTML5",(I647+J647)*'BASE_FUNCOES (hide)'!$T$2,I647+J647),I647+J647),I647+J647),I647+J647)</f>
        <v>#N/A</v>
      </c>
      <c r="L647" s="163" t="str">
        <f>IF(ISERROR(VLOOKUP(E647,Questions!$E$5:$L$568,6,0))=FALSE,VLOOKUP(E647,Questions!$E$5:$L$568,6,0),"")</f>
        <v/>
      </c>
      <c r="M647" s="164" t="s">
        <v>2396</v>
      </c>
      <c r="N647" s="369" t="s">
        <v>2377</v>
      </c>
    </row>
    <row r="648" spans="1:14" ht="14.5" customHeight="1">
      <c r="A648" s="59"/>
      <c r="B648" s="72"/>
      <c r="C648" s="72"/>
      <c r="D648" s="73" t="e">
        <f>IF('General Information'!$C$6="Português",VLOOKUP(B648,'ESTRUTURA_MODULO(hide)'!A:D,2,0),IF('General Information'!$C$6="English",VLOOKUP(B648,'ESTRUTURA_MODULO(hide)'!A:D,3,0),IF('General Information'!$C$6="Español",VLOOKUP(B648,'ESTRUTURA_MODULO(hide)'!A:D,4,0))))</f>
        <v>#N/A</v>
      </c>
      <c r="E648" s="74"/>
      <c r="F648" s="73"/>
      <c r="G648" s="73" t="e">
        <f>IF(AND('General Information'!$D$16=1,VLOOKUP(B648,Modules!$B$5:$E$496,4,0)=1)=TRUE,VLOOKUP('Hours Detail'!E648,'BASE_FUNCOES (hide)'!$A:$V,10,0),IF(AND('General Information'!$D$16=2,VLOOKUP(B648,Modules!$B$5:$E$496,4,0)=1)=TRUE,VLOOKUP('Hours Detail'!E648,'BASE_FUNCOES (hide)'!$A:$V,11,0),IF(AND('General Information'!$D$16=3,VLOOKUP(B648,Modules!$B$5:$E$496,4,0)=1)=TRUE,VLOOKUP('Hours Detail'!E648,'BASE_FUNCOES (hide)'!$A:$V,12,0),IF(AND('General Information'!$D$16=4,VLOOKUP(B648,Modules!$B$5:$E$496,4,0)=1)=TRUE,VLOOKUP('Hours Detail'!E648,'BASE_FUNCOES (hide)'!$A:$V,13,0),IF(AND('General Information'!$D$16=5,VLOOKUP(B648,Modules!$B$5:$E$496,4,0)=1)=TRUE,VLOOKUP('Hours Detail'!E648,'BASE_FUNCOES (hide)'!$A:$V,14,0),  IF(AND('General Information'!$D$16=6,VLOOKUP(B648,Modules!$B$5:$E$496,4,0)=1)=TRUE,VLOOKUP('Hours Detail'!E648,'BASE_FUNCOES (hide)'!$A:$V,15,0),"No"))))))</f>
        <v>#N/A</v>
      </c>
      <c r="H648" s="166" t="e">
        <f t="shared" si="11"/>
        <v>#N/A</v>
      </c>
      <c r="I648" s="75">
        <f>IF('General Information'!$C$4="Mexico",(ROUNDUP(VLOOKUP(E648,'BASE_FUNCOES (hide)'!A:X,21,0),0)),(ROUNDUP(VLOOKUP(E648,'BASE_FUNCOES (hide)'!A:L,9,0),0)))</f>
        <v>0</v>
      </c>
      <c r="J648" s="75">
        <f>ROUNDUP(SUMIF(Questions!$E$5:$E$558,'Hours Detail'!E648,Questions!$F$5:$F$558),0)</f>
        <v>0</v>
      </c>
      <c r="K648" s="76" t="e">
        <f>IF(H648="Yes",ROUNDUP(IF(VLOOKUP(E648,'BASE_FUNCOES (hide)'!A:T,16,FALSE)&lt;&gt;"No",IF('General Information'!$C$19="HTML5",(I648+J648)*'BASE_FUNCOES (hide)'!$T$2,I648+J648),I648+J648),I648+J648),I648+J648)</f>
        <v>#N/A</v>
      </c>
      <c r="L648" s="163" t="str">
        <f>IF(ISERROR(VLOOKUP(E648,Questions!$E$5:$L$568,6,0))=FALSE,VLOOKUP(E648,Questions!$E$5:$L$568,6,0),"")</f>
        <v/>
      </c>
      <c r="M648" s="164" t="s">
        <v>2396</v>
      </c>
      <c r="N648" s="369" t="s">
        <v>2377</v>
      </c>
    </row>
    <row r="649" spans="1:14" ht="14.5" customHeight="1">
      <c r="A649" s="59"/>
      <c r="B649" s="72"/>
      <c r="C649" s="72"/>
      <c r="D649" s="73" t="e">
        <f>IF('General Information'!$C$6="Português",VLOOKUP(B649,'ESTRUTURA_MODULO(hide)'!A:D,2,0),IF('General Information'!$C$6="English",VLOOKUP(B649,'ESTRUTURA_MODULO(hide)'!A:D,3,0),IF('General Information'!$C$6="Español",VLOOKUP(B649,'ESTRUTURA_MODULO(hide)'!A:D,4,0))))</f>
        <v>#N/A</v>
      </c>
      <c r="E649" s="74"/>
      <c r="F649" s="73"/>
      <c r="G649" s="73" t="e">
        <f>IF(AND('General Information'!$D$16=1,VLOOKUP(B649,Modules!$B$5:$E$496,4,0)=1)=TRUE,VLOOKUP('Hours Detail'!E649,'BASE_FUNCOES (hide)'!$A:$V,10,0),IF(AND('General Information'!$D$16=2,VLOOKUP(B649,Modules!$B$5:$E$496,4,0)=1)=TRUE,VLOOKUP('Hours Detail'!E649,'BASE_FUNCOES (hide)'!$A:$V,11,0),IF(AND('General Information'!$D$16=3,VLOOKUP(B649,Modules!$B$5:$E$496,4,0)=1)=TRUE,VLOOKUP('Hours Detail'!E649,'BASE_FUNCOES (hide)'!$A:$V,12,0),IF(AND('General Information'!$D$16=4,VLOOKUP(B649,Modules!$B$5:$E$496,4,0)=1)=TRUE,VLOOKUP('Hours Detail'!E649,'BASE_FUNCOES (hide)'!$A:$V,13,0),IF(AND('General Information'!$D$16=5,VLOOKUP(B649,Modules!$B$5:$E$496,4,0)=1)=TRUE,VLOOKUP('Hours Detail'!E649,'BASE_FUNCOES (hide)'!$A:$V,14,0),  IF(AND('General Information'!$D$16=6,VLOOKUP(B649,Modules!$B$5:$E$496,4,0)=1)=TRUE,VLOOKUP('Hours Detail'!E649,'BASE_FUNCOES (hide)'!$A:$V,15,0),"No"))))))</f>
        <v>#N/A</v>
      </c>
      <c r="H649" s="166" t="e">
        <f t="shared" si="11"/>
        <v>#N/A</v>
      </c>
      <c r="I649" s="75">
        <f>IF('General Information'!$C$4="Mexico",(ROUNDUP(VLOOKUP(E649,'BASE_FUNCOES (hide)'!A:X,21,0),0)),(ROUNDUP(VLOOKUP(E649,'BASE_FUNCOES (hide)'!A:L,9,0),0)))</f>
        <v>0</v>
      </c>
      <c r="J649" s="75">
        <f>ROUNDUP(SUMIF(Questions!$E$5:$E$558,'Hours Detail'!E649,Questions!$F$5:$F$558),0)</f>
        <v>0</v>
      </c>
      <c r="K649" s="76" t="e">
        <f>IF(H649="Yes",ROUNDUP(IF(VLOOKUP(E649,'BASE_FUNCOES (hide)'!A:T,16,FALSE)&lt;&gt;"No",IF('General Information'!$C$19="HTML5",(I649+J649)*'BASE_FUNCOES (hide)'!$T$2,I649+J649),I649+J649),I649+J649),I649+J649)</f>
        <v>#N/A</v>
      </c>
      <c r="L649" s="163" t="str">
        <f>IF(ISERROR(VLOOKUP(E649,Questions!$E$5:$L$568,6,0))=FALSE,VLOOKUP(E649,Questions!$E$5:$L$568,6,0),"")</f>
        <v/>
      </c>
      <c r="M649" s="164" t="s">
        <v>2396</v>
      </c>
      <c r="N649" s="369" t="s">
        <v>2377</v>
      </c>
    </row>
    <row r="650" spans="1:14" ht="14.5" customHeight="1">
      <c r="A650" s="59"/>
      <c r="B650" s="72"/>
      <c r="C650" s="72"/>
      <c r="D650" s="73" t="e">
        <f>IF('General Information'!$C$6="Português",VLOOKUP(B650,'ESTRUTURA_MODULO(hide)'!A:D,2,0),IF('General Information'!$C$6="English",VLOOKUP(B650,'ESTRUTURA_MODULO(hide)'!A:D,3,0),IF('General Information'!$C$6="Español",VLOOKUP(B650,'ESTRUTURA_MODULO(hide)'!A:D,4,0))))</f>
        <v>#N/A</v>
      </c>
      <c r="E650" s="74"/>
      <c r="F650" s="73"/>
      <c r="G650" s="73" t="e">
        <f>IF(AND('General Information'!$D$16=1,VLOOKUP(B650,Modules!$B$5:$E$496,4,0)=1)=TRUE,VLOOKUP('Hours Detail'!E650,'BASE_FUNCOES (hide)'!$A:$V,10,0),IF(AND('General Information'!$D$16=2,VLOOKUP(B650,Modules!$B$5:$E$496,4,0)=1)=TRUE,VLOOKUP('Hours Detail'!E650,'BASE_FUNCOES (hide)'!$A:$V,11,0),IF(AND('General Information'!$D$16=3,VLOOKUP(B650,Modules!$B$5:$E$496,4,0)=1)=TRUE,VLOOKUP('Hours Detail'!E650,'BASE_FUNCOES (hide)'!$A:$V,12,0),IF(AND('General Information'!$D$16=4,VLOOKUP(B650,Modules!$B$5:$E$496,4,0)=1)=TRUE,VLOOKUP('Hours Detail'!E650,'BASE_FUNCOES (hide)'!$A:$V,13,0),IF(AND('General Information'!$D$16=5,VLOOKUP(B650,Modules!$B$5:$E$496,4,0)=1)=TRUE,VLOOKUP('Hours Detail'!E650,'BASE_FUNCOES (hide)'!$A:$V,14,0),  IF(AND('General Information'!$D$16=6,VLOOKUP(B650,Modules!$B$5:$E$496,4,0)=1)=TRUE,VLOOKUP('Hours Detail'!E650,'BASE_FUNCOES (hide)'!$A:$V,15,0),"No"))))))</f>
        <v>#N/A</v>
      </c>
      <c r="H650" s="166" t="e">
        <f t="shared" si="11"/>
        <v>#N/A</v>
      </c>
      <c r="I650" s="75">
        <f>IF('General Information'!$C$4="Mexico",(ROUNDUP(VLOOKUP(E650,'BASE_FUNCOES (hide)'!A:X,21,0),0)),(ROUNDUP(VLOOKUP(E650,'BASE_FUNCOES (hide)'!A:L,9,0),0)))</f>
        <v>0</v>
      </c>
      <c r="J650" s="75">
        <f>ROUNDUP(SUMIF(Questions!$E$5:$E$558,'Hours Detail'!E650,Questions!$F$5:$F$558),0)</f>
        <v>0</v>
      </c>
      <c r="K650" s="76" t="e">
        <f>IF(H650="Yes",ROUNDUP(IF(VLOOKUP(E650,'BASE_FUNCOES (hide)'!A:T,16,FALSE)&lt;&gt;"No",IF('General Information'!$C$19="HTML5",(I650+J650)*'BASE_FUNCOES (hide)'!$T$2,I650+J650),I650+J650),I650+J650),I650+J650)</f>
        <v>#N/A</v>
      </c>
      <c r="L650" s="163" t="str">
        <f>IF(ISERROR(VLOOKUP(E650,Questions!$E$5:$L$568,6,0))=FALSE,VLOOKUP(E650,Questions!$E$5:$L$568,6,0),"")</f>
        <v/>
      </c>
      <c r="M650" s="164" t="s">
        <v>2396</v>
      </c>
      <c r="N650" s="369" t="s">
        <v>2377</v>
      </c>
    </row>
    <row r="651" spans="1:14" ht="14.5" customHeight="1">
      <c r="A651" s="59"/>
      <c r="B651" s="72"/>
      <c r="C651" s="72"/>
      <c r="D651" s="73" t="e">
        <f>IF('General Information'!$C$6="Português",VLOOKUP(B651,'ESTRUTURA_MODULO(hide)'!A:D,2,0),IF('General Information'!$C$6="English",VLOOKUP(B651,'ESTRUTURA_MODULO(hide)'!A:D,3,0),IF('General Information'!$C$6="Español",VLOOKUP(B651,'ESTRUTURA_MODULO(hide)'!A:D,4,0))))</f>
        <v>#N/A</v>
      </c>
      <c r="E651" s="74"/>
      <c r="F651" s="73"/>
      <c r="G651" s="73" t="e">
        <f>IF(AND('General Information'!$D$16=1,VLOOKUP(B651,Modules!$B$5:$E$496,4,0)=1)=TRUE,VLOOKUP('Hours Detail'!E651,'BASE_FUNCOES (hide)'!$A:$V,10,0),IF(AND('General Information'!$D$16=2,VLOOKUP(B651,Modules!$B$5:$E$496,4,0)=1)=TRUE,VLOOKUP('Hours Detail'!E651,'BASE_FUNCOES (hide)'!$A:$V,11,0),IF(AND('General Information'!$D$16=3,VLOOKUP(B651,Modules!$B$5:$E$496,4,0)=1)=TRUE,VLOOKUP('Hours Detail'!E651,'BASE_FUNCOES (hide)'!$A:$V,12,0),IF(AND('General Information'!$D$16=4,VLOOKUP(B651,Modules!$B$5:$E$496,4,0)=1)=TRUE,VLOOKUP('Hours Detail'!E651,'BASE_FUNCOES (hide)'!$A:$V,13,0),IF(AND('General Information'!$D$16=5,VLOOKUP(B651,Modules!$B$5:$E$496,4,0)=1)=TRUE,VLOOKUP('Hours Detail'!E651,'BASE_FUNCOES (hide)'!$A:$V,14,0),  IF(AND('General Information'!$D$16=6,VLOOKUP(B651,Modules!$B$5:$E$496,4,0)=1)=TRUE,VLOOKUP('Hours Detail'!E651,'BASE_FUNCOES (hide)'!$A:$V,15,0),"No"))))))</f>
        <v>#N/A</v>
      </c>
      <c r="H651" s="166" t="e">
        <f t="shared" si="11"/>
        <v>#N/A</v>
      </c>
      <c r="I651" s="75">
        <f>IF('General Information'!$C$4="Mexico",(ROUNDUP(VLOOKUP(E651,'BASE_FUNCOES (hide)'!A:X,21,0),0)),(ROUNDUP(VLOOKUP(E651,'BASE_FUNCOES (hide)'!A:L,9,0),0)))</f>
        <v>0</v>
      </c>
      <c r="J651" s="75">
        <f>ROUNDUP(SUMIF(Questions!$E$5:$E$558,'Hours Detail'!E651,Questions!$F$5:$F$558),0)</f>
        <v>0</v>
      </c>
      <c r="K651" s="76" t="e">
        <f>IF(H651="Yes",ROUNDUP(IF(VLOOKUP(E651,'BASE_FUNCOES (hide)'!A:T,16,FALSE)&lt;&gt;"No",IF('General Information'!$C$19="HTML5",(I651+J651)*'BASE_FUNCOES (hide)'!$T$2,I651+J651),I651+J651),I651+J651),I651+J651)</f>
        <v>#N/A</v>
      </c>
      <c r="L651" s="163" t="str">
        <f>IF(ISERROR(VLOOKUP(E651,Questions!$E$5:$L$568,6,0))=FALSE,VLOOKUP(E651,Questions!$E$5:$L$568,6,0),"")</f>
        <v/>
      </c>
      <c r="M651" s="164" t="s">
        <v>2396</v>
      </c>
      <c r="N651" s="369" t="s">
        <v>2377</v>
      </c>
    </row>
    <row r="652" spans="1:14" ht="14.5" customHeight="1">
      <c r="A652" s="59"/>
      <c r="B652" s="72"/>
      <c r="C652" s="72"/>
      <c r="D652" s="73" t="e">
        <f>IF('General Information'!$C$6="Português",VLOOKUP(B652,'ESTRUTURA_MODULO(hide)'!A:D,2,0),IF('General Information'!$C$6="English",VLOOKUP(B652,'ESTRUTURA_MODULO(hide)'!A:D,3,0),IF('General Information'!$C$6="Español",VLOOKUP(B652,'ESTRUTURA_MODULO(hide)'!A:D,4,0))))</f>
        <v>#N/A</v>
      </c>
      <c r="E652" s="74"/>
      <c r="F652" s="73"/>
      <c r="G652" s="73" t="e">
        <f>IF(AND('General Information'!$D$16=1,VLOOKUP(B652,Modules!$B$5:$E$496,4,0)=1)=TRUE,VLOOKUP('Hours Detail'!E652,'BASE_FUNCOES (hide)'!$A:$V,10,0),IF(AND('General Information'!$D$16=2,VLOOKUP(B652,Modules!$B$5:$E$496,4,0)=1)=TRUE,VLOOKUP('Hours Detail'!E652,'BASE_FUNCOES (hide)'!$A:$V,11,0),IF(AND('General Information'!$D$16=3,VLOOKUP(B652,Modules!$B$5:$E$496,4,0)=1)=TRUE,VLOOKUP('Hours Detail'!E652,'BASE_FUNCOES (hide)'!$A:$V,12,0),IF(AND('General Information'!$D$16=4,VLOOKUP(B652,Modules!$B$5:$E$496,4,0)=1)=TRUE,VLOOKUP('Hours Detail'!E652,'BASE_FUNCOES (hide)'!$A:$V,13,0),IF(AND('General Information'!$D$16=5,VLOOKUP(B652,Modules!$B$5:$E$496,4,0)=1)=TRUE,VLOOKUP('Hours Detail'!E652,'BASE_FUNCOES (hide)'!$A:$V,14,0),  IF(AND('General Information'!$D$16=6,VLOOKUP(B652,Modules!$B$5:$E$496,4,0)=1)=TRUE,VLOOKUP('Hours Detail'!E652,'BASE_FUNCOES (hide)'!$A:$V,15,0),"No"))))))</f>
        <v>#N/A</v>
      </c>
      <c r="H652" s="166" t="e">
        <f t="shared" si="11"/>
        <v>#N/A</v>
      </c>
      <c r="I652" s="75">
        <f>IF('General Information'!$C$4="Mexico",(ROUNDUP(VLOOKUP(E652,'BASE_FUNCOES (hide)'!A:X,21,0),0)),(ROUNDUP(VLOOKUP(E652,'BASE_FUNCOES (hide)'!A:L,9,0),0)))</f>
        <v>0</v>
      </c>
      <c r="J652" s="75">
        <f>ROUNDUP(SUMIF(Questions!$E$5:$E$558,'Hours Detail'!E652,Questions!$F$5:$F$558),0)</f>
        <v>0</v>
      </c>
      <c r="K652" s="76" t="e">
        <f>IF(H652="Yes",ROUNDUP(IF(VLOOKUP(E652,'BASE_FUNCOES (hide)'!A:T,16,FALSE)&lt;&gt;"No",IF('General Information'!$C$19="HTML5",(I652+J652)*'BASE_FUNCOES (hide)'!$T$2,I652+J652),I652+J652),I652+J652),I652+J652)</f>
        <v>#N/A</v>
      </c>
      <c r="L652" s="163" t="str">
        <f>IF(ISERROR(VLOOKUP(E652,Questions!$E$5:$L$568,6,0))=FALSE,VLOOKUP(E652,Questions!$E$5:$L$568,6,0),"")</f>
        <v/>
      </c>
      <c r="M652" s="164" t="s">
        <v>2396</v>
      </c>
      <c r="N652" s="369" t="s">
        <v>2377</v>
      </c>
    </row>
    <row r="653" spans="1:14" ht="14.5" customHeight="1">
      <c r="A653" s="59"/>
      <c r="B653" s="72"/>
      <c r="C653" s="72"/>
      <c r="D653" s="73" t="e">
        <f>IF('General Information'!$C$6="Português",VLOOKUP(B653,'ESTRUTURA_MODULO(hide)'!A:D,2,0),IF('General Information'!$C$6="English",VLOOKUP(B653,'ESTRUTURA_MODULO(hide)'!A:D,3,0),IF('General Information'!$C$6="Español",VLOOKUP(B653,'ESTRUTURA_MODULO(hide)'!A:D,4,0))))</f>
        <v>#N/A</v>
      </c>
      <c r="E653" s="74"/>
      <c r="F653" s="73"/>
      <c r="G653" s="73" t="e">
        <f>IF(AND('General Information'!$D$16=1,VLOOKUP(B653,Modules!$B$5:$E$496,4,0)=1)=TRUE,VLOOKUP('Hours Detail'!E653,'BASE_FUNCOES (hide)'!$A:$V,10,0),IF(AND('General Information'!$D$16=2,VLOOKUP(B653,Modules!$B$5:$E$496,4,0)=1)=TRUE,VLOOKUP('Hours Detail'!E653,'BASE_FUNCOES (hide)'!$A:$V,11,0),IF(AND('General Information'!$D$16=3,VLOOKUP(B653,Modules!$B$5:$E$496,4,0)=1)=TRUE,VLOOKUP('Hours Detail'!E653,'BASE_FUNCOES (hide)'!$A:$V,12,0),IF(AND('General Information'!$D$16=4,VLOOKUP(B653,Modules!$B$5:$E$496,4,0)=1)=TRUE,VLOOKUP('Hours Detail'!E653,'BASE_FUNCOES (hide)'!$A:$V,13,0),IF(AND('General Information'!$D$16=5,VLOOKUP(B653,Modules!$B$5:$E$496,4,0)=1)=TRUE,VLOOKUP('Hours Detail'!E653,'BASE_FUNCOES (hide)'!$A:$V,14,0),  IF(AND('General Information'!$D$16=6,VLOOKUP(B653,Modules!$B$5:$E$496,4,0)=1)=TRUE,VLOOKUP('Hours Detail'!E653,'BASE_FUNCOES (hide)'!$A:$V,15,0),"No"))))))</f>
        <v>#N/A</v>
      </c>
      <c r="H653" s="166" t="e">
        <f t="shared" si="11"/>
        <v>#N/A</v>
      </c>
      <c r="I653" s="75">
        <f>IF('General Information'!$C$4="Mexico",(ROUNDUP(VLOOKUP(E653,'BASE_FUNCOES (hide)'!A:X,21,0),0)),(ROUNDUP(VLOOKUP(E653,'BASE_FUNCOES (hide)'!A:L,9,0),0)))</f>
        <v>0</v>
      </c>
      <c r="J653" s="75">
        <f>ROUNDUP(SUMIF(Questions!$E$5:$E$558,'Hours Detail'!E653,Questions!$F$5:$F$558),0)</f>
        <v>0</v>
      </c>
      <c r="K653" s="76" t="e">
        <f>IF(H653="Yes",ROUNDUP(IF(VLOOKUP(E653,'BASE_FUNCOES (hide)'!A:T,16,FALSE)&lt;&gt;"No",IF('General Information'!$C$19="HTML5",(I653+J653)*'BASE_FUNCOES (hide)'!$T$2,I653+J653),I653+J653),I653+J653),I653+J653)</f>
        <v>#N/A</v>
      </c>
      <c r="L653" s="163" t="str">
        <f>IF(ISERROR(VLOOKUP(E653,Questions!$E$5:$L$568,6,0))=FALSE,VLOOKUP(E653,Questions!$E$5:$L$568,6,0),"")</f>
        <v/>
      </c>
      <c r="M653" s="164" t="s">
        <v>2396</v>
      </c>
      <c r="N653" s="369" t="s">
        <v>2377</v>
      </c>
    </row>
    <row r="654" spans="1:14" ht="14.5" customHeight="1">
      <c r="A654" s="59"/>
      <c r="B654" s="72"/>
      <c r="C654" s="72"/>
      <c r="D654" s="73" t="e">
        <f>IF('General Information'!$C$6="Português",VLOOKUP(B654,'ESTRUTURA_MODULO(hide)'!A:D,2,0),IF('General Information'!$C$6="English",VLOOKUP(B654,'ESTRUTURA_MODULO(hide)'!A:D,3,0),IF('General Information'!$C$6="Español",VLOOKUP(B654,'ESTRUTURA_MODULO(hide)'!A:D,4,0))))</f>
        <v>#N/A</v>
      </c>
      <c r="E654" s="74"/>
      <c r="F654" s="73"/>
      <c r="G654" s="73" t="e">
        <f>IF(AND('General Information'!$D$16=1,VLOOKUP(B654,Modules!$B$5:$E$496,4,0)=1)=TRUE,VLOOKUP('Hours Detail'!E654,'BASE_FUNCOES (hide)'!$A:$V,10,0),IF(AND('General Information'!$D$16=2,VLOOKUP(B654,Modules!$B$5:$E$496,4,0)=1)=TRUE,VLOOKUP('Hours Detail'!E654,'BASE_FUNCOES (hide)'!$A:$V,11,0),IF(AND('General Information'!$D$16=3,VLOOKUP(B654,Modules!$B$5:$E$496,4,0)=1)=TRUE,VLOOKUP('Hours Detail'!E654,'BASE_FUNCOES (hide)'!$A:$V,12,0),IF(AND('General Information'!$D$16=4,VLOOKUP(B654,Modules!$B$5:$E$496,4,0)=1)=TRUE,VLOOKUP('Hours Detail'!E654,'BASE_FUNCOES (hide)'!$A:$V,13,0),IF(AND('General Information'!$D$16=5,VLOOKUP(B654,Modules!$B$5:$E$496,4,0)=1)=TRUE,VLOOKUP('Hours Detail'!E654,'BASE_FUNCOES (hide)'!$A:$V,14,0),  IF(AND('General Information'!$D$16=6,VLOOKUP(B654,Modules!$B$5:$E$496,4,0)=1)=TRUE,VLOOKUP('Hours Detail'!E654,'BASE_FUNCOES (hide)'!$A:$V,15,0),"No"))))))</f>
        <v>#N/A</v>
      </c>
      <c r="H654" s="166" t="e">
        <f t="shared" ref="H654:H705" si="12">G654</f>
        <v>#N/A</v>
      </c>
      <c r="I654" s="75">
        <f>IF('General Information'!$C$4="Mexico",(ROUNDUP(VLOOKUP(E654,'BASE_FUNCOES (hide)'!A:X,21,0),0)),(ROUNDUP(VLOOKUP(E654,'BASE_FUNCOES (hide)'!A:L,9,0),0)))</f>
        <v>0</v>
      </c>
      <c r="J654" s="75">
        <f>ROUNDUP(SUMIF(Questions!$E$5:$E$558,'Hours Detail'!E654,Questions!$F$5:$F$558),0)</f>
        <v>0</v>
      </c>
      <c r="K654" s="76" t="e">
        <f>IF(H654="Yes",ROUNDUP(IF(VLOOKUP(E654,'BASE_FUNCOES (hide)'!A:T,16,FALSE)&lt;&gt;"No",IF('General Information'!$C$19="HTML5",(I654+J654)*'BASE_FUNCOES (hide)'!$T$2,I654+J654),I654+J654),I654+J654),I654+J654)</f>
        <v>#N/A</v>
      </c>
      <c r="L654" s="163" t="str">
        <f>IF(ISERROR(VLOOKUP(E654,Questions!$E$5:$L$568,6,0))=FALSE,VLOOKUP(E654,Questions!$E$5:$L$568,6,0),"")</f>
        <v/>
      </c>
      <c r="M654" s="164" t="s">
        <v>2396</v>
      </c>
      <c r="N654" s="369" t="s">
        <v>2377</v>
      </c>
    </row>
    <row r="655" spans="1:14" ht="14.5" customHeight="1">
      <c r="A655" s="59"/>
      <c r="B655" s="72"/>
      <c r="C655" s="72"/>
      <c r="D655" s="73" t="e">
        <f>IF('General Information'!$C$6="Português",VLOOKUP(B655,'ESTRUTURA_MODULO(hide)'!A:D,2,0),IF('General Information'!$C$6="English",VLOOKUP(B655,'ESTRUTURA_MODULO(hide)'!A:D,3,0),IF('General Information'!$C$6="Español",VLOOKUP(B655,'ESTRUTURA_MODULO(hide)'!A:D,4,0))))</f>
        <v>#N/A</v>
      </c>
      <c r="E655" s="74"/>
      <c r="F655" s="73"/>
      <c r="G655" s="73" t="e">
        <f>IF(AND('General Information'!$D$16=1,VLOOKUP(B655,Modules!$B$5:$E$496,4,0)=1)=TRUE,VLOOKUP('Hours Detail'!E655,'BASE_FUNCOES (hide)'!$A:$V,10,0),IF(AND('General Information'!$D$16=2,VLOOKUP(B655,Modules!$B$5:$E$496,4,0)=1)=TRUE,VLOOKUP('Hours Detail'!E655,'BASE_FUNCOES (hide)'!$A:$V,11,0),IF(AND('General Information'!$D$16=3,VLOOKUP(B655,Modules!$B$5:$E$496,4,0)=1)=TRUE,VLOOKUP('Hours Detail'!E655,'BASE_FUNCOES (hide)'!$A:$V,12,0),IF(AND('General Information'!$D$16=4,VLOOKUP(B655,Modules!$B$5:$E$496,4,0)=1)=TRUE,VLOOKUP('Hours Detail'!E655,'BASE_FUNCOES (hide)'!$A:$V,13,0),IF(AND('General Information'!$D$16=5,VLOOKUP(B655,Modules!$B$5:$E$496,4,0)=1)=TRUE,VLOOKUP('Hours Detail'!E655,'BASE_FUNCOES (hide)'!$A:$V,14,0),  IF(AND('General Information'!$D$16=6,VLOOKUP(B655,Modules!$B$5:$E$496,4,0)=1)=TRUE,VLOOKUP('Hours Detail'!E655,'BASE_FUNCOES (hide)'!$A:$V,15,0),"No"))))))</f>
        <v>#N/A</v>
      </c>
      <c r="H655" s="166" t="e">
        <f t="shared" si="12"/>
        <v>#N/A</v>
      </c>
      <c r="I655" s="75">
        <f>IF('General Information'!$C$4="Mexico",(ROUNDUP(VLOOKUP(E655,'BASE_FUNCOES (hide)'!A:X,21,0),0)),(ROUNDUP(VLOOKUP(E655,'BASE_FUNCOES (hide)'!A:L,9,0),0)))</f>
        <v>0</v>
      </c>
      <c r="J655" s="75">
        <f>ROUNDUP(SUMIF(Questions!$E$5:$E$558,'Hours Detail'!E655,Questions!$F$5:$F$558),0)</f>
        <v>0</v>
      </c>
      <c r="K655" s="76" t="e">
        <f>IF(H655="Yes",ROUNDUP(IF(VLOOKUP(E655,'BASE_FUNCOES (hide)'!A:T,16,FALSE)&lt;&gt;"No",IF('General Information'!$C$19="HTML5",(I655+J655)*'BASE_FUNCOES (hide)'!$T$2,I655+J655),I655+J655),I655+J655),I655+J655)</f>
        <v>#N/A</v>
      </c>
      <c r="L655" s="163" t="str">
        <f>IF(ISERROR(VLOOKUP(E655,Questions!$E$5:$L$568,6,0))=FALSE,VLOOKUP(E655,Questions!$E$5:$L$568,6,0),"")</f>
        <v/>
      </c>
      <c r="M655" s="164" t="s">
        <v>2396</v>
      </c>
      <c r="N655" s="369" t="s">
        <v>2377</v>
      </c>
    </row>
    <row r="656" spans="1:14" ht="14.5" customHeight="1">
      <c r="A656" s="59"/>
      <c r="B656" s="72"/>
      <c r="C656" s="72"/>
      <c r="D656" s="73" t="e">
        <f>IF('General Information'!$C$6="Português",VLOOKUP(B656,'ESTRUTURA_MODULO(hide)'!A:D,2,0),IF('General Information'!$C$6="English",VLOOKUP(B656,'ESTRUTURA_MODULO(hide)'!A:D,3,0),IF('General Information'!$C$6="Español",VLOOKUP(B656,'ESTRUTURA_MODULO(hide)'!A:D,4,0))))</f>
        <v>#N/A</v>
      </c>
      <c r="E656" s="74"/>
      <c r="F656" s="73"/>
      <c r="G656" s="73" t="e">
        <f>IF(AND('General Information'!$D$16=1,VLOOKUP(B656,Modules!$B$5:$E$496,4,0)=1)=TRUE,VLOOKUP('Hours Detail'!E656,'BASE_FUNCOES (hide)'!$A:$V,10,0),IF(AND('General Information'!$D$16=2,VLOOKUP(B656,Modules!$B$5:$E$496,4,0)=1)=TRUE,VLOOKUP('Hours Detail'!E656,'BASE_FUNCOES (hide)'!$A:$V,11,0),IF(AND('General Information'!$D$16=3,VLOOKUP(B656,Modules!$B$5:$E$496,4,0)=1)=TRUE,VLOOKUP('Hours Detail'!E656,'BASE_FUNCOES (hide)'!$A:$V,12,0),IF(AND('General Information'!$D$16=4,VLOOKUP(B656,Modules!$B$5:$E$496,4,0)=1)=TRUE,VLOOKUP('Hours Detail'!E656,'BASE_FUNCOES (hide)'!$A:$V,13,0),IF(AND('General Information'!$D$16=5,VLOOKUP(B656,Modules!$B$5:$E$496,4,0)=1)=TRUE,VLOOKUP('Hours Detail'!E656,'BASE_FUNCOES (hide)'!$A:$V,14,0),  IF(AND('General Information'!$D$16=6,VLOOKUP(B656,Modules!$B$5:$E$496,4,0)=1)=TRUE,VLOOKUP('Hours Detail'!E656,'BASE_FUNCOES (hide)'!$A:$V,15,0),"No"))))))</f>
        <v>#N/A</v>
      </c>
      <c r="H656" s="166" t="e">
        <f t="shared" si="12"/>
        <v>#N/A</v>
      </c>
      <c r="I656" s="75">
        <f>IF('General Information'!$C$4="Mexico",(ROUNDUP(VLOOKUP(E656,'BASE_FUNCOES (hide)'!A:X,21,0),0)),(ROUNDUP(VLOOKUP(E656,'BASE_FUNCOES (hide)'!A:L,9,0),0)))</f>
        <v>0</v>
      </c>
      <c r="J656" s="75">
        <f>ROUNDUP(SUMIF(Questions!$E$5:$E$558,'Hours Detail'!E656,Questions!$F$5:$F$558),0)</f>
        <v>0</v>
      </c>
      <c r="K656" s="76" t="e">
        <f>IF(H656="Yes",ROUNDUP(IF(VLOOKUP(E656,'BASE_FUNCOES (hide)'!A:T,16,FALSE)&lt;&gt;"No",IF('General Information'!$C$19="HTML5",(I656+J656)*'BASE_FUNCOES (hide)'!$T$2,I656+J656),I656+J656),I656+J656),I656+J656)</f>
        <v>#N/A</v>
      </c>
      <c r="L656" s="163" t="str">
        <f>IF(ISERROR(VLOOKUP(E656,Questions!$E$5:$L$568,6,0))=FALSE,VLOOKUP(E656,Questions!$E$5:$L$568,6,0),"")</f>
        <v/>
      </c>
      <c r="M656" s="164" t="s">
        <v>2396</v>
      </c>
      <c r="N656" s="369" t="s">
        <v>2377</v>
      </c>
    </row>
    <row r="657" spans="1:14" ht="14.5" customHeight="1">
      <c r="A657" s="59"/>
      <c r="B657" s="72"/>
      <c r="C657" s="72"/>
      <c r="D657" s="73" t="e">
        <f>IF('General Information'!$C$6="Português",VLOOKUP(B657,'ESTRUTURA_MODULO(hide)'!A:D,2,0),IF('General Information'!$C$6="English",VLOOKUP(B657,'ESTRUTURA_MODULO(hide)'!A:D,3,0),IF('General Information'!$C$6="Español",VLOOKUP(B657,'ESTRUTURA_MODULO(hide)'!A:D,4,0))))</f>
        <v>#N/A</v>
      </c>
      <c r="E657" s="74"/>
      <c r="F657" s="73"/>
      <c r="G657" s="73" t="e">
        <f>IF(AND('General Information'!$D$16=1,VLOOKUP(B657,Modules!$B$5:$E$496,4,0)=1)=TRUE,VLOOKUP('Hours Detail'!E657,'BASE_FUNCOES (hide)'!$A:$V,10,0),IF(AND('General Information'!$D$16=2,VLOOKUP(B657,Modules!$B$5:$E$496,4,0)=1)=TRUE,VLOOKUP('Hours Detail'!E657,'BASE_FUNCOES (hide)'!$A:$V,11,0),IF(AND('General Information'!$D$16=3,VLOOKUP(B657,Modules!$B$5:$E$496,4,0)=1)=TRUE,VLOOKUP('Hours Detail'!E657,'BASE_FUNCOES (hide)'!$A:$V,12,0),IF(AND('General Information'!$D$16=4,VLOOKUP(B657,Modules!$B$5:$E$496,4,0)=1)=TRUE,VLOOKUP('Hours Detail'!E657,'BASE_FUNCOES (hide)'!$A:$V,13,0),IF(AND('General Information'!$D$16=5,VLOOKUP(B657,Modules!$B$5:$E$496,4,0)=1)=TRUE,VLOOKUP('Hours Detail'!E657,'BASE_FUNCOES (hide)'!$A:$V,14,0),  IF(AND('General Information'!$D$16=6,VLOOKUP(B657,Modules!$B$5:$E$496,4,0)=1)=TRUE,VLOOKUP('Hours Detail'!E657,'BASE_FUNCOES (hide)'!$A:$V,15,0),"No"))))))</f>
        <v>#N/A</v>
      </c>
      <c r="H657" s="166" t="e">
        <f t="shared" si="12"/>
        <v>#N/A</v>
      </c>
      <c r="I657" s="75">
        <f>IF('General Information'!$C$4="Mexico",(ROUNDUP(VLOOKUP(E657,'BASE_FUNCOES (hide)'!A:X,21,0),0)),(ROUNDUP(VLOOKUP(E657,'BASE_FUNCOES (hide)'!A:L,9,0),0)))</f>
        <v>0</v>
      </c>
      <c r="J657" s="75">
        <f>ROUNDUP(SUMIF(Questions!$E$5:$E$558,'Hours Detail'!E657,Questions!$F$5:$F$558),0)</f>
        <v>0</v>
      </c>
      <c r="K657" s="76" t="e">
        <f>IF(H657="Yes",ROUNDUP(IF(VLOOKUP(E657,'BASE_FUNCOES (hide)'!A:T,16,FALSE)&lt;&gt;"No",IF('General Information'!$C$19="HTML5",(I657+J657)*'BASE_FUNCOES (hide)'!$T$2,I657+J657),I657+J657),I657+J657),I657+J657)</f>
        <v>#N/A</v>
      </c>
      <c r="L657" s="163" t="str">
        <f>IF(ISERROR(VLOOKUP(E657,Questions!$E$5:$L$568,6,0))=FALSE,VLOOKUP(E657,Questions!$E$5:$L$568,6,0),"")</f>
        <v/>
      </c>
      <c r="M657" s="164" t="s">
        <v>2396</v>
      </c>
      <c r="N657" s="369" t="s">
        <v>2377</v>
      </c>
    </row>
    <row r="658" spans="1:14" ht="14.5" customHeight="1">
      <c r="A658" s="59"/>
      <c r="B658" s="72"/>
      <c r="C658" s="72"/>
      <c r="D658" s="73" t="e">
        <f>IF('General Information'!$C$6="Português",VLOOKUP(B658,'ESTRUTURA_MODULO(hide)'!A:D,2,0),IF('General Information'!$C$6="English",VLOOKUP(B658,'ESTRUTURA_MODULO(hide)'!A:D,3,0),IF('General Information'!$C$6="Español",VLOOKUP(B658,'ESTRUTURA_MODULO(hide)'!A:D,4,0))))</f>
        <v>#N/A</v>
      </c>
      <c r="E658" s="74"/>
      <c r="F658" s="73"/>
      <c r="G658" s="73" t="e">
        <f>IF(AND('General Information'!$D$16=1,VLOOKUP(B658,Modules!$B$5:$E$496,4,0)=1)=TRUE,VLOOKUP('Hours Detail'!E658,'BASE_FUNCOES (hide)'!$A:$V,10,0),IF(AND('General Information'!$D$16=2,VLOOKUP(B658,Modules!$B$5:$E$496,4,0)=1)=TRUE,VLOOKUP('Hours Detail'!E658,'BASE_FUNCOES (hide)'!$A:$V,11,0),IF(AND('General Information'!$D$16=3,VLOOKUP(B658,Modules!$B$5:$E$496,4,0)=1)=TRUE,VLOOKUP('Hours Detail'!E658,'BASE_FUNCOES (hide)'!$A:$V,12,0),IF(AND('General Information'!$D$16=4,VLOOKUP(B658,Modules!$B$5:$E$496,4,0)=1)=TRUE,VLOOKUP('Hours Detail'!E658,'BASE_FUNCOES (hide)'!$A:$V,13,0),IF(AND('General Information'!$D$16=5,VLOOKUP(B658,Modules!$B$5:$E$496,4,0)=1)=TRUE,VLOOKUP('Hours Detail'!E658,'BASE_FUNCOES (hide)'!$A:$V,14,0),  IF(AND('General Information'!$D$16=6,VLOOKUP(B658,Modules!$B$5:$E$496,4,0)=1)=TRUE,VLOOKUP('Hours Detail'!E658,'BASE_FUNCOES (hide)'!$A:$V,15,0),"No"))))))</f>
        <v>#N/A</v>
      </c>
      <c r="H658" s="166" t="e">
        <f t="shared" si="12"/>
        <v>#N/A</v>
      </c>
      <c r="I658" s="75">
        <f>IF('General Information'!$C$4="Mexico",(ROUNDUP(VLOOKUP(E658,'BASE_FUNCOES (hide)'!A:X,21,0),0)),(ROUNDUP(VLOOKUP(E658,'BASE_FUNCOES (hide)'!A:L,9,0),0)))</f>
        <v>0</v>
      </c>
      <c r="J658" s="75">
        <f>ROUNDUP(SUMIF(Questions!$E$5:$E$558,'Hours Detail'!E658,Questions!$F$5:$F$558),0)</f>
        <v>0</v>
      </c>
      <c r="K658" s="76" t="e">
        <f>IF(H658="Yes",ROUNDUP(IF(VLOOKUP(E658,'BASE_FUNCOES (hide)'!A:T,16,FALSE)&lt;&gt;"No",IF('General Information'!$C$19="HTML5",(I658+J658)*'BASE_FUNCOES (hide)'!$T$2,I658+J658),I658+J658),I658+J658),I658+J658)</f>
        <v>#N/A</v>
      </c>
      <c r="L658" s="163" t="str">
        <f>IF(ISERROR(VLOOKUP(E658,Questions!$E$5:$L$568,6,0))=FALSE,VLOOKUP(E658,Questions!$E$5:$L$568,6,0),"")</f>
        <v/>
      </c>
      <c r="M658" s="164" t="s">
        <v>2396</v>
      </c>
      <c r="N658" s="369" t="s">
        <v>2377</v>
      </c>
    </row>
    <row r="659" spans="1:14" ht="14.5" customHeight="1">
      <c r="A659" s="59"/>
      <c r="B659" s="72"/>
      <c r="C659" s="72"/>
      <c r="D659" s="73" t="e">
        <f>IF('General Information'!$C$6="Português",VLOOKUP(B659,'ESTRUTURA_MODULO(hide)'!A:D,2,0),IF('General Information'!$C$6="English",VLOOKUP(B659,'ESTRUTURA_MODULO(hide)'!A:D,3,0),IF('General Information'!$C$6="Español",VLOOKUP(B659,'ESTRUTURA_MODULO(hide)'!A:D,4,0))))</f>
        <v>#N/A</v>
      </c>
      <c r="E659" s="74"/>
      <c r="F659" s="73"/>
      <c r="G659" s="73" t="e">
        <f>IF(AND('General Information'!$D$16=1,VLOOKUP(B659,Modules!$B$5:$E$496,4,0)=1)=TRUE,VLOOKUP('Hours Detail'!E659,'BASE_FUNCOES (hide)'!$A:$V,10,0),IF(AND('General Information'!$D$16=2,VLOOKUP(B659,Modules!$B$5:$E$496,4,0)=1)=TRUE,VLOOKUP('Hours Detail'!E659,'BASE_FUNCOES (hide)'!$A:$V,11,0),IF(AND('General Information'!$D$16=3,VLOOKUP(B659,Modules!$B$5:$E$496,4,0)=1)=TRUE,VLOOKUP('Hours Detail'!E659,'BASE_FUNCOES (hide)'!$A:$V,12,0),IF(AND('General Information'!$D$16=4,VLOOKUP(B659,Modules!$B$5:$E$496,4,0)=1)=TRUE,VLOOKUP('Hours Detail'!E659,'BASE_FUNCOES (hide)'!$A:$V,13,0),IF(AND('General Information'!$D$16=5,VLOOKUP(B659,Modules!$B$5:$E$496,4,0)=1)=TRUE,VLOOKUP('Hours Detail'!E659,'BASE_FUNCOES (hide)'!$A:$V,14,0),  IF(AND('General Information'!$D$16=6,VLOOKUP(B659,Modules!$B$5:$E$496,4,0)=1)=TRUE,VLOOKUP('Hours Detail'!E659,'BASE_FUNCOES (hide)'!$A:$V,15,0),"No"))))))</f>
        <v>#N/A</v>
      </c>
      <c r="H659" s="166" t="e">
        <f t="shared" si="12"/>
        <v>#N/A</v>
      </c>
      <c r="I659" s="75">
        <f>IF('General Information'!$C$4="Mexico",(ROUNDUP(VLOOKUP(E659,'BASE_FUNCOES (hide)'!A:X,21,0),0)),(ROUNDUP(VLOOKUP(E659,'BASE_FUNCOES (hide)'!A:L,9,0),0)))</f>
        <v>0</v>
      </c>
      <c r="J659" s="75">
        <f>ROUNDUP(SUMIF(Questions!$E$5:$E$558,'Hours Detail'!E659,Questions!$F$5:$F$558),0)</f>
        <v>0</v>
      </c>
      <c r="K659" s="76" t="e">
        <f>IF(H659="Yes",ROUNDUP(IF(VLOOKUP(E659,'BASE_FUNCOES (hide)'!A:T,16,FALSE)&lt;&gt;"No",IF('General Information'!$C$19="HTML5",(I659+J659)*'BASE_FUNCOES (hide)'!$T$2,I659+J659),I659+J659),I659+J659),I659+J659)</f>
        <v>#N/A</v>
      </c>
      <c r="L659" s="163" t="str">
        <f>IF(ISERROR(VLOOKUP(E659,Questions!$E$5:$L$568,6,0))=FALSE,VLOOKUP(E659,Questions!$E$5:$L$568,6,0),"")</f>
        <v/>
      </c>
      <c r="M659" s="164" t="s">
        <v>2396</v>
      </c>
      <c r="N659" s="369" t="s">
        <v>2377</v>
      </c>
    </row>
    <row r="660" spans="1:14" ht="14.5" customHeight="1">
      <c r="A660" s="59"/>
      <c r="B660" s="72"/>
      <c r="C660" s="72"/>
      <c r="D660" s="73" t="e">
        <f>IF('General Information'!$C$6="Português",VLOOKUP(B660,'ESTRUTURA_MODULO(hide)'!A:D,2,0),IF('General Information'!$C$6="English",VLOOKUP(B660,'ESTRUTURA_MODULO(hide)'!A:D,3,0),IF('General Information'!$C$6="Español",VLOOKUP(B660,'ESTRUTURA_MODULO(hide)'!A:D,4,0))))</f>
        <v>#N/A</v>
      </c>
      <c r="E660" s="74"/>
      <c r="F660" s="73"/>
      <c r="G660" s="73" t="e">
        <f>IF(AND('General Information'!$D$16=1,VLOOKUP(B660,Modules!$B$5:$E$496,4,0)=1)=TRUE,VLOOKUP('Hours Detail'!E660,'BASE_FUNCOES (hide)'!$A:$V,10,0),IF(AND('General Information'!$D$16=2,VLOOKUP(B660,Modules!$B$5:$E$496,4,0)=1)=TRUE,VLOOKUP('Hours Detail'!E660,'BASE_FUNCOES (hide)'!$A:$V,11,0),IF(AND('General Information'!$D$16=3,VLOOKUP(B660,Modules!$B$5:$E$496,4,0)=1)=TRUE,VLOOKUP('Hours Detail'!E660,'BASE_FUNCOES (hide)'!$A:$V,12,0),IF(AND('General Information'!$D$16=4,VLOOKUP(B660,Modules!$B$5:$E$496,4,0)=1)=TRUE,VLOOKUP('Hours Detail'!E660,'BASE_FUNCOES (hide)'!$A:$V,13,0),IF(AND('General Information'!$D$16=5,VLOOKUP(B660,Modules!$B$5:$E$496,4,0)=1)=TRUE,VLOOKUP('Hours Detail'!E660,'BASE_FUNCOES (hide)'!$A:$V,14,0),  IF(AND('General Information'!$D$16=6,VLOOKUP(B660,Modules!$B$5:$E$496,4,0)=1)=TRUE,VLOOKUP('Hours Detail'!E660,'BASE_FUNCOES (hide)'!$A:$V,15,0),"No"))))))</f>
        <v>#N/A</v>
      </c>
      <c r="H660" s="166" t="e">
        <f t="shared" si="12"/>
        <v>#N/A</v>
      </c>
      <c r="I660" s="75">
        <f>IF('General Information'!$C$4="Mexico",(ROUNDUP(VLOOKUP(E660,'BASE_FUNCOES (hide)'!A:X,21,0),0)),(ROUNDUP(VLOOKUP(E660,'BASE_FUNCOES (hide)'!A:L,9,0),0)))</f>
        <v>0</v>
      </c>
      <c r="J660" s="75">
        <f>ROUNDUP(SUMIF(Questions!$E$5:$E$558,'Hours Detail'!E660,Questions!$F$5:$F$558),0)</f>
        <v>0</v>
      </c>
      <c r="K660" s="76" t="e">
        <f>IF(H660="Yes",ROUNDUP(IF(VLOOKUP(E660,'BASE_FUNCOES (hide)'!A:T,16,FALSE)&lt;&gt;"No",IF('General Information'!$C$19="HTML5",(I660+J660)*'BASE_FUNCOES (hide)'!$T$2,I660+J660),I660+J660),I660+J660),I660+J660)</f>
        <v>#N/A</v>
      </c>
      <c r="L660" s="163" t="str">
        <f>IF(ISERROR(VLOOKUP(E660,Questions!$E$5:$L$568,6,0))=FALSE,VLOOKUP(E660,Questions!$E$5:$L$568,6,0),"")</f>
        <v/>
      </c>
      <c r="M660" s="164" t="s">
        <v>2396</v>
      </c>
      <c r="N660" s="369" t="s">
        <v>2377</v>
      </c>
    </row>
    <row r="661" spans="1:14" ht="14.5" customHeight="1">
      <c r="A661" s="59"/>
      <c r="B661" s="72"/>
      <c r="C661" s="72"/>
      <c r="D661" s="73" t="e">
        <f>IF('General Information'!$C$6="Português",VLOOKUP(B661,'ESTRUTURA_MODULO(hide)'!A:D,2,0),IF('General Information'!$C$6="English",VLOOKUP(B661,'ESTRUTURA_MODULO(hide)'!A:D,3,0),IF('General Information'!$C$6="Español",VLOOKUP(B661,'ESTRUTURA_MODULO(hide)'!A:D,4,0))))</f>
        <v>#N/A</v>
      </c>
      <c r="E661" s="74"/>
      <c r="F661" s="73"/>
      <c r="G661" s="73" t="e">
        <f>IF(AND('General Information'!$D$16=1,VLOOKUP(B661,Modules!$B$5:$E$496,4,0)=1)=TRUE,VLOOKUP('Hours Detail'!E661,'BASE_FUNCOES (hide)'!$A:$V,10,0),IF(AND('General Information'!$D$16=2,VLOOKUP(B661,Modules!$B$5:$E$496,4,0)=1)=TRUE,VLOOKUP('Hours Detail'!E661,'BASE_FUNCOES (hide)'!$A:$V,11,0),IF(AND('General Information'!$D$16=3,VLOOKUP(B661,Modules!$B$5:$E$496,4,0)=1)=TRUE,VLOOKUP('Hours Detail'!E661,'BASE_FUNCOES (hide)'!$A:$V,12,0),IF(AND('General Information'!$D$16=4,VLOOKUP(B661,Modules!$B$5:$E$496,4,0)=1)=TRUE,VLOOKUP('Hours Detail'!E661,'BASE_FUNCOES (hide)'!$A:$V,13,0),IF(AND('General Information'!$D$16=5,VLOOKUP(B661,Modules!$B$5:$E$496,4,0)=1)=TRUE,VLOOKUP('Hours Detail'!E661,'BASE_FUNCOES (hide)'!$A:$V,14,0),  IF(AND('General Information'!$D$16=6,VLOOKUP(B661,Modules!$B$5:$E$496,4,0)=1)=TRUE,VLOOKUP('Hours Detail'!E661,'BASE_FUNCOES (hide)'!$A:$V,15,0),"No"))))))</f>
        <v>#N/A</v>
      </c>
      <c r="H661" s="166" t="e">
        <f t="shared" si="12"/>
        <v>#N/A</v>
      </c>
      <c r="I661" s="75">
        <f>IF('General Information'!$C$4="Mexico",(ROUNDUP(VLOOKUP(E661,'BASE_FUNCOES (hide)'!A:X,21,0),0)),(ROUNDUP(VLOOKUP(E661,'BASE_FUNCOES (hide)'!A:L,9,0),0)))</f>
        <v>0</v>
      </c>
      <c r="J661" s="75">
        <f>ROUNDUP(SUMIF(Questions!$E$5:$E$558,'Hours Detail'!E661,Questions!$F$5:$F$558),0)</f>
        <v>0</v>
      </c>
      <c r="K661" s="76" t="e">
        <f>IF(H661="Yes",ROUNDUP(IF(VLOOKUP(E661,'BASE_FUNCOES (hide)'!A:T,16,FALSE)&lt;&gt;"No",IF('General Information'!$C$19="HTML5",(I661+J661)*'BASE_FUNCOES (hide)'!$T$2,I661+J661),I661+J661),I661+J661),I661+J661)</f>
        <v>#N/A</v>
      </c>
      <c r="L661" s="163" t="str">
        <f>IF(ISERROR(VLOOKUP(E661,Questions!$E$5:$L$568,6,0))=FALSE,VLOOKUP(E661,Questions!$E$5:$L$568,6,0),"")</f>
        <v/>
      </c>
      <c r="M661" s="164" t="s">
        <v>2396</v>
      </c>
      <c r="N661" s="369" t="s">
        <v>2377</v>
      </c>
    </row>
    <row r="662" spans="1:14" ht="14.5" customHeight="1">
      <c r="A662" s="59"/>
      <c r="B662" s="72"/>
      <c r="C662" s="72"/>
      <c r="D662" s="73" t="e">
        <f>IF('General Information'!$C$6="Português",VLOOKUP(B662,'ESTRUTURA_MODULO(hide)'!A:D,2,0),IF('General Information'!$C$6="English",VLOOKUP(B662,'ESTRUTURA_MODULO(hide)'!A:D,3,0),IF('General Information'!$C$6="Español",VLOOKUP(B662,'ESTRUTURA_MODULO(hide)'!A:D,4,0))))</f>
        <v>#N/A</v>
      </c>
      <c r="E662" s="74"/>
      <c r="F662" s="73"/>
      <c r="G662" s="73" t="e">
        <f>IF(AND('General Information'!$D$16=1,VLOOKUP(B662,Modules!$B$5:$E$496,4,0)=1)=TRUE,VLOOKUP('Hours Detail'!E662,'BASE_FUNCOES (hide)'!$A:$V,10,0),IF(AND('General Information'!$D$16=2,VLOOKUP(B662,Modules!$B$5:$E$496,4,0)=1)=TRUE,VLOOKUP('Hours Detail'!E662,'BASE_FUNCOES (hide)'!$A:$V,11,0),IF(AND('General Information'!$D$16=3,VLOOKUP(B662,Modules!$B$5:$E$496,4,0)=1)=TRUE,VLOOKUP('Hours Detail'!E662,'BASE_FUNCOES (hide)'!$A:$V,12,0),IF(AND('General Information'!$D$16=4,VLOOKUP(B662,Modules!$B$5:$E$496,4,0)=1)=TRUE,VLOOKUP('Hours Detail'!E662,'BASE_FUNCOES (hide)'!$A:$V,13,0),IF(AND('General Information'!$D$16=5,VLOOKUP(B662,Modules!$B$5:$E$496,4,0)=1)=TRUE,VLOOKUP('Hours Detail'!E662,'BASE_FUNCOES (hide)'!$A:$V,14,0),  IF(AND('General Information'!$D$16=6,VLOOKUP(B662,Modules!$B$5:$E$496,4,0)=1)=TRUE,VLOOKUP('Hours Detail'!E662,'BASE_FUNCOES (hide)'!$A:$V,15,0),"No"))))))</f>
        <v>#N/A</v>
      </c>
      <c r="H662" s="166" t="e">
        <f t="shared" si="12"/>
        <v>#N/A</v>
      </c>
      <c r="I662" s="75">
        <f>IF('General Information'!$C$4="Mexico",(ROUNDUP(VLOOKUP(E662,'BASE_FUNCOES (hide)'!A:X,21,0),0)),(ROUNDUP(VLOOKUP(E662,'BASE_FUNCOES (hide)'!A:L,9,0),0)))</f>
        <v>0</v>
      </c>
      <c r="J662" s="75">
        <f>ROUNDUP(SUMIF(Questions!$E$5:$E$558,'Hours Detail'!E662,Questions!$F$5:$F$558),0)</f>
        <v>0</v>
      </c>
      <c r="K662" s="76" t="e">
        <f>IF(H662="Yes",ROUNDUP(IF(VLOOKUP(E662,'BASE_FUNCOES (hide)'!A:T,16,FALSE)&lt;&gt;"No",IF('General Information'!$C$19="HTML5",(I662+J662)*'BASE_FUNCOES (hide)'!$T$2,I662+J662),I662+J662),I662+J662),I662+J662)</f>
        <v>#N/A</v>
      </c>
      <c r="L662" s="163" t="str">
        <f>IF(ISERROR(VLOOKUP(E662,Questions!$E$5:$L$568,6,0))=FALSE,VLOOKUP(E662,Questions!$E$5:$L$568,6,0),"")</f>
        <v/>
      </c>
      <c r="M662" s="164" t="s">
        <v>2396</v>
      </c>
      <c r="N662" s="369" t="s">
        <v>2377</v>
      </c>
    </row>
    <row r="663" spans="1:14" ht="14.5" customHeight="1">
      <c r="A663" s="59"/>
      <c r="B663" s="72"/>
      <c r="C663" s="72"/>
      <c r="D663" s="73" t="e">
        <f>IF('General Information'!$C$6="Português",VLOOKUP(B663,'ESTRUTURA_MODULO(hide)'!A:D,2,0),IF('General Information'!$C$6="English",VLOOKUP(B663,'ESTRUTURA_MODULO(hide)'!A:D,3,0),IF('General Information'!$C$6="Español",VLOOKUP(B663,'ESTRUTURA_MODULO(hide)'!A:D,4,0))))</f>
        <v>#N/A</v>
      </c>
      <c r="E663" s="74"/>
      <c r="F663" s="73"/>
      <c r="G663" s="73" t="e">
        <f>IF(AND('General Information'!$D$16=1,VLOOKUP(B663,Modules!$B$5:$E$496,4,0)=1)=TRUE,VLOOKUP('Hours Detail'!E663,'BASE_FUNCOES (hide)'!$A:$V,10,0),IF(AND('General Information'!$D$16=2,VLOOKUP(B663,Modules!$B$5:$E$496,4,0)=1)=TRUE,VLOOKUP('Hours Detail'!E663,'BASE_FUNCOES (hide)'!$A:$V,11,0),IF(AND('General Information'!$D$16=3,VLOOKUP(B663,Modules!$B$5:$E$496,4,0)=1)=TRUE,VLOOKUP('Hours Detail'!E663,'BASE_FUNCOES (hide)'!$A:$V,12,0),IF(AND('General Information'!$D$16=4,VLOOKUP(B663,Modules!$B$5:$E$496,4,0)=1)=TRUE,VLOOKUP('Hours Detail'!E663,'BASE_FUNCOES (hide)'!$A:$V,13,0),IF(AND('General Information'!$D$16=5,VLOOKUP(B663,Modules!$B$5:$E$496,4,0)=1)=TRUE,VLOOKUP('Hours Detail'!E663,'BASE_FUNCOES (hide)'!$A:$V,14,0),  IF(AND('General Information'!$D$16=6,VLOOKUP(B663,Modules!$B$5:$E$496,4,0)=1)=TRUE,VLOOKUP('Hours Detail'!E663,'BASE_FUNCOES (hide)'!$A:$V,15,0),"No"))))))</f>
        <v>#N/A</v>
      </c>
      <c r="H663" s="166" t="e">
        <f t="shared" si="12"/>
        <v>#N/A</v>
      </c>
      <c r="I663" s="75">
        <f>IF('General Information'!$C$4="Mexico",(ROUNDUP(VLOOKUP(E663,'BASE_FUNCOES (hide)'!A:X,21,0),0)),(ROUNDUP(VLOOKUP(E663,'BASE_FUNCOES (hide)'!A:L,9,0),0)))</f>
        <v>0</v>
      </c>
      <c r="J663" s="75">
        <f>ROUNDUP(SUMIF(Questions!$E$5:$E$558,'Hours Detail'!E663,Questions!$F$5:$F$558),0)</f>
        <v>0</v>
      </c>
      <c r="K663" s="76" t="e">
        <f>IF(H663="Yes",ROUNDUP(IF(VLOOKUP(E663,'BASE_FUNCOES (hide)'!A:T,16,FALSE)&lt;&gt;"No",IF('General Information'!$C$19="HTML5",(I663+J663)*'BASE_FUNCOES (hide)'!$T$2,I663+J663),I663+J663),I663+J663),I663+J663)</f>
        <v>#N/A</v>
      </c>
      <c r="L663" s="163" t="str">
        <f>IF(ISERROR(VLOOKUP(E663,Questions!$E$5:$L$568,6,0))=FALSE,VLOOKUP(E663,Questions!$E$5:$L$568,6,0),"")</f>
        <v/>
      </c>
      <c r="M663" s="164" t="s">
        <v>2396</v>
      </c>
      <c r="N663" s="369" t="s">
        <v>2377</v>
      </c>
    </row>
    <row r="664" spans="1:14" ht="14.5" customHeight="1">
      <c r="A664" s="59"/>
      <c r="B664" s="72"/>
      <c r="C664" s="72"/>
      <c r="D664" s="73" t="e">
        <f>IF('General Information'!$C$6="Português",VLOOKUP(B664,'ESTRUTURA_MODULO(hide)'!A:D,2,0),IF('General Information'!$C$6="English",VLOOKUP(B664,'ESTRUTURA_MODULO(hide)'!A:D,3,0),IF('General Information'!$C$6="Español",VLOOKUP(B664,'ESTRUTURA_MODULO(hide)'!A:D,4,0))))</f>
        <v>#N/A</v>
      </c>
      <c r="E664" s="74"/>
      <c r="F664" s="73"/>
      <c r="G664" s="73" t="e">
        <f>IF(AND('General Information'!$D$16=1,VLOOKUP(B664,Modules!$B$5:$E$496,4,0)=1)=TRUE,VLOOKUP('Hours Detail'!E664,'BASE_FUNCOES (hide)'!$A:$V,10,0),IF(AND('General Information'!$D$16=2,VLOOKUP(B664,Modules!$B$5:$E$496,4,0)=1)=TRUE,VLOOKUP('Hours Detail'!E664,'BASE_FUNCOES (hide)'!$A:$V,11,0),IF(AND('General Information'!$D$16=3,VLOOKUP(B664,Modules!$B$5:$E$496,4,0)=1)=TRUE,VLOOKUP('Hours Detail'!E664,'BASE_FUNCOES (hide)'!$A:$V,12,0),IF(AND('General Information'!$D$16=4,VLOOKUP(B664,Modules!$B$5:$E$496,4,0)=1)=TRUE,VLOOKUP('Hours Detail'!E664,'BASE_FUNCOES (hide)'!$A:$V,13,0),IF(AND('General Information'!$D$16=5,VLOOKUP(B664,Modules!$B$5:$E$496,4,0)=1)=TRUE,VLOOKUP('Hours Detail'!E664,'BASE_FUNCOES (hide)'!$A:$V,14,0),  IF(AND('General Information'!$D$16=6,VLOOKUP(B664,Modules!$B$5:$E$496,4,0)=1)=TRUE,VLOOKUP('Hours Detail'!E664,'BASE_FUNCOES (hide)'!$A:$V,15,0),"No"))))))</f>
        <v>#N/A</v>
      </c>
      <c r="H664" s="166" t="e">
        <f t="shared" si="12"/>
        <v>#N/A</v>
      </c>
      <c r="I664" s="75">
        <f>IF('General Information'!$C$4="Mexico",(ROUNDUP(VLOOKUP(E664,'BASE_FUNCOES (hide)'!A:X,21,0),0)),(ROUNDUP(VLOOKUP(E664,'BASE_FUNCOES (hide)'!A:L,9,0),0)))</f>
        <v>0</v>
      </c>
      <c r="J664" s="75">
        <f>ROUNDUP(SUMIF(Questions!$E$5:$E$558,'Hours Detail'!E664,Questions!$F$5:$F$558),0)</f>
        <v>0</v>
      </c>
      <c r="K664" s="76" t="e">
        <f>IF(H664="Yes",ROUNDUP(IF(VLOOKUP(E664,'BASE_FUNCOES (hide)'!A:T,16,FALSE)&lt;&gt;"No",IF('General Information'!$C$19="HTML5",(I664+J664)*'BASE_FUNCOES (hide)'!$T$2,I664+J664),I664+J664),I664+J664),I664+J664)</f>
        <v>#N/A</v>
      </c>
      <c r="L664" s="163" t="str">
        <f>IF(ISERROR(VLOOKUP(E664,Questions!$E$5:$L$568,6,0))=FALSE,VLOOKUP(E664,Questions!$E$5:$L$568,6,0),"")</f>
        <v/>
      </c>
      <c r="M664" s="164" t="s">
        <v>2396</v>
      </c>
      <c r="N664" s="369" t="s">
        <v>2377</v>
      </c>
    </row>
    <row r="665" spans="1:14" ht="14.5" customHeight="1">
      <c r="A665" s="59"/>
      <c r="B665" s="72"/>
      <c r="C665" s="72"/>
      <c r="D665" s="73" t="e">
        <f>IF('General Information'!$C$6="Português",VLOOKUP(B665,'ESTRUTURA_MODULO(hide)'!A:D,2,0),IF('General Information'!$C$6="English",VLOOKUP(B665,'ESTRUTURA_MODULO(hide)'!A:D,3,0),IF('General Information'!$C$6="Español",VLOOKUP(B665,'ESTRUTURA_MODULO(hide)'!A:D,4,0))))</f>
        <v>#N/A</v>
      </c>
      <c r="E665" s="74"/>
      <c r="F665" s="73"/>
      <c r="G665" s="73" t="e">
        <f>IF(AND('General Information'!$D$16=1,VLOOKUP(B665,Modules!$B$5:$E$496,4,0)=1)=TRUE,VLOOKUP('Hours Detail'!E665,'BASE_FUNCOES (hide)'!$A:$V,10,0),IF(AND('General Information'!$D$16=2,VLOOKUP(B665,Modules!$B$5:$E$496,4,0)=1)=TRUE,VLOOKUP('Hours Detail'!E665,'BASE_FUNCOES (hide)'!$A:$V,11,0),IF(AND('General Information'!$D$16=3,VLOOKUP(B665,Modules!$B$5:$E$496,4,0)=1)=TRUE,VLOOKUP('Hours Detail'!E665,'BASE_FUNCOES (hide)'!$A:$V,12,0),IF(AND('General Information'!$D$16=4,VLOOKUP(B665,Modules!$B$5:$E$496,4,0)=1)=TRUE,VLOOKUP('Hours Detail'!E665,'BASE_FUNCOES (hide)'!$A:$V,13,0),IF(AND('General Information'!$D$16=5,VLOOKUP(B665,Modules!$B$5:$E$496,4,0)=1)=TRUE,VLOOKUP('Hours Detail'!E665,'BASE_FUNCOES (hide)'!$A:$V,14,0),  IF(AND('General Information'!$D$16=6,VLOOKUP(B665,Modules!$B$5:$E$496,4,0)=1)=TRUE,VLOOKUP('Hours Detail'!E665,'BASE_FUNCOES (hide)'!$A:$V,15,0),"No"))))))</f>
        <v>#N/A</v>
      </c>
      <c r="H665" s="166" t="e">
        <f t="shared" si="12"/>
        <v>#N/A</v>
      </c>
      <c r="I665" s="75">
        <f>IF('General Information'!$C$4="Mexico",(ROUNDUP(VLOOKUP(E665,'BASE_FUNCOES (hide)'!A:X,21,0),0)),(ROUNDUP(VLOOKUP(E665,'BASE_FUNCOES (hide)'!A:L,9,0),0)))</f>
        <v>0</v>
      </c>
      <c r="J665" s="75">
        <f>ROUNDUP(SUMIF(Questions!$E$5:$E$558,'Hours Detail'!E665,Questions!$F$5:$F$558),0)</f>
        <v>0</v>
      </c>
      <c r="K665" s="76" t="e">
        <f>IF(H665="Yes",ROUNDUP(IF(VLOOKUP(E665,'BASE_FUNCOES (hide)'!A:T,16,FALSE)&lt;&gt;"No",IF('General Information'!$C$19="HTML5",(I665+J665)*'BASE_FUNCOES (hide)'!$T$2,I665+J665),I665+J665),I665+J665),I665+J665)</f>
        <v>#N/A</v>
      </c>
      <c r="L665" s="163" t="str">
        <f>IF(ISERROR(VLOOKUP(E665,Questions!$E$5:$L$568,6,0))=FALSE,VLOOKUP(E665,Questions!$E$5:$L$568,6,0),"")</f>
        <v/>
      </c>
      <c r="M665" s="164" t="s">
        <v>2396</v>
      </c>
      <c r="N665" s="369" t="s">
        <v>2377</v>
      </c>
    </row>
    <row r="666" spans="1:14" ht="14.5" customHeight="1">
      <c r="A666" s="59"/>
      <c r="B666" s="72"/>
      <c r="C666" s="72"/>
      <c r="D666" s="73" t="e">
        <f>IF('General Information'!$C$6="Português",VLOOKUP(B666,'ESTRUTURA_MODULO(hide)'!A:D,2,0),IF('General Information'!$C$6="English",VLOOKUP(B666,'ESTRUTURA_MODULO(hide)'!A:D,3,0),IF('General Information'!$C$6="Español",VLOOKUP(B666,'ESTRUTURA_MODULO(hide)'!A:D,4,0))))</f>
        <v>#N/A</v>
      </c>
      <c r="E666" s="74"/>
      <c r="F666" s="73"/>
      <c r="G666" s="73" t="e">
        <f>IF(AND('General Information'!$D$16=1,VLOOKUP(B666,Modules!$B$5:$E$496,4,0)=1)=TRUE,VLOOKUP('Hours Detail'!E666,'BASE_FUNCOES (hide)'!$A:$V,10,0),IF(AND('General Information'!$D$16=2,VLOOKUP(B666,Modules!$B$5:$E$496,4,0)=1)=TRUE,VLOOKUP('Hours Detail'!E666,'BASE_FUNCOES (hide)'!$A:$V,11,0),IF(AND('General Information'!$D$16=3,VLOOKUP(B666,Modules!$B$5:$E$496,4,0)=1)=TRUE,VLOOKUP('Hours Detail'!E666,'BASE_FUNCOES (hide)'!$A:$V,12,0),IF(AND('General Information'!$D$16=4,VLOOKUP(B666,Modules!$B$5:$E$496,4,0)=1)=TRUE,VLOOKUP('Hours Detail'!E666,'BASE_FUNCOES (hide)'!$A:$V,13,0),IF(AND('General Information'!$D$16=5,VLOOKUP(B666,Modules!$B$5:$E$496,4,0)=1)=TRUE,VLOOKUP('Hours Detail'!E666,'BASE_FUNCOES (hide)'!$A:$V,14,0),  IF(AND('General Information'!$D$16=6,VLOOKUP(B666,Modules!$B$5:$E$496,4,0)=1)=TRUE,VLOOKUP('Hours Detail'!E666,'BASE_FUNCOES (hide)'!$A:$V,15,0),"No"))))))</f>
        <v>#N/A</v>
      </c>
      <c r="H666" s="166" t="e">
        <f t="shared" si="12"/>
        <v>#N/A</v>
      </c>
      <c r="I666" s="75">
        <f>IF('General Information'!$C$4="Mexico",(ROUNDUP(VLOOKUP(E666,'BASE_FUNCOES (hide)'!A:X,21,0),0)),(ROUNDUP(VLOOKUP(E666,'BASE_FUNCOES (hide)'!A:L,9,0),0)))</f>
        <v>0</v>
      </c>
      <c r="J666" s="75">
        <f>ROUNDUP(SUMIF(Questions!$E$5:$E$558,'Hours Detail'!E666,Questions!$F$5:$F$558),0)</f>
        <v>0</v>
      </c>
      <c r="K666" s="76" t="e">
        <f>IF(H666="Yes",ROUNDUP(IF(VLOOKUP(E666,'BASE_FUNCOES (hide)'!A:T,16,FALSE)&lt;&gt;"No",IF('General Information'!$C$19="HTML5",(I666+J666)*'BASE_FUNCOES (hide)'!$T$2,I666+J666),I666+J666),I666+J666),I666+J666)</f>
        <v>#N/A</v>
      </c>
      <c r="L666" s="163" t="str">
        <f>IF(ISERROR(VLOOKUP(E666,Questions!$E$5:$L$568,6,0))=FALSE,VLOOKUP(E666,Questions!$E$5:$L$568,6,0),"")</f>
        <v/>
      </c>
      <c r="M666" s="164" t="s">
        <v>2396</v>
      </c>
      <c r="N666" s="369" t="s">
        <v>2377</v>
      </c>
    </row>
    <row r="667" spans="1:14" ht="14.5" customHeight="1">
      <c r="A667" s="59"/>
      <c r="B667" s="72"/>
      <c r="C667" s="72"/>
      <c r="D667" s="73" t="e">
        <f>IF('General Information'!$C$6="Português",VLOOKUP(B667,'ESTRUTURA_MODULO(hide)'!A:D,2,0),IF('General Information'!$C$6="English",VLOOKUP(B667,'ESTRUTURA_MODULO(hide)'!A:D,3,0),IF('General Information'!$C$6="Español",VLOOKUP(B667,'ESTRUTURA_MODULO(hide)'!A:D,4,0))))</f>
        <v>#N/A</v>
      </c>
      <c r="E667" s="74"/>
      <c r="F667" s="73"/>
      <c r="G667" s="73" t="e">
        <f>IF(AND('General Information'!$D$16=1,VLOOKUP(B667,Modules!$B$5:$E$496,4,0)=1)=TRUE,VLOOKUP('Hours Detail'!E667,'BASE_FUNCOES (hide)'!$A:$V,10,0),IF(AND('General Information'!$D$16=2,VLOOKUP(B667,Modules!$B$5:$E$496,4,0)=1)=TRUE,VLOOKUP('Hours Detail'!E667,'BASE_FUNCOES (hide)'!$A:$V,11,0),IF(AND('General Information'!$D$16=3,VLOOKUP(B667,Modules!$B$5:$E$496,4,0)=1)=TRUE,VLOOKUP('Hours Detail'!E667,'BASE_FUNCOES (hide)'!$A:$V,12,0),IF(AND('General Information'!$D$16=4,VLOOKUP(B667,Modules!$B$5:$E$496,4,0)=1)=TRUE,VLOOKUP('Hours Detail'!E667,'BASE_FUNCOES (hide)'!$A:$V,13,0),IF(AND('General Information'!$D$16=5,VLOOKUP(B667,Modules!$B$5:$E$496,4,0)=1)=TRUE,VLOOKUP('Hours Detail'!E667,'BASE_FUNCOES (hide)'!$A:$V,14,0),  IF(AND('General Information'!$D$16=6,VLOOKUP(B667,Modules!$B$5:$E$496,4,0)=1)=TRUE,VLOOKUP('Hours Detail'!E667,'BASE_FUNCOES (hide)'!$A:$V,15,0),"No"))))))</f>
        <v>#N/A</v>
      </c>
      <c r="H667" s="166" t="e">
        <f t="shared" si="12"/>
        <v>#N/A</v>
      </c>
      <c r="I667" s="75">
        <f>IF('General Information'!$C$4="Mexico",(ROUNDUP(VLOOKUP(E667,'BASE_FUNCOES (hide)'!A:X,21,0),0)),(ROUNDUP(VLOOKUP(E667,'BASE_FUNCOES (hide)'!A:L,9,0),0)))</f>
        <v>0</v>
      </c>
      <c r="J667" s="75">
        <f>ROUNDUP(SUMIF(Questions!$E$5:$E$558,'Hours Detail'!E667,Questions!$F$5:$F$558),0)</f>
        <v>0</v>
      </c>
      <c r="K667" s="76" t="e">
        <f>IF(H667="Yes",ROUNDUP(IF(VLOOKUP(E667,'BASE_FUNCOES (hide)'!A:T,16,FALSE)&lt;&gt;"No",IF('General Information'!$C$19="HTML5",(I667+J667)*'BASE_FUNCOES (hide)'!$T$2,I667+J667),I667+J667),I667+J667),I667+J667)</f>
        <v>#N/A</v>
      </c>
      <c r="L667" s="163" t="str">
        <f>IF(ISERROR(VLOOKUP(E667,Questions!$E$5:$L$568,6,0))=FALSE,VLOOKUP(E667,Questions!$E$5:$L$568,6,0),"")</f>
        <v/>
      </c>
      <c r="M667" s="164" t="s">
        <v>2396</v>
      </c>
      <c r="N667" s="369" t="s">
        <v>2377</v>
      </c>
    </row>
    <row r="668" spans="1:14" ht="14.5" customHeight="1">
      <c r="A668" s="59"/>
      <c r="B668" s="72"/>
      <c r="C668" s="72"/>
      <c r="D668" s="73" t="e">
        <f>IF('General Information'!$C$6="Português",VLOOKUP(B668,'ESTRUTURA_MODULO(hide)'!A:D,2,0),IF('General Information'!$C$6="English",VLOOKUP(B668,'ESTRUTURA_MODULO(hide)'!A:D,3,0),IF('General Information'!$C$6="Español",VLOOKUP(B668,'ESTRUTURA_MODULO(hide)'!A:D,4,0))))</f>
        <v>#N/A</v>
      </c>
      <c r="E668" s="74"/>
      <c r="F668" s="73"/>
      <c r="G668" s="73" t="e">
        <f>IF(AND('General Information'!$D$16=1,VLOOKUP(B668,Modules!$B$5:$E$496,4,0)=1)=TRUE,VLOOKUP('Hours Detail'!E668,'BASE_FUNCOES (hide)'!$A:$V,10,0),IF(AND('General Information'!$D$16=2,VLOOKUP(B668,Modules!$B$5:$E$496,4,0)=1)=TRUE,VLOOKUP('Hours Detail'!E668,'BASE_FUNCOES (hide)'!$A:$V,11,0),IF(AND('General Information'!$D$16=3,VLOOKUP(B668,Modules!$B$5:$E$496,4,0)=1)=TRUE,VLOOKUP('Hours Detail'!E668,'BASE_FUNCOES (hide)'!$A:$V,12,0),IF(AND('General Information'!$D$16=4,VLOOKUP(B668,Modules!$B$5:$E$496,4,0)=1)=TRUE,VLOOKUP('Hours Detail'!E668,'BASE_FUNCOES (hide)'!$A:$V,13,0),IF(AND('General Information'!$D$16=5,VLOOKUP(B668,Modules!$B$5:$E$496,4,0)=1)=TRUE,VLOOKUP('Hours Detail'!E668,'BASE_FUNCOES (hide)'!$A:$V,14,0),  IF(AND('General Information'!$D$16=6,VLOOKUP(B668,Modules!$B$5:$E$496,4,0)=1)=TRUE,VLOOKUP('Hours Detail'!E668,'BASE_FUNCOES (hide)'!$A:$V,15,0),"No"))))))</f>
        <v>#N/A</v>
      </c>
      <c r="H668" s="166" t="e">
        <f t="shared" si="12"/>
        <v>#N/A</v>
      </c>
      <c r="I668" s="75">
        <f>IF('General Information'!$C$4="Mexico",(ROUNDUP(VLOOKUP(E668,'BASE_FUNCOES (hide)'!A:X,21,0),0)),(ROUNDUP(VLOOKUP(E668,'BASE_FUNCOES (hide)'!A:L,9,0),0)))</f>
        <v>0</v>
      </c>
      <c r="J668" s="75">
        <f>ROUNDUP(SUMIF(Questions!$E$5:$E$558,'Hours Detail'!E668,Questions!$F$5:$F$558),0)</f>
        <v>0</v>
      </c>
      <c r="K668" s="76" t="e">
        <f>IF(H668="Yes",ROUNDUP(IF(VLOOKUP(E668,'BASE_FUNCOES (hide)'!A:T,16,FALSE)&lt;&gt;"No",IF('General Information'!$C$19="HTML5",(I668+J668)*'BASE_FUNCOES (hide)'!$T$2,I668+J668),I668+J668),I668+J668),I668+J668)</f>
        <v>#N/A</v>
      </c>
      <c r="L668" s="163" t="str">
        <f>IF(ISERROR(VLOOKUP(E668,Questions!$E$5:$L$568,6,0))=FALSE,VLOOKUP(E668,Questions!$E$5:$L$568,6,0),"")</f>
        <v/>
      </c>
      <c r="M668" s="164" t="s">
        <v>2396</v>
      </c>
      <c r="N668" s="369" t="s">
        <v>2377</v>
      </c>
    </row>
    <row r="669" spans="1:14" ht="14.5" customHeight="1">
      <c r="A669" s="59"/>
      <c r="B669" s="72"/>
      <c r="C669" s="72"/>
      <c r="D669" s="73" t="e">
        <f>IF('General Information'!$C$6="Português",VLOOKUP(B669,'ESTRUTURA_MODULO(hide)'!A:D,2,0),IF('General Information'!$C$6="English",VLOOKUP(B669,'ESTRUTURA_MODULO(hide)'!A:D,3,0),IF('General Information'!$C$6="Español",VLOOKUP(B669,'ESTRUTURA_MODULO(hide)'!A:D,4,0))))</f>
        <v>#N/A</v>
      </c>
      <c r="E669" s="74"/>
      <c r="F669" s="73"/>
      <c r="G669" s="73" t="e">
        <f>IF(AND('General Information'!$D$16=1,VLOOKUP(B669,Modules!$B$5:$E$496,4,0)=1)=TRUE,VLOOKUP('Hours Detail'!E669,'BASE_FUNCOES (hide)'!$A:$V,10,0),IF(AND('General Information'!$D$16=2,VLOOKUP(B669,Modules!$B$5:$E$496,4,0)=1)=TRUE,VLOOKUP('Hours Detail'!E669,'BASE_FUNCOES (hide)'!$A:$V,11,0),IF(AND('General Information'!$D$16=3,VLOOKUP(B669,Modules!$B$5:$E$496,4,0)=1)=TRUE,VLOOKUP('Hours Detail'!E669,'BASE_FUNCOES (hide)'!$A:$V,12,0),IF(AND('General Information'!$D$16=4,VLOOKUP(B669,Modules!$B$5:$E$496,4,0)=1)=TRUE,VLOOKUP('Hours Detail'!E669,'BASE_FUNCOES (hide)'!$A:$V,13,0),IF(AND('General Information'!$D$16=5,VLOOKUP(B669,Modules!$B$5:$E$496,4,0)=1)=TRUE,VLOOKUP('Hours Detail'!E669,'BASE_FUNCOES (hide)'!$A:$V,14,0),  IF(AND('General Information'!$D$16=6,VLOOKUP(B669,Modules!$B$5:$E$496,4,0)=1)=TRUE,VLOOKUP('Hours Detail'!E669,'BASE_FUNCOES (hide)'!$A:$V,15,0),"No"))))))</f>
        <v>#N/A</v>
      </c>
      <c r="H669" s="166" t="e">
        <f t="shared" si="12"/>
        <v>#N/A</v>
      </c>
      <c r="I669" s="75">
        <f>IF('General Information'!$C$4="Mexico",(ROUNDUP(VLOOKUP(E669,'BASE_FUNCOES (hide)'!A:X,21,0),0)),(ROUNDUP(VLOOKUP(E669,'BASE_FUNCOES (hide)'!A:L,9,0),0)))</f>
        <v>0</v>
      </c>
      <c r="J669" s="75">
        <f>ROUNDUP(SUMIF(Questions!$E$5:$E$558,'Hours Detail'!E669,Questions!$F$5:$F$558),0)</f>
        <v>0</v>
      </c>
      <c r="K669" s="76" t="e">
        <f>IF(H669="Yes",ROUNDUP(IF(VLOOKUP(E669,'BASE_FUNCOES (hide)'!A:T,16,FALSE)&lt;&gt;"No",IF('General Information'!$C$19="HTML5",(I669+J669)*'BASE_FUNCOES (hide)'!$T$2,I669+J669),I669+J669),I669+J669),I669+J669)</f>
        <v>#N/A</v>
      </c>
      <c r="L669" s="163" t="str">
        <f>IF(ISERROR(VLOOKUP(E669,Questions!$E$5:$L$568,6,0))=FALSE,VLOOKUP(E669,Questions!$E$5:$L$568,6,0),"")</f>
        <v/>
      </c>
      <c r="M669" s="164" t="s">
        <v>2396</v>
      </c>
      <c r="N669" s="369" t="s">
        <v>2377</v>
      </c>
    </row>
    <row r="670" spans="1:14" ht="14.5" customHeight="1">
      <c r="A670" s="59"/>
      <c r="B670" s="72"/>
      <c r="C670" s="72"/>
      <c r="D670" s="73" t="e">
        <f>IF('General Information'!$C$6="Português",VLOOKUP(B670,'ESTRUTURA_MODULO(hide)'!A:D,2,0),IF('General Information'!$C$6="English",VLOOKUP(B670,'ESTRUTURA_MODULO(hide)'!A:D,3,0),IF('General Information'!$C$6="Español",VLOOKUP(B670,'ESTRUTURA_MODULO(hide)'!A:D,4,0))))</f>
        <v>#N/A</v>
      </c>
      <c r="E670" s="74"/>
      <c r="F670" s="73"/>
      <c r="G670" s="73" t="e">
        <f>IF(AND('General Information'!$D$16=1,VLOOKUP(B670,Modules!$B$5:$E$496,4,0)=1)=TRUE,VLOOKUP('Hours Detail'!E670,'BASE_FUNCOES (hide)'!$A:$V,10,0),IF(AND('General Information'!$D$16=2,VLOOKUP(B670,Modules!$B$5:$E$496,4,0)=1)=TRUE,VLOOKUP('Hours Detail'!E670,'BASE_FUNCOES (hide)'!$A:$V,11,0),IF(AND('General Information'!$D$16=3,VLOOKUP(B670,Modules!$B$5:$E$496,4,0)=1)=TRUE,VLOOKUP('Hours Detail'!E670,'BASE_FUNCOES (hide)'!$A:$V,12,0),IF(AND('General Information'!$D$16=4,VLOOKUP(B670,Modules!$B$5:$E$496,4,0)=1)=TRUE,VLOOKUP('Hours Detail'!E670,'BASE_FUNCOES (hide)'!$A:$V,13,0),IF(AND('General Information'!$D$16=5,VLOOKUP(B670,Modules!$B$5:$E$496,4,0)=1)=TRUE,VLOOKUP('Hours Detail'!E670,'BASE_FUNCOES (hide)'!$A:$V,14,0),  IF(AND('General Information'!$D$16=6,VLOOKUP(B670,Modules!$B$5:$E$496,4,0)=1)=TRUE,VLOOKUP('Hours Detail'!E670,'BASE_FUNCOES (hide)'!$A:$V,15,0),"No"))))))</f>
        <v>#N/A</v>
      </c>
      <c r="H670" s="166" t="e">
        <f t="shared" si="12"/>
        <v>#N/A</v>
      </c>
      <c r="I670" s="75">
        <f>IF('General Information'!$C$4="Mexico",(ROUNDUP(VLOOKUP(E670,'BASE_FUNCOES (hide)'!A:X,21,0),0)),(ROUNDUP(VLOOKUP(E670,'BASE_FUNCOES (hide)'!A:L,9,0),0)))</f>
        <v>0</v>
      </c>
      <c r="J670" s="75">
        <f>ROUNDUP(SUMIF(Questions!$E$5:$E$558,'Hours Detail'!E670,Questions!$F$5:$F$558),0)</f>
        <v>0</v>
      </c>
      <c r="K670" s="76" t="e">
        <f>IF(H670="Yes",ROUNDUP(IF(VLOOKUP(E670,'BASE_FUNCOES (hide)'!A:T,16,FALSE)&lt;&gt;"No",IF('General Information'!$C$19="HTML5",(I670+J670)*'BASE_FUNCOES (hide)'!$T$2,I670+J670),I670+J670),I670+J670),I670+J670)</f>
        <v>#N/A</v>
      </c>
      <c r="L670" s="163" t="str">
        <f>IF(ISERROR(VLOOKUP(E670,Questions!$E$5:$L$568,6,0))=FALSE,VLOOKUP(E670,Questions!$E$5:$L$568,6,0),"")</f>
        <v/>
      </c>
      <c r="M670" s="164" t="s">
        <v>2396</v>
      </c>
      <c r="N670" s="369" t="s">
        <v>2377</v>
      </c>
    </row>
    <row r="671" spans="1:14" ht="14.5" customHeight="1">
      <c r="A671" s="59"/>
      <c r="B671" s="72"/>
      <c r="C671" s="72"/>
      <c r="D671" s="73" t="e">
        <f>IF('General Information'!$C$6="Português",VLOOKUP(B671,'ESTRUTURA_MODULO(hide)'!A:D,2,0),IF('General Information'!$C$6="English",VLOOKUP(B671,'ESTRUTURA_MODULO(hide)'!A:D,3,0),IF('General Information'!$C$6="Español",VLOOKUP(B671,'ESTRUTURA_MODULO(hide)'!A:D,4,0))))</f>
        <v>#N/A</v>
      </c>
      <c r="E671" s="74"/>
      <c r="F671" s="73"/>
      <c r="G671" s="73" t="e">
        <f>IF(AND('General Information'!$D$16=1,VLOOKUP(B671,Modules!$B$5:$E$496,4,0)=1)=TRUE,VLOOKUP('Hours Detail'!E671,'BASE_FUNCOES (hide)'!$A:$V,10,0),IF(AND('General Information'!$D$16=2,VLOOKUP(B671,Modules!$B$5:$E$496,4,0)=1)=TRUE,VLOOKUP('Hours Detail'!E671,'BASE_FUNCOES (hide)'!$A:$V,11,0),IF(AND('General Information'!$D$16=3,VLOOKUP(B671,Modules!$B$5:$E$496,4,0)=1)=TRUE,VLOOKUP('Hours Detail'!E671,'BASE_FUNCOES (hide)'!$A:$V,12,0),IF(AND('General Information'!$D$16=4,VLOOKUP(B671,Modules!$B$5:$E$496,4,0)=1)=TRUE,VLOOKUP('Hours Detail'!E671,'BASE_FUNCOES (hide)'!$A:$V,13,0),IF(AND('General Information'!$D$16=5,VLOOKUP(B671,Modules!$B$5:$E$496,4,0)=1)=TRUE,VLOOKUP('Hours Detail'!E671,'BASE_FUNCOES (hide)'!$A:$V,14,0),  IF(AND('General Information'!$D$16=6,VLOOKUP(B671,Modules!$B$5:$E$496,4,0)=1)=TRUE,VLOOKUP('Hours Detail'!E671,'BASE_FUNCOES (hide)'!$A:$V,15,0),"No"))))))</f>
        <v>#N/A</v>
      </c>
      <c r="H671" s="166" t="e">
        <f t="shared" si="12"/>
        <v>#N/A</v>
      </c>
      <c r="I671" s="75">
        <f>IF('General Information'!$C$4="Mexico",(ROUNDUP(VLOOKUP(E671,'BASE_FUNCOES (hide)'!A:X,21,0),0)),(ROUNDUP(VLOOKUP(E671,'BASE_FUNCOES (hide)'!A:L,9,0),0)))</f>
        <v>0</v>
      </c>
      <c r="J671" s="75">
        <f>ROUNDUP(SUMIF(Questions!$E$5:$E$558,'Hours Detail'!E671,Questions!$F$5:$F$558),0)</f>
        <v>0</v>
      </c>
      <c r="K671" s="76" t="e">
        <f>IF(H671="Yes",ROUNDUP(IF(VLOOKUP(E671,'BASE_FUNCOES (hide)'!A:T,16,FALSE)&lt;&gt;"No",IF('General Information'!$C$19="HTML5",(I671+J671)*'BASE_FUNCOES (hide)'!$T$2,I671+J671),I671+J671),I671+J671),I671+J671)</f>
        <v>#N/A</v>
      </c>
      <c r="L671" s="163" t="str">
        <f>IF(ISERROR(VLOOKUP(E671,Questions!$E$5:$L$568,6,0))=FALSE,VLOOKUP(E671,Questions!$E$5:$L$568,6,0),"")</f>
        <v/>
      </c>
      <c r="M671" s="164" t="s">
        <v>2396</v>
      </c>
      <c r="N671" s="369" t="s">
        <v>2377</v>
      </c>
    </row>
    <row r="672" spans="1:14" ht="14.5" customHeight="1">
      <c r="A672" s="59"/>
      <c r="B672" s="72"/>
      <c r="C672" s="72"/>
      <c r="D672" s="73" t="e">
        <f>IF('General Information'!$C$6="Português",VLOOKUP(B672,'ESTRUTURA_MODULO(hide)'!A:D,2,0),IF('General Information'!$C$6="English",VLOOKUP(B672,'ESTRUTURA_MODULO(hide)'!A:D,3,0),IF('General Information'!$C$6="Español",VLOOKUP(B672,'ESTRUTURA_MODULO(hide)'!A:D,4,0))))</f>
        <v>#N/A</v>
      </c>
      <c r="E672" s="74"/>
      <c r="F672" s="73"/>
      <c r="G672" s="73" t="e">
        <f>IF(AND('General Information'!$D$16=1,VLOOKUP(B672,Modules!$B$5:$E$496,4,0)=1)=TRUE,VLOOKUP('Hours Detail'!E672,'BASE_FUNCOES (hide)'!$A:$V,10,0),IF(AND('General Information'!$D$16=2,VLOOKUP(B672,Modules!$B$5:$E$496,4,0)=1)=TRUE,VLOOKUP('Hours Detail'!E672,'BASE_FUNCOES (hide)'!$A:$V,11,0),IF(AND('General Information'!$D$16=3,VLOOKUP(B672,Modules!$B$5:$E$496,4,0)=1)=TRUE,VLOOKUP('Hours Detail'!E672,'BASE_FUNCOES (hide)'!$A:$V,12,0),IF(AND('General Information'!$D$16=4,VLOOKUP(B672,Modules!$B$5:$E$496,4,0)=1)=TRUE,VLOOKUP('Hours Detail'!E672,'BASE_FUNCOES (hide)'!$A:$V,13,0),IF(AND('General Information'!$D$16=5,VLOOKUP(B672,Modules!$B$5:$E$496,4,0)=1)=TRUE,VLOOKUP('Hours Detail'!E672,'BASE_FUNCOES (hide)'!$A:$V,14,0),  IF(AND('General Information'!$D$16=6,VLOOKUP(B672,Modules!$B$5:$E$496,4,0)=1)=TRUE,VLOOKUP('Hours Detail'!E672,'BASE_FUNCOES (hide)'!$A:$V,15,0),"No"))))))</f>
        <v>#N/A</v>
      </c>
      <c r="H672" s="166" t="e">
        <f t="shared" si="12"/>
        <v>#N/A</v>
      </c>
      <c r="I672" s="75">
        <f>IF('General Information'!$C$4="Mexico",(ROUNDUP(VLOOKUP(E672,'BASE_FUNCOES (hide)'!A:X,21,0),0)),(ROUNDUP(VLOOKUP(E672,'BASE_FUNCOES (hide)'!A:L,9,0),0)))</f>
        <v>0</v>
      </c>
      <c r="J672" s="75">
        <f>ROUNDUP(SUMIF(Questions!$E$5:$E$558,'Hours Detail'!E672,Questions!$F$5:$F$558),0)</f>
        <v>0</v>
      </c>
      <c r="K672" s="76" t="e">
        <f>IF(H672="Yes",ROUNDUP(IF(VLOOKUP(E672,'BASE_FUNCOES (hide)'!A:T,16,FALSE)&lt;&gt;"No",IF('General Information'!$C$19="HTML5",(I672+J672)*'BASE_FUNCOES (hide)'!$T$2,I672+J672),I672+J672),I672+J672),I672+J672)</f>
        <v>#N/A</v>
      </c>
      <c r="L672" s="163" t="str">
        <f>IF(ISERROR(VLOOKUP(E672,Questions!$E$5:$L$568,6,0))=FALSE,VLOOKUP(E672,Questions!$E$5:$L$568,6,0),"")</f>
        <v/>
      </c>
      <c r="M672" s="164" t="s">
        <v>2396</v>
      </c>
      <c r="N672" s="369" t="s">
        <v>2377</v>
      </c>
    </row>
    <row r="673" spans="1:14" ht="14.5" customHeight="1">
      <c r="A673" s="59"/>
      <c r="B673" s="72"/>
      <c r="C673" s="72"/>
      <c r="D673" s="73" t="e">
        <f>IF('General Information'!$C$6="Português",VLOOKUP(B673,'ESTRUTURA_MODULO(hide)'!A:D,2,0),IF('General Information'!$C$6="English",VLOOKUP(B673,'ESTRUTURA_MODULO(hide)'!A:D,3,0),IF('General Information'!$C$6="Español",VLOOKUP(B673,'ESTRUTURA_MODULO(hide)'!A:D,4,0))))</f>
        <v>#N/A</v>
      </c>
      <c r="E673" s="74"/>
      <c r="F673" s="73"/>
      <c r="G673" s="73" t="e">
        <f>IF(AND('General Information'!$D$16=1,VLOOKUP(B673,Modules!$B$5:$E$496,4,0)=1)=TRUE,VLOOKUP('Hours Detail'!E673,'BASE_FUNCOES (hide)'!$A:$V,10,0),IF(AND('General Information'!$D$16=2,VLOOKUP(B673,Modules!$B$5:$E$496,4,0)=1)=TRUE,VLOOKUP('Hours Detail'!E673,'BASE_FUNCOES (hide)'!$A:$V,11,0),IF(AND('General Information'!$D$16=3,VLOOKUP(B673,Modules!$B$5:$E$496,4,0)=1)=TRUE,VLOOKUP('Hours Detail'!E673,'BASE_FUNCOES (hide)'!$A:$V,12,0),IF(AND('General Information'!$D$16=4,VLOOKUP(B673,Modules!$B$5:$E$496,4,0)=1)=TRUE,VLOOKUP('Hours Detail'!E673,'BASE_FUNCOES (hide)'!$A:$V,13,0),IF(AND('General Information'!$D$16=5,VLOOKUP(B673,Modules!$B$5:$E$496,4,0)=1)=TRUE,VLOOKUP('Hours Detail'!E673,'BASE_FUNCOES (hide)'!$A:$V,14,0),  IF(AND('General Information'!$D$16=6,VLOOKUP(B673,Modules!$B$5:$E$496,4,0)=1)=TRUE,VLOOKUP('Hours Detail'!E673,'BASE_FUNCOES (hide)'!$A:$V,15,0),"No"))))))</f>
        <v>#N/A</v>
      </c>
      <c r="H673" s="166" t="e">
        <f t="shared" si="12"/>
        <v>#N/A</v>
      </c>
      <c r="I673" s="75">
        <f>IF('General Information'!$C$4="Mexico",(ROUNDUP(VLOOKUP(E673,'BASE_FUNCOES (hide)'!A:X,21,0),0)),(ROUNDUP(VLOOKUP(E673,'BASE_FUNCOES (hide)'!A:L,9,0),0)))</f>
        <v>0</v>
      </c>
      <c r="J673" s="75">
        <f>ROUNDUP(SUMIF(Questions!$E$5:$E$558,'Hours Detail'!E673,Questions!$F$5:$F$558),0)</f>
        <v>0</v>
      </c>
      <c r="K673" s="76" t="e">
        <f>IF(H673="Yes",ROUNDUP(IF(VLOOKUP(E673,'BASE_FUNCOES (hide)'!A:T,16,FALSE)&lt;&gt;"No",IF('General Information'!$C$19="HTML5",(I673+J673)*'BASE_FUNCOES (hide)'!$T$2,I673+J673),I673+J673),I673+J673),I673+J673)</f>
        <v>#N/A</v>
      </c>
      <c r="L673" s="163" t="str">
        <f>IF(ISERROR(VLOOKUP(E673,Questions!$E$5:$L$568,6,0))=FALSE,VLOOKUP(E673,Questions!$E$5:$L$568,6,0),"")</f>
        <v/>
      </c>
      <c r="M673" s="164" t="s">
        <v>2396</v>
      </c>
      <c r="N673" s="369" t="s">
        <v>2377</v>
      </c>
    </row>
    <row r="674" spans="1:14" ht="14.5" customHeight="1">
      <c r="A674" s="59"/>
      <c r="B674" s="72"/>
      <c r="C674" s="72"/>
      <c r="D674" s="73" t="e">
        <f>IF('General Information'!$C$6="Português",VLOOKUP(B674,'ESTRUTURA_MODULO(hide)'!A:D,2,0),IF('General Information'!$C$6="English",VLOOKUP(B674,'ESTRUTURA_MODULO(hide)'!A:D,3,0),IF('General Information'!$C$6="Español",VLOOKUP(B674,'ESTRUTURA_MODULO(hide)'!A:D,4,0))))</f>
        <v>#N/A</v>
      </c>
      <c r="E674" s="74"/>
      <c r="F674" s="73"/>
      <c r="G674" s="73" t="e">
        <f>IF(AND('General Information'!$D$16=1,VLOOKUP(B674,Modules!$B$5:$E$496,4,0)=1)=TRUE,VLOOKUP('Hours Detail'!E674,'BASE_FUNCOES (hide)'!$A:$V,10,0),IF(AND('General Information'!$D$16=2,VLOOKUP(B674,Modules!$B$5:$E$496,4,0)=1)=TRUE,VLOOKUP('Hours Detail'!E674,'BASE_FUNCOES (hide)'!$A:$V,11,0),IF(AND('General Information'!$D$16=3,VLOOKUP(B674,Modules!$B$5:$E$496,4,0)=1)=TRUE,VLOOKUP('Hours Detail'!E674,'BASE_FUNCOES (hide)'!$A:$V,12,0),IF(AND('General Information'!$D$16=4,VLOOKUP(B674,Modules!$B$5:$E$496,4,0)=1)=TRUE,VLOOKUP('Hours Detail'!E674,'BASE_FUNCOES (hide)'!$A:$V,13,0),IF(AND('General Information'!$D$16=5,VLOOKUP(B674,Modules!$B$5:$E$496,4,0)=1)=TRUE,VLOOKUP('Hours Detail'!E674,'BASE_FUNCOES (hide)'!$A:$V,14,0),  IF(AND('General Information'!$D$16=6,VLOOKUP(B674,Modules!$B$5:$E$496,4,0)=1)=TRUE,VLOOKUP('Hours Detail'!E674,'BASE_FUNCOES (hide)'!$A:$V,15,0),"No"))))))</f>
        <v>#N/A</v>
      </c>
      <c r="H674" s="166" t="e">
        <f t="shared" si="12"/>
        <v>#N/A</v>
      </c>
      <c r="I674" s="75">
        <f>IF('General Information'!$C$4="Mexico",(ROUNDUP(VLOOKUP(E674,'BASE_FUNCOES (hide)'!A:X,21,0),0)),(ROUNDUP(VLOOKUP(E674,'BASE_FUNCOES (hide)'!A:L,9,0),0)))</f>
        <v>0</v>
      </c>
      <c r="J674" s="75">
        <f>ROUNDUP(SUMIF(Questions!$E$5:$E$558,'Hours Detail'!E674,Questions!$F$5:$F$558),0)</f>
        <v>0</v>
      </c>
      <c r="K674" s="76" t="e">
        <f>IF(H674="Yes",ROUNDUP(IF(VLOOKUP(E674,'BASE_FUNCOES (hide)'!A:T,16,FALSE)&lt;&gt;"No",IF('General Information'!$C$19="HTML5",(I674+J674)*'BASE_FUNCOES (hide)'!$T$2,I674+J674),I674+J674),I674+J674),I674+J674)</f>
        <v>#N/A</v>
      </c>
      <c r="L674" s="163" t="str">
        <f>IF(ISERROR(VLOOKUP(E674,Questions!$E$5:$L$568,6,0))=FALSE,VLOOKUP(E674,Questions!$E$5:$L$568,6,0),"")</f>
        <v/>
      </c>
      <c r="M674" s="164" t="s">
        <v>2396</v>
      </c>
      <c r="N674" s="369" t="s">
        <v>2377</v>
      </c>
    </row>
    <row r="675" spans="1:14" ht="14.5" customHeight="1">
      <c r="A675" s="59"/>
      <c r="B675" s="72"/>
      <c r="C675" s="72"/>
      <c r="D675" s="73" t="e">
        <f>IF('General Information'!$C$6="Português",VLOOKUP(B675,'ESTRUTURA_MODULO(hide)'!A:D,2,0),IF('General Information'!$C$6="English",VLOOKUP(B675,'ESTRUTURA_MODULO(hide)'!A:D,3,0),IF('General Information'!$C$6="Español",VLOOKUP(B675,'ESTRUTURA_MODULO(hide)'!A:D,4,0))))</f>
        <v>#N/A</v>
      </c>
      <c r="E675" s="74"/>
      <c r="F675" s="73"/>
      <c r="G675" s="73" t="e">
        <f>IF(AND('General Information'!$D$16=1,VLOOKUP(B675,Modules!$B$5:$E$496,4,0)=1)=TRUE,VLOOKUP('Hours Detail'!E675,'BASE_FUNCOES (hide)'!$A:$V,10,0),IF(AND('General Information'!$D$16=2,VLOOKUP(B675,Modules!$B$5:$E$496,4,0)=1)=TRUE,VLOOKUP('Hours Detail'!E675,'BASE_FUNCOES (hide)'!$A:$V,11,0),IF(AND('General Information'!$D$16=3,VLOOKUP(B675,Modules!$B$5:$E$496,4,0)=1)=TRUE,VLOOKUP('Hours Detail'!E675,'BASE_FUNCOES (hide)'!$A:$V,12,0),IF(AND('General Information'!$D$16=4,VLOOKUP(B675,Modules!$B$5:$E$496,4,0)=1)=TRUE,VLOOKUP('Hours Detail'!E675,'BASE_FUNCOES (hide)'!$A:$V,13,0),IF(AND('General Information'!$D$16=5,VLOOKUP(B675,Modules!$B$5:$E$496,4,0)=1)=TRUE,VLOOKUP('Hours Detail'!E675,'BASE_FUNCOES (hide)'!$A:$V,14,0),  IF(AND('General Information'!$D$16=6,VLOOKUP(B675,Modules!$B$5:$E$496,4,0)=1)=TRUE,VLOOKUP('Hours Detail'!E675,'BASE_FUNCOES (hide)'!$A:$V,15,0),"No"))))))</f>
        <v>#N/A</v>
      </c>
      <c r="H675" s="166" t="e">
        <f t="shared" si="12"/>
        <v>#N/A</v>
      </c>
      <c r="I675" s="75">
        <f>IF('General Information'!$C$4="Mexico",(ROUNDUP(VLOOKUP(E675,'BASE_FUNCOES (hide)'!A:X,21,0),0)),(ROUNDUP(VLOOKUP(E675,'BASE_FUNCOES (hide)'!A:L,9,0),0)))</f>
        <v>0</v>
      </c>
      <c r="J675" s="75">
        <f>ROUNDUP(SUMIF(Questions!$E$5:$E$558,'Hours Detail'!E675,Questions!$F$5:$F$558),0)</f>
        <v>0</v>
      </c>
      <c r="K675" s="76" t="e">
        <f>IF(H675="Yes",ROUNDUP(IF(VLOOKUP(E675,'BASE_FUNCOES (hide)'!A:T,16,FALSE)&lt;&gt;"No",IF('General Information'!$C$19="HTML5",(I675+J675)*'BASE_FUNCOES (hide)'!$T$2,I675+J675),I675+J675),I675+J675),I675+J675)</f>
        <v>#N/A</v>
      </c>
      <c r="L675" s="163" t="str">
        <f>IF(ISERROR(VLOOKUP(E675,Questions!$E$5:$L$568,6,0))=FALSE,VLOOKUP(E675,Questions!$E$5:$L$568,6,0),"")</f>
        <v/>
      </c>
      <c r="M675" s="164" t="s">
        <v>2396</v>
      </c>
      <c r="N675" s="369" t="s">
        <v>2377</v>
      </c>
    </row>
    <row r="676" spans="1:14" ht="14.5" customHeight="1">
      <c r="A676" s="59"/>
      <c r="B676" s="72"/>
      <c r="C676" s="72"/>
      <c r="D676" s="73" t="e">
        <f>IF('General Information'!$C$6="Português",VLOOKUP(B676,'ESTRUTURA_MODULO(hide)'!A:D,2,0),IF('General Information'!$C$6="English",VLOOKUP(B676,'ESTRUTURA_MODULO(hide)'!A:D,3,0),IF('General Information'!$C$6="Español",VLOOKUP(B676,'ESTRUTURA_MODULO(hide)'!A:D,4,0))))</f>
        <v>#N/A</v>
      </c>
      <c r="E676" s="74"/>
      <c r="F676" s="73"/>
      <c r="G676" s="73" t="e">
        <f>IF(AND('General Information'!$D$16=1,VLOOKUP(B676,Modules!$B$5:$E$496,4,0)=1)=TRUE,VLOOKUP('Hours Detail'!E676,'BASE_FUNCOES (hide)'!$A:$V,10,0),IF(AND('General Information'!$D$16=2,VLOOKUP(B676,Modules!$B$5:$E$496,4,0)=1)=TRUE,VLOOKUP('Hours Detail'!E676,'BASE_FUNCOES (hide)'!$A:$V,11,0),IF(AND('General Information'!$D$16=3,VLOOKUP(B676,Modules!$B$5:$E$496,4,0)=1)=TRUE,VLOOKUP('Hours Detail'!E676,'BASE_FUNCOES (hide)'!$A:$V,12,0),IF(AND('General Information'!$D$16=4,VLOOKUP(B676,Modules!$B$5:$E$496,4,0)=1)=TRUE,VLOOKUP('Hours Detail'!E676,'BASE_FUNCOES (hide)'!$A:$V,13,0),IF(AND('General Information'!$D$16=5,VLOOKUP(B676,Modules!$B$5:$E$496,4,0)=1)=TRUE,VLOOKUP('Hours Detail'!E676,'BASE_FUNCOES (hide)'!$A:$V,14,0),  IF(AND('General Information'!$D$16=6,VLOOKUP(B676,Modules!$B$5:$E$496,4,0)=1)=TRUE,VLOOKUP('Hours Detail'!E676,'BASE_FUNCOES (hide)'!$A:$V,15,0),"No"))))))</f>
        <v>#N/A</v>
      </c>
      <c r="H676" s="166" t="e">
        <f t="shared" si="12"/>
        <v>#N/A</v>
      </c>
      <c r="I676" s="75">
        <f>IF('General Information'!$C$4="Mexico",(ROUNDUP(VLOOKUP(E676,'BASE_FUNCOES (hide)'!A:X,21,0),0)),(ROUNDUP(VLOOKUP(E676,'BASE_FUNCOES (hide)'!A:L,9,0),0)))</f>
        <v>0</v>
      </c>
      <c r="J676" s="75">
        <f>ROUNDUP(SUMIF(Questions!$E$5:$E$558,'Hours Detail'!E676,Questions!$F$5:$F$558),0)</f>
        <v>0</v>
      </c>
      <c r="K676" s="76" t="e">
        <f>IF(H676="Yes",ROUNDUP(IF(VLOOKUP(E676,'BASE_FUNCOES (hide)'!A:T,16,FALSE)&lt;&gt;"No",IF('General Information'!$C$19="HTML5",(I676+J676)*'BASE_FUNCOES (hide)'!$T$2,I676+J676),I676+J676),I676+J676),I676+J676)</f>
        <v>#N/A</v>
      </c>
      <c r="L676" s="163" t="str">
        <f>IF(ISERROR(VLOOKUP(E676,Questions!$E$5:$L$568,6,0))=FALSE,VLOOKUP(E676,Questions!$E$5:$L$568,6,0),"")</f>
        <v/>
      </c>
      <c r="M676" s="164" t="s">
        <v>2396</v>
      </c>
      <c r="N676" s="369" t="s">
        <v>2377</v>
      </c>
    </row>
    <row r="677" spans="1:14" ht="14.5" customHeight="1">
      <c r="A677" s="59"/>
      <c r="B677" s="72"/>
      <c r="C677" s="72"/>
      <c r="D677" s="73" t="e">
        <f>IF('General Information'!$C$6="Português",VLOOKUP(B677,'ESTRUTURA_MODULO(hide)'!A:D,2,0),IF('General Information'!$C$6="English",VLOOKUP(B677,'ESTRUTURA_MODULO(hide)'!A:D,3,0),IF('General Information'!$C$6="Español",VLOOKUP(B677,'ESTRUTURA_MODULO(hide)'!A:D,4,0))))</f>
        <v>#N/A</v>
      </c>
      <c r="E677" s="74"/>
      <c r="F677" s="73"/>
      <c r="G677" s="73" t="e">
        <f>IF(AND('General Information'!$D$16=1,VLOOKUP(B677,Modules!$B$5:$E$496,4,0)=1)=TRUE,VLOOKUP('Hours Detail'!E677,'BASE_FUNCOES (hide)'!$A:$V,10,0),IF(AND('General Information'!$D$16=2,VLOOKUP(B677,Modules!$B$5:$E$496,4,0)=1)=TRUE,VLOOKUP('Hours Detail'!E677,'BASE_FUNCOES (hide)'!$A:$V,11,0),IF(AND('General Information'!$D$16=3,VLOOKUP(B677,Modules!$B$5:$E$496,4,0)=1)=TRUE,VLOOKUP('Hours Detail'!E677,'BASE_FUNCOES (hide)'!$A:$V,12,0),IF(AND('General Information'!$D$16=4,VLOOKUP(B677,Modules!$B$5:$E$496,4,0)=1)=TRUE,VLOOKUP('Hours Detail'!E677,'BASE_FUNCOES (hide)'!$A:$V,13,0),IF(AND('General Information'!$D$16=5,VLOOKUP(B677,Modules!$B$5:$E$496,4,0)=1)=TRUE,VLOOKUP('Hours Detail'!E677,'BASE_FUNCOES (hide)'!$A:$V,14,0),  IF(AND('General Information'!$D$16=6,VLOOKUP(B677,Modules!$B$5:$E$496,4,0)=1)=TRUE,VLOOKUP('Hours Detail'!E677,'BASE_FUNCOES (hide)'!$A:$V,15,0),"No"))))))</f>
        <v>#N/A</v>
      </c>
      <c r="H677" s="166" t="e">
        <f t="shared" si="12"/>
        <v>#N/A</v>
      </c>
      <c r="I677" s="75">
        <f>IF('General Information'!$C$4="Mexico",(ROUNDUP(VLOOKUP(E677,'BASE_FUNCOES (hide)'!A:X,21,0),0)),(ROUNDUP(VLOOKUP(E677,'BASE_FUNCOES (hide)'!A:L,9,0),0)))</f>
        <v>0</v>
      </c>
      <c r="J677" s="75">
        <f>ROUNDUP(SUMIF(Questions!$E$5:$E$558,'Hours Detail'!E677,Questions!$F$5:$F$558),0)</f>
        <v>0</v>
      </c>
      <c r="K677" s="76" t="e">
        <f>IF(H677="Yes",ROUNDUP(IF(VLOOKUP(E677,'BASE_FUNCOES (hide)'!A:T,16,FALSE)&lt;&gt;"No",IF('General Information'!$C$19="HTML5",(I677+J677)*'BASE_FUNCOES (hide)'!$T$2,I677+J677),I677+J677),I677+J677),I677+J677)</f>
        <v>#N/A</v>
      </c>
      <c r="L677" s="163" t="str">
        <f>IF(ISERROR(VLOOKUP(E677,Questions!$E$5:$L$568,6,0))=FALSE,VLOOKUP(E677,Questions!$E$5:$L$568,6,0),"")</f>
        <v/>
      </c>
      <c r="M677" s="164" t="s">
        <v>2396</v>
      </c>
      <c r="N677" s="369" t="s">
        <v>2377</v>
      </c>
    </row>
    <row r="678" spans="1:14" ht="14.5" customHeight="1">
      <c r="A678" s="59"/>
      <c r="B678" s="72"/>
      <c r="C678" s="72"/>
      <c r="D678" s="73" t="e">
        <f>IF('General Information'!$C$6="Português",VLOOKUP(B678,'ESTRUTURA_MODULO(hide)'!A:D,2,0),IF('General Information'!$C$6="English",VLOOKUP(B678,'ESTRUTURA_MODULO(hide)'!A:D,3,0),IF('General Information'!$C$6="Español",VLOOKUP(B678,'ESTRUTURA_MODULO(hide)'!A:D,4,0))))</f>
        <v>#N/A</v>
      </c>
      <c r="E678" s="74"/>
      <c r="F678" s="73"/>
      <c r="G678" s="73" t="e">
        <f>IF(AND('General Information'!$D$16=1,VLOOKUP(B678,Modules!$B$5:$E$496,4,0)=1)=TRUE,VLOOKUP('Hours Detail'!E678,'BASE_FUNCOES (hide)'!$A:$V,10,0),IF(AND('General Information'!$D$16=2,VLOOKUP(B678,Modules!$B$5:$E$496,4,0)=1)=TRUE,VLOOKUP('Hours Detail'!E678,'BASE_FUNCOES (hide)'!$A:$V,11,0),IF(AND('General Information'!$D$16=3,VLOOKUP(B678,Modules!$B$5:$E$496,4,0)=1)=TRUE,VLOOKUP('Hours Detail'!E678,'BASE_FUNCOES (hide)'!$A:$V,12,0),IF(AND('General Information'!$D$16=4,VLOOKUP(B678,Modules!$B$5:$E$496,4,0)=1)=TRUE,VLOOKUP('Hours Detail'!E678,'BASE_FUNCOES (hide)'!$A:$V,13,0),IF(AND('General Information'!$D$16=5,VLOOKUP(B678,Modules!$B$5:$E$496,4,0)=1)=TRUE,VLOOKUP('Hours Detail'!E678,'BASE_FUNCOES (hide)'!$A:$V,14,0),  IF(AND('General Information'!$D$16=6,VLOOKUP(B678,Modules!$B$5:$E$496,4,0)=1)=TRUE,VLOOKUP('Hours Detail'!E678,'BASE_FUNCOES (hide)'!$A:$V,15,0),"No"))))))</f>
        <v>#N/A</v>
      </c>
      <c r="H678" s="166" t="e">
        <f t="shared" si="12"/>
        <v>#N/A</v>
      </c>
      <c r="I678" s="75">
        <f>IF('General Information'!$C$4="Mexico",(ROUNDUP(VLOOKUP(E678,'BASE_FUNCOES (hide)'!A:X,21,0),0)),(ROUNDUP(VLOOKUP(E678,'BASE_FUNCOES (hide)'!A:L,9,0),0)))</f>
        <v>0</v>
      </c>
      <c r="J678" s="75">
        <f>ROUNDUP(SUMIF(Questions!$E$5:$E$558,'Hours Detail'!E678,Questions!$F$5:$F$558),0)</f>
        <v>0</v>
      </c>
      <c r="K678" s="76" t="e">
        <f>IF(H678="Yes",ROUNDUP(IF(VLOOKUP(E678,'BASE_FUNCOES (hide)'!A:T,16,FALSE)&lt;&gt;"No",IF('General Information'!$C$19="HTML5",(I678+J678)*'BASE_FUNCOES (hide)'!$T$2,I678+J678),I678+J678),I678+J678),I678+J678)</f>
        <v>#N/A</v>
      </c>
      <c r="L678" s="163" t="str">
        <f>IF(ISERROR(VLOOKUP(E678,Questions!$E$5:$L$568,6,0))=FALSE,VLOOKUP(E678,Questions!$E$5:$L$568,6,0),"")</f>
        <v/>
      </c>
      <c r="M678" s="164" t="s">
        <v>2396</v>
      </c>
      <c r="N678" s="369" t="s">
        <v>2377</v>
      </c>
    </row>
    <row r="679" spans="1:14" ht="14.5" customHeight="1">
      <c r="A679" s="59"/>
      <c r="B679" s="72"/>
      <c r="C679" s="72"/>
      <c r="D679" s="73" t="e">
        <f>IF('General Information'!$C$6="Português",VLOOKUP(B679,'ESTRUTURA_MODULO(hide)'!A:D,2,0),IF('General Information'!$C$6="English",VLOOKUP(B679,'ESTRUTURA_MODULO(hide)'!A:D,3,0),IF('General Information'!$C$6="Español",VLOOKUP(B679,'ESTRUTURA_MODULO(hide)'!A:D,4,0))))</f>
        <v>#N/A</v>
      </c>
      <c r="E679" s="74"/>
      <c r="F679" s="73"/>
      <c r="G679" s="73" t="e">
        <f>IF(AND('General Information'!$D$16=1,VLOOKUP(B679,Modules!$B$5:$E$496,4,0)=1)=TRUE,VLOOKUP('Hours Detail'!E679,'BASE_FUNCOES (hide)'!$A:$V,10,0),IF(AND('General Information'!$D$16=2,VLOOKUP(B679,Modules!$B$5:$E$496,4,0)=1)=TRUE,VLOOKUP('Hours Detail'!E679,'BASE_FUNCOES (hide)'!$A:$V,11,0),IF(AND('General Information'!$D$16=3,VLOOKUP(B679,Modules!$B$5:$E$496,4,0)=1)=TRUE,VLOOKUP('Hours Detail'!E679,'BASE_FUNCOES (hide)'!$A:$V,12,0),IF(AND('General Information'!$D$16=4,VLOOKUP(B679,Modules!$B$5:$E$496,4,0)=1)=TRUE,VLOOKUP('Hours Detail'!E679,'BASE_FUNCOES (hide)'!$A:$V,13,0),IF(AND('General Information'!$D$16=5,VLOOKUP(B679,Modules!$B$5:$E$496,4,0)=1)=TRUE,VLOOKUP('Hours Detail'!E679,'BASE_FUNCOES (hide)'!$A:$V,14,0),  IF(AND('General Information'!$D$16=6,VLOOKUP(B679,Modules!$B$5:$E$496,4,0)=1)=TRUE,VLOOKUP('Hours Detail'!E679,'BASE_FUNCOES (hide)'!$A:$V,15,0),"No"))))))</f>
        <v>#N/A</v>
      </c>
      <c r="H679" s="166" t="e">
        <f t="shared" si="12"/>
        <v>#N/A</v>
      </c>
      <c r="I679" s="75">
        <f>IF('General Information'!$C$4="Mexico",(ROUNDUP(VLOOKUP(E679,'BASE_FUNCOES (hide)'!A:X,21,0),0)),(ROUNDUP(VLOOKUP(E679,'BASE_FUNCOES (hide)'!A:L,9,0),0)))</f>
        <v>0</v>
      </c>
      <c r="J679" s="75">
        <f>ROUNDUP(SUMIF(Questions!$E$5:$E$558,'Hours Detail'!E679,Questions!$F$5:$F$558),0)</f>
        <v>0</v>
      </c>
      <c r="K679" s="76" t="e">
        <f>IF(H679="Yes",ROUNDUP(IF(VLOOKUP(E679,'BASE_FUNCOES (hide)'!A:T,16,FALSE)&lt;&gt;"No",IF('General Information'!$C$19="HTML5",(I679+J679)*'BASE_FUNCOES (hide)'!$T$2,I679+J679),I679+J679),I679+J679),I679+J679)</f>
        <v>#N/A</v>
      </c>
      <c r="L679" s="163" t="str">
        <f>IF(ISERROR(VLOOKUP(E679,Questions!$E$5:$L$568,6,0))=FALSE,VLOOKUP(E679,Questions!$E$5:$L$568,6,0),"")</f>
        <v/>
      </c>
      <c r="M679" s="164" t="s">
        <v>2396</v>
      </c>
      <c r="N679" s="369" t="s">
        <v>2377</v>
      </c>
    </row>
    <row r="680" spans="1:14" ht="14.5" customHeight="1">
      <c r="A680" s="59"/>
      <c r="B680" s="72"/>
      <c r="C680" s="72"/>
      <c r="D680" s="73" t="e">
        <f>IF('General Information'!$C$6="Português",VLOOKUP(B680,'ESTRUTURA_MODULO(hide)'!A:D,2,0),IF('General Information'!$C$6="English",VLOOKUP(B680,'ESTRUTURA_MODULO(hide)'!A:D,3,0),IF('General Information'!$C$6="Español",VLOOKUP(B680,'ESTRUTURA_MODULO(hide)'!A:D,4,0))))</f>
        <v>#N/A</v>
      </c>
      <c r="E680" s="74"/>
      <c r="F680" s="73"/>
      <c r="G680" s="73" t="e">
        <f>IF(AND('General Information'!$D$16=1,VLOOKUP(B680,Modules!$B$5:$E$496,4,0)=1)=TRUE,VLOOKUP('Hours Detail'!E680,'BASE_FUNCOES (hide)'!$A:$V,10,0),IF(AND('General Information'!$D$16=2,VLOOKUP(B680,Modules!$B$5:$E$496,4,0)=1)=TRUE,VLOOKUP('Hours Detail'!E680,'BASE_FUNCOES (hide)'!$A:$V,11,0),IF(AND('General Information'!$D$16=3,VLOOKUP(B680,Modules!$B$5:$E$496,4,0)=1)=TRUE,VLOOKUP('Hours Detail'!E680,'BASE_FUNCOES (hide)'!$A:$V,12,0),IF(AND('General Information'!$D$16=4,VLOOKUP(B680,Modules!$B$5:$E$496,4,0)=1)=TRUE,VLOOKUP('Hours Detail'!E680,'BASE_FUNCOES (hide)'!$A:$V,13,0),IF(AND('General Information'!$D$16=5,VLOOKUP(B680,Modules!$B$5:$E$496,4,0)=1)=TRUE,VLOOKUP('Hours Detail'!E680,'BASE_FUNCOES (hide)'!$A:$V,14,0),  IF(AND('General Information'!$D$16=6,VLOOKUP(B680,Modules!$B$5:$E$496,4,0)=1)=TRUE,VLOOKUP('Hours Detail'!E680,'BASE_FUNCOES (hide)'!$A:$V,15,0),"No"))))))</f>
        <v>#N/A</v>
      </c>
      <c r="H680" s="166" t="e">
        <f t="shared" si="12"/>
        <v>#N/A</v>
      </c>
      <c r="I680" s="75">
        <f>IF('General Information'!$C$4="Mexico",(ROUNDUP(VLOOKUP(E680,'BASE_FUNCOES (hide)'!A:X,21,0),0)),(ROUNDUP(VLOOKUP(E680,'BASE_FUNCOES (hide)'!A:L,9,0),0)))</f>
        <v>0</v>
      </c>
      <c r="J680" s="75">
        <f>ROUNDUP(SUMIF(Questions!$E$5:$E$558,'Hours Detail'!E680,Questions!$F$5:$F$558),0)</f>
        <v>0</v>
      </c>
      <c r="K680" s="76" t="e">
        <f>IF(H680="Yes",ROUNDUP(IF(VLOOKUP(E680,'BASE_FUNCOES (hide)'!A:T,16,FALSE)&lt;&gt;"No",IF('General Information'!$C$19="HTML5",(I680+J680)*'BASE_FUNCOES (hide)'!$T$2,I680+J680),I680+J680),I680+J680),I680+J680)</f>
        <v>#N/A</v>
      </c>
      <c r="L680" s="163" t="str">
        <f>IF(ISERROR(VLOOKUP(E680,Questions!$E$5:$L$568,6,0))=FALSE,VLOOKUP(E680,Questions!$E$5:$L$568,6,0),"")</f>
        <v/>
      </c>
      <c r="M680" s="164" t="s">
        <v>2396</v>
      </c>
      <c r="N680" s="369" t="s">
        <v>2377</v>
      </c>
    </row>
    <row r="681" spans="1:14" ht="14.5" customHeight="1">
      <c r="A681" s="59"/>
      <c r="B681" s="72"/>
      <c r="C681" s="72"/>
      <c r="D681" s="73" t="e">
        <f>IF('General Information'!$C$6="Português",VLOOKUP(B681,'ESTRUTURA_MODULO(hide)'!A:D,2,0),IF('General Information'!$C$6="English",VLOOKUP(B681,'ESTRUTURA_MODULO(hide)'!A:D,3,0),IF('General Information'!$C$6="Español",VLOOKUP(B681,'ESTRUTURA_MODULO(hide)'!A:D,4,0))))</f>
        <v>#N/A</v>
      </c>
      <c r="E681" s="74"/>
      <c r="F681" s="73"/>
      <c r="G681" s="73" t="e">
        <f>IF(AND('General Information'!$D$16=1,VLOOKUP(B681,Modules!$B$5:$E$496,4,0)=1)=TRUE,VLOOKUP('Hours Detail'!E681,'BASE_FUNCOES (hide)'!$A:$V,10,0),IF(AND('General Information'!$D$16=2,VLOOKUP(B681,Modules!$B$5:$E$496,4,0)=1)=TRUE,VLOOKUP('Hours Detail'!E681,'BASE_FUNCOES (hide)'!$A:$V,11,0),IF(AND('General Information'!$D$16=3,VLOOKUP(B681,Modules!$B$5:$E$496,4,0)=1)=TRUE,VLOOKUP('Hours Detail'!E681,'BASE_FUNCOES (hide)'!$A:$V,12,0),IF(AND('General Information'!$D$16=4,VLOOKUP(B681,Modules!$B$5:$E$496,4,0)=1)=TRUE,VLOOKUP('Hours Detail'!E681,'BASE_FUNCOES (hide)'!$A:$V,13,0),IF(AND('General Information'!$D$16=5,VLOOKUP(B681,Modules!$B$5:$E$496,4,0)=1)=TRUE,VLOOKUP('Hours Detail'!E681,'BASE_FUNCOES (hide)'!$A:$V,14,0),  IF(AND('General Information'!$D$16=6,VLOOKUP(B681,Modules!$B$5:$E$496,4,0)=1)=TRUE,VLOOKUP('Hours Detail'!E681,'BASE_FUNCOES (hide)'!$A:$V,15,0),"No"))))))</f>
        <v>#N/A</v>
      </c>
      <c r="H681" s="166" t="e">
        <f t="shared" si="12"/>
        <v>#N/A</v>
      </c>
      <c r="I681" s="75">
        <f>IF('General Information'!$C$4="Mexico",(ROUNDUP(VLOOKUP(E681,'BASE_FUNCOES (hide)'!A:X,21,0),0)),(ROUNDUP(VLOOKUP(E681,'BASE_FUNCOES (hide)'!A:L,9,0),0)))</f>
        <v>0</v>
      </c>
      <c r="J681" s="75">
        <f>ROUNDUP(SUMIF(Questions!$E$5:$E$558,'Hours Detail'!E681,Questions!$F$5:$F$558),0)</f>
        <v>0</v>
      </c>
      <c r="K681" s="76" t="e">
        <f>IF(H681="Yes",ROUNDUP(IF(VLOOKUP(E681,'BASE_FUNCOES (hide)'!A:T,16,FALSE)&lt;&gt;"No",IF('General Information'!$C$19="HTML5",(I681+J681)*'BASE_FUNCOES (hide)'!$T$2,I681+J681),I681+J681),I681+J681),I681+J681)</f>
        <v>#N/A</v>
      </c>
      <c r="L681" s="163" t="str">
        <f>IF(ISERROR(VLOOKUP(E681,Questions!$E$5:$L$568,6,0))=FALSE,VLOOKUP(E681,Questions!$E$5:$L$568,6,0),"")</f>
        <v/>
      </c>
      <c r="M681" s="164" t="s">
        <v>2396</v>
      </c>
      <c r="N681" s="369" t="s">
        <v>2377</v>
      </c>
    </row>
    <row r="682" spans="1:14" ht="14.5" customHeight="1">
      <c r="A682" s="59"/>
      <c r="B682" s="72"/>
      <c r="C682" s="72"/>
      <c r="D682" s="73" t="e">
        <f>IF('General Information'!$C$6="Português",VLOOKUP(B682,'ESTRUTURA_MODULO(hide)'!A:D,2,0),IF('General Information'!$C$6="English",VLOOKUP(B682,'ESTRUTURA_MODULO(hide)'!A:D,3,0),IF('General Information'!$C$6="Español",VLOOKUP(B682,'ESTRUTURA_MODULO(hide)'!A:D,4,0))))</f>
        <v>#N/A</v>
      </c>
      <c r="E682" s="74"/>
      <c r="F682" s="73"/>
      <c r="G682" s="73" t="e">
        <f>IF(AND('General Information'!$D$16=1,VLOOKUP(B682,Modules!$B$5:$E$496,4,0)=1)=TRUE,VLOOKUP('Hours Detail'!E682,'BASE_FUNCOES (hide)'!$A:$V,10,0),IF(AND('General Information'!$D$16=2,VLOOKUP(B682,Modules!$B$5:$E$496,4,0)=1)=TRUE,VLOOKUP('Hours Detail'!E682,'BASE_FUNCOES (hide)'!$A:$V,11,0),IF(AND('General Information'!$D$16=3,VLOOKUP(B682,Modules!$B$5:$E$496,4,0)=1)=TRUE,VLOOKUP('Hours Detail'!E682,'BASE_FUNCOES (hide)'!$A:$V,12,0),IF(AND('General Information'!$D$16=4,VLOOKUP(B682,Modules!$B$5:$E$496,4,0)=1)=TRUE,VLOOKUP('Hours Detail'!E682,'BASE_FUNCOES (hide)'!$A:$V,13,0),IF(AND('General Information'!$D$16=5,VLOOKUP(B682,Modules!$B$5:$E$496,4,0)=1)=TRUE,VLOOKUP('Hours Detail'!E682,'BASE_FUNCOES (hide)'!$A:$V,14,0),  IF(AND('General Information'!$D$16=6,VLOOKUP(B682,Modules!$B$5:$E$496,4,0)=1)=TRUE,VLOOKUP('Hours Detail'!E682,'BASE_FUNCOES (hide)'!$A:$V,15,0),"No"))))))</f>
        <v>#N/A</v>
      </c>
      <c r="H682" s="166" t="e">
        <f t="shared" si="12"/>
        <v>#N/A</v>
      </c>
      <c r="I682" s="75">
        <f>IF('General Information'!$C$4="Mexico",(ROUNDUP(VLOOKUP(E682,'BASE_FUNCOES (hide)'!A:X,21,0),0)),(ROUNDUP(VLOOKUP(E682,'BASE_FUNCOES (hide)'!A:L,9,0),0)))</f>
        <v>0</v>
      </c>
      <c r="J682" s="75">
        <f>ROUNDUP(SUMIF(Questions!$E$5:$E$558,'Hours Detail'!E682,Questions!$F$5:$F$558),0)</f>
        <v>0</v>
      </c>
      <c r="K682" s="76" t="e">
        <f>IF(H682="Yes",ROUNDUP(IF(VLOOKUP(E682,'BASE_FUNCOES (hide)'!A:T,16,FALSE)&lt;&gt;"No",IF('General Information'!$C$19="HTML5",(I682+J682)*'BASE_FUNCOES (hide)'!$T$2,I682+J682),I682+J682),I682+J682),I682+J682)</f>
        <v>#N/A</v>
      </c>
      <c r="L682" s="163" t="str">
        <f>IF(ISERROR(VLOOKUP(E682,Questions!$E$5:$L$568,6,0))=FALSE,VLOOKUP(E682,Questions!$E$5:$L$568,6,0),"")</f>
        <v/>
      </c>
      <c r="M682" s="164" t="s">
        <v>2396</v>
      </c>
      <c r="N682" s="369" t="s">
        <v>2377</v>
      </c>
    </row>
    <row r="683" spans="1:14" ht="14.5" customHeight="1">
      <c r="A683" s="59"/>
      <c r="B683" s="72"/>
      <c r="C683" s="72"/>
      <c r="D683" s="73" t="e">
        <f>IF('General Information'!$C$6="Português",VLOOKUP(B683,'ESTRUTURA_MODULO(hide)'!A:D,2,0),IF('General Information'!$C$6="English",VLOOKUP(B683,'ESTRUTURA_MODULO(hide)'!A:D,3,0),IF('General Information'!$C$6="Español",VLOOKUP(B683,'ESTRUTURA_MODULO(hide)'!A:D,4,0))))</f>
        <v>#N/A</v>
      </c>
      <c r="E683" s="74"/>
      <c r="F683" s="73"/>
      <c r="G683" s="73" t="e">
        <f>IF(AND('General Information'!$D$16=1,VLOOKUP(B683,Modules!$B$5:$E$496,4,0)=1)=TRUE,VLOOKUP('Hours Detail'!E683,'BASE_FUNCOES (hide)'!$A:$V,10,0),IF(AND('General Information'!$D$16=2,VLOOKUP(B683,Modules!$B$5:$E$496,4,0)=1)=TRUE,VLOOKUP('Hours Detail'!E683,'BASE_FUNCOES (hide)'!$A:$V,11,0),IF(AND('General Information'!$D$16=3,VLOOKUP(B683,Modules!$B$5:$E$496,4,0)=1)=TRUE,VLOOKUP('Hours Detail'!E683,'BASE_FUNCOES (hide)'!$A:$V,12,0),IF(AND('General Information'!$D$16=4,VLOOKUP(B683,Modules!$B$5:$E$496,4,0)=1)=TRUE,VLOOKUP('Hours Detail'!E683,'BASE_FUNCOES (hide)'!$A:$V,13,0),IF(AND('General Information'!$D$16=5,VLOOKUP(B683,Modules!$B$5:$E$496,4,0)=1)=TRUE,VLOOKUP('Hours Detail'!E683,'BASE_FUNCOES (hide)'!$A:$V,14,0),  IF(AND('General Information'!$D$16=6,VLOOKUP(B683,Modules!$B$5:$E$496,4,0)=1)=TRUE,VLOOKUP('Hours Detail'!E683,'BASE_FUNCOES (hide)'!$A:$V,15,0),"No"))))))</f>
        <v>#N/A</v>
      </c>
      <c r="H683" s="166" t="e">
        <f t="shared" si="12"/>
        <v>#N/A</v>
      </c>
      <c r="I683" s="75">
        <f>IF('General Information'!$C$4="Mexico",(ROUNDUP(VLOOKUP(E683,'BASE_FUNCOES (hide)'!A:X,21,0),0)),(ROUNDUP(VLOOKUP(E683,'BASE_FUNCOES (hide)'!A:L,9,0),0)))</f>
        <v>0</v>
      </c>
      <c r="J683" s="75">
        <f>ROUNDUP(SUMIF(Questions!$E$5:$E$558,'Hours Detail'!E683,Questions!$F$5:$F$558),0)</f>
        <v>0</v>
      </c>
      <c r="K683" s="76" t="e">
        <f>IF(H683="Yes",ROUNDUP(IF(VLOOKUP(E683,'BASE_FUNCOES (hide)'!A:T,16,FALSE)&lt;&gt;"No",IF('General Information'!$C$19="HTML5",(I683+J683)*'BASE_FUNCOES (hide)'!$T$2,I683+J683),I683+J683),I683+J683),I683+J683)</f>
        <v>#N/A</v>
      </c>
      <c r="L683" s="163" t="str">
        <f>IF(ISERROR(VLOOKUP(E683,Questions!$E$5:$L$568,6,0))=FALSE,VLOOKUP(E683,Questions!$E$5:$L$568,6,0),"")</f>
        <v/>
      </c>
      <c r="M683" s="164" t="s">
        <v>2396</v>
      </c>
      <c r="N683" s="369" t="s">
        <v>2377</v>
      </c>
    </row>
    <row r="684" spans="1:14" ht="14.5" customHeight="1">
      <c r="A684" s="59"/>
      <c r="B684" s="72"/>
      <c r="C684" s="72"/>
      <c r="D684" s="73" t="e">
        <f>IF('General Information'!$C$6="Português",VLOOKUP(B684,'ESTRUTURA_MODULO(hide)'!A:D,2,0),IF('General Information'!$C$6="English",VLOOKUP(B684,'ESTRUTURA_MODULO(hide)'!A:D,3,0),IF('General Information'!$C$6="Español",VLOOKUP(B684,'ESTRUTURA_MODULO(hide)'!A:D,4,0))))</f>
        <v>#N/A</v>
      </c>
      <c r="E684" s="74"/>
      <c r="F684" s="73"/>
      <c r="G684" s="73" t="e">
        <f>IF(AND('General Information'!$D$16=1,VLOOKUP(B684,Modules!$B$5:$E$496,4,0)=1)=TRUE,VLOOKUP('Hours Detail'!E684,'BASE_FUNCOES (hide)'!$A:$V,10,0),IF(AND('General Information'!$D$16=2,VLOOKUP(B684,Modules!$B$5:$E$496,4,0)=1)=TRUE,VLOOKUP('Hours Detail'!E684,'BASE_FUNCOES (hide)'!$A:$V,11,0),IF(AND('General Information'!$D$16=3,VLOOKUP(B684,Modules!$B$5:$E$496,4,0)=1)=TRUE,VLOOKUP('Hours Detail'!E684,'BASE_FUNCOES (hide)'!$A:$V,12,0),IF(AND('General Information'!$D$16=4,VLOOKUP(B684,Modules!$B$5:$E$496,4,0)=1)=TRUE,VLOOKUP('Hours Detail'!E684,'BASE_FUNCOES (hide)'!$A:$V,13,0),IF(AND('General Information'!$D$16=5,VLOOKUP(B684,Modules!$B$5:$E$496,4,0)=1)=TRUE,VLOOKUP('Hours Detail'!E684,'BASE_FUNCOES (hide)'!$A:$V,14,0),  IF(AND('General Information'!$D$16=6,VLOOKUP(B684,Modules!$B$5:$E$496,4,0)=1)=TRUE,VLOOKUP('Hours Detail'!E684,'BASE_FUNCOES (hide)'!$A:$V,15,0),"No"))))))</f>
        <v>#N/A</v>
      </c>
      <c r="H684" s="166" t="e">
        <f t="shared" si="12"/>
        <v>#N/A</v>
      </c>
      <c r="I684" s="75">
        <f>IF('General Information'!$C$4="Mexico",(ROUNDUP(VLOOKUP(E684,'BASE_FUNCOES (hide)'!A:X,21,0),0)),(ROUNDUP(VLOOKUP(E684,'BASE_FUNCOES (hide)'!A:L,9,0),0)))</f>
        <v>0</v>
      </c>
      <c r="J684" s="75">
        <f>ROUNDUP(SUMIF(Questions!$E$5:$E$558,'Hours Detail'!E684,Questions!$F$5:$F$558),0)</f>
        <v>0</v>
      </c>
      <c r="K684" s="76" t="e">
        <f>IF(H684="Yes",ROUNDUP(IF(VLOOKUP(E684,'BASE_FUNCOES (hide)'!A:T,16,FALSE)&lt;&gt;"No",IF('General Information'!$C$19="HTML5",(I684+J684)*'BASE_FUNCOES (hide)'!$T$2,I684+J684),I684+J684),I684+J684),I684+J684)</f>
        <v>#N/A</v>
      </c>
      <c r="L684" s="163" t="str">
        <f>IF(ISERROR(VLOOKUP(E684,Questions!$E$5:$L$568,6,0))=FALSE,VLOOKUP(E684,Questions!$E$5:$L$568,6,0),"")</f>
        <v/>
      </c>
      <c r="M684" s="164" t="s">
        <v>2396</v>
      </c>
      <c r="N684" s="369" t="s">
        <v>2377</v>
      </c>
    </row>
    <row r="685" spans="1:14" ht="14.5" customHeight="1">
      <c r="A685" s="59"/>
      <c r="B685" s="72"/>
      <c r="C685" s="72"/>
      <c r="D685" s="73" t="e">
        <f>IF('General Information'!$C$6="Português",VLOOKUP(B685,'ESTRUTURA_MODULO(hide)'!A:D,2,0),IF('General Information'!$C$6="English",VLOOKUP(B685,'ESTRUTURA_MODULO(hide)'!A:D,3,0),IF('General Information'!$C$6="Español",VLOOKUP(B685,'ESTRUTURA_MODULO(hide)'!A:D,4,0))))</f>
        <v>#N/A</v>
      </c>
      <c r="E685" s="74"/>
      <c r="F685" s="73"/>
      <c r="G685" s="73" t="e">
        <f>IF(AND('General Information'!$D$16=1,VLOOKUP(B685,Modules!$B$5:$E$496,4,0)=1)=TRUE,VLOOKUP('Hours Detail'!E685,'BASE_FUNCOES (hide)'!$A:$V,10,0),IF(AND('General Information'!$D$16=2,VLOOKUP(B685,Modules!$B$5:$E$496,4,0)=1)=TRUE,VLOOKUP('Hours Detail'!E685,'BASE_FUNCOES (hide)'!$A:$V,11,0),IF(AND('General Information'!$D$16=3,VLOOKUP(B685,Modules!$B$5:$E$496,4,0)=1)=TRUE,VLOOKUP('Hours Detail'!E685,'BASE_FUNCOES (hide)'!$A:$V,12,0),IF(AND('General Information'!$D$16=4,VLOOKUP(B685,Modules!$B$5:$E$496,4,0)=1)=TRUE,VLOOKUP('Hours Detail'!E685,'BASE_FUNCOES (hide)'!$A:$V,13,0),IF(AND('General Information'!$D$16=5,VLOOKUP(B685,Modules!$B$5:$E$496,4,0)=1)=TRUE,VLOOKUP('Hours Detail'!E685,'BASE_FUNCOES (hide)'!$A:$V,14,0),  IF(AND('General Information'!$D$16=6,VLOOKUP(B685,Modules!$B$5:$E$496,4,0)=1)=TRUE,VLOOKUP('Hours Detail'!E685,'BASE_FUNCOES (hide)'!$A:$V,15,0),"No"))))))</f>
        <v>#N/A</v>
      </c>
      <c r="H685" s="166" t="e">
        <f t="shared" si="12"/>
        <v>#N/A</v>
      </c>
      <c r="I685" s="75">
        <f>IF('General Information'!$C$4="Mexico",(ROUNDUP(VLOOKUP(E685,'BASE_FUNCOES (hide)'!A:X,21,0),0)),(ROUNDUP(VLOOKUP(E685,'BASE_FUNCOES (hide)'!A:L,9,0),0)))</f>
        <v>0</v>
      </c>
      <c r="J685" s="75">
        <f>ROUNDUP(SUMIF(Questions!$E$5:$E$558,'Hours Detail'!E685,Questions!$F$5:$F$558),0)</f>
        <v>0</v>
      </c>
      <c r="K685" s="76" t="e">
        <f>IF(H685="Yes",ROUNDUP(IF(VLOOKUP(E685,'BASE_FUNCOES (hide)'!A:T,16,FALSE)&lt;&gt;"No",IF('General Information'!$C$19="HTML5",(I685+J685)*'BASE_FUNCOES (hide)'!$T$2,I685+J685),I685+J685),I685+J685),I685+J685)</f>
        <v>#N/A</v>
      </c>
      <c r="L685" s="163" t="str">
        <f>IF(ISERROR(VLOOKUP(E685,Questions!$E$5:$L$568,6,0))=FALSE,VLOOKUP(E685,Questions!$E$5:$L$568,6,0),"")</f>
        <v/>
      </c>
      <c r="M685" s="164" t="s">
        <v>2396</v>
      </c>
      <c r="N685" s="369" t="s">
        <v>2377</v>
      </c>
    </row>
    <row r="686" spans="1:14" ht="14.5" customHeight="1">
      <c r="A686" s="59"/>
      <c r="B686" s="72"/>
      <c r="C686" s="72"/>
      <c r="D686" s="73" t="e">
        <f>IF('General Information'!$C$6="Português",VLOOKUP(B686,'ESTRUTURA_MODULO(hide)'!A:D,2,0),IF('General Information'!$C$6="English",VLOOKUP(B686,'ESTRUTURA_MODULO(hide)'!A:D,3,0),IF('General Information'!$C$6="Español",VLOOKUP(B686,'ESTRUTURA_MODULO(hide)'!A:D,4,0))))</f>
        <v>#N/A</v>
      </c>
      <c r="E686" s="74"/>
      <c r="F686" s="73"/>
      <c r="G686" s="73" t="e">
        <f>IF(AND('General Information'!$D$16=1,VLOOKUP(B686,Modules!$B$5:$E$496,4,0)=1)=TRUE,VLOOKUP('Hours Detail'!E686,'BASE_FUNCOES (hide)'!$A:$V,10,0),IF(AND('General Information'!$D$16=2,VLOOKUP(B686,Modules!$B$5:$E$496,4,0)=1)=TRUE,VLOOKUP('Hours Detail'!E686,'BASE_FUNCOES (hide)'!$A:$V,11,0),IF(AND('General Information'!$D$16=3,VLOOKUP(B686,Modules!$B$5:$E$496,4,0)=1)=TRUE,VLOOKUP('Hours Detail'!E686,'BASE_FUNCOES (hide)'!$A:$V,12,0),IF(AND('General Information'!$D$16=4,VLOOKUP(B686,Modules!$B$5:$E$496,4,0)=1)=TRUE,VLOOKUP('Hours Detail'!E686,'BASE_FUNCOES (hide)'!$A:$V,13,0),IF(AND('General Information'!$D$16=5,VLOOKUP(B686,Modules!$B$5:$E$496,4,0)=1)=TRUE,VLOOKUP('Hours Detail'!E686,'BASE_FUNCOES (hide)'!$A:$V,14,0),  IF(AND('General Information'!$D$16=6,VLOOKUP(B686,Modules!$B$5:$E$496,4,0)=1)=TRUE,VLOOKUP('Hours Detail'!E686,'BASE_FUNCOES (hide)'!$A:$V,15,0),"No"))))))</f>
        <v>#N/A</v>
      </c>
      <c r="H686" s="166" t="e">
        <f t="shared" si="12"/>
        <v>#N/A</v>
      </c>
      <c r="I686" s="75">
        <f>IF('General Information'!$C$4="Mexico",(ROUNDUP(VLOOKUP(E686,'BASE_FUNCOES (hide)'!A:X,21,0),0)),(ROUNDUP(VLOOKUP(E686,'BASE_FUNCOES (hide)'!A:L,9,0),0)))</f>
        <v>0</v>
      </c>
      <c r="J686" s="75">
        <f>ROUNDUP(SUMIF(Questions!$E$5:$E$558,'Hours Detail'!E686,Questions!$F$5:$F$558),0)</f>
        <v>0</v>
      </c>
      <c r="K686" s="76" t="e">
        <f>IF(H686="Yes",ROUNDUP(IF(VLOOKUP(E686,'BASE_FUNCOES (hide)'!A:T,16,FALSE)&lt;&gt;"No",IF('General Information'!$C$19="HTML5",(I686+J686)*'BASE_FUNCOES (hide)'!$T$2,I686+J686),I686+J686),I686+J686),I686+J686)</f>
        <v>#N/A</v>
      </c>
      <c r="L686" s="163" t="str">
        <f>IF(ISERROR(VLOOKUP(E686,Questions!$E$5:$L$568,6,0))=FALSE,VLOOKUP(E686,Questions!$E$5:$L$568,6,0),"")</f>
        <v/>
      </c>
      <c r="M686" s="164" t="s">
        <v>2396</v>
      </c>
      <c r="N686" s="369" t="s">
        <v>2377</v>
      </c>
    </row>
    <row r="687" spans="1:14" ht="14.5" customHeight="1">
      <c r="A687" s="59"/>
      <c r="B687" s="72"/>
      <c r="C687" s="72"/>
      <c r="D687" s="73" t="e">
        <f>IF('General Information'!$C$6="Português",VLOOKUP(B687,'ESTRUTURA_MODULO(hide)'!A:D,2,0),IF('General Information'!$C$6="English",VLOOKUP(B687,'ESTRUTURA_MODULO(hide)'!A:D,3,0),IF('General Information'!$C$6="Español",VLOOKUP(B687,'ESTRUTURA_MODULO(hide)'!A:D,4,0))))</f>
        <v>#N/A</v>
      </c>
      <c r="E687" s="74"/>
      <c r="F687" s="73"/>
      <c r="G687" s="73" t="e">
        <f>IF(AND('General Information'!$D$16=1,VLOOKUP(B687,Modules!$B$5:$E$496,4,0)=1)=TRUE,VLOOKUP('Hours Detail'!E687,'BASE_FUNCOES (hide)'!$A:$V,10,0),IF(AND('General Information'!$D$16=2,VLOOKUP(B687,Modules!$B$5:$E$496,4,0)=1)=TRUE,VLOOKUP('Hours Detail'!E687,'BASE_FUNCOES (hide)'!$A:$V,11,0),IF(AND('General Information'!$D$16=3,VLOOKUP(B687,Modules!$B$5:$E$496,4,0)=1)=TRUE,VLOOKUP('Hours Detail'!E687,'BASE_FUNCOES (hide)'!$A:$V,12,0),IF(AND('General Information'!$D$16=4,VLOOKUP(B687,Modules!$B$5:$E$496,4,0)=1)=TRUE,VLOOKUP('Hours Detail'!E687,'BASE_FUNCOES (hide)'!$A:$V,13,0),IF(AND('General Information'!$D$16=5,VLOOKUP(B687,Modules!$B$5:$E$496,4,0)=1)=TRUE,VLOOKUP('Hours Detail'!E687,'BASE_FUNCOES (hide)'!$A:$V,14,0),  IF(AND('General Information'!$D$16=6,VLOOKUP(B687,Modules!$B$5:$E$496,4,0)=1)=TRUE,VLOOKUP('Hours Detail'!E687,'BASE_FUNCOES (hide)'!$A:$V,15,0),"No"))))))</f>
        <v>#N/A</v>
      </c>
      <c r="H687" s="166" t="e">
        <f t="shared" si="12"/>
        <v>#N/A</v>
      </c>
      <c r="I687" s="75">
        <f>IF('General Information'!$C$4="Mexico",(ROUNDUP(VLOOKUP(E687,'BASE_FUNCOES (hide)'!A:X,21,0),0)),(ROUNDUP(VLOOKUP(E687,'BASE_FUNCOES (hide)'!A:L,9,0),0)))</f>
        <v>0</v>
      </c>
      <c r="J687" s="75">
        <f>ROUNDUP(SUMIF(Questions!$E$5:$E$558,'Hours Detail'!E687,Questions!$F$5:$F$558),0)</f>
        <v>0</v>
      </c>
      <c r="K687" s="76" t="e">
        <f>IF(H687="Yes",ROUNDUP(IF(VLOOKUP(E687,'BASE_FUNCOES (hide)'!A:T,16,FALSE)&lt;&gt;"No",IF('General Information'!$C$19="HTML5",(I687+J687)*'BASE_FUNCOES (hide)'!$T$2,I687+J687),I687+J687),I687+J687),I687+J687)</f>
        <v>#N/A</v>
      </c>
      <c r="L687" s="163" t="str">
        <f>IF(ISERROR(VLOOKUP(E687,Questions!$E$5:$L$568,6,0))=FALSE,VLOOKUP(E687,Questions!$E$5:$L$568,6,0),"")</f>
        <v/>
      </c>
      <c r="M687" s="164" t="s">
        <v>2396</v>
      </c>
      <c r="N687" s="369" t="s">
        <v>2377</v>
      </c>
    </row>
    <row r="688" spans="1:14" ht="14.5" customHeight="1">
      <c r="A688" s="59"/>
      <c r="B688" s="72"/>
      <c r="C688" s="72"/>
      <c r="D688" s="73" t="e">
        <f>IF('General Information'!$C$6="Português",VLOOKUP(B688,'ESTRUTURA_MODULO(hide)'!A:D,2,0),IF('General Information'!$C$6="English",VLOOKUP(B688,'ESTRUTURA_MODULO(hide)'!A:D,3,0),IF('General Information'!$C$6="Español",VLOOKUP(B688,'ESTRUTURA_MODULO(hide)'!A:D,4,0))))</f>
        <v>#N/A</v>
      </c>
      <c r="E688" s="74"/>
      <c r="F688" s="73"/>
      <c r="G688" s="73" t="e">
        <f>IF(AND('General Information'!$D$16=1,VLOOKUP(B688,Modules!$B$5:$E$496,4,0)=1)=TRUE,VLOOKUP('Hours Detail'!E688,'BASE_FUNCOES (hide)'!$A:$V,10,0),IF(AND('General Information'!$D$16=2,VLOOKUP(B688,Modules!$B$5:$E$496,4,0)=1)=TRUE,VLOOKUP('Hours Detail'!E688,'BASE_FUNCOES (hide)'!$A:$V,11,0),IF(AND('General Information'!$D$16=3,VLOOKUP(B688,Modules!$B$5:$E$496,4,0)=1)=TRUE,VLOOKUP('Hours Detail'!E688,'BASE_FUNCOES (hide)'!$A:$V,12,0),IF(AND('General Information'!$D$16=4,VLOOKUP(B688,Modules!$B$5:$E$496,4,0)=1)=TRUE,VLOOKUP('Hours Detail'!E688,'BASE_FUNCOES (hide)'!$A:$V,13,0),IF(AND('General Information'!$D$16=5,VLOOKUP(B688,Modules!$B$5:$E$496,4,0)=1)=TRUE,VLOOKUP('Hours Detail'!E688,'BASE_FUNCOES (hide)'!$A:$V,14,0),  IF(AND('General Information'!$D$16=6,VLOOKUP(B688,Modules!$B$5:$E$496,4,0)=1)=TRUE,VLOOKUP('Hours Detail'!E688,'BASE_FUNCOES (hide)'!$A:$V,15,0),"No"))))))</f>
        <v>#N/A</v>
      </c>
      <c r="H688" s="166" t="e">
        <f t="shared" si="12"/>
        <v>#N/A</v>
      </c>
      <c r="I688" s="75">
        <f>IF('General Information'!$C$4="Mexico",(ROUNDUP(VLOOKUP(E688,'BASE_FUNCOES (hide)'!A:X,21,0),0)),(ROUNDUP(VLOOKUP(E688,'BASE_FUNCOES (hide)'!A:L,9,0),0)))</f>
        <v>0</v>
      </c>
      <c r="J688" s="75">
        <f>ROUNDUP(SUMIF(Questions!$E$5:$E$558,'Hours Detail'!E688,Questions!$F$5:$F$558),0)</f>
        <v>0</v>
      </c>
      <c r="K688" s="76" t="e">
        <f>IF(H688="Yes",ROUNDUP(IF(VLOOKUP(E688,'BASE_FUNCOES (hide)'!A:T,16,FALSE)&lt;&gt;"No",IF('General Information'!$C$19="HTML5",(I688+J688)*'BASE_FUNCOES (hide)'!$T$2,I688+J688),I688+J688),I688+J688),I688+J688)</f>
        <v>#N/A</v>
      </c>
      <c r="L688" s="163" t="str">
        <f>IF(ISERROR(VLOOKUP(E688,Questions!$E$5:$L$568,6,0))=FALSE,VLOOKUP(E688,Questions!$E$5:$L$568,6,0),"")</f>
        <v/>
      </c>
      <c r="M688" s="164" t="s">
        <v>2396</v>
      </c>
      <c r="N688" s="369" t="s">
        <v>2377</v>
      </c>
    </row>
    <row r="689" spans="1:14" ht="14.5" customHeight="1">
      <c r="A689" s="59"/>
      <c r="B689" s="72"/>
      <c r="C689" s="72"/>
      <c r="D689" s="73" t="e">
        <f>IF('General Information'!$C$6="Português",VLOOKUP(B689,'ESTRUTURA_MODULO(hide)'!A:D,2,0),IF('General Information'!$C$6="English",VLOOKUP(B689,'ESTRUTURA_MODULO(hide)'!A:D,3,0),IF('General Information'!$C$6="Español",VLOOKUP(B689,'ESTRUTURA_MODULO(hide)'!A:D,4,0))))</f>
        <v>#N/A</v>
      </c>
      <c r="E689" s="74"/>
      <c r="F689" s="73"/>
      <c r="G689" s="73" t="e">
        <f>IF(AND('General Information'!$D$16=1,VLOOKUP(B689,Modules!$B$5:$E$496,4,0)=1)=TRUE,VLOOKUP('Hours Detail'!E689,'BASE_FUNCOES (hide)'!$A:$V,10,0),IF(AND('General Information'!$D$16=2,VLOOKUP(B689,Modules!$B$5:$E$496,4,0)=1)=TRUE,VLOOKUP('Hours Detail'!E689,'BASE_FUNCOES (hide)'!$A:$V,11,0),IF(AND('General Information'!$D$16=3,VLOOKUP(B689,Modules!$B$5:$E$496,4,0)=1)=TRUE,VLOOKUP('Hours Detail'!E689,'BASE_FUNCOES (hide)'!$A:$V,12,0),IF(AND('General Information'!$D$16=4,VLOOKUP(B689,Modules!$B$5:$E$496,4,0)=1)=TRUE,VLOOKUP('Hours Detail'!E689,'BASE_FUNCOES (hide)'!$A:$V,13,0),IF(AND('General Information'!$D$16=5,VLOOKUP(B689,Modules!$B$5:$E$496,4,0)=1)=TRUE,VLOOKUP('Hours Detail'!E689,'BASE_FUNCOES (hide)'!$A:$V,14,0),  IF(AND('General Information'!$D$16=6,VLOOKUP(B689,Modules!$B$5:$E$496,4,0)=1)=TRUE,VLOOKUP('Hours Detail'!E689,'BASE_FUNCOES (hide)'!$A:$V,15,0),"No"))))))</f>
        <v>#N/A</v>
      </c>
      <c r="H689" s="166" t="e">
        <f t="shared" si="12"/>
        <v>#N/A</v>
      </c>
      <c r="I689" s="75">
        <f>IF('General Information'!$C$4="Mexico",(ROUNDUP(VLOOKUP(E689,'BASE_FUNCOES (hide)'!A:X,21,0),0)),(ROUNDUP(VLOOKUP(E689,'BASE_FUNCOES (hide)'!A:L,9,0),0)))</f>
        <v>0</v>
      </c>
      <c r="J689" s="75">
        <f>ROUNDUP(SUMIF(Questions!$E$5:$E$558,'Hours Detail'!E689,Questions!$F$5:$F$558),0)</f>
        <v>0</v>
      </c>
      <c r="K689" s="76" t="e">
        <f>IF(H689="Yes",ROUNDUP(IF(VLOOKUP(E689,'BASE_FUNCOES (hide)'!A:T,16,FALSE)&lt;&gt;"No",IF('General Information'!$C$19="HTML5",(I689+J689)*'BASE_FUNCOES (hide)'!$T$2,I689+J689),I689+J689),I689+J689),I689+J689)</f>
        <v>#N/A</v>
      </c>
      <c r="L689" s="163" t="str">
        <f>IF(ISERROR(VLOOKUP(E689,Questions!$E$5:$L$568,6,0))=FALSE,VLOOKUP(E689,Questions!$E$5:$L$568,6,0),"")</f>
        <v/>
      </c>
      <c r="M689" s="164" t="s">
        <v>2396</v>
      </c>
      <c r="N689" s="369" t="s">
        <v>2377</v>
      </c>
    </row>
    <row r="690" spans="1:14" ht="14.5" customHeight="1">
      <c r="A690" s="59"/>
      <c r="B690" s="72"/>
      <c r="C690" s="72"/>
      <c r="D690" s="73" t="e">
        <f>IF('General Information'!$C$6="Português",VLOOKUP(B690,'ESTRUTURA_MODULO(hide)'!A:D,2,0),IF('General Information'!$C$6="English",VLOOKUP(B690,'ESTRUTURA_MODULO(hide)'!A:D,3,0),IF('General Information'!$C$6="Español",VLOOKUP(B690,'ESTRUTURA_MODULO(hide)'!A:D,4,0))))</f>
        <v>#N/A</v>
      </c>
      <c r="E690" s="74"/>
      <c r="F690" s="73"/>
      <c r="G690" s="73" t="e">
        <f>IF(AND('General Information'!$D$16=1,VLOOKUP(B690,Modules!$B$5:$E$496,4,0)=1)=TRUE,VLOOKUP('Hours Detail'!E690,'BASE_FUNCOES (hide)'!$A:$V,10,0),IF(AND('General Information'!$D$16=2,VLOOKUP(B690,Modules!$B$5:$E$496,4,0)=1)=TRUE,VLOOKUP('Hours Detail'!E690,'BASE_FUNCOES (hide)'!$A:$V,11,0),IF(AND('General Information'!$D$16=3,VLOOKUP(B690,Modules!$B$5:$E$496,4,0)=1)=TRUE,VLOOKUP('Hours Detail'!E690,'BASE_FUNCOES (hide)'!$A:$V,12,0),IF(AND('General Information'!$D$16=4,VLOOKUP(B690,Modules!$B$5:$E$496,4,0)=1)=TRUE,VLOOKUP('Hours Detail'!E690,'BASE_FUNCOES (hide)'!$A:$V,13,0),IF(AND('General Information'!$D$16=5,VLOOKUP(B690,Modules!$B$5:$E$496,4,0)=1)=TRUE,VLOOKUP('Hours Detail'!E690,'BASE_FUNCOES (hide)'!$A:$V,14,0),  IF(AND('General Information'!$D$16=6,VLOOKUP(B690,Modules!$B$5:$E$496,4,0)=1)=TRUE,VLOOKUP('Hours Detail'!E690,'BASE_FUNCOES (hide)'!$A:$V,15,0),"No"))))))</f>
        <v>#N/A</v>
      </c>
      <c r="H690" s="166" t="e">
        <f t="shared" si="12"/>
        <v>#N/A</v>
      </c>
      <c r="I690" s="75">
        <f>IF('General Information'!$C$4="Mexico",(ROUNDUP(VLOOKUP(E690,'BASE_FUNCOES (hide)'!A:X,21,0),0)),(ROUNDUP(VLOOKUP(E690,'BASE_FUNCOES (hide)'!A:L,9,0),0)))</f>
        <v>0</v>
      </c>
      <c r="J690" s="75">
        <f>ROUNDUP(SUMIF(Questions!$E$5:$E$558,'Hours Detail'!E690,Questions!$F$5:$F$558),0)</f>
        <v>0</v>
      </c>
      <c r="K690" s="76" t="e">
        <f>IF(H690="Yes",ROUNDUP(IF(VLOOKUP(E690,'BASE_FUNCOES (hide)'!A:T,16,FALSE)&lt;&gt;"No",IF('General Information'!$C$19="HTML5",(I690+J690)*'BASE_FUNCOES (hide)'!$T$2,I690+J690),I690+J690),I690+J690),I690+J690)</f>
        <v>#N/A</v>
      </c>
      <c r="L690" s="163" t="str">
        <f>IF(ISERROR(VLOOKUP(E690,Questions!$E$5:$L$568,6,0))=FALSE,VLOOKUP(E690,Questions!$E$5:$L$568,6,0),"")</f>
        <v/>
      </c>
      <c r="M690" s="164" t="s">
        <v>2396</v>
      </c>
      <c r="N690" s="369" t="s">
        <v>2377</v>
      </c>
    </row>
    <row r="691" spans="1:14" ht="14.5" customHeight="1">
      <c r="A691" s="59"/>
      <c r="B691" s="72"/>
      <c r="C691" s="72"/>
      <c r="D691" s="73" t="e">
        <f>IF('General Information'!$C$6="Português",VLOOKUP(B691,'ESTRUTURA_MODULO(hide)'!A:D,2,0),IF('General Information'!$C$6="English",VLOOKUP(B691,'ESTRUTURA_MODULO(hide)'!A:D,3,0),IF('General Information'!$C$6="Español",VLOOKUP(B691,'ESTRUTURA_MODULO(hide)'!A:D,4,0))))</f>
        <v>#N/A</v>
      </c>
      <c r="E691" s="74"/>
      <c r="F691" s="73"/>
      <c r="G691" s="73" t="e">
        <f>IF(AND('General Information'!$D$16=1,VLOOKUP(B691,Modules!$B$5:$E$496,4,0)=1)=TRUE,VLOOKUP('Hours Detail'!E691,'BASE_FUNCOES (hide)'!$A:$V,10,0),IF(AND('General Information'!$D$16=2,VLOOKUP(B691,Modules!$B$5:$E$496,4,0)=1)=TRUE,VLOOKUP('Hours Detail'!E691,'BASE_FUNCOES (hide)'!$A:$V,11,0),IF(AND('General Information'!$D$16=3,VLOOKUP(B691,Modules!$B$5:$E$496,4,0)=1)=TRUE,VLOOKUP('Hours Detail'!E691,'BASE_FUNCOES (hide)'!$A:$V,12,0),IF(AND('General Information'!$D$16=4,VLOOKUP(B691,Modules!$B$5:$E$496,4,0)=1)=TRUE,VLOOKUP('Hours Detail'!E691,'BASE_FUNCOES (hide)'!$A:$V,13,0),IF(AND('General Information'!$D$16=5,VLOOKUP(B691,Modules!$B$5:$E$496,4,0)=1)=TRUE,VLOOKUP('Hours Detail'!E691,'BASE_FUNCOES (hide)'!$A:$V,14,0),  IF(AND('General Information'!$D$16=6,VLOOKUP(B691,Modules!$B$5:$E$496,4,0)=1)=TRUE,VLOOKUP('Hours Detail'!E691,'BASE_FUNCOES (hide)'!$A:$V,15,0),"No"))))))</f>
        <v>#N/A</v>
      </c>
      <c r="H691" s="166" t="e">
        <f t="shared" si="12"/>
        <v>#N/A</v>
      </c>
      <c r="I691" s="75">
        <f>IF('General Information'!$C$4="Mexico",(ROUNDUP(VLOOKUP(E691,'BASE_FUNCOES (hide)'!A:X,21,0),0)),(ROUNDUP(VLOOKUP(E691,'BASE_FUNCOES (hide)'!A:L,9,0),0)))</f>
        <v>0</v>
      </c>
      <c r="J691" s="75">
        <f>ROUNDUP(SUMIF(Questions!$E$5:$E$558,'Hours Detail'!E691,Questions!$F$5:$F$558),0)</f>
        <v>0</v>
      </c>
      <c r="K691" s="76" t="e">
        <f>IF(H691="Yes",ROUNDUP(IF(VLOOKUP(E691,'BASE_FUNCOES (hide)'!A:T,16,FALSE)&lt;&gt;"No",IF('General Information'!$C$19="HTML5",(I691+J691)*'BASE_FUNCOES (hide)'!$T$2,I691+J691),I691+J691),I691+J691),I691+J691)</f>
        <v>#N/A</v>
      </c>
      <c r="L691" s="163" t="str">
        <f>IF(ISERROR(VLOOKUP(E691,Questions!$E$5:$L$568,6,0))=FALSE,VLOOKUP(E691,Questions!$E$5:$L$568,6,0),"")</f>
        <v/>
      </c>
      <c r="M691" s="164" t="s">
        <v>2396</v>
      </c>
      <c r="N691" s="369" t="s">
        <v>2377</v>
      </c>
    </row>
    <row r="692" spans="1:14" ht="14.5" customHeight="1">
      <c r="A692" s="59"/>
      <c r="B692" s="72"/>
      <c r="C692" s="72"/>
      <c r="D692" s="73" t="e">
        <f>IF('General Information'!$C$6="Português",VLOOKUP(B692,'ESTRUTURA_MODULO(hide)'!A:D,2,0),IF('General Information'!$C$6="English",VLOOKUP(B692,'ESTRUTURA_MODULO(hide)'!A:D,3,0),IF('General Information'!$C$6="Español",VLOOKUP(B692,'ESTRUTURA_MODULO(hide)'!A:D,4,0))))</f>
        <v>#N/A</v>
      </c>
      <c r="E692" s="74"/>
      <c r="F692" s="73"/>
      <c r="G692" s="73" t="e">
        <f>IF(AND('General Information'!$D$16=1,VLOOKUP(B692,Modules!$B$5:$E$496,4,0)=1)=TRUE,VLOOKUP('Hours Detail'!E692,'BASE_FUNCOES (hide)'!$A:$V,10,0),IF(AND('General Information'!$D$16=2,VLOOKUP(B692,Modules!$B$5:$E$496,4,0)=1)=TRUE,VLOOKUP('Hours Detail'!E692,'BASE_FUNCOES (hide)'!$A:$V,11,0),IF(AND('General Information'!$D$16=3,VLOOKUP(B692,Modules!$B$5:$E$496,4,0)=1)=TRUE,VLOOKUP('Hours Detail'!E692,'BASE_FUNCOES (hide)'!$A:$V,12,0),IF(AND('General Information'!$D$16=4,VLOOKUP(B692,Modules!$B$5:$E$496,4,0)=1)=TRUE,VLOOKUP('Hours Detail'!E692,'BASE_FUNCOES (hide)'!$A:$V,13,0),IF(AND('General Information'!$D$16=5,VLOOKUP(B692,Modules!$B$5:$E$496,4,0)=1)=TRUE,VLOOKUP('Hours Detail'!E692,'BASE_FUNCOES (hide)'!$A:$V,14,0),  IF(AND('General Information'!$D$16=6,VLOOKUP(B692,Modules!$B$5:$E$496,4,0)=1)=TRUE,VLOOKUP('Hours Detail'!E692,'BASE_FUNCOES (hide)'!$A:$V,15,0),"No"))))))</f>
        <v>#N/A</v>
      </c>
      <c r="H692" s="166" t="e">
        <f t="shared" si="12"/>
        <v>#N/A</v>
      </c>
      <c r="I692" s="75">
        <f>IF('General Information'!$C$4="Mexico",(ROUNDUP(VLOOKUP(E692,'BASE_FUNCOES (hide)'!A:X,21,0),0)),(ROUNDUP(VLOOKUP(E692,'BASE_FUNCOES (hide)'!A:L,9,0),0)))</f>
        <v>0</v>
      </c>
      <c r="J692" s="75">
        <f>ROUNDUP(SUMIF(Questions!$E$5:$E$558,'Hours Detail'!E692,Questions!$F$5:$F$558),0)</f>
        <v>0</v>
      </c>
      <c r="K692" s="76" t="e">
        <f>IF(H692="Yes",ROUNDUP(IF(VLOOKUP(E692,'BASE_FUNCOES (hide)'!A:T,16,FALSE)&lt;&gt;"No",IF('General Information'!$C$19="HTML5",(I692+J692)*'BASE_FUNCOES (hide)'!$T$2,I692+J692),I692+J692),I692+J692),I692+J692)</f>
        <v>#N/A</v>
      </c>
      <c r="L692" s="163" t="str">
        <f>IF(ISERROR(VLOOKUP(E692,Questions!$E$5:$L$568,6,0))=FALSE,VLOOKUP(E692,Questions!$E$5:$L$568,6,0),"")</f>
        <v/>
      </c>
      <c r="M692" s="164" t="s">
        <v>2396</v>
      </c>
      <c r="N692" s="369" t="s">
        <v>2377</v>
      </c>
    </row>
    <row r="693" spans="1:14" ht="14.5" customHeight="1">
      <c r="A693" s="59"/>
      <c r="B693" s="72"/>
      <c r="C693" s="72"/>
      <c r="D693" s="73" t="e">
        <f>IF('General Information'!$C$6="Português",VLOOKUP(B693,'ESTRUTURA_MODULO(hide)'!A:D,2,0),IF('General Information'!$C$6="English",VLOOKUP(B693,'ESTRUTURA_MODULO(hide)'!A:D,3,0),IF('General Information'!$C$6="Español",VLOOKUP(B693,'ESTRUTURA_MODULO(hide)'!A:D,4,0))))</f>
        <v>#N/A</v>
      </c>
      <c r="E693" s="74"/>
      <c r="F693" s="73"/>
      <c r="G693" s="73" t="e">
        <f>IF(AND('General Information'!$D$16=1,VLOOKUP(B693,Modules!$B$5:$E$496,4,0)=1)=TRUE,VLOOKUP('Hours Detail'!E693,'BASE_FUNCOES (hide)'!$A:$V,10,0),IF(AND('General Information'!$D$16=2,VLOOKUP(B693,Modules!$B$5:$E$496,4,0)=1)=TRUE,VLOOKUP('Hours Detail'!E693,'BASE_FUNCOES (hide)'!$A:$V,11,0),IF(AND('General Information'!$D$16=3,VLOOKUP(B693,Modules!$B$5:$E$496,4,0)=1)=TRUE,VLOOKUP('Hours Detail'!E693,'BASE_FUNCOES (hide)'!$A:$V,12,0),IF(AND('General Information'!$D$16=4,VLOOKUP(B693,Modules!$B$5:$E$496,4,0)=1)=TRUE,VLOOKUP('Hours Detail'!E693,'BASE_FUNCOES (hide)'!$A:$V,13,0),IF(AND('General Information'!$D$16=5,VLOOKUP(B693,Modules!$B$5:$E$496,4,0)=1)=TRUE,VLOOKUP('Hours Detail'!E693,'BASE_FUNCOES (hide)'!$A:$V,14,0),  IF(AND('General Information'!$D$16=6,VLOOKUP(B693,Modules!$B$5:$E$496,4,0)=1)=TRUE,VLOOKUP('Hours Detail'!E693,'BASE_FUNCOES (hide)'!$A:$V,15,0),"No"))))))</f>
        <v>#N/A</v>
      </c>
      <c r="H693" s="166" t="e">
        <f t="shared" si="12"/>
        <v>#N/A</v>
      </c>
      <c r="I693" s="75">
        <f>IF('General Information'!$C$4="Mexico",(ROUNDUP(VLOOKUP(E693,'BASE_FUNCOES (hide)'!A:X,21,0),0)),(ROUNDUP(VLOOKUP(E693,'BASE_FUNCOES (hide)'!A:L,9,0),0)))</f>
        <v>0</v>
      </c>
      <c r="J693" s="75">
        <f>ROUNDUP(SUMIF(Questions!$E$5:$E$558,'Hours Detail'!E693,Questions!$F$5:$F$558),0)</f>
        <v>0</v>
      </c>
      <c r="K693" s="76" t="e">
        <f>IF(H693="Yes",ROUNDUP(IF(VLOOKUP(E693,'BASE_FUNCOES (hide)'!A:T,16,FALSE)&lt;&gt;"No",IF('General Information'!$C$19="HTML5",(I693+J693)*'BASE_FUNCOES (hide)'!$T$2,I693+J693),I693+J693),I693+J693),I693+J693)</f>
        <v>#N/A</v>
      </c>
      <c r="L693" s="163" t="str">
        <f>IF(ISERROR(VLOOKUP(E693,Questions!$E$5:$L$568,6,0))=FALSE,VLOOKUP(E693,Questions!$E$5:$L$568,6,0),"")</f>
        <v/>
      </c>
      <c r="M693" s="164" t="s">
        <v>2396</v>
      </c>
      <c r="N693" s="369" t="s">
        <v>2377</v>
      </c>
    </row>
    <row r="694" spans="1:14" ht="14.5" customHeight="1">
      <c r="A694" s="59"/>
      <c r="B694" s="72"/>
      <c r="C694" s="72"/>
      <c r="D694" s="73" t="e">
        <f>IF('General Information'!$C$6="Português",VLOOKUP(B694,'ESTRUTURA_MODULO(hide)'!A:D,2,0),IF('General Information'!$C$6="English",VLOOKUP(B694,'ESTRUTURA_MODULO(hide)'!A:D,3,0),IF('General Information'!$C$6="Español",VLOOKUP(B694,'ESTRUTURA_MODULO(hide)'!A:D,4,0))))</f>
        <v>#N/A</v>
      </c>
      <c r="E694" s="74"/>
      <c r="F694" s="73"/>
      <c r="G694" s="73" t="e">
        <f>IF(AND('General Information'!$D$16=1,VLOOKUP(B694,Modules!$B$5:$E$496,4,0)=1)=TRUE,VLOOKUP('Hours Detail'!E694,'BASE_FUNCOES (hide)'!$A:$V,10,0),IF(AND('General Information'!$D$16=2,VLOOKUP(B694,Modules!$B$5:$E$496,4,0)=1)=TRUE,VLOOKUP('Hours Detail'!E694,'BASE_FUNCOES (hide)'!$A:$V,11,0),IF(AND('General Information'!$D$16=3,VLOOKUP(B694,Modules!$B$5:$E$496,4,0)=1)=TRUE,VLOOKUP('Hours Detail'!E694,'BASE_FUNCOES (hide)'!$A:$V,12,0),IF(AND('General Information'!$D$16=4,VLOOKUP(B694,Modules!$B$5:$E$496,4,0)=1)=TRUE,VLOOKUP('Hours Detail'!E694,'BASE_FUNCOES (hide)'!$A:$V,13,0),IF(AND('General Information'!$D$16=5,VLOOKUP(B694,Modules!$B$5:$E$496,4,0)=1)=TRUE,VLOOKUP('Hours Detail'!E694,'BASE_FUNCOES (hide)'!$A:$V,14,0),  IF(AND('General Information'!$D$16=6,VLOOKUP(B694,Modules!$B$5:$E$496,4,0)=1)=TRUE,VLOOKUP('Hours Detail'!E694,'BASE_FUNCOES (hide)'!$A:$V,15,0),"No"))))))</f>
        <v>#N/A</v>
      </c>
      <c r="H694" s="166" t="e">
        <f t="shared" si="12"/>
        <v>#N/A</v>
      </c>
      <c r="I694" s="75">
        <f>IF('General Information'!$C$4="Mexico",(ROUNDUP(VLOOKUP(E694,'BASE_FUNCOES (hide)'!A:X,21,0),0)),(ROUNDUP(VLOOKUP(E694,'BASE_FUNCOES (hide)'!A:L,9,0),0)))</f>
        <v>0</v>
      </c>
      <c r="J694" s="75">
        <f>ROUNDUP(SUMIF(Questions!$E$5:$E$558,'Hours Detail'!E694,Questions!$F$5:$F$558),0)</f>
        <v>0</v>
      </c>
      <c r="K694" s="76" t="e">
        <f>IF(H694="Yes",ROUNDUP(IF(VLOOKUP(E694,'BASE_FUNCOES (hide)'!A:T,16,FALSE)&lt;&gt;"No",IF('General Information'!$C$19="HTML5",(I694+J694)*'BASE_FUNCOES (hide)'!$T$2,I694+J694),I694+J694),I694+J694),I694+J694)</f>
        <v>#N/A</v>
      </c>
      <c r="L694" s="163" t="str">
        <f>IF(ISERROR(VLOOKUP(E694,Questions!$E$5:$L$568,6,0))=FALSE,VLOOKUP(E694,Questions!$E$5:$L$568,6,0),"")</f>
        <v/>
      </c>
      <c r="M694" s="164" t="s">
        <v>2396</v>
      </c>
      <c r="N694" s="369" t="s">
        <v>2377</v>
      </c>
    </row>
    <row r="695" spans="1:14" ht="14.5" customHeight="1">
      <c r="A695" s="59"/>
      <c r="B695" s="72"/>
      <c r="C695" s="72"/>
      <c r="D695" s="73" t="e">
        <f>IF('General Information'!$C$6="Português",VLOOKUP(B695,'ESTRUTURA_MODULO(hide)'!A:D,2,0),IF('General Information'!$C$6="English",VLOOKUP(B695,'ESTRUTURA_MODULO(hide)'!A:D,3,0),IF('General Information'!$C$6="Español",VLOOKUP(B695,'ESTRUTURA_MODULO(hide)'!A:D,4,0))))</f>
        <v>#N/A</v>
      </c>
      <c r="E695" s="74"/>
      <c r="F695" s="73"/>
      <c r="G695" s="73" t="e">
        <f>IF(AND('General Information'!$D$16=1,VLOOKUP(B695,Modules!$B$5:$E$496,4,0)=1)=TRUE,VLOOKUP('Hours Detail'!E695,'BASE_FUNCOES (hide)'!$A:$V,10,0),IF(AND('General Information'!$D$16=2,VLOOKUP(B695,Modules!$B$5:$E$496,4,0)=1)=TRUE,VLOOKUP('Hours Detail'!E695,'BASE_FUNCOES (hide)'!$A:$V,11,0),IF(AND('General Information'!$D$16=3,VLOOKUP(B695,Modules!$B$5:$E$496,4,0)=1)=TRUE,VLOOKUP('Hours Detail'!E695,'BASE_FUNCOES (hide)'!$A:$V,12,0),IF(AND('General Information'!$D$16=4,VLOOKUP(B695,Modules!$B$5:$E$496,4,0)=1)=TRUE,VLOOKUP('Hours Detail'!E695,'BASE_FUNCOES (hide)'!$A:$V,13,0),IF(AND('General Information'!$D$16=5,VLOOKUP(B695,Modules!$B$5:$E$496,4,0)=1)=TRUE,VLOOKUP('Hours Detail'!E695,'BASE_FUNCOES (hide)'!$A:$V,14,0),  IF(AND('General Information'!$D$16=6,VLOOKUP(B695,Modules!$B$5:$E$496,4,0)=1)=TRUE,VLOOKUP('Hours Detail'!E695,'BASE_FUNCOES (hide)'!$A:$V,15,0),"No"))))))</f>
        <v>#N/A</v>
      </c>
      <c r="H695" s="166" t="e">
        <f t="shared" si="12"/>
        <v>#N/A</v>
      </c>
      <c r="I695" s="75">
        <f>IF('General Information'!$C$4="Mexico",(ROUNDUP(VLOOKUP(E695,'BASE_FUNCOES (hide)'!A:X,21,0),0)),(ROUNDUP(VLOOKUP(E695,'BASE_FUNCOES (hide)'!A:L,9,0),0)))</f>
        <v>0</v>
      </c>
      <c r="J695" s="75">
        <f>ROUNDUP(SUMIF(Questions!$E$5:$E$558,'Hours Detail'!E695,Questions!$F$5:$F$558),0)</f>
        <v>0</v>
      </c>
      <c r="K695" s="76" t="e">
        <f>IF(H695="Yes",ROUNDUP(IF(VLOOKUP(E695,'BASE_FUNCOES (hide)'!A:T,16,FALSE)&lt;&gt;"No",IF('General Information'!$C$19="HTML5",(I695+J695)*'BASE_FUNCOES (hide)'!$T$2,I695+J695),I695+J695),I695+J695),I695+J695)</f>
        <v>#N/A</v>
      </c>
      <c r="L695" s="163" t="str">
        <f>IF(ISERROR(VLOOKUP(E695,Questions!$E$5:$L$568,6,0))=FALSE,VLOOKUP(E695,Questions!$E$5:$L$568,6,0),"")</f>
        <v/>
      </c>
      <c r="M695" s="164" t="s">
        <v>2396</v>
      </c>
      <c r="N695" s="369" t="s">
        <v>2377</v>
      </c>
    </row>
    <row r="696" spans="1:14" ht="14.5" customHeight="1">
      <c r="A696" s="59"/>
      <c r="B696" s="72"/>
      <c r="C696" s="72"/>
      <c r="D696" s="73" t="e">
        <f>IF('General Information'!$C$6="Português",VLOOKUP(B696,'ESTRUTURA_MODULO(hide)'!A:D,2,0),IF('General Information'!$C$6="English",VLOOKUP(B696,'ESTRUTURA_MODULO(hide)'!A:D,3,0),IF('General Information'!$C$6="Español",VLOOKUP(B696,'ESTRUTURA_MODULO(hide)'!A:D,4,0))))</f>
        <v>#N/A</v>
      </c>
      <c r="E696" s="74"/>
      <c r="F696" s="73"/>
      <c r="G696" s="73" t="e">
        <f>IF(AND('General Information'!$D$16=1,VLOOKUP(B696,Modules!$B$5:$E$496,4,0)=1)=TRUE,VLOOKUP('Hours Detail'!E696,'BASE_FUNCOES (hide)'!$A:$V,10,0),IF(AND('General Information'!$D$16=2,VLOOKUP(B696,Modules!$B$5:$E$496,4,0)=1)=TRUE,VLOOKUP('Hours Detail'!E696,'BASE_FUNCOES (hide)'!$A:$V,11,0),IF(AND('General Information'!$D$16=3,VLOOKUP(B696,Modules!$B$5:$E$496,4,0)=1)=TRUE,VLOOKUP('Hours Detail'!E696,'BASE_FUNCOES (hide)'!$A:$V,12,0),IF(AND('General Information'!$D$16=4,VLOOKUP(B696,Modules!$B$5:$E$496,4,0)=1)=TRUE,VLOOKUP('Hours Detail'!E696,'BASE_FUNCOES (hide)'!$A:$V,13,0),IF(AND('General Information'!$D$16=5,VLOOKUP(B696,Modules!$B$5:$E$496,4,0)=1)=TRUE,VLOOKUP('Hours Detail'!E696,'BASE_FUNCOES (hide)'!$A:$V,14,0),  IF(AND('General Information'!$D$16=6,VLOOKUP(B696,Modules!$B$5:$E$496,4,0)=1)=TRUE,VLOOKUP('Hours Detail'!E696,'BASE_FUNCOES (hide)'!$A:$V,15,0),"No"))))))</f>
        <v>#N/A</v>
      </c>
      <c r="H696" s="166" t="e">
        <f t="shared" si="12"/>
        <v>#N/A</v>
      </c>
      <c r="I696" s="75">
        <f>IF('General Information'!$C$4="Mexico",(ROUNDUP(VLOOKUP(E696,'BASE_FUNCOES (hide)'!A:X,21,0),0)),(ROUNDUP(VLOOKUP(E696,'BASE_FUNCOES (hide)'!A:L,9,0),0)))</f>
        <v>0</v>
      </c>
      <c r="J696" s="75">
        <f>ROUNDUP(SUMIF(Questions!$E$5:$E$558,'Hours Detail'!E696,Questions!$F$5:$F$558),0)</f>
        <v>0</v>
      </c>
      <c r="K696" s="76" t="e">
        <f>IF(H696="Yes",ROUNDUP(IF(VLOOKUP(E696,'BASE_FUNCOES (hide)'!A:T,16,FALSE)&lt;&gt;"No",IF('General Information'!$C$19="HTML5",(I696+J696)*'BASE_FUNCOES (hide)'!$T$2,I696+J696),I696+J696),I696+J696),I696+J696)</f>
        <v>#N/A</v>
      </c>
      <c r="L696" s="163" t="str">
        <f>IF(ISERROR(VLOOKUP(E696,Questions!$E$5:$L$568,6,0))=FALSE,VLOOKUP(E696,Questions!$E$5:$L$568,6,0),"")</f>
        <v/>
      </c>
      <c r="M696" s="164" t="s">
        <v>2396</v>
      </c>
      <c r="N696" s="369" t="s">
        <v>2377</v>
      </c>
    </row>
    <row r="697" spans="1:14" ht="14.5" customHeight="1">
      <c r="A697" s="59"/>
      <c r="B697" s="72"/>
      <c r="C697" s="72"/>
      <c r="D697" s="73" t="e">
        <f>IF('General Information'!$C$6="Português",VLOOKUP(B697,'ESTRUTURA_MODULO(hide)'!A:D,2,0),IF('General Information'!$C$6="English",VLOOKUP(B697,'ESTRUTURA_MODULO(hide)'!A:D,3,0),IF('General Information'!$C$6="Español",VLOOKUP(B697,'ESTRUTURA_MODULO(hide)'!A:D,4,0))))</f>
        <v>#N/A</v>
      </c>
      <c r="E697" s="74"/>
      <c r="F697" s="73"/>
      <c r="G697" s="73" t="e">
        <f>IF(AND('General Information'!$D$16=1,VLOOKUP(B697,Modules!$B$5:$E$496,4,0)=1)=TRUE,VLOOKUP('Hours Detail'!E697,'BASE_FUNCOES (hide)'!$A:$V,10,0),IF(AND('General Information'!$D$16=2,VLOOKUP(B697,Modules!$B$5:$E$496,4,0)=1)=TRUE,VLOOKUP('Hours Detail'!E697,'BASE_FUNCOES (hide)'!$A:$V,11,0),IF(AND('General Information'!$D$16=3,VLOOKUP(B697,Modules!$B$5:$E$496,4,0)=1)=TRUE,VLOOKUP('Hours Detail'!E697,'BASE_FUNCOES (hide)'!$A:$V,12,0),IF(AND('General Information'!$D$16=4,VLOOKUP(B697,Modules!$B$5:$E$496,4,0)=1)=TRUE,VLOOKUP('Hours Detail'!E697,'BASE_FUNCOES (hide)'!$A:$V,13,0),IF(AND('General Information'!$D$16=5,VLOOKUP(B697,Modules!$B$5:$E$496,4,0)=1)=TRUE,VLOOKUP('Hours Detail'!E697,'BASE_FUNCOES (hide)'!$A:$V,14,0),  IF(AND('General Information'!$D$16=6,VLOOKUP(B697,Modules!$B$5:$E$496,4,0)=1)=TRUE,VLOOKUP('Hours Detail'!E697,'BASE_FUNCOES (hide)'!$A:$V,15,0),"No"))))))</f>
        <v>#N/A</v>
      </c>
      <c r="H697" s="166" t="e">
        <f t="shared" si="12"/>
        <v>#N/A</v>
      </c>
      <c r="I697" s="75">
        <f>IF('General Information'!$C$4="Mexico",(ROUNDUP(VLOOKUP(E697,'BASE_FUNCOES (hide)'!A:X,21,0),0)),(ROUNDUP(VLOOKUP(E697,'BASE_FUNCOES (hide)'!A:L,9,0),0)))</f>
        <v>0</v>
      </c>
      <c r="J697" s="75">
        <f>ROUNDUP(SUMIF(Questions!$E$5:$E$558,'Hours Detail'!E697,Questions!$F$5:$F$558),0)</f>
        <v>0</v>
      </c>
      <c r="K697" s="76" t="e">
        <f>IF(H697="Yes",ROUNDUP(IF(VLOOKUP(E697,'BASE_FUNCOES (hide)'!A:T,16,FALSE)&lt;&gt;"No",IF('General Information'!$C$19="HTML5",(I697+J697)*'BASE_FUNCOES (hide)'!$T$2,I697+J697),I697+J697),I697+J697),I697+J697)</f>
        <v>#N/A</v>
      </c>
      <c r="L697" s="163" t="str">
        <f>IF(ISERROR(VLOOKUP(E697,Questions!$E$5:$L$568,6,0))=FALSE,VLOOKUP(E697,Questions!$E$5:$L$568,6,0),"")</f>
        <v/>
      </c>
      <c r="M697" s="164" t="s">
        <v>2396</v>
      </c>
      <c r="N697" s="369" t="s">
        <v>2377</v>
      </c>
    </row>
    <row r="698" spans="1:14" ht="14.5" customHeight="1">
      <c r="A698" s="59"/>
      <c r="B698" s="72"/>
      <c r="C698" s="72"/>
      <c r="D698" s="73" t="e">
        <f>IF('General Information'!$C$6="Português",VLOOKUP(B698,'ESTRUTURA_MODULO(hide)'!A:D,2,0),IF('General Information'!$C$6="English",VLOOKUP(B698,'ESTRUTURA_MODULO(hide)'!A:D,3,0),IF('General Information'!$C$6="Español",VLOOKUP(B698,'ESTRUTURA_MODULO(hide)'!A:D,4,0))))</f>
        <v>#N/A</v>
      </c>
      <c r="E698" s="74"/>
      <c r="F698" s="73"/>
      <c r="G698" s="73" t="e">
        <f>IF(AND('General Information'!$D$16=1,VLOOKUP(B698,Modules!$B$5:$E$496,4,0)=1)=TRUE,VLOOKUP('Hours Detail'!E698,'BASE_FUNCOES (hide)'!$A:$V,10,0),IF(AND('General Information'!$D$16=2,VLOOKUP(B698,Modules!$B$5:$E$496,4,0)=1)=TRUE,VLOOKUP('Hours Detail'!E698,'BASE_FUNCOES (hide)'!$A:$V,11,0),IF(AND('General Information'!$D$16=3,VLOOKUP(B698,Modules!$B$5:$E$496,4,0)=1)=TRUE,VLOOKUP('Hours Detail'!E698,'BASE_FUNCOES (hide)'!$A:$V,12,0),IF(AND('General Information'!$D$16=4,VLOOKUP(B698,Modules!$B$5:$E$496,4,0)=1)=TRUE,VLOOKUP('Hours Detail'!E698,'BASE_FUNCOES (hide)'!$A:$V,13,0),IF(AND('General Information'!$D$16=5,VLOOKUP(B698,Modules!$B$5:$E$496,4,0)=1)=TRUE,VLOOKUP('Hours Detail'!E698,'BASE_FUNCOES (hide)'!$A:$V,14,0),  IF(AND('General Information'!$D$16=6,VLOOKUP(B698,Modules!$B$5:$E$496,4,0)=1)=TRUE,VLOOKUP('Hours Detail'!E698,'BASE_FUNCOES (hide)'!$A:$V,15,0),"No"))))))</f>
        <v>#N/A</v>
      </c>
      <c r="H698" s="166" t="e">
        <f t="shared" si="12"/>
        <v>#N/A</v>
      </c>
      <c r="I698" s="75">
        <f>IF('General Information'!$C$4="Mexico",(ROUNDUP(VLOOKUP(E698,'BASE_FUNCOES (hide)'!A:X,21,0),0)),(ROUNDUP(VLOOKUP(E698,'BASE_FUNCOES (hide)'!A:L,9,0),0)))</f>
        <v>0</v>
      </c>
      <c r="J698" s="75">
        <f>ROUNDUP(SUMIF(Questions!$E$5:$E$558,'Hours Detail'!E698,Questions!$F$5:$F$558),0)</f>
        <v>0</v>
      </c>
      <c r="K698" s="76" t="e">
        <f>IF(H698="Yes",ROUNDUP(IF(VLOOKUP(E698,'BASE_FUNCOES (hide)'!A:T,16,FALSE)&lt;&gt;"No",IF('General Information'!$C$19="HTML5",(I698+J698)*'BASE_FUNCOES (hide)'!$T$2,I698+J698),I698+J698),I698+J698),I698+J698)</f>
        <v>#N/A</v>
      </c>
      <c r="L698" s="163" t="str">
        <f>IF(ISERROR(VLOOKUP(E698,Questions!$E$5:$L$568,6,0))=FALSE,VLOOKUP(E698,Questions!$E$5:$L$568,6,0),"")</f>
        <v/>
      </c>
      <c r="M698" s="164" t="s">
        <v>2396</v>
      </c>
      <c r="N698" s="369" t="s">
        <v>2377</v>
      </c>
    </row>
    <row r="699" spans="1:14" ht="14.5" customHeight="1">
      <c r="A699" s="59"/>
      <c r="B699" s="72"/>
      <c r="C699" s="72"/>
      <c r="D699" s="73" t="e">
        <f>IF('General Information'!$C$6="Português",VLOOKUP(B699,'ESTRUTURA_MODULO(hide)'!A:D,2,0),IF('General Information'!$C$6="English",VLOOKUP(B699,'ESTRUTURA_MODULO(hide)'!A:D,3,0),IF('General Information'!$C$6="Español",VLOOKUP(B699,'ESTRUTURA_MODULO(hide)'!A:D,4,0))))</f>
        <v>#N/A</v>
      </c>
      <c r="E699" s="74"/>
      <c r="F699" s="73"/>
      <c r="G699" s="73" t="e">
        <f>IF(AND('General Information'!$D$16=1,VLOOKUP(B699,Modules!$B$5:$E$496,4,0)=1)=TRUE,VLOOKUP('Hours Detail'!E699,'BASE_FUNCOES (hide)'!$A:$V,10,0),IF(AND('General Information'!$D$16=2,VLOOKUP(B699,Modules!$B$5:$E$496,4,0)=1)=TRUE,VLOOKUP('Hours Detail'!E699,'BASE_FUNCOES (hide)'!$A:$V,11,0),IF(AND('General Information'!$D$16=3,VLOOKUP(B699,Modules!$B$5:$E$496,4,0)=1)=TRUE,VLOOKUP('Hours Detail'!E699,'BASE_FUNCOES (hide)'!$A:$V,12,0),IF(AND('General Information'!$D$16=4,VLOOKUP(B699,Modules!$B$5:$E$496,4,0)=1)=TRUE,VLOOKUP('Hours Detail'!E699,'BASE_FUNCOES (hide)'!$A:$V,13,0),IF(AND('General Information'!$D$16=5,VLOOKUP(B699,Modules!$B$5:$E$496,4,0)=1)=TRUE,VLOOKUP('Hours Detail'!E699,'BASE_FUNCOES (hide)'!$A:$V,14,0),  IF(AND('General Information'!$D$16=6,VLOOKUP(B699,Modules!$B$5:$E$496,4,0)=1)=TRUE,VLOOKUP('Hours Detail'!E699,'BASE_FUNCOES (hide)'!$A:$V,15,0),"No"))))))</f>
        <v>#N/A</v>
      </c>
      <c r="H699" s="166" t="e">
        <f t="shared" si="12"/>
        <v>#N/A</v>
      </c>
      <c r="I699" s="75">
        <f>IF('General Information'!$C$4="Mexico",(ROUNDUP(VLOOKUP(E699,'BASE_FUNCOES (hide)'!A:X,21,0),0)),(ROUNDUP(VLOOKUP(E699,'BASE_FUNCOES (hide)'!A:L,9,0),0)))</f>
        <v>0</v>
      </c>
      <c r="J699" s="75">
        <f>ROUNDUP(SUMIF(Questions!$E$5:$E$558,'Hours Detail'!E699,Questions!$F$5:$F$558),0)</f>
        <v>0</v>
      </c>
      <c r="K699" s="76" t="e">
        <f>IF(H699="Yes",ROUNDUP(IF(VLOOKUP(E699,'BASE_FUNCOES (hide)'!A:T,16,FALSE)&lt;&gt;"No",IF('General Information'!$C$19="HTML5",(I699+J699)*'BASE_FUNCOES (hide)'!$T$2,I699+J699),I699+J699),I699+J699),I699+J699)</f>
        <v>#N/A</v>
      </c>
      <c r="L699" s="163" t="str">
        <f>IF(ISERROR(VLOOKUP(E699,Questions!$E$5:$L$568,6,0))=FALSE,VLOOKUP(E699,Questions!$E$5:$L$568,6,0),"")</f>
        <v/>
      </c>
      <c r="M699" s="164" t="s">
        <v>2396</v>
      </c>
      <c r="N699" s="369" t="s">
        <v>2377</v>
      </c>
    </row>
    <row r="700" spans="1:14" ht="14.5" customHeight="1">
      <c r="A700" s="59"/>
      <c r="B700" s="72"/>
      <c r="C700" s="72"/>
      <c r="D700" s="74"/>
      <c r="E700" s="74"/>
      <c r="F700" s="73"/>
      <c r="G700" s="73" t="e">
        <f>IF(AND('General Information'!$D$16=1,VLOOKUP(B700,Modules!$B$5:$E$496,4,0)=1)=TRUE,VLOOKUP('Hours Detail'!E700,'BASE_FUNCOES (hide)'!$A:$V,10,0),IF(AND('General Information'!$D$16=2,VLOOKUP(B700,Modules!$B$5:$E$496,4,0)=1)=TRUE,VLOOKUP('Hours Detail'!E700,'BASE_FUNCOES (hide)'!$A:$V,11,0),IF(AND('General Information'!$D$16=3,VLOOKUP(B700,Modules!$B$5:$E$496,4,0)=1)=TRUE,VLOOKUP('Hours Detail'!E700,'BASE_FUNCOES (hide)'!$A:$V,12,0),IF(AND('General Information'!$D$16=4,VLOOKUP(B700,Modules!$B$5:$E$496,4,0)=1)=TRUE,VLOOKUP('Hours Detail'!E700,'BASE_FUNCOES (hide)'!$A:$V,13,0),IF(AND('General Information'!$D$16=5,VLOOKUP(B700,Modules!$B$5:$E$496,4,0)=1)=TRUE,VLOOKUP('Hours Detail'!E700,'BASE_FUNCOES (hide)'!$A:$V,14,0),  IF(AND('General Information'!$D$16=6,VLOOKUP(B700,Modules!$B$5:$E$496,4,0)=1)=TRUE,VLOOKUP('Hours Detail'!E700,'BASE_FUNCOES (hide)'!$A:$V,15,0),"No"))))))</f>
        <v>#N/A</v>
      </c>
      <c r="H700" s="166" t="e">
        <f t="shared" si="12"/>
        <v>#N/A</v>
      </c>
      <c r="I700" s="75">
        <f>IF('General Information'!$C$4="Mexico",(ROUNDUP(VLOOKUP(E700,'BASE_FUNCOES (hide)'!A:X,21,0),0)),(ROUNDUP(VLOOKUP(E700,'BASE_FUNCOES (hide)'!A:L,9,0),0)))</f>
        <v>0</v>
      </c>
      <c r="J700" s="75">
        <f>ROUNDUP(SUMIF(Questions!$E$5:$E$558,'Hours Detail'!E700,Questions!$F$5:$F$558),0)</f>
        <v>0</v>
      </c>
      <c r="K700" s="76" t="e">
        <f>IF(H700="Yes",ROUNDUP(IF(VLOOKUP(E700,'BASE_FUNCOES (hide)'!A:T,16,FALSE)&lt;&gt;"No",IF('General Information'!$C$19="HTML5",(I700+J700)*'BASE_FUNCOES (hide)'!$T$2,I700+J700),I700+J700),I700+J700),I700+J700)</f>
        <v>#N/A</v>
      </c>
      <c r="L700" s="163" t="str">
        <f>IF(ISERROR(VLOOKUP(E700,Questions!$E$5:$L$568,6,0))=FALSE,VLOOKUP(E700,Questions!$E$5:$L$568,6,0),"")</f>
        <v/>
      </c>
      <c r="M700" s="164" t="s">
        <v>2396</v>
      </c>
      <c r="N700" s="369" t="s">
        <v>2377</v>
      </c>
    </row>
    <row r="701" spans="1:14" ht="14.5" customHeight="1">
      <c r="A701" s="59"/>
      <c r="B701" s="72"/>
      <c r="C701" s="72"/>
      <c r="D701" s="74"/>
      <c r="E701" s="74"/>
      <c r="F701" s="73"/>
      <c r="G701" s="73" t="e">
        <f>IF(AND('General Information'!$D$16=1,VLOOKUP(B701,Modules!$B$5:$E$496,4,0)=1)=TRUE,VLOOKUP('Hours Detail'!E701,'BASE_FUNCOES (hide)'!$A:$V,10,0),IF(AND('General Information'!$D$16=2,VLOOKUP(B701,Modules!$B$5:$E$496,4,0)=1)=TRUE,VLOOKUP('Hours Detail'!E701,'BASE_FUNCOES (hide)'!$A:$V,11,0),IF(AND('General Information'!$D$16=3,VLOOKUP(B701,Modules!$B$5:$E$496,4,0)=1)=TRUE,VLOOKUP('Hours Detail'!E701,'BASE_FUNCOES (hide)'!$A:$V,12,0),IF(AND('General Information'!$D$16=4,VLOOKUP(B701,Modules!$B$5:$E$496,4,0)=1)=TRUE,VLOOKUP('Hours Detail'!E701,'BASE_FUNCOES (hide)'!$A:$V,13,0),IF(AND('General Information'!$D$16=5,VLOOKUP(B701,Modules!$B$5:$E$496,4,0)=1)=TRUE,VLOOKUP('Hours Detail'!E701,'BASE_FUNCOES (hide)'!$A:$V,14,0),  IF(AND('General Information'!$D$16=6,VLOOKUP(B701,Modules!$B$5:$E$496,4,0)=1)=TRUE,VLOOKUP('Hours Detail'!E701,'BASE_FUNCOES (hide)'!$A:$V,15,0),"No"))))))</f>
        <v>#N/A</v>
      </c>
      <c r="H701" s="166" t="e">
        <f t="shared" si="12"/>
        <v>#N/A</v>
      </c>
      <c r="I701" s="75">
        <f>IF('General Information'!$C$4="Mexico",(ROUNDUP(VLOOKUP(E701,'BASE_FUNCOES (hide)'!A:X,21,0),0)),(ROUNDUP(VLOOKUP(E701,'BASE_FUNCOES (hide)'!A:L,9,0),0)))</f>
        <v>0</v>
      </c>
      <c r="J701" s="75">
        <f>ROUNDUP(SUMIF(Questions!$E$5:$E$558,'Hours Detail'!E701,Questions!$F$5:$F$558),0)</f>
        <v>0</v>
      </c>
      <c r="K701" s="76" t="e">
        <f>IF(H701="Yes",ROUNDUP(IF(VLOOKUP(E701,'BASE_FUNCOES (hide)'!A:T,16,FALSE)&lt;&gt;"No",IF('General Information'!$C$19="HTML5",(I701+J701)*'BASE_FUNCOES (hide)'!$T$2,I701+J701),I701+J701),I701+J701),I701+J701)</f>
        <v>#N/A</v>
      </c>
      <c r="L701" s="163" t="str">
        <f>IF(ISERROR(VLOOKUP(E701,Questions!$E$5:$L$568,6,0))=FALSE,VLOOKUP(E701,Questions!$E$5:$L$568,6,0),"")</f>
        <v/>
      </c>
      <c r="M701" s="164" t="s">
        <v>2396</v>
      </c>
      <c r="N701" s="369" t="s">
        <v>2377</v>
      </c>
    </row>
    <row r="702" spans="1:14" ht="14.5" customHeight="1">
      <c r="A702" s="59"/>
      <c r="B702" s="72"/>
      <c r="C702" s="72"/>
      <c r="D702" s="74"/>
      <c r="E702" s="74"/>
      <c r="F702" s="73"/>
      <c r="G702" s="73" t="e">
        <f>IF(AND('General Information'!$D$16=1,VLOOKUP(B702,Modules!$B$5:$E$496,4,0)=1)=TRUE,VLOOKUP('Hours Detail'!E702,'BASE_FUNCOES (hide)'!$A:$V,10,0),IF(AND('General Information'!$D$16=2,VLOOKUP(B702,Modules!$B$5:$E$496,4,0)=1)=TRUE,VLOOKUP('Hours Detail'!E702,'BASE_FUNCOES (hide)'!$A:$V,11,0),IF(AND('General Information'!$D$16=3,VLOOKUP(B702,Modules!$B$5:$E$496,4,0)=1)=TRUE,VLOOKUP('Hours Detail'!E702,'BASE_FUNCOES (hide)'!$A:$V,12,0),IF(AND('General Information'!$D$16=4,VLOOKUP(B702,Modules!$B$5:$E$496,4,0)=1)=TRUE,VLOOKUP('Hours Detail'!E702,'BASE_FUNCOES (hide)'!$A:$V,13,0),IF(AND('General Information'!$D$16=5,VLOOKUP(B702,Modules!$B$5:$E$496,4,0)=1)=TRUE,VLOOKUP('Hours Detail'!E702,'BASE_FUNCOES (hide)'!$A:$V,14,0),  IF(AND('General Information'!$D$16=6,VLOOKUP(B702,Modules!$B$5:$E$496,4,0)=1)=TRUE,VLOOKUP('Hours Detail'!E702,'BASE_FUNCOES (hide)'!$A:$V,15,0),"No"))))))</f>
        <v>#N/A</v>
      </c>
      <c r="H702" s="166" t="e">
        <f t="shared" si="12"/>
        <v>#N/A</v>
      </c>
      <c r="I702" s="75">
        <f>IF('General Information'!$C$4="Mexico",(ROUNDUP(VLOOKUP(E702,'BASE_FUNCOES (hide)'!A:X,21,0),0)),(ROUNDUP(VLOOKUP(E702,'BASE_FUNCOES (hide)'!A:L,9,0),0)))</f>
        <v>0</v>
      </c>
      <c r="J702" s="75">
        <f>ROUNDUP(SUMIF(Questions!$E$5:$E$558,'Hours Detail'!E702,Questions!$F$5:$F$558),0)</f>
        <v>0</v>
      </c>
      <c r="K702" s="76" t="e">
        <f>IF(H702="Yes",ROUNDUP(IF(VLOOKUP(E702,'BASE_FUNCOES (hide)'!A:T,16,FALSE)&lt;&gt;"No",IF('General Information'!$C$19="HTML5",(I702+J702)*'BASE_FUNCOES (hide)'!$T$2,I702+J702),I702+J702),I702+J702),I702+J702)</f>
        <v>#N/A</v>
      </c>
      <c r="L702" s="163" t="str">
        <f>IF(ISERROR(VLOOKUP(E702,Questions!$E$5:$L$568,6,0))=FALSE,VLOOKUP(E702,Questions!$E$5:$L$568,6,0),"")</f>
        <v/>
      </c>
      <c r="M702" s="164" t="s">
        <v>2396</v>
      </c>
      <c r="N702" s="369" t="s">
        <v>2377</v>
      </c>
    </row>
    <row r="703" spans="1:14" ht="14.5" customHeight="1">
      <c r="A703" s="59"/>
      <c r="B703" s="72"/>
      <c r="C703" s="72"/>
      <c r="D703" s="74"/>
      <c r="E703" s="74"/>
      <c r="F703" s="73"/>
      <c r="G703" s="73" t="e">
        <f>IF(AND('General Information'!$D$16=1,VLOOKUP(B703,Modules!$B$5:$E$496,4,0)=1)=TRUE,VLOOKUP('Hours Detail'!E703,'BASE_FUNCOES (hide)'!$A:$V,10,0),IF(AND('General Information'!$D$16=2,VLOOKUP(B703,Modules!$B$5:$E$496,4,0)=1)=TRUE,VLOOKUP('Hours Detail'!E703,'BASE_FUNCOES (hide)'!$A:$V,11,0),IF(AND('General Information'!$D$16=3,VLOOKUP(B703,Modules!$B$5:$E$496,4,0)=1)=TRUE,VLOOKUP('Hours Detail'!E703,'BASE_FUNCOES (hide)'!$A:$V,12,0),IF(AND('General Information'!$D$16=4,VLOOKUP(B703,Modules!$B$5:$E$496,4,0)=1)=TRUE,VLOOKUP('Hours Detail'!E703,'BASE_FUNCOES (hide)'!$A:$V,13,0),IF(AND('General Information'!$D$16=5,VLOOKUP(B703,Modules!$B$5:$E$496,4,0)=1)=TRUE,VLOOKUP('Hours Detail'!E703,'BASE_FUNCOES (hide)'!$A:$V,14,0),  IF(AND('General Information'!$D$16=6,VLOOKUP(B703,Modules!$B$5:$E$496,4,0)=1)=TRUE,VLOOKUP('Hours Detail'!E703,'BASE_FUNCOES (hide)'!$A:$V,15,0),"No"))))))</f>
        <v>#N/A</v>
      </c>
      <c r="H703" s="166" t="e">
        <f t="shared" si="12"/>
        <v>#N/A</v>
      </c>
      <c r="I703" s="75">
        <f>IF('General Information'!$C$4="Mexico",(ROUNDUP(VLOOKUP(E703,'BASE_FUNCOES (hide)'!A:X,21,0),0)),(ROUNDUP(VLOOKUP(E703,'BASE_FUNCOES (hide)'!A:L,9,0),0)))</f>
        <v>0</v>
      </c>
      <c r="J703" s="75">
        <f>ROUNDUP(SUMIF(Questions!$E$5:$E$558,'Hours Detail'!E703,Questions!$F$5:$F$558),0)</f>
        <v>0</v>
      </c>
      <c r="K703" s="76" t="e">
        <f>IF(H703="Yes",ROUNDUP(IF(VLOOKUP(E703,'BASE_FUNCOES (hide)'!A:T,16,FALSE)&lt;&gt;"No",IF('General Information'!$C$19="HTML5",(I703+J703)*'BASE_FUNCOES (hide)'!$T$2,I703+J703),I703+J703),I703+J703),I703+J703)</f>
        <v>#N/A</v>
      </c>
      <c r="L703" s="163" t="str">
        <f>IF(ISERROR(VLOOKUP(E703,Questions!$E$5:$L$568,6,0))=FALSE,VLOOKUP(E703,Questions!$E$5:$L$568,6,0),"")</f>
        <v/>
      </c>
      <c r="M703" s="164" t="s">
        <v>2396</v>
      </c>
      <c r="N703" s="369" t="s">
        <v>2377</v>
      </c>
    </row>
    <row r="704" spans="1:14" ht="14.5" customHeight="1">
      <c r="A704" s="59"/>
      <c r="B704" s="72"/>
      <c r="C704" s="72"/>
      <c r="D704" s="74"/>
      <c r="E704" s="74"/>
      <c r="F704" s="73"/>
      <c r="G704" s="73" t="e">
        <f>IF(AND('General Information'!$D$16=1,VLOOKUP(B704,Modules!$B$5:$E$496,4,0)=1)=TRUE,VLOOKUP('Hours Detail'!E704,'BASE_FUNCOES (hide)'!$A:$V,10,0),IF(AND('General Information'!$D$16=2,VLOOKUP(B704,Modules!$B$5:$E$496,4,0)=1)=TRUE,VLOOKUP('Hours Detail'!E704,'BASE_FUNCOES (hide)'!$A:$V,11,0),IF(AND('General Information'!$D$16=3,VLOOKUP(B704,Modules!$B$5:$E$496,4,0)=1)=TRUE,VLOOKUP('Hours Detail'!E704,'BASE_FUNCOES (hide)'!$A:$V,12,0),IF(AND('General Information'!$D$16=4,VLOOKUP(B704,Modules!$B$5:$E$496,4,0)=1)=TRUE,VLOOKUP('Hours Detail'!E704,'BASE_FUNCOES (hide)'!$A:$V,13,0),IF(AND('General Information'!$D$16=5,VLOOKUP(B704,Modules!$B$5:$E$496,4,0)=1)=TRUE,VLOOKUP('Hours Detail'!E704,'BASE_FUNCOES (hide)'!$A:$V,14,0),  IF(AND('General Information'!$D$16=6,VLOOKUP(B704,Modules!$B$5:$E$496,4,0)=1)=TRUE,VLOOKUP('Hours Detail'!E704,'BASE_FUNCOES (hide)'!$A:$V,15,0),"No"))))))</f>
        <v>#N/A</v>
      </c>
      <c r="H704" s="166" t="e">
        <f t="shared" si="12"/>
        <v>#N/A</v>
      </c>
      <c r="I704" s="75">
        <f>IF('General Information'!$C$4="Mexico",(ROUNDUP(VLOOKUP(E704,'BASE_FUNCOES (hide)'!A:X,21,0),0)),(ROUNDUP(VLOOKUP(E704,'BASE_FUNCOES (hide)'!A:L,9,0),0)))</f>
        <v>0</v>
      </c>
      <c r="J704" s="75">
        <f>ROUNDUP(SUMIF(Questions!$E$5:$E$558,'Hours Detail'!E704,Questions!$F$5:$F$558),0)</f>
        <v>0</v>
      </c>
      <c r="K704" s="76" t="e">
        <f>IF(H704="Yes",ROUNDUP(IF(VLOOKUP(E704,'BASE_FUNCOES (hide)'!A:T,16,FALSE)&lt;&gt;"No",IF('General Information'!$C$19="HTML5",(I704+J704)*'BASE_FUNCOES (hide)'!$T$2,I704+J704),I704+J704),I704+J704),I704+J704)</f>
        <v>#N/A</v>
      </c>
      <c r="L704" s="163" t="str">
        <f>IF(ISERROR(VLOOKUP(E704,Questions!$E$5:$L$568,6,0))=FALSE,VLOOKUP(E704,Questions!$E$5:$L$568,6,0),"")</f>
        <v/>
      </c>
      <c r="M704" s="164" t="s">
        <v>2396</v>
      </c>
      <c r="N704" s="369" t="s">
        <v>2377</v>
      </c>
    </row>
    <row r="705" spans="1:14" ht="14.5" customHeight="1">
      <c r="A705" s="59"/>
      <c r="B705" s="72"/>
      <c r="C705" s="72"/>
      <c r="D705" s="74"/>
      <c r="E705" s="74"/>
      <c r="F705" s="73"/>
      <c r="G705" s="73" t="e">
        <f>IF(AND('General Information'!$D$16=1,VLOOKUP(B705,Modules!$B$5:$E$496,4,0)=1)=TRUE,VLOOKUP('Hours Detail'!E705,'BASE_FUNCOES (hide)'!$A:$V,10,0),IF(AND('General Information'!$D$16=2,VLOOKUP(B705,Modules!$B$5:$E$496,4,0)=1)=TRUE,VLOOKUP('Hours Detail'!E705,'BASE_FUNCOES (hide)'!$A:$V,11,0),IF(AND('General Information'!$D$16=3,VLOOKUP(B705,Modules!$B$5:$E$496,4,0)=1)=TRUE,VLOOKUP('Hours Detail'!E705,'BASE_FUNCOES (hide)'!$A:$V,12,0),IF(AND('General Information'!$D$16=4,VLOOKUP(B705,Modules!$B$5:$E$496,4,0)=1)=TRUE,VLOOKUP('Hours Detail'!E705,'BASE_FUNCOES (hide)'!$A:$V,13,0),IF(AND('General Information'!$D$16=5,VLOOKUP(B705,Modules!$B$5:$E$496,4,0)=1)=TRUE,VLOOKUP('Hours Detail'!E705,'BASE_FUNCOES (hide)'!$A:$V,14,0),  IF(AND('General Information'!$D$16=6,VLOOKUP(B705,Modules!$B$5:$E$496,4,0)=1)=TRUE,VLOOKUP('Hours Detail'!E705,'BASE_FUNCOES (hide)'!$A:$V,15,0),"No"))))))</f>
        <v>#N/A</v>
      </c>
      <c r="H705" s="166" t="e">
        <f t="shared" si="12"/>
        <v>#N/A</v>
      </c>
      <c r="I705" s="75">
        <f>IF('General Information'!$C$4="Mexico",(ROUNDUP(VLOOKUP(E705,'BASE_FUNCOES (hide)'!A:X,21,0),0)),(ROUNDUP(VLOOKUP(E705,'BASE_FUNCOES (hide)'!A:L,9,0),0)))</f>
        <v>0</v>
      </c>
      <c r="J705" s="75">
        <f>ROUNDUP(SUMIF(Questions!$E$5:$E$558,'Hours Detail'!E705,Questions!$F$5:$F$558),0)</f>
        <v>0</v>
      </c>
      <c r="K705" s="76" t="e">
        <f>IF(H705="Yes",ROUNDUP(IF(VLOOKUP(E705,'BASE_FUNCOES (hide)'!A:T,16,FALSE)&lt;&gt;"No",IF('General Information'!$C$19="HTML5",(I705+J705)*'BASE_FUNCOES (hide)'!$T$2,I705+J705),I705+J705),I705+J705),I705+J705)</f>
        <v>#N/A</v>
      </c>
      <c r="L705" s="163" t="str">
        <f>IF(ISERROR(VLOOKUP(E705,Questions!$E$5:$L$568,6,0))=FALSE,VLOOKUP(E705,Questions!$E$5:$L$568,6,0),"")</f>
        <v/>
      </c>
      <c r="M705" s="164" t="s">
        <v>2396</v>
      </c>
      <c r="N705" s="369" t="s">
        <v>2377</v>
      </c>
    </row>
  </sheetData>
  <sheetProtection algorithmName="SHA-512" hashValue="K+Ee5RMrno0ULufTbm419c1nio1v6S5GT/xFY9wTHjUPGUDmjvr8neg+zlYspu2a7Je+6TcB2/xMO5HEY0mnwg==" saltValue="i4qbGv3HXns5X3Z0HWl7eQ==" spinCount="100000" sheet="1" autoFilter="0"/>
  <autoFilter ref="B6:N705" xr:uid="{00000000-0009-0000-0000-000005000000}"/>
  <sortState xmlns:xlrd2="http://schemas.microsoft.com/office/spreadsheetml/2017/richdata2" ref="B17:F738">
    <sortCondition ref="F17"/>
  </sortState>
  <dataConsolidate link="1"/>
  <mergeCells count="2">
    <mergeCell ref="B1:L1"/>
    <mergeCell ref="H4:H5"/>
  </mergeCells>
  <conditionalFormatting sqref="H7:H15">
    <cfRule type="cellIs" dxfId="85" priority="49" operator="notEqual">
      <formula>$G7</formula>
    </cfRule>
  </conditionalFormatting>
  <conditionalFormatting sqref="H17:H705">
    <cfRule type="cellIs" dxfId="84" priority="23" operator="notEqual">
      <formula>$G17</formula>
    </cfRule>
  </conditionalFormatting>
  <dataValidations count="2">
    <dataValidation type="list" allowBlank="1" showInputMessage="1" showErrorMessage="1" sqref="N7:N15 N17:N705" xr:uid="{00000000-0002-0000-0500-000000000000}">
      <formula1>Onda_Implantacao</formula1>
    </dataValidation>
    <dataValidation type="list" allowBlank="1" showInputMessage="1" showErrorMessage="1" sqref="H7:H15 H17:H705" xr:uid="{00000000-0002-0000-0500-000001000000}">
      <formula1>Afirmativa</formula1>
    </dataValidation>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92"/>
  <sheetViews>
    <sheetView showGridLines="0" zoomScaleNormal="100" workbookViewId="0">
      <selection activeCell="D26" sqref="D26"/>
    </sheetView>
  </sheetViews>
  <sheetFormatPr defaultColWidth="51.7265625" defaultRowHeight="14.5"/>
  <cols>
    <col min="1" max="1" width="8.81640625" style="198" customWidth="1"/>
    <col min="2" max="2" width="109.81640625" customWidth="1"/>
    <col min="3" max="3" width="9.81640625" customWidth="1"/>
    <col min="4" max="4" width="20.81640625" customWidth="1"/>
    <col min="5" max="5" width="19" customWidth="1"/>
    <col min="6" max="6" width="19.453125" customWidth="1"/>
    <col min="7" max="7" width="22.453125" customWidth="1"/>
    <col min="8" max="8" width="46.1796875" customWidth="1"/>
    <col min="9" max="9" width="23" customWidth="1"/>
    <col min="10" max="10" width="32.7265625" customWidth="1"/>
    <col min="11" max="11" width="30.453125" customWidth="1"/>
    <col min="12" max="12" width="5.54296875" style="191" customWidth="1"/>
  </cols>
  <sheetData>
    <row r="1" spans="1:12" ht="18.75" customHeight="1">
      <c r="A1" s="198">
        <v>2</v>
      </c>
      <c r="B1" s="552" t="str">
        <f>HLOOKUP('General Information'!$C$6,'IDIOMA (hide)'!$A$1:$D$5016,A1,0)</f>
        <v>LTEP - Levantamento Técnico de Estimativa de Projeto TASY EMR
Código do documento: 0060 - Rev 024</v>
      </c>
      <c r="C1" s="552"/>
      <c r="D1" s="552"/>
      <c r="E1" s="552"/>
      <c r="F1" s="552"/>
      <c r="G1" s="552"/>
      <c r="H1" s="552"/>
      <c r="I1" s="552"/>
      <c r="J1" s="552"/>
      <c r="K1" s="321"/>
    </row>
    <row r="2" spans="1:12" ht="18.75" customHeight="1">
      <c r="B2" s="552"/>
      <c r="C2" s="552"/>
      <c r="D2" s="552"/>
      <c r="E2" s="552"/>
      <c r="F2" s="552"/>
      <c r="G2" s="552"/>
      <c r="H2" s="552"/>
      <c r="I2" s="552"/>
      <c r="J2" s="552"/>
      <c r="K2" s="321"/>
    </row>
    <row r="3" spans="1:12" ht="21.5" thickBot="1">
      <c r="A3" s="198">
        <v>225</v>
      </c>
      <c r="B3" s="108" t="str">
        <f>HLOOKUP('General Information'!$C$6,'IDIOMA (hide)'!$A$1:$D$5016,A3,0)</f>
        <v>Detalhamento de Integrações</v>
      </c>
      <c r="C3" s="108"/>
      <c r="D3" s="108"/>
      <c r="E3" s="108"/>
      <c r="F3" s="108"/>
      <c r="G3" s="108"/>
      <c r="H3" s="108"/>
      <c r="I3" s="108"/>
      <c r="J3" s="108"/>
      <c r="K3" s="108"/>
    </row>
    <row r="4" spans="1:12" ht="9.65" customHeight="1">
      <c r="B4" s="257"/>
      <c r="C4" s="257"/>
      <c r="D4" s="257"/>
      <c r="E4" s="257"/>
      <c r="F4" s="257"/>
      <c r="G4" s="257"/>
      <c r="H4" s="257"/>
    </row>
    <row r="5" spans="1:12" ht="63" customHeight="1">
      <c r="A5" s="198">
        <v>358</v>
      </c>
      <c r="B5" s="629" t="str">
        <f>HLOOKUP('General Information'!$C$6,'IDIOMA (hide)'!$A$1:$D$5016,A5,0)</f>
        <v xml:space="preserve">*Favor realizar a abertura de OS ao time de Pré-Vendas solicitando orçamento para horas das integrações.
**Em caso de oferta Java, HTML5 ou Cloud HTML5 não há possibilidade de integrações via banco de dados. </v>
      </c>
      <c r="C5" s="629"/>
      <c r="D5" s="629"/>
      <c r="E5" s="629"/>
      <c r="F5" s="257"/>
      <c r="G5" s="257"/>
      <c r="H5" s="257"/>
    </row>
    <row r="6" spans="1:12" ht="8.5" customHeight="1">
      <c r="B6" s="198">
        <v>228</v>
      </c>
      <c r="C6" s="198">
        <v>229</v>
      </c>
      <c r="D6" s="198">
        <v>230</v>
      </c>
      <c r="E6" s="198">
        <v>231</v>
      </c>
      <c r="F6" s="198">
        <v>232</v>
      </c>
      <c r="G6" s="198">
        <v>233</v>
      </c>
      <c r="H6" s="198">
        <v>225</v>
      </c>
      <c r="I6" s="198">
        <v>234</v>
      </c>
      <c r="J6" s="198">
        <v>235</v>
      </c>
      <c r="K6" s="198"/>
    </row>
    <row r="7" spans="1:12">
      <c r="B7" s="623" t="str">
        <f>HLOOKUP('General Information'!$C$6,'IDIOMA (hide)'!$A$1:$D$5016,L7,0)</f>
        <v>Responsável: Vendedor</v>
      </c>
      <c r="C7" s="623"/>
      <c r="D7" s="623"/>
      <c r="E7" s="623"/>
      <c r="F7" s="623"/>
      <c r="G7" s="623"/>
      <c r="H7" s="623"/>
      <c r="I7" s="623"/>
      <c r="J7" s="627" t="str">
        <f>HLOOKUP('General Information'!$C$6,'IDIOMA (hide)'!$A$1:$D$5016,L8,0)</f>
        <v>Responsável: R&amp;D</v>
      </c>
      <c r="K7" s="628"/>
      <c r="L7" s="198">
        <v>226</v>
      </c>
    </row>
    <row r="8" spans="1:12" ht="19.899999999999999" customHeight="1">
      <c r="A8" s="198">
        <v>236</v>
      </c>
      <c r="B8" s="322" t="str">
        <f>HLOOKUP('General Information'!$C$6,'IDIOMA (hide)'!$A$1:$D$5016,B6,0)</f>
        <v>Integrações</v>
      </c>
      <c r="C8" s="322" t="str">
        <f>HLOOKUP('General Information'!$C$6,'IDIOMA (hide)'!$A$1:$D$5016,C6,0)</f>
        <v>Em Uso?</v>
      </c>
      <c r="D8" s="322" t="str">
        <f>HLOOKUP('General Information'!$C$6,'IDIOMA (hide)'!$A$1:$D$5016,D6,0)</f>
        <v>Nome do Software</v>
      </c>
      <c r="E8" s="322" t="str">
        <f>HLOOKUP('General Information'!$C$6,'IDIOMA (hide)'!$A$1:$D$5016,E6,0)</f>
        <v>Fabricante</v>
      </c>
      <c r="F8" s="322" t="str">
        <f>HLOOKUP('General Information'!$C$6,'IDIOMA (hide)'!$A$1:$D$5016,F6,0)</f>
        <v>Direção da Info.</v>
      </c>
      <c r="G8" s="322" t="str">
        <f>HLOOKUP('General Information'!$C$6,'IDIOMA (hide)'!$A$1:$D$5016,G6,0)</f>
        <v>Forma Comunicação</v>
      </c>
      <c r="H8" s="322" t="str">
        <f>HLOOKUP('General Information'!$C$6,'IDIOMA (hide)'!$A$1:$D$5016,H6,0)</f>
        <v>Detalhamento de Integrações</v>
      </c>
      <c r="I8" s="322" t="str">
        <f>HLOOKUP('General Information'!$C$6,'IDIOMA (hide)'!$A$1:$D$5016,I6,0)</f>
        <v>Ordem Serviço R&amp;D</v>
      </c>
      <c r="J8" s="322" t="str">
        <f>HLOOKUP('General Information'!$C$6,'IDIOMA (hide)'!$A$1:$D$5016,J6,0)</f>
        <v>Estimativa Desenvolvimento R&amp;D</v>
      </c>
      <c r="K8" s="322" t="str">
        <f>HLOOKUP('General Information'!$C$6,'IDIOMA (hide)'!$A$1:$D$5016,L14,0)</f>
        <v>Horas de Consultoria</v>
      </c>
      <c r="L8" s="198">
        <v>227</v>
      </c>
    </row>
    <row r="9" spans="1:12" ht="12.65" customHeight="1">
      <c r="B9" s="277"/>
      <c r="C9" s="277"/>
      <c r="D9" s="277"/>
      <c r="E9" s="277"/>
      <c r="F9" s="277"/>
      <c r="G9" s="277"/>
      <c r="H9" s="277"/>
      <c r="I9" s="277"/>
      <c r="J9" s="277"/>
      <c r="K9" s="277"/>
      <c r="L9" s="198"/>
    </row>
    <row r="10" spans="1:12" ht="16.899999999999999" customHeight="1">
      <c r="A10" s="198">
        <v>238</v>
      </c>
      <c r="B10" s="624" t="str">
        <f>HLOOKUP('General Information'!$C$6,'IDIOMA (hide)'!$A$1:$D$5016,L10,0)</f>
        <v>Agendamento</v>
      </c>
      <c r="C10" s="625"/>
      <c r="D10" s="625"/>
      <c r="E10" s="625"/>
      <c r="F10" s="625"/>
      <c r="G10" s="625"/>
      <c r="H10" s="625"/>
      <c r="I10" s="625"/>
      <c r="J10" s="625"/>
      <c r="K10" s="626"/>
      <c r="L10" s="198">
        <v>237</v>
      </c>
    </row>
    <row r="11" spans="1:12" ht="48" customHeight="1">
      <c r="A11" s="392" t="str">
        <f>HLOOKUP('General Information'!$C$6,'IDIOMA (hide)'!$A$1:$D$5016,A8,0)</f>
        <v>Exemplo:</v>
      </c>
      <c r="B11" s="278" t="str">
        <f>HLOOKUP('General Information'!$C$6,'IDIOMA (hide)'!$A$1:$D$5016,A10,0)</f>
        <v>*Envio de SMS (Confirmação da agenda e informações gerais)</v>
      </c>
      <c r="C11" s="343" t="str">
        <f>HLOOKUP('General Information'!$C$6,'IDIOMA (hide)'!$A$1:$D$5016,L13,0)</f>
        <v>Yes/No</v>
      </c>
      <c r="D11" s="343" t="s">
        <v>2140</v>
      </c>
      <c r="E11" s="343" t="s">
        <v>2141</v>
      </c>
      <c r="F11" s="343" t="s">
        <v>2133</v>
      </c>
      <c r="G11" s="343" t="s">
        <v>2134</v>
      </c>
      <c r="H11" s="343" t="str">
        <f>HLOOKUP('General Information'!$C$6,'IDIOMA (hide)'!$A$1:$D$5016,L11,0)</f>
        <v>Tasy envia para o sistema de SMS os dados do agendamento e do paciente e o sistema de SMS envia o SMS ao paciente.</v>
      </c>
      <c r="I11" s="343" t="s">
        <v>2974</v>
      </c>
      <c r="J11" s="343" t="s">
        <v>2974</v>
      </c>
      <c r="K11" s="343" t="s">
        <v>2974</v>
      </c>
      <c r="L11" s="198">
        <v>271</v>
      </c>
    </row>
    <row r="12" spans="1:12" ht="10.9" customHeight="1">
      <c r="A12" s="392"/>
      <c r="B12" s="279"/>
      <c r="C12" s="344"/>
      <c r="D12" s="344"/>
      <c r="E12" s="344"/>
      <c r="F12" s="344"/>
      <c r="G12" s="344"/>
      <c r="H12" s="344"/>
      <c r="I12" s="344"/>
      <c r="J12" s="344"/>
      <c r="K12" s="344"/>
      <c r="L12" s="198"/>
    </row>
    <row r="13" spans="1:12" ht="16.149999999999999" customHeight="1">
      <c r="A13" s="198">
        <v>265</v>
      </c>
      <c r="B13" s="622" t="str">
        <f>HLOOKUP('General Information'!$C$6,'IDIOMA (hide)'!$A$1:$D$5016,A13,0)</f>
        <v>Recepção e Internação</v>
      </c>
      <c r="C13" s="622"/>
      <c r="D13" s="622"/>
      <c r="E13" s="622"/>
      <c r="F13" s="622"/>
      <c r="G13" s="622"/>
      <c r="H13" s="622"/>
      <c r="I13" s="622"/>
      <c r="J13" s="622"/>
      <c r="K13" s="622"/>
      <c r="L13" s="198">
        <v>263</v>
      </c>
    </row>
    <row r="14" spans="1:12" ht="16.149999999999999" customHeight="1">
      <c r="A14" s="198">
        <v>239</v>
      </c>
      <c r="B14" s="278" t="str">
        <f>HLOOKUP('General Information'!$C$6,'IDIOMA (hide)'!$A$1:$D$5016,A14,0)</f>
        <v>*Elegibilidade (Consultar elegibilidade do paciente no sistema da operadora)</v>
      </c>
      <c r="C14" s="280"/>
      <c r="D14" s="280"/>
      <c r="E14" s="280"/>
      <c r="F14" s="280"/>
      <c r="G14" s="280"/>
      <c r="H14" s="280"/>
      <c r="I14" s="280"/>
      <c r="J14" s="280"/>
      <c r="K14" s="280"/>
      <c r="L14" s="198">
        <v>357</v>
      </c>
    </row>
    <row r="15" spans="1:12" s="383" customFormat="1" ht="16.149999999999999" customHeight="1">
      <c r="A15" s="198">
        <v>449</v>
      </c>
      <c r="B15" s="278" t="str">
        <f>HLOOKUP('General Information'!$C$6,'IDIOMA (hide)'!$A$1:$D$5016,A15,0)</f>
        <v>* Integração com CRM para registro de contratos</v>
      </c>
      <c r="C15" s="280"/>
      <c r="D15" s="280"/>
      <c r="E15" s="280"/>
      <c r="F15" s="280"/>
      <c r="G15" s="280"/>
      <c r="H15" s="280"/>
      <c r="I15" s="280"/>
      <c r="J15" s="280"/>
      <c r="K15" s="280"/>
      <c r="L15" s="382"/>
    </row>
    <row r="16" spans="1:12" s="383" customFormat="1" ht="16.149999999999999" customHeight="1">
      <c r="A16" s="198">
        <v>450</v>
      </c>
      <c r="B16" s="278" t="str">
        <f>HLOOKUP('General Information'!$C$6,'IDIOMA (hide)'!$A$1:$D$5016,A16,0)</f>
        <v>* Criação de pacotes de pré-vendas (CRM de terceiros - por exemplo, Siebel)</v>
      </c>
      <c r="C16" s="280"/>
      <c r="D16" s="280"/>
      <c r="E16" s="280"/>
      <c r="F16" s="280"/>
      <c r="G16" s="280"/>
      <c r="H16" s="280"/>
      <c r="I16" s="280"/>
      <c r="J16" s="280"/>
      <c r="K16" s="280"/>
      <c r="L16" s="382"/>
    </row>
    <row r="17" spans="1:12" ht="16.149999999999999" customHeight="1">
      <c r="A17" s="198">
        <v>240</v>
      </c>
      <c r="B17" s="278" t="str">
        <f>HLOOKUP('General Information'!$C$6,'IDIOMA (hide)'!$A$1:$D$5016,A17,0)</f>
        <v>*Cadastro de pessoas (Sistema de RH, legado, sistema de OPS, etc.)</v>
      </c>
      <c r="C17" s="280"/>
      <c r="D17" s="280"/>
      <c r="E17" s="280"/>
      <c r="F17" s="280"/>
      <c r="G17" s="280"/>
      <c r="H17" s="280"/>
      <c r="I17" s="280"/>
      <c r="J17" s="280"/>
      <c r="K17" s="280"/>
    </row>
    <row r="18" spans="1:12" s="383" customFormat="1">
      <c r="A18" s="198">
        <v>265</v>
      </c>
      <c r="B18" s="622" t="s">
        <v>3475</v>
      </c>
      <c r="C18" s="622"/>
      <c r="D18" s="622"/>
      <c r="E18" s="622"/>
      <c r="F18" s="622"/>
      <c r="G18" s="622"/>
      <c r="H18" s="622"/>
      <c r="I18" s="622"/>
      <c r="J18" s="622"/>
      <c r="K18" s="622"/>
      <c r="L18" s="382">
        <v>263</v>
      </c>
    </row>
    <row r="19" spans="1:12" s="383" customFormat="1" ht="16.149999999999999" customHeight="1">
      <c r="A19" s="198">
        <v>469</v>
      </c>
      <c r="B19" s="278" t="str">
        <f>HLOOKUP('General Information'!$C$6,'IDIOMA (hide)'!$A$1:$D$5016,A19,0)</f>
        <v>* Envio de SMS (confirmação de agendas)</v>
      </c>
      <c r="C19" s="280"/>
      <c r="D19" s="280"/>
      <c r="E19" s="280"/>
      <c r="F19" s="280"/>
      <c r="G19" s="280"/>
      <c r="H19" s="280"/>
      <c r="I19" s="280"/>
      <c r="J19" s="280"/>
      <c r="K19" s="280"/>
      <c r="L19" s="382">
        <v>357</v>
      </c>
    </row>
    <row r="20" spans="1:12" s="383" customFormat="1" ht="16.149999999999999" customHeight="1">
      <c r="A20" s="198">
        <v>470</v>
      </c>
      <c r="B20" s="278" t="str">
        <f>HLOOKUP('General Information'!$C$6,'IDIOMA (hide)'!$A$1:$D$5016,A20,0)</f>
        <v>  * RIS (Sistema de Informação Radiológica)</v>
      </c>
      <c r="C20" s="280"/>
      <c r="D20" s="280"/>
      <c r="E20" s="280"/>
      <c r="F20" s="280"/>
      <c r="G20" s="280"/>
      <c r="H20" s="280"/>
      <c r="I20" s="280"/>
      <c r="J20" s="280"/>
      <c r="K20" s="280"/>
      <c r="L20" s="382"/>
    </row>
    <row r="21" spans="1:12" ht="10.9" customHeight="1">
      <c r="B21" s="279"/>
      <c r="C21" s="345"/>
      <c r="D21" s="346"/>
      <c r="E21" s="346"/>
      <c r="F21" s="346"/>
      <c r="G21" s="346"/>
      <c r="H21" s="346"/>
      <c r="I21" s="346"/>
      <c r="J21" s="347"/>
      <c r="K21" s="344"/>
    </row>
    <row r="22" spans="1:12" ht="16.149999999999999" customHeight="1">
      <c r="A22" s="198">
        <v>205</v>
      </c>
      <c r="B22" s="622" t="str">
        <f>HLOOKUP('General Information'!$C$6,'IDIOMA (hide)'!$A$1:$D$5016,A22,0)</f>
        <v>Assistencial</v>
      </c>
      <c r="C22" s="622"/>
      <c r="D22" s="622"/>
      <c r="E22" s="622"/>
      <c r="F22" s="622"/>
      <c r="G22" s="622"/>
      <c r="H22" s="622"/>
      <c r="I22" s="622"/>
      <c r="J22" s="622"/>
      <c r="K22" s="622"/>
    </row>
    <row r="23" spans="1:12" ht="16.149999999999999" customHeight="1">
      <c r="A23" s="198">
        <v>241</v>
      </c>
      <c r="B23" s="278" t="str">
        <f>HLOOKUP('General Information'!$C$6,'IDIOMA (hide)'!$A$1:$D$5016,A23,0)</f>
        <v>*Equipamento de monitorização de sinais vitais</v>
      </c>
      <c r="C23" s="280"/>
      <c r="D23" s="280"/>
      <c r="E23" s="280"/>
      <c r="F23" s="280"/>
      <c r="G23" s="280"/>
      <c r="H23" s="280"/>
      <c r="I23" s="280"/>
      <c r="J23" s="280"/>
      <c r="K23" s="280"/>
    </row>
    <row r="24" spans="1:12" ht="16.149999999999999" customHeight="1">
      <c r="A24" s="198">
        <v>242</v>
      </c>
      <c r="B24" s="278" t="str">
        <f>HLOOKUP('General Information'!$C$6,'IDIOMA (hide)'!$A$1:$D$5016,A24,0)</f>
        <v>*Banco de dados de medicamentos (Consulta de interação medicamentosa Ex. Micromedex e Lexicomp)</v>
      </c>
      <c r="C24" s="280"/>
      <c r="D24" s="280"/>
      <c r="E24" s="280"/>
      <c r="F24" s="280"/>
      <c r="G24" s="280"/>
      <c r="H24" s="280"/>
      <c r="I24" s="280"/>
      <c r="J24" s="280"/>
      <c r="K24" s="280"/>
    </row>
    <row r="25" spans="1:12" ht="16.149999999999999" customHeight="1">
      <c r="A25" s="198">
        <v>243</v>
      </c>
      <c r="B25" s="278" t="str">
        <f>HLOOKUP('General Information'!$C$6,'IDIOMA (hide)'!$A$1:$D$5016,A25,0)</f>
        <v>*Laudos de radiologia (sistema terceiro para o PEP - Prontuário Eletrônico do Paciente)</v>
      </c>
      <c r="C25" s="280"/>
      <c r="D25" s="280"/>
      <c r="E25" s="280"/>
      <c r="F25" s="280"/>
      <c r="G25" s="280"/>
      <c r="H25" s="280"/>
      <c r="I25" s="280"/>
      <c r="J25" s="280"/>
      <c r="K25" s="280"/>
    </row>
    <row r="26" spans="1:12" ht="16.149999999999999" customHeight="1">
      <c r="A26" s="198">
        <v>244</v>
      </c>
      <c r="B26" s="278" t="str">
        <f>HLOOKUP('General Information'!$C$6,'IDIOMA (hide)'!$A$1:$D$5016,A26,0)</f>
        <v>*PACS (Sistema de armazenamento e distribuição de imagens de exames radiológicos)</v>
      </c>
      <c r="C26" s="280"/>
      <c r="D26" s="280"/>
      <c r="E26" s="280"/>
      <c r="F26" s="280"/>
      <c r="G26" s="280"/>
      <c r="H26" s="280"/>
      <c r="I26" s="280"/>
      <c r="J26" s="280"/>
      <c r="K26" s="280"/>
    </row>
    <row r="27" spans="1:12" ht="16.149999999999999" customHeight="1">
      <c r="A27" s="198">
        <v>245</v>
      </c>
      <c r="B27" s="278" t="str">
        <f>HLOOKUP('General Information'!$C$6,'IDIOMA (hide)'!$A$1:$D$5016,A27,0)</f>
        <v>*Laudos de análises clínicas (importar resultados de laboratório de sistema terceiro)</v>
      </c>
      <c r="C27" s="280"/>
      <c r="D27" s="280"/>
      <c r="E27" s="280"/>
      <c r="F27" s="280"/>
      <c r="G27" s="280"/>
      <c r="H27" s="280"/>
      <c r="I27" s="280"/>
      <c r="J27" s="280"/>
      <c r="K27" s="280"/>
    </row>
    <row r="28" spans="1:12" s="383" customFormat="1" ht="16.149999999999999" customHeight="1">
      <c r="A28" s="198">
        <v>455</v>
      </c>
      <c r="B28" s="278" t="str">
        <f>HLOOKUP('General Information'!$C$6,'IDIOMA (hide)'!$A$1:$D$5016,A28,0)</f>
        <v>* Prêmios de anatomia patológica (prêmios de importação de um sistema de terceiros)</v>
      </c>
      <c r="C28" s="280"/>
      <c r="D28" s="280"/>
      <c r="E28" s="280"/>
      <c r="F28" s="280"/>
      <c r="G28" s="280"/>
      <c r="H28" s="280"/>
      <c r="I28" s="280"/>
      <c r="J28" s="280"/>
      <c r="K28" s="280"/>
      <c r="L28" s="384"/>
    </row>
    <row r="29" spans="1:12" ht="10.9" customHeight="1">
      <c r="B29" s="279"/>
      <c r="C29" s="345"/>
      <c r="D29" s="345"/>
      <c r="E29" s="345"/>
      <c r="F29" s="345"/>
      <c r="G29" s="345"/>
      <c r="H29" s="345"/>
      <c r="I29" s="345"/>
      <c r="J29" s="344"/>
      <c r="K29" s="344"/>
    </row>
    <row r="30" spans="1:12" ht="16.149999999999999" customHeight="1">
      <c r="A30" s="198">
        <v>264</v>
      </c>
      <c r="B30" s="622" t="str">
        <f>HLOOKUP('General Information'!$C$6,'IDIOMA (hide)'!$A$1:$D$5016,A30,0)</f>
        <v>Laboratorio</v>
      </c>
      <c r="C30" s="622"/>
      <c r="D30" s="622"/>
      <c r="E30" s="622"/>
      <c r="F30" s="622"/>
      <c r="G30" s="622"/>
      <c r="H30" s="622"/>
      <c r="I30" s="622"/>
      <c r="J30" s="622"/>
      <c r="K30" s="622"/>
    </row>
    <row r="31" spans="1:12" ht="16.149999999999999" customHeight="1">
      <c r="A31" s="198">
        <v>246</v>
      </c>
      <c r="B31" s="278" t="str">
        <f>HLOOKUP('General Information'!$C$6,'IDIOMA (hide)'!$A$1:$D$5016,A31,0)</f>
        <v>*Sistema de Interfaceamento (que se comunica com as máquinas de análise)</v>
      </c>
      <c r="C31" s="280"/>
      <c r="D31" s="280"/>
      <c r="E31" s="280"/>
      <c r="F31" s="280"/>
      <c r="G31" s="280"/>
      <c r="H31" s="280"/>
      <c r="I31" s="280"/>
      <c r="J31" s="280"/>
      <c r="K31" s="280"/>
    </row>
    <row r="32" spans="1:12" ht="16.149999999999999" customHeight="1">
      <c r="A32" s="198">
        <v>247</v>
      </c>
      <c r="B32" s="278" t="str">
        <f>HLOOKUP('General Information'!$C$6,'IDIOMA (hide)'!$A$1:$D$5016,A32,0)</f>
        <v>*Laboratório Externo (envio de exames a laboratórios de apoio)</v>
      </c>
      <c r="C32" s="280"/>
      <c r="D32" s="280"/>
      <c r="E32" s="280"/>
      <c r="F32" s="280"/>
      <c r="G32" s="280"/>
      <c r="H32" s="280"/>
      <c r="I32" s="280"/>
      <c r="J32" s="280"/>
      <c r="K32" s="280"/>
    </row>
    <row r="33" spans="1:12" ht="16.149999999999999" customHeight="1">
      <c r="A33" s="198">
        <v>248</v>
      </c>
      <c r="B33" s="278" t="str">
        <f>HLOOKUP('General Information'!$C$6,'IDIOMA (hide)'!$A$1:$D$5016,A33,0)</f>
        <v>*HIS Terceiro (Envio do resultado para outro sistema)</v>
      </c>
      <c r="C33" s="280"/>
      <c r="D33" s="280"/>
      <c r="E33" s="280"/>
      <c r="F33" s="280"/>
      <c r="G33" s="280"/>
      <c r="H33" s="280"/>
      <c r="I33" s="280"/>
      <c r="J33" s="280"/>
      <c r="K33" s="280"/>
    </row>
    <row r="34" spans="1:12" ht="10.9" customHeight="1">
      <c r="B34" s="279"/>
      <c r="C34" s="345"/>
      <c r="D34" s="345"/>
      <c r="E34" s="345"/>
      <c r="F34" s="345"/>
      <c r="G34" s="345"/>
      <c r="H34" s="345"/>
      <c r="I34" s="345"/>
      <c r="J34" s="344"/>
      <c r="K34" s="344"/>
    </row>
    <row r="35" spans="1:12" ht="16.149999999999999" customHeight="1">
      <c r="A35" s="198">
        <v>266</v>
      </c>
      <c r="B35" s="622" t="str">
        <f>HLOOKUP('General Information'!$C$6,'IDIOMA (hide)'!$A$1:$D$5016,A35,0)</f>
        <v>Higienização</v>
      </c>
      <c r="C35" s="622"/>
      <c r="D35" s="622"/>
      <c r="E35" s="622"/>
      <c r="F35" s="622"/>
      <c r="G35" s="622"/>
      <c r="H35" s="622"/>
      <c r="I35" s="622"/>
      <c r="J35" s="622"/>
      <c r="K35" s="622"/>
    </row>
    <row r="36" spans="1:12" ht="16.149999999999999" customHeight="1">
      <c r="A36" s="198">
        <v>249</v>
      </c>
      <c r="B36" s="278" t="str">
        <f>HLOOKUP('General Information'!$C$6,'IDIOMA (hide)'!$A$1:$D$5016,A36,0)</f>
        <v>*Central telefônica (registro das informações de higienização)</v>
      </c>
      <c r="C36" s="280"/>
      <c r="D36" s="280"/>
      <c r="E36" s="280"/>
      <c r="F36" s="280"/>
      <c r="G36" s="280"/>
      <c r="H36" s="280"/>
      <c r="I36" s="280"/>
      <c r="J36" s="280"/>
      <c r="K36" s="280"/>
    </row>
    <row r="37" spans="1:12" ht="10.9" customHeight="1">
      <c r="B37" s="279"/>
      <c r="C37" s="345"/>
      <c r="D37" s="345"/>
      <c r="E37" s="345"/>
      <c r="F37" s="345"/>
      <c r="G37" s="345"/>
      <c r="H37" s="345"/>
      <c r="I37" s="345"/>
      <c r="J37" s="344"/>
      <c r="K37" s="344"/>
    </row>
    <row r="38" spans="1:12" ht="16.149999999999999" customHeight="1">
      <c r="A38" s="198">
        <v>267</v>
      </c>
      <c r="B38" s="622" t="str">
        <f>HLOOKUP('General Information'!$C$6,'IDIOMA (hide)'!$A$1:$D$5016,A38,0)</f>
        <v>Compras</v>
      </c>
      <c r="C38" s="622"/>
      <c r="D38" s="622"/>
      <c r="E38" s="622"/>
      <c r="F38" s="622"/>
      <c r="G38" s="622"/>
      <c r="H38" s="622"/>
      <c r="I38" s="622"/>
      <c r="J38" s="622"/>
      <c r="K38" s="622"/>
    </row>
    <row r="39" spans="1:12" ht="16.149999999999999" customHeight="1">
      <c r="A39" s="198">
        <v>250</v>
      </c>
      <c r="B39" s="278" t="str">
        <f>HLOOKUP('General Information'!$C$6,'IDIOMA (hide)'!$A$1:$D$5016,A39,0)</f>
        <v>*Portal de compras (Mercado eletrônico, Bioanexo, Inpart, etc.)</v>
      </c>
      <c r="C39" s="280"/>
      <c r="D39" s="280"/>
      <c r="E39" s="280"/>
      <c r="F39" s="280"/>
      <c r="G39" s="280"/>
      <c r="H39" s="280"/>
      <c r="I39" s="280"/>
      <c r="J39" s="280"/>
      <c r="K39" s="280"/>
    </row>
    <row r="40" spans="1:12" ht="10.9" customHeight="1">
      <c r="B40" s="279"/>
      <c r="C40" s="345"/>
      <c r="D40" s="345"/>
      <c r="E40" s="345"/>
      <c r="F40" s="345"/>
      <c r="G40" s="345"/>
      <c r="H40" s="345"/>
      <c r="I40" s="345"/>
      <c r="J40" s="344"/>
      <c r="K40" s="344"/>
    </row>
    <row r="41" spans="1:12" ht="16.149999999999999" customHeight="1">
      <c r="A41" s="198">
        <v>268</v>
      </c>
      <c r="B41" s="622" t="str">
        <f>HLOOKUP('General Information'!$C$6,'IDIOMA (hide)'!$A$1:$D$5016,A41,0)</f>
        <v>Estoque</v>
      </c>
      <c r="C41" s="622"/>
      <c r="D41" s="622"/>
      <c r="E41" s="622"/>
      <c r="F41" s="622"/>
      <c r="G41" s="622"/>
      <c r="H41" s="622"/>
      <c r="I41" s="622"/>
      <c r="J41" s="622"/>
      <c r="K41" s="622"/>
    </row>
    <row r="42" spans="1:12" ht="16.149999999999999" customHeight="1">
      <c r="A42" s="198">
        <v>251</v>
      </c>
      <c r="B42" s="278" t="str">
        <f>HLOOKUP('General Information'!$C$6,'IDIOMA (hide)'!$A$1:$D$5016,A42,0)</f>
        <v>*Sistema de Estoque terceiro</v>
      </c>
      <c r="C42" s="280"/>
      <c r="D42" s="280"/>
      <c r="E42" s="280"/>
      <c r="F42" s="280"/>
      <c r="G42" s="280"/>
      <c r="H42" s="280"/>
      <c r="I42" s="280"/>
      <c r="J42" s="280"/>
      <c r="K42" s="280"/>
    </row>
    <row r="43" spans="1:12" ht="16.149999999999999" customHeight="1">
      <c r="A43" s="198">
        <v>252</v>
      </c>
      <c r="B43" s="278" t="str">
        <f>HLOOKUP('General Information'!$C$6,'IDIOMA (hide)'!$A$1:$D$5016,A43,0)</f>
        <v>*Dispensário eletrônico de medicamentos</v>
      </c>
      <c r="C43" s="280"/>
      <c r="D43" s="280"/>
      <c r="E43" s="280"/>
      <c r="F43" s="280"/>
      <c r="G43" s="280"/>
      <c r="H43" s="280"/>
      <c r="I43" s="280"/>
      <c r="J43" s="280"/>
      <c r="K43" s="280"/>
    </row>
    <row r="44" spans="1:12" s="383" customFormat="1" ht="16.149999999999999" customHeight="1">
      <c r="A44" s="198">
        <v>456</v>
      </c>
      <c r="B44" s="278" t="str">
        <f>HLOOKUP('General Information'!$C$6,'IDIOMA (hide)'!$A$1:$D$5016,A44,0)</f>
        <v>* Criação de itens (materiais e medicamentos) a partir de um software de terceiros (por exemplo: SAP / Oracle EBS)</v>
      </c>
      <c r="C44" s="280"/>
      <c r="D44" s="280"/>
      <c r="E44" s="280"/>
      <c r="F44" s="280"/>
      <c r="G44" s="280"/>
      <c r="H44" s="280"/>
      <c r="I44" s="280"/>
      <c r="J44" s="280"/>
      <c r="K44" s="280"/>
      <c r="L44" s="384"/>
    </row>
    <row r="45" spans="1:12" s="383" customFormat="1" ht="16.149999999999999" customHeight="1">
      <c r="A45" s="198">
        <v>457</v>
      </c>
      <c r="B45" s="278" t="str">
        <f>HLOOKUP('General Information'!$C$6,'IDIOMA (hide)'!$A$1:$D$5016,A45,0)</f>
        <v>* Importação de XMLs da fatura de compra</v>
      </c>
      <c r="C45" s="280"/>
      <c r="D45" s="280"/>
      <c r="E45" s="280"/>
      <c r="F45" s="280"/>
      <c r="G45" s="280"/>
      <c r="H45" s="280"/>
      <c r="I45" s="280"/>
      <c r="J45" s="280"/>
      <c r="K45" s="280"/>
      <c r="L45" s="384"/>
    </row>
    <row r="46" spans="1:12" ht="10.9" customHeight="1">
      <c r="B46" s="279"/>
      <c r="C46" s="345"/>
      <c r="D46" s="345"/>
      <c r="E46" s="345"/>
      <c r="F46" s="345"/>
      <c r="G46" s="345"/>
      <c r="H46" s="345"/>
      <c r="I46" s="345"/>
      <c r="J46" s="344"/>
      <c r="K46" s="344"/>
    </row>
    <row r="47" spans="1:12" s="383" customFormat="1" ht="16.149999999999999" customHeight="1">
      <c r="A47" s="198">
        <v>268</v>
      </c>
      <c r="B47" s="622" t="s">
        <v>851</v>
      </c>
      <c r="C47" s="622"/>
      <c r="D47" s="622"/>
      <c r="E47" s="622"/>
      <c r="F47" s="622"/>
      <c r="G47" s="622"/>
      <c r="H47" s="622"/>
      <c r="I47" s="622"/>
      <c r="J47" s="622"/>
      <c r="K47" s="622"/>
      <c r="L47" s="384"/>
    </row>
    <row r="48" spans="1:12" s="383" customFormat="1" ht="16.149999999999999" customHeight="1">
      <c r="A48" s="198">
        <v>472</v>
      </c>
      <c r="B48" s="278" t="str">
        <f>HLOOKUP('General Information'!$C$6,'IDIOMA (hide)'!$A$1:$D$5016,A48,0)</f>
        <v>* Integração do selo SAT (carimbo da fatura, complementos de cancelamento e pagamento)</v>
      </c>
      <c r="C48" s="280"/>
      <c r="D48" s="280"/>
      <c r="E48" s="280"/>
      <c r="F48" s="280"/>
      <c r="G48" s="280"/>
      <c r="H48" s="280"/>
      <c r="I48" s="280"/>
      <c r="J48" s="280"/>
      <c r="K48" s="280"/>
      <c r="L48" s="384"/>
    </row>
    <row r="49" spans="1:12" s="383" customFormat="1" ht="16.149999999999999" customHeight="1">
      <c r="A49" s="198">
        <v>459</v>
      </c>
      <c r="B49" s="278" t="str">
        <f>HLOOKUP('General Information'!$C$6,'IDIOMA (hide)'!$A$1:$D$5016,A49,0)</f>
        <v>* Interfaces de remessa para seguradoras - Censos e extratos de conta</v>
      </c>
      <c r="C49" s="280"/>
      <c r="D49" s="280"/>
      <c r="E49" s="280"/>
      <c r="F49" s="280"/>
      <c r="G49" s="280"/>
      <c r="H49" s="280"/>
      <c r="I49" s="280"/>
      <c r="J49" s="280"/>
      <c r="K49" s="280"/>
      <c r="L49" s="384"/>
    </row>
    <row r="50" spans="1:12" s="383" customFormat="1" ht="16.149999999999999" customHeight="1">
      <c r="A50" s="198">
        <v>460</v>
      </c>
      <c r="B50" s="278" t="str">
        <f>HLOOKUP('General Information'!$C$6,'IDIOMA (hide)'!$A$1:$D$5016,A50,0)</f>
        <v>* Envio de cobranças da conta do paciente para software de terceiros (por exemplo, SAP)</v>
      </c>
      <c r="C50" s="280"/>
      <c r="D50" s="280"/>
      <c r="E50" s="280"/>
      <c r="F50" s="280"/>
      <c r="G50" s="280"/>
      <c r="H50" s="280"/>
      <c r="I50" s="280"/>
      <c r="J50" s="280"/>
      <c r="K50" s="280"/>
      <c r="L50" s="384"/>
    </row>
    <row r="51" spans="1:12" s="383" customFormat="1" ht="16.149999999999999" customHeight="1">
      <c r="A51" s="198"/>
      <c r="B51" s="278"/>
      <c r="C51" s="280"/>
      <c r="D51" s="280"/>
      <c r="E51" s="280"/>
      <c r="F51" s="280"/>
      <c r="G51" s="280"/>
      <c r="H51" s="280"/>
      <c r="I51" s="280"/>
      <c r="J51" s="280"/>
      <c r="K51" s="280"/>
      <c r="L51" s="384"/>
    </row>
    <row r="52" spans="1:12" ht="16.149999999999999" customHeight="1">
      <c r="A52" s="198">
        <v>211</v>
      </c>
      <c r="B52" s="622" t="str">
        <f>HLOOKUP('General Information'!$C$6,'IDIOMA (hide)'!$A$1:$D$5016,A52,0)</f>
        <v>Financeiro</v>
      </c>
      <c r="C52" s="622"/>
      <c r="D52" s="622"/>
      <c r="E52" s="622"/>
      <c r="F52" s="622"/>
      <c r="G52" s="622"/>
      <c r="H52" s="622"/>
      <c r="I52" s="622"/>
      <c r="J52" s="622"/>
      <c r="K52" s="622"/>
    </row>
    <row r="53" spans="1:12" ht="16.149999999999999" customHeight="1">
      <c r="A53" s="198">
        <v>253</v>
      </c>
      <c r="B53" s="278" t="str">
        <f>HLOOKUP('General Information'!$C$6,'IDIOMA (hide)'!$A$1:$D$5016,A53,0)</f>
        <v>*Contas a pagar</v>
      </c>
      <c r="C53" s="280"/>
      <c r="D53" s="280"/>
      <c r="E53" s="280"/>
      <c r="F53" s="280"/>
      <c r="G53" s="280"/>
      <c r="H53" s="280"/>
      <c r="I53" s="280"/>
      <c r="J53" s="280"/>
      <c r="K53" s="280"/>
    </row>
    <row r="54" spans="1:12" ht="16.149999999999999" customHeight="1">
      <c r="A54" s="198">
        <v>254</v>
      </c>
      <c r="B54" s="278" t="str">
        <f>HLOOKUP('General Information'!$C$6,'IDIOMA (hide)'!$A$1:$D$5016,A54,0)</f>
        <v>*Contas a receber</v>
      </c>
      <c r="C54" s="280"/>
      <c r="D54" s="280"/>
      <c r="E54" s="280"/>
      <c r="F54" s="280"/>
      <c r="G54" s="280"/>
      <c r="H54" s="280"/>
      <c r="I54" s="280"/>
      <c r="J54" s="280"/>
      <c r="K54" s="280"/>
    </row>
    <row r="55" spans="1:12" ht="16.149999999999999" customHeight="1">
      <c r="A55" s="198">
        <v>255</v>
      </c>
      <c r="B55" s="278" t="str">
        <f>HLOOKUP('General Information'!$C$6,'IDIOMA (hide)'!$A$1:$D$5016,A55,0)</f>
        <v>*Sistema de RH (lote contábil)</v>
      </c>
      <c r="C55" s="280"/>
      <c r="D55" s="280"/>
      <c r="E55" s="280"/>
      <c r="F55" s="280"/>
      <c r="G55" s="280"/>
      <c r="H55" s="280"/>
      <c r="I55" s="280"/>
      <c r="J55" s="280"/>
      <c r="K55" s="280"/>
    </row>
    <row r="56" spans="1:12" ht="16.149999999999999" customHeight="1">
      <c r="A56" s="198">
        <v>256</v>
      </c>
      <c r="B56" s="278" t="str">
        <f>HLOOKUP('General Information'!$C$6,'IDIOMA (hide)'!$A$1:$D$5016,A56,0)</f>
        <v>*Pagamento escritural</v>
      </c>
      <c r="C56" s="280"/>
      <c r="D56" s="280"/>
      <c r="E56" s="280"/>
      <c r="F56" s="280"/>
      <c r="G56" s="280"/>
      <c r="H56" s="280"/>
      <c r="I56" s="280"/>
      <c r="J56" s="280"/>
      <c r="K56" s="280"/>
    </row>
    <row r="57" spans="1:12" ht="16.149999999999999" customHeight="1">
      <c r="A57" s="198">
        <v>257</v>
      </c>
      <c r="B57" s="278" t="str">
        <f>HLOOKUP('General Information'!$C$6,'IDIOMA (hide)'!$A$1:$D$5016,A57,0)</f>
        <v>*Importação de extrato bancário</v>
      </c>
      <c r="C57" s="280"/>
      <c r="D57" s="280"/>
      <c r="E57" s="280"/>
      <c r="F57" s="280"/>
      <c r="G57" s="280"/>
      <c r="H57" s="280"/>
      <c r="I57" s="280"/>
      <c r="J57" s="280"/>
      <c r="K57" s="280"/>
    </row>
    <row r="58" spans="1:12" ht="16.149999999999999" customHeight="1">
      <c r="A58" s="198">
        <v>258</v>
      </c>
      <c r="B58" s="278" t="str">
        <f>HLOOKUP('General Information'!$C$6,'IDIOMA (hide)'!$A$1:$D$5016,A58,0)</f>
        <v>*Importação do extrato do cartão de crédito</v>
      </c>
      <c r="C58" s="280"/>
      <c r="D58" s="280"/>
      <c r="E58" s="280"/>
      <c r="F58" s="280"/>
      <c r="G58" s="280"/>
      <c r="H58" s="280"/>
      <c r="I58" s="280"/>
      <c r="J58" s="280"/>
      <c r="K58" s="280"/>
    </row>
    <row r="59" spans="1:12" ht="16.149999999999999" customHeight="1">
      <c r="A59" s="198">
        <v>259</v>
      </c>
      <c r="B59" s="278" t="str">
        <f>HLOOKUP('General Information'!$C$6,'IDIOMA (hide)'!$A$1:$D$5016,A59,0)</f>
        <v>*SITEF - Recebimento de cartões de crédito</v>
      </c>
      <c r="C59" s="280"/>
      <c r="D59" s="280"/>
      <c r="E59" s="280"/>
      <c r="F59" s="280"/>
      <c r="G59" s="280"/>
      <c r="H59" s="280"/>
      <c r="I59" s="280"/>
      <c r="J59" s="280"/>
      <c r="K59" s="280"/>
    </row>
    <row r="60" spans="1:12" ht="10.9" customHeight="1">
      <c r="B60" s="279"/>
      <c r="C60" s="345"/>
      <c r="D60" s="345"/>
      <c r="E60" s="345"/>
      <c r="F60" s="345"/>
      <c r="G60" s="345"/>
      <c r="H60" s="345"/>
      <c r="I60" s="345"/>
      <c r="J60" s="344"/>
      <c r="K60" s="344"/>
    </row>
    <row r="61" spans="1:12" ht="16.149999999999999" customHeight="1">
      <c r="A61" s="198">
        <v>269</v>
      </c>
      <c r="B61" s="622" t="str">
        <f>HLOOKUP('General Information'!$C$6,'IDIOMA (hide)'!$A$1:$D$5016,A61,0)</f>
        <v>Retorno de convênio</v>
      </c>
      <c r="C61" s="622"/>
      <c r="D61" s="622"/>
      <c r="E61" s="622"/>
      <c r="F61" s="622"/>
      <c r="G61" s="622"/>
      <c r="H61" s="622"/>
      <c r="I61" s="622"/>
      <c r="J61" s="622"/>
      <c r="K61" s="622"/>
    </row>
    <row r="62" spans="1:12" ht="16.149999999999999" customHeight="1">
      <c r="A62" s="198">
        <v>260</v>
      </c>
      <c r="B62" s="278" t="str">
        <f>HLOOKUP('General Information'!$C$6,'IDIOMA (hide)'!$A$1:$D$5016,A62,0)</f>
        <v>*Importação de demonstrativo de pagamento fora do padrão TISS (Troca de Informações na Saúde Suplementar)</v>
      </c>
      <c r="C62" s="280"/>
      <c r="D62" s="280"/>
      <c r="E62" s="280"/>
      <c r="F62" s="280"/>
      <c r="G62" s="280"/>
      <c r="H62" s="280"/>
      <c r="I62" s="280"/>
      <c r="J62" s="280"/>
      <c r="K62" s="280"/>
    </row>
    <row r="63" spans="1:12" ht="10.9" customHeight="1">
      <c r="B63" s="279"/>
      <c r="C63" s="345"/>
      <c r="D63" s="345"/>
      <c r="E63" s="345"/>
      <c r="F63" s="345"/>
      <c r="G63" s="345"/>
      <c r="H63" s="345"/>
      <c r="I63" s="345"/>
      <c r="J63" s="344"/>
      <c r="K63" s="344"/>
    </row>
    <row r="64" spans="1:12" ht="16.149999999999999" customHeight="1">
      <c r="A64" s="198">
        <v>212</v>
      </c>
      <c r="B64" s="622" t="str">
        <f>HLOOKUP('General Information'!$C$6,'IDIOMA (hide)'!$A$1:$D$5016,A64,0)</f>
        <v>Controladoria</v>
      </c>
      <c r="C64" s="622"/>
      <c r="D64" s="622"/>
      <c r="E64" s="622"/>
      <c r="F64" s="622"/>
      <c r="G64" s="622"/>
      <c r="H64" s="622"/>
      <c r="I64" s="622"/>
      <c r="J64" s="622"/>
      <c r="K64" s="622"/>
    </row>
    <row r="65" spans="1:12" ht="16.149999999999999" customHeight="1">
      <c r="A65" s="198">
        <v>261</v>
      </c>
      <c r="B65" s="278" t="str">
        <f>HLOOKUP('General Information'!$C$6,'IDIOMA (hide)'!$A$1:$D$5016,A65,0)</f>
        <v>*Envio do lote contábil (quando a contabilidade é feita em outro sistema)</v>
      </c>
      <c r="C65" s="280"/>
      <c r="D65" s="280"/>
      <c r="E65" s="280"/>
      <c r="F65" s="280"/>
      <c r="G65" s="280"/>
      <c r="H65" s="280"/>
      <c r="I65" s="280"/>
      <c r="J65" s="280"/>
      <c r="K65" s="280"/>
    </row>
    <row r="66" spans="1:12" ht="16.149999999999999" customHeight="1">
      <c r="A66" s="198">
        <v>262</v>
      </c>
      <c r="B66" s="278" t="str">
        <f>HLOOKUP('General Information'!$C$6,'IDIOMA (hide)'!$A$1:$D$5016,A66,0)</f>
        <v>*Recebimento do lote contábil (sistema terceiro envia lote ao Tasy)</v>
      </c>
      <c r="C66" s="280"/>
      <c r="D66" s="280"/>
      <c r="E66" s="280"/>
      <c r="F66" s="280"/>
      <c r="G66" s="280"/>
      <c r="H66" s="280"/>
      <c r="I66" s="280"/>
      <c r="J66" s="280"/>
      <c r="K66" s="280"/>
    </row>
    <row r="67" spans="1:12" ht="10.9" customHeight="1">
      <c r="B67" s="279"/>
      <c r="C67" s="345"/>
      <c r="D67" s="345"/>
      <c r="E67" s="345"/>
      <c r="F67" s="345"/>
      <c r="G67" s="345"/>
      <c r="H67" s="345"/>
      <c r="I67" s="345"/>
      <c r="J67" s="344"/>
      <c r="K67" s="344"/>
    </row>
    <row r="68" spans="1:12" s="383" customFormat="1" ht="16.149999999999999" customHeight="1">
      <c r="A68" s="198">
        <v>268</v>
      </c>
      <c r="B68" s="622" t="s">
        <v>5800</v>
      </c>
      <c r="C68" s="622"/>
      <c r="D68" s="622"/>
      <c r="E68" s="622"/>
      <c r="F68" s="622"/>
      <c r="G68" s="622"/>
      <c r="H68" s="622"/>
      <c r="I68" s="622"/>
      <c r="J68" s="622"/>
      <c r="K68" s="622"/>
      <c r="L68" s="384"/>
    </row>
    <row r="69" spans="1:12" s="383" customFormat="1" ht="16.149999999999999" customHeight="1">
      <c r="A69" s="198">
        <v>461</v>
      </c>
      <c r="B69" s="278" t="str">
        <f>HLOOKUP('General Information'!$C$6,'IDIOMA (hide)'!$A$1:$D$5016,A69,0)</f>
        <v>* Preparação do Resumo Clínico</v>
      </c>
      <c r="C69" s="280"/>
      <c r="D69" s="280"/>
      <c r="E69" s="280"/>
      <c r="F69" s="280"/>
      <c r="G69" s="280"/>
      <c r="H69" s="280"/>
      <c r="I69" s="280"/>
      <c r="J69" s="280"/>
      <c r="K69" s="280"/>
      <c r="L69" s="384"/>
    </row>
    <row r="70" spans="1:12" s="383" customFormat="1" ht="16.149999999999999" customHeight="1">
      <c r="A70" s="198">
        <v>462</v>
      </c>
      <c r="B70" s="278" t="str">
        <f>HLOOKUP('General Information'!$C$6,'IDIOMA (hide)'!$A$1:$D$5016,A70,0)</f>
        <v>* Registro Geral de Saúde</v>
      </c>
      <c r="C70" s="280"/>
      <c r="D70" s="280"/>
      <c r="E70" s="280"/>
      <c r="F70" s="280"/>
      <c r="G70" s="280"/>
      <c r="H70" s="280"/>
      <c r="I70" s="280"/>
      <c r="J70" s="280"/>
      <c r="K70" s="280"/>
      <c r="L70" s="384"/>
    </row>
    <row r="71" spans="1:12" s="383" customFormat="1" ht="16.149999999999999" customHeight="1">
      <c r="A71" s="198">
        <v>463</v>
      </c>
      <c r="B71" s="278" t="str">
        <f>HLOOKUP('General Information'!$C$6,'IDIOMA (hide)'!$A$1:$D$5016,A71,0)</f>
        <v>* Despesas hospitalares</v>
      </c>
      <c r="C71" s="280"/>
      <c r="D71" s="280"/>
      <c r="E71" s="280"/>
      <c r="F71" s="280"/>
      <c r="G71" s="280"/>
      <c r="H71" s="280"/>
      <c r="I71" s="280"/>
      <c r="J71" s="280"/>
      <c r="K71" s="280"/>
      <c r="L71" s="384"/>
    </row>
    <row r="72" spans="1:12" s="383" customFormat="1" ht="16.149999999999999" customHeight="1">
      <c r="A72" s="198">
        <v>464</v>
      </c>
      <c r="B72" s="278" t="str">
        <f>HLOOKUP('General Information'!$C$6,'IDIOMA (hide)'!$A$1:$D$5016,A72,0)</f>
        <v>* Nascimentos</v>
      </c>
      <c r="C72" s="280"/>
      <c r="D72" s="280"/>
      <c r="E72" s="280"/>
      <c r="F72" s="280"/>
      <c r="G72" s="280"/>
      <c r="H72" s="280"/>
      <c r="I72" s="280"/>
      <c r="J72" s="280"/>
      <c r="K72" s="280"/>
      <c r="L72" s="384"/>
    </row>
    <row r="73" spans="1:12" s="383" customFormat="1" ht="16.149999999999999" customHeight="1">
      <c r="A73" s="198">
        <v>465</v>
      </c>
      <c r="B73" s="278" t="str">
        <f>HLOOKUP('General Information'!$C$6,'IDIOMA (hide)'!$A$1:$D$5016,A73,0)</f>
        <v>* Mortes fetais</v>
      </c>
      <c r="C73" s="280"/>
      <c r="D73" s="280"/>
      <c r="E73" s="280"/>
      <c r="F73" s="280"/>
      <c r="G73" s="280"/>
      <c r="H73" s="280"/>
      <c r="I73" s="280"/>
      <c r="J73" s="280"/>
      <c r="K73" s="280"/>
      <c r="L73" s="384"/>
    </row>
    <row r="74" spans="1:12" s="383" customFormat="1" ht="16.149999999999999" customHeight="1">
      <c r="A74" s="198">
        <v>466</v>
      </c>
      <c r="B74" s="278" t="str">
        <f>HLOOKUP('General Information'!$C$6,'IDIOMA (hide)'!$A$1:$D$5016,A74,0)</f>
        <v>* Informação nominal em Crônicas</v>
      </c>
      <c r="C74" s="280"/>
      <c r="D74" s="280"/>
      <c r="E74" s="280"/>
      <c r="F74" s="280"/>
      <c r="G74" s="280"/>
      <c r="H74" s="280"/>
      <c r="I74" s="280"/>
      <c r="J74" s="280"/>
      <c r="K74" s="280"/>
      <c r="L74" s="384"/>
    </row>
    <row r="75" spans="1:12" s="383" customFormat="1" ht="16.149999999999999" customHeight="1">
      <c r="A75" s="198">
        <v>467</v>
      </c>
      <c r="B75" s="278" t="str">
        <f>HLOOKUP('General Information'!$C$6,'IDIOMA (hide)'!$A$1:$D$5016,A75,0)</f>
        <v>* Mortalidade geral</v>
      </c>
      <c r="C75" s="280"/>
      <c r="D75" s="280"/>
      <c r="E75" s="280"/>
      <c r="F75" s="280"/>
      <c r="G75" s="280"/>
      <c r="H75" s="280"/>
      <c r="I75" s="280"/>
      <c r="J75" s="280"/>
      <c r="K75" s="280"/>
      <c r="L75" s="384"/>
    </row>
    <row r="76" spans="1:12" s="383" customFormat="1" ht="16.149999999999999" customHeight="1">
      <c r="A76" s="198">
        <v>468</v>
      </c>
      <c r="B76" s="278" t="str">
        <f>HLOOKUP('General Information'!$C$6,'IDIOMA (hide)'!$A$1:$D$5016,A76,0)</f>
        <v>* Consulta externa (ainda não somos certificados)</v>
      </c>
      <c r="C76" s="280"/>
      <c r="D76" s="280"/>
      <c r="E76" s="280"/>
      <c r="F76" s="280"/>
      <c r="G76" s="280"/>
      <c r="H76" s="280"/>
      <c r="I76" s="280"/>
      <c r="J76" s="280"/>
      <c r="K76" s="280"/>
      <c r="L76" s="384"/>
    </row>
    <row r="77" spans="1:12" ht="16.149999999999999" customHeight="1">
      <c r="A77" s="198">
        <v>270</v>
      </c>
      <c r="B77" s="622" t="str">
        <f>HLOOKUP('General Information'!$C$6,'IDIOMA (hide)'!$A$1:$D$5016,A77,0)</f>
        <v>Demais integrações</v>
      </c>
      <c r="C77" s="622"/>
      <c r="D77" s="622"/>
      <c r="E77" s="622"/>
      <c r="F77" s="622"/>
      <c r="G77" s="622"/>
      <c r="H77" s="622"/>
      <c r="I77" s="622"/>
      <c r="J77" s="622"/>
      <c r="K77" s="622"/>
    </row>
    <row r="78" spans="1:12" ht="16.149999999999999" customHeight="1">
      <c r="B78" s="348"/>
      <c r="C78" s="280"/>
      <c r="D78" s="280"/>
      <c r="E78" s="280"/>
      <c r="F78" s="280"/>
      <c r="G78" s="280"/>
      <c r="H78" s="280"/>
      <c r="I78" s="280"/>
      <c r="J78" s="280"/>
      <c r="K78" s="280"/>
    </row>
    <row r="79" spans="1:12" ht="16.149999999999999" customHeight="1">
      <c r="B79" s="348"/>
      <c r="C79" s="280"/>
      <c r="D79" s="280"/>
      <c r="E79" s="280"/>
      <c r="F79" s="280"/>
      <c r="G79" s="280"/>
      <c r="H79" s="280"/>
      <c r="I79" s="280"/>
      <c r="J79" s="280"/>
      <c r="K79" s="280"/>
    </row>
    <row r="80" spans="1:12" ht="16.149999999999999" customHeight="1">
      <c r="B80" s="348"/>
      <c r="C80" s="280"/>
      <c r="D80" s="280"/>
      <c r="E80" s="280"/>
      <c r="F80" s="280"/>
      <c r="G80" s="280"/>
      <c r="H80" s="280"/>
      <c r="I80" s="280"/>
      <c r="J80" s="280"/>
      <c r="K80" s="280"/>
    </row>
    <row r="81" spans="2:11" ht="16.149999999999999" customHeight="1">
      <c r="B81" s="348"/>
      <c r="C81" s="280"/>
      <c r="D81" s="280"/>
      <c r="E81" s="280"/>
      <c r="F81" s="280"/>
      <c r="G81" s="280"/>
      <c r="H81" s="280"/>
      <c r="I81" s="280"/>
      <c r="J81" s="280"/>
      <c r="K81" s="280"/>
    </row>
    <row r="82" spans="2:11" ht="16.149999999999999" customHeight="1">
      <c r="B82" s="348"/>
      <c r="C82" s="280"/>
      <c r="D82" s="280"/>
      <c r="E82" s="280"/>
      <c r="F82" s="280"/>
      <c r="G82" s="280"/>
      <c r="H82" s="280"/>
      <c r="I82" s="280"/>
      <c r="J82" s="280"/>
      <c r="K82" s="280"/>
    </row>
    <row r="83" spans="2:11" ht="16.149999999999999" customHeight="1">
      <c r="B83" s="348"/>
      <c r="C83" s="280"/>
      <c r="D83" s="280"/>
      <c r="E83" s="280"/>
      <c r="F83" s="280"/>
      <c r="G83" s="280"/>
      <c r="H83" s="280"/>
      <c r="I83" s="280"/>
      <c r="J83" s="280"/>
      <c r="K83" s="280"/>
    </row>
    <row r="84" spans="2:11" ht="16.149999999999999" customHeight="1">
      <c r="B84" s="348"/>
      <c r="C84" s="280"/>
      <c r="D84" s="280"/>
      <c r="E84" s="280"/>
      <c r="F84" s="280"/>
      <c r="G84" s="280"/>
      <c r="H84" s="280"/>
      <c r="I84" s="280"/>
      <c r="J84" s="280"/>
      <c r="K84" s="280"/>
    </row>
    <row r="85" spans="2:11" ht="16.149999999999999" customHeight="1">
      <c r="B85" s="348"/>
      <c r="C85" s="280"/>
      <c r="D85" s="280"/>
      <c r="E85" s="280"/>
      <c r="F85" s="280"/>
      <c r="G85" s="280"/>
      <c r="H85" s="280"/>
      <c r="I85" s="280"/>
      <c r="J85" s="280"/>
      <c r="K85" s="280"/>
    </row>
    <row r="86" spans="2:11" ht="16.149999999999999" customHeight="1">
      <c r="B86" s="348"/>
      <c r="C86" s="280"/>
      <c r="D86" s="280"/>
      <c r="E86" s="280"/>
      <c r="F86" s="280"/>
      <c r="G86" s="280"/>
      <c r="H86" s="280"/>
      <c r="I86" s="280"/>
      <c r="J86" s="280"/>
      <c r="K86" s="280"/>
    </row>
    <row r="87" spans="2:11" ht="16.149999999999999" customHeight="1">
      <c r="B87" s="348"/>
      <c r="C87" s="280"/>
      <c r="D87" s="280"/>
      <c r="E87" s="280"/>
      <c r="F87" s="280"/>
      <c r="G87" s="280"/>
      <c r="H87" s="280"/>
      <c r="I87" s="280"/>
      <c r="J87" s="280"/>
      <c r="K87" s="280"/>
    </row>
    <row r="88" spans="2:11" ht="16.149999999999999" customHeight="1">
      <c r="B88" s="348"/>
      <c r="C88" s="280"/>
      <c r="D88" s="280"/>
      <c r="E88" s="280"/>
      <c r="F88" s="280"/>
      <c r="G88" s="280"/>
      <c r="H88" s="280"/>
      <c r="I88" s="280"/>
      <c r="J88" s="280"/>
      <c r="K88" s="280"/>
    </row>
    <row r="89" spans="2:11" ht="16.149999999999999" customHeight="1">
      <c r="B89" s="348"/>
      <c r="C89" s="280"/>
      <c r="D89" s="280"/>
      <c r="E89" s="280"/>
      <c r="F89" s="280"/>
      <c r="G89" s="280"/>
      <c r="H89" s="280"/>
      <c r="I89" s="280"/>
      <c r="J89" s="280"/>
      <c r="K89" s="280"/>
    </row>
    <row r="90" spans="2:11">
      <c r="J90" s="281">
        <f>SUM(J11:J89)</f>
        <v>0</v>
      </c>
      <c r="K90" s="281">
        <f>SUM(K11:K89)</f>
        <v>0</v>
      </c>
    </row>
    <row r="91" spans="2:11">
      <c r="K91" s="388"/>
    </row>
    <row r="92" spans="2:11">
      <c r="K92" s="388"/>
    </row>
  </sheetData>
  <mergeCells count="18">
    <mergeCell ref="B30:K30"/>
    <mergeCell ref="B1:J2"/>
    <mergeCell ref="B7:I7"/>
    <mergeCell ref="B13:K13"/>
    <mergeCell ref="B22:K22"/>
    <mergeCell ref="B10:K10"/>
    <mergeCell ref="J7:K7"/>
    <mergeCell ref="B5:E5"/>
    <mergeCell ref="B18:K18"/>
    <mergeCell ref="B77:K77"/>
    <mergeCell ref="B35:K35"/>
    <mergeCell ref="B41:K41"/>
    <mergeCell ref="B38:K38"/>
    <mergeCell ref="B64:K64"/>
    <mergeCell ref="B61:K61"/>
    <mergeCell ref="B52:K52"/>
    <mergeCell ref="B47:K47"/>
    <mergeCell ref="B68:K68"/>
  </mergeCells>
  <dataValidations disablePrompts="1" count="1">
    <dataValidation type="list" allowBlank="1" showInputMessage="1" showErrorMessage="1" sqref="C78:C89 C19:C20 C31:C33 C36 C39 C23:C28 C53:C59 C62 C65:C66 C14:C17 C42:C45 C48:C51 C69:C76" xr:uid="{00000000-0002-0000-0600-000000000000}">
      <formula1>"Yes,No"</formula1>
    </dataValidation>
  </dataValidations>
  <pageMargins left="0.7" right="0.7" top="0.75" bottom="0.75" header="0.3" footer="0.3"/>
  <pageSetup orientation="portrait"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373C1-AD9A-4AA5-8CBA-21BE5F9D4D17}">
  <dimension ref="A1:S73"/>
  <sheetViews>
    <sheetView showGridLines="0" zoomScaleNormal="100" workbookViewId="0">
      <pane xSplit="1" ySplit="11" topLeftCell="B12" activePane="bottomRight" state="frozen"/>
      <selection pane="topRight" activeCell="B1" sqref="B1"/>
      <selection pane="bottomLeft" activeCell="A2" sqref="A2"/>
      <selection pane="bottomRight" activeCell="H14" sqref="H14"/>
    </sheetView>
  </sheetViews>
  <sheetFormatPr defaultColWidth="9.1796875" defaultRowHeight="14.5"/>
  <cols>
    <col min="1" max="1" width="46.7265625" style="484" customWidth="1"/>
    <col min="2" max="2" width="29.26953125" style="485" bestFit="1" customWidth="1"/>
    <col min="3" max="3" width="13.54296875" style="485" customWidth="1"/>
    <col min="4" max="4" width="71.54296875" style="484" customWidth="1"/>
    <col min="5" max="5" width="18.81640625" style="485" bestFit="1" customWidth="1"/>
    <col min="6" max="6" width="23.81640625" style="484" bestFit="1" customWidth="1"/>
    <col min="7" max="7" width="31.1796875" style="484" bestFit="1" customWidth="1"/>
    <col min="8" max="8" width="23.81640625" style="484" customWidth="1"/>
    <col min="9" max="9" width="18.7265625" style="485" hidden="1" customWidth="1"/>
    <col min="10" max="10" width="22.26953125" style="486" hidden="1" customWidth="1"/>
    <col min="11" max="11" width="19.7265625" style="486" hidden="1" customWidth="1"/>
    <col min="12" max="12" width="18.54296875" style="478" customWidth="1"/>
    <col min="13" max="13" width="20.1796875" style="478" customWidth="1"/>
    <col min="14" max="14" width="24.81640625" style="478" customWidth="1"/>
    <col min="15" max="15" width="0" style="478" hidden="1" customWidth="1"/>
    <col min="16" max="16" width="38" style="478" bestFit="1" customWidth="1"/>
    <col min="17" max="17" width="7.26953125" style="478" bestFit="1" customWidth="1"/>
    <col min="18" max="18" width="9.1796875" style="478"/>
    <col min="19" max="19" width="16.7265625" style="478" bestFit="1" customWidth="1"/>
    <col min="20" max="16384" width="9.1796875" style="478"/>
  </cols>
  <sheetData>
    <row r="1" spans="1:19" customFormat="1" ht="18.75" customHeight="1">
      <c r="A1" s="198">
        <v>2</v>
      </c>
      <c r="B1" s="552" t="str">
        <f>HLOOKUP('General Information'!$C$6,'IDIOMA (hide)'!$A$1:$D$5016,A1,0)</f>
        <v>LTEP - Levantamento Técnico de Estimativa de Projeto TASY EMR
Código do documento: 0060 - Rev 024</v>
      </c>
      <c r="C1" s="552"/>
      <c r="D1" s="552"/>
      <c r="E1" s="552"/>
      <c r="F1" s="252"/>
      <c r="G1" s="252"/>
      <c r="H1" s="252"/>
      <c r="I1" s="252"/>
      <c r="J1" s="252"/>
      <c r="K1" s="252"/>
      <c r="L1" s="321"/>
      <c r="M1" s="191"/>
    </row>
    <row r="2" spans="1:19" customFormat="1" ht="18.75" customHeight="1">
      <c r="A2" s="198"/>
      <c r="B2" s="552"/>
      <c r="C2" s="552"/>
      <c r="D2" s="552"/>
      <c r="E2" s="552"/>
      <c r="F2" s="252"/>
      <c r="G2" s="252"/>
      <c r="H2" s="252"/>
      <c r="I2" s="252"/>
      <c r="J2" s="252"/>
      <c r="K2" s="252"/>
      <c r="L2" s="321"/>
      <c r="M2" s="191"/>
      <c r="O2" s="478"/>
      <c r="P2" s="201" t="s">
        <v>2888</v>
      </c>
      <c r="Q2" s="202" t="s">
        <v>2887</v>
      </c>
      <c r="R2" s="202" t="s">
        <v>3241</v>
      </c>
      <c r="S2" s="202" t="s">
        <v>2646</v>
      </c>
    </row>
    <row r="3" spans="1:19" customFormat="1" ht="21.5" thickBot="1">
      <c r="A3" s="198">
        <v>225</v>
      </c>
      <c r="B3" s="630"/>
      <c r="C3" s="630"/>
      <c r="D3" s="630"/>
      <c r="E3" s="630"/>
      <c r="F3" s="108"/>
      <c r="G3" s="108"/>
      <c r="H3" s="108"/>
      <c r="I3" s="108"/>
      <c r="J3" s="108"/>
      <c r="K3" s="108"/>
      <c r="L3" s="108"/>
      <c r="M3" s="191"/>
      <c r="O3" s="509">
        <v>357</v>
      </c>
      <c r="P3" s="511" t="str">
        <f>HLOOKUP('General Information'!$C$6,'IDIOMA (hide)'!$A$1:$D$5016,O3,0)</f>
        <v>Horas de Consultoria</v>
      </c>
      <c r="Q3" s="510">
        <f>SUM(M12:M73)</f>
        <v>0</v>
      </c>
      <c r="R3" s="510">
        <f>Proposal!C32</f>
        <v>0</v>
      </c>
      <c r="S3" s="510">
        <f>R3*Q3</f>
        <v>0</v>
      </c>
    </row>
    <row r="4" spans="1:19" customFormat="1" ht="21">
      <c r="A4" s="198"/>
      <c r="B4" s="257"/>
      <c r="C4" s="257"/>
      <c r="D4" s="257"/>
      <c r="E4" s="257"/>
      <c r="F4" s="257"/>
      <c r="H4" s="257"/>
      <c r="I4" s="257"/>
      <c r="J4" s="257"/>
      <c r="M4" s="191"/>
      <c r="O4" s="509">
        <v>351</v>
      </c>
      <c r="P4" s="511" t="str">
        <f>HLOOKUP('General Information'!$C$6,'IDIOMA (hide)'!$A$1:$D$5016,O4,0)</f>
        <v>Gerenciamento de Projetos</v>
      </c>
      <c r="Q4" s="510">
        <f>SUM(N12:N73)</f>
        <v>0</v>
      </c>
      <c r="R4" s="510">
        <f>Proposal!C33</f>
        <v>0</v>
      </c>
      <c r="S4" s="510">
        <f>R4*Q4</f>
        <v>0</v>
      </c>
    </row>
    <row r="5" spans="1:19" customFormat="1" ht="21">
      <c r="A5" s="198">
        <v>358</v>
      </c>
      <c r="B5" s="629" t="str">
        <f>HLOOKUP('General Information'!$C$6,'IDIOMA (hide)'!$A$1:$D$5016,A5,0)</f>
        <v xml:space="preserve">*Favor realizar a abertura de OS ao time de Pré-Vendas solicitando orçamento para horas das integrações.
**Em caso de oferta Java, HTML5 ou Cloud HTML5 não há possibilidade de integrações via banco de dados. </v>
      </c>
      <c r="C5" s="629"/>
      <c r="D5" s="629"/>
      <c r="E5" s="629"/>
      <c r="F5" s="257"/>
      <c r="H5" s="257"/>
      <c r="I5" s="257"/>
      <c r="J5" s="257"/>
      <c r="M5" s="191"/>
      <c r="O5" s="509">
        <v>516</v>
      </c>
      <c r="P5" s="511" t="str">
        <f>HLOOKUP('General Information'!$C$6,'IDIOMA (hide)'!$A$1:$D$5016,O5,0)</f>
        <v>Horas de Desenvolvimento (Integrações)</v>
      </c>
      <c r="Q5" s="510">
        <f>SUM(L12:L73)</f>
        <v>0</v>
      </c>
      <c r="R5" s="510">
        <f>Proposal!C34</f>
        <v>0</v>
      </c>
      <c r="S5" s="510">
        <f>R5*Q5</f>
        <v>0</v>
      </c>
    </row>
    <row r="6" spans="1:19" customFormat="1">
      <c r="A6" s="198"/>
      <c r="B6" s="198">
        <v>228</v>
      </c>
      <c r="C6" s="198">
        <v>229</v>
      </c>
      <c r="D6" s="198">
        <v>230</v>
      </c>
      <c r="E6" s="198">
        <v>231</v>
      </c>
      <c r="F6" s="198">
        <v>232</v>
      </c>
      <c r="G6" s="198">
        <v>235</v>
      </c>
      <c r="H6" s="198"/>
      <c r="I6" s="198">
        <v>233</v>
      </c>
      <c r="J6" s="198">
        <v>225</v>
      </c>
      <c r="K6" s="198">
        <v>234</v>
      </c>
      <c r="L6" s="198"/>
      <c r="M6" s="191"/>
      <c r="O6" s="509">
        <v>348</v>
      </c>
      <c r="P6" s="350" t="str">
        <f>HLOOKUP('General Information'!$C$6,'IDIOMA (hide)'!$A$1:$D$5016,O6,0)</f>
        <v>Total de Horas do projeto</v>
      </c>
      <c r="Q6" s="203">
        <f>Q4+Q3</f>
        <v>0</v>
      </c>
      <c r="R6" s="393" t="s">
        <v>3242</v>
      </c>
      <c r="S6" s="398">
        <f>S4+S3+S5</f>
        <v>0</v>
      </c>
    </row>
    <row r="11" spans="1:19">
      <c r="A11" s="322" t="s">
        <v>6041</v>
      </c>
      <c r="B11" s="322" t="s">
        <v>6042</v>
      </c>
      <c r="C11" s="322" t="s">
        <v>6043</v>
      </c>
      <c r="D11" s="322" t="s">
        <v>6044</v>
      </c>
      <c r="E11" s="322" t="s">
        <v>6045</v>
      </c>
      <c r="F11" s="322" t="s">
        <v>6046</v>
      </c>
      <c r="G11" s="322" t="s">
        <v>6050</v>
      </c>
      <c r="H11" s="322" t="s">
        <v>6309</v>
      </c>
      <c r="I11" s="322" t="s">
        <v>6047</v>
      </c>
      <c r="J11" s="322" t="s">
        <v>6048</v>
      </c>
      <c r="K11" s="322" t="s">
        <v>6049</v>
      </c>
      <c r="L11" s="322" t="s">
        <v>6047</v>
      </c>
      <c r="M11" s="322" t="s">
        <v>6048</v>
      </c>
      <c r="N11" s="322" t="s">
        <v>6049</v>
      </c>
    </row>
    <row r="12" spans="1:19" ht="29">
      <c r="A12" s="479" t="s">
        <v>6051</v>
      </c>
      <c r="B12" s="480" t="s">
        <v>2843</v>
      </c>
      <c r="C12" s="480" t="s">
        <v>6052</v>
      </c>
      <c r="D12" s="481" t="s">
        <v>6053</v>
      </c>
      <c r="E12" s="480" t="s">
        <v>6054</v>
      </c>
      <c r="F12" s="479" t="s">
        <v>6055</v>
      </c>
      <c r="G12" s="479" t="s">
        <v>6051</v>
      </c>
      <c r="H12" s="4"/>
      <c r="I12" s="480">
        <v>60</v>
      </c>
      <c r="J12" s="482">
        <v>60</v>
      </c>
      <c r="K12" s="483">
        <f t="shared" ref="K12:K73" si="0">J12*0.2</f>
        <v>12</v>
      </c>
      <c r="L12" s="479">
        <f>IF(H12="Yes",I12,0)</f>
        <v>0</v>
      </c>
      <c r="M12" s="479">
        <f>IF(H12="Yes",J12,0)</f>
        <v>0</v>
      </c>
      <c r="N12" s="479">
        <f>IF(H12="Yes",K12,0)</f>
        <v>0</v>
      </c>
    </row>
    <row r="13" spans="1:19">
      <c r="A13" s="479" t="s">
        <v>6056</v>
      </c>
      <c r="B13" s="480" t="s">
        <v>6057</v>
      </c>
      <c r="C13" s="480" t="s">
        <v>6052</v>
      </c>
      <c r="D13" s="481" t="s">
        <v>6058</v>
      </c>
      <c r="E13" s="480" t="s">
        <v>6059</v>
      </c>
      <c r="F13" s="479" t="s">
        <v>6060</v>
      </c>
      <c r="G13" s="479" t="s">
        <v>6059</v>
      </c>
      <c r="H13" s="4"/>
      <c r="I13" s="480">
        <v>0</v>
      </c>
      <c r="J13" s="482">
        <v>16</v>
      </c>
      <c r="K13" s="483">
        <f t="shared" si="0"/>
        <v>3.2</v>
      </c>
      <c r="L13" s="479">
        <f t="shared" ref="L13:L73" si="1">IF(H13="Yes",I13,0)</f>
        <v>0</v>
      </c>
      <c r="M13" s="479">
        <f t="shared" ref="M13:M73" si="2">IF(H13="Yes",J13,0)</f>
        <v>0</v>
      </c>
      <c r="N13" s="479">
        <f t="shared" ref="N13:N73" si="3">IF(H13="Yes",K13,0)</f>
        <v>0</v>
      </c>
    </row>
    <row r="14" spans="1:19" ht="58">
      <c r="A14" s="479" t="s">
        <v>6061</v>
      </c>
      <c r="B14" s="480" t="s">
        <v>6062</v>
      </c>
      <c r="C14" s="480" t="s">
        <v>3242</v>
      </c>
      <c r="D14" s="481" t="s">
        <v>6063</v>
      </c>
      <c r="E14" s="480" t="s">
        <v>6064</v>
      </c>
      <c r="F14" s="479" t="s">
        <v>6065</v>
      </c>
      <c r="G14" s="479" t="s">
        <v>6064</v>
      </c>
      <c r="H14" s="4"/>
      <c r="I14" s="480">
        <v>22</v>
      </c>
      <c r="J14" s="482">
        <v>16</v>
      </c>
      <c r="K14" s="483">
        <f t="shared" si="0"/>
        <v>3.2</v>
      </c>
      <c r="L14" s="479">
        <f t="shared" si="1"/>
        <v>0</v>
      </c>
      <c r="M14" s="479">
        <f t="shared" si="2"/>
        <v>0</v>
      </c>
      <c r="N14" s="479">
        <f t="shared" si="3"/>
        <v>0</v>
      </c>
    </row>
    <row r="15" spans="1:19" ht="43.5">
      <c r="A15" s="479" t="s">
        <v>6066</v>
      </c>
      <c r="B15" s="480" t="s">
        <v>6062</v>
      </c>
      <c r="C15" s="480" t="s">
        <v>3242</v>
      </c>
      <c r="D15" s="481" t="s">
        <v>6067</v>
      </c>
      <c r="E15" s="480" t="s">
        <v>6068</v>
      </c>
      <c r="F15" s="479" t="s">
        <v>6069</v>
      </c>
      <c r="G15" s="479" t="s">
        <v>6070</v>
      </c>
      <c r="H15" s="4"/>
      <c r="I15" s="480">
        <v>40</v>
      </c>
      <c r="J15" s="482">
        <v>40</v>
      </c>
      <c r="K15" s="483">
        <f t="shared" si="0"/>
        <v>8</v>
      </c>
      <c r="L15" s="479">
        <f t="shared" ref="L15:L17" si="4">IF(H15="Yes",I15,0)</f>
        <v>0</v>
      </c>
      <c r="M15" s="479">
        <f t="shared" ref="M15:M17" si="5">IF(H15="Yes",J15,0)</f>
        <v>0</v>
      </c>
      <c r="N15" s="479">
        <f t="shared" ref="N15:N17" si="6">IF(H15="Yes",K15,0)</f>
        <v>0</v>
      </c>
    </row>
    <row r="16" spans="1:19" ht="29">
      <c r="A16" s="479" t="s">
        <v>6071</v>
      </c>
      <c r="B16" s="480" t="s">
        <v>6062</v>
      </c>
      <c r="C16" s="480" t="s">
        <v>3242</v>
      </c>
      <c r="D16" s="481" t="s">
        <v>6072</v>
      </c>
      <c r="E16" s="480" t="s">
        <v>6073</v>
      </c>
      <c r="F16" s="479" t="s">
        <v>6069</v>
      </c>
      <c r="G16" s="479" t="s">
        <v>6073</v>
      </c>
      <c r="H16" s="4"/>
      <c r="I16" s="480">
        <v>12</v>
      </c>
      <c r="J16" s="482">
        <v>12</v>
      </c>
      <c r="K16" s="483">
        <f t="shared" si="0"/>
        <v>2.4000000000000004</v>
      </c>
      <c r="L16" s="479">
        <f t="shared" si="4"/>
        <v>0</v>
      </c>
      <c r="M16" s="479">
        <f t="shared" si="5"/>
        <v>0</v>
      </c>
      <c r="N16" s="479">
        <f t="shared" si="6"/>
        <v>0</v>
      </c>
    </row>
    <row r="17" spans="1:14" ht="29">
      <c r="A17" s="479" t="s">
        <v>6074</v>
      </c>
      <c r="B17" s="480" t="s">
        <v>174</v>
      </c>
      <c r="C17" s="480" t="s">
        <v>3242</v>
      </c>
      <c r="D17" s="481" t="s">
        <v>6075</v>
      </c>
      <c r="E17" s="480" t="s">
        <v>6076</v>
      </c>
      <c r="F17" s="479" t="s">
        <v>6065</v>
      </c>
      <c r="G17" s="479" t="s">
        <v>6076</v>
      </c>
      <c r="H17" s="4"/>
      <c r="I17" s="480">
        <v>120</v>
      </c>
      <c r="J17" s="482">
        <v>80</v>
      </c>
      <c r="K17" s="483">
        <f t="shared" si="0"/>
        <v>16</v>
      </c>
      <c r="L17" s="479">
        <f t="shared" si="4"/>
        <v>0</v>
      </c>
      <c r="M17" s="479">
        <f t="shared" si="5"/>
        <v>0</v>
      </c>
      <c r="N17" s="479">
        <f t="shared" si="6"/>
        <v>0</v>
      </c>
    </row>
    <row r="18" spans="1:14" ht="29">
      <c r="A18" s="479" t="s">
        <v>6077</v>
      </c>
      <c r="B18" s="480" t="s">
        <v>174</v>
      </c>
      <c r="C18" s="480" t="s">
        <v>6052</v>
      </c>
      <c r="D18" s="481" t="s">
        <v>6075</v>
      </c>
      <c r="E18" s="480" t="s">
        <v>6078</v>
      </c>
      <c r="F18" s="479" t="s">
        <v>6055</v>
      </c>
      <c r="G18" s="479" t="s">
        <v>6078</v>
      </c>
      <c r="H18" s="4"/>
      <c r="I18" s="480">
        <v>160</v>
      </c>
      <c r="J18" s="482">
        <v>160</v>
      </c>
      <c r="K18" s="483">
        <f t="shared" si="0"/>
        <v>32</v>
      </c>
      <c r="L18" s="479">
        <f t="shared" si="1"/>
        <v>0</v>
      </c>
      <c r="M18" s="479">
        <f t="shared" si="2"/>
        <v>0</v>
      </c>
      <c r="N18" s="479">
        <f t="shared" si="3"/>
        <v>0</v>
      </c>
    </row>
    <row r="19" spans="1:14" ht="29">
      <c r="A19" s="479" t="s">
        <v>6079</v>
      </c>
      <c r="B19" s="480" t="s">
        <v>174</v>
      </c>
      <c r="C19" s="480" t="s">
        <v>3242</v>
      </c>
      <c r="D19" s="481" t="s">
        <v>6075</v>
      </c>
      <c r="E19" s="480" t="s">
        <v>6080</v>
      </c>
      <c r="F19" s="479" t="s">
        <v>6065</v>
      </c>
      <c r="G19" s="479" t="s">
        <v>6080</v>
      </c>
      <c r="H19" s="4"/>
      <c r="I19" s="480">
        <v>120</v>
      </c>
      <c r="J19" s="482">
        <v>120</v>
      </c>
      <c r="K19" s="483">
        <f t="shared" si="0"/>
        <v>24</v>
      </c>
      <c r="L19" s="479">
        <f t="shared" si="1"/>
        <v>0</v>
      </c>
      <c r="M19" s="479">
        <f t="shared" si="2"/>
        <v>0</v>
      </c>
      <c r="N19" s="479">
        <f t="shared" si="3"/>
        <v>0</v>
      </c>
    </row>
    <row r="20" spans="1:14">
      <c r="A20" s="479" t="s">
        <v>6081</v>
      </c>
      <c r="B20" s="480" t="s">
        <v>174</v>
      </c>
      <c r="C20" s="480" t="s">
        <v>6052</v>
      </c>
      <c r="D20" s="481" t="s">
        <v>6082</v>
      </c>
      <c r="E20" s="480" t="s">
        <v>6083</v>
      </c>
      <c r="F20" s="479" t="s">
        <v>6060</v>
      </c>
      <c r="G20" s="479" t="s">
        <v>6084</v>
      </c>
      <c r="H20" s="4"/>
      <c r="I20" s="480">
        <v>144</v>
      </c>
      <c r="J20" s="482">
        <v>80</v>
      </c>
      <c r="K20" s="483">
        <f t="shared" si="0"/>
        <v>16</v>
      </c>
      <c r="L20" s="479">
        <f t="shared" si="1"/>
        <v>0</v>
      </c>
      <c r="M20" s="479">
        <f t="shared" si="2"/>
        <v>0</v>
      </c>
      <c r="N20" s="479">
        <f t="shared" si="3"/>
        <v>0</v>
      </c>
    </row>
    <row r="21" spans="1:14">
      <c r="A21" s="479" t="s">
        <v>6085</v>
      </c>
      <c r="B21" s="480" t="s">
        <v>6086</v>
      </c>
      <c r="C21" s="480" t="s">
        <v>3242</v>
      </c>
      <c r="D21" s="481" t="s">
        <v>6087</v>
      </c>
      <c r="E21" s="480" t="s">
        <v>6088</v>
      </c>
      <c r="F21" s="479" t="s">
        <v>6065</v>
      </c>
      <c r="G21" s="479" t="s">
        <v>6088</v>
      </c>
      <c r="H21" s="4"/>
      <c r="I21" s="480">
        <v>2</v>
      </c>
      <c r="J21" s="482">
        <v>2</v>
      </c>
      <c r="K21" s="483">
        <f t="shared" si="0"/>
        <v>0.4</v>
      </c>
      <c r="L21" s="479">
        <f t="shared" si="1"/>
        <v>0</v>
      </c>
      <c r="M21" s="479">
        <f t="shared" si="2"/>
        <v>0</v>
      </c>
      <c r="N21" s="479">
        <f t="shared" si="3"/>
        <v>0</v>
      </c>
    </row>
    <row r="22" spans="1:14">
      <c r="A22" s="479" t="s">
        <v>6089</v>
      </c>
      <c r="B22" s="480" t="s">
        <v>6086</v>
      </c>
      <c r="C22" s="480" t="s">
        <v>3242</v>
      </c>
      <c r="D22" s="481" t="s">
        <v>6090</v>
      </c>
      <c r="E22" s="480" t="s">
        <v>6088</v>
      </c>
      <c r="F22" s="479" t="s">
        <v>6065</v>
      </c>
      <c r="G22" s="479" t="s">
        <v>6088</v>
      </c>
      <c r="H22" s="4"/>
      <c r="I22" s="480">
        <v>38</v>
      </c>
      <c r="J22" s="482">
        <v>32</v>
      </c>
      <c r="K22" s="483">
        <f t="shared" si="0"/>
        <v>6.4</v>
      </c>
      <c r="L22" s="479">
        <f t="shared" si="1"/>
        <v>0</v>
      </c>
      <c r="M22" s="479">
        <f t="shared" si="2"/>
        <v>0</v>
      </c>
      <c r="N22" s="479">
        <f t="shared" si="3"/>
        <v>0</v>
      </c>
    </row>
    <row r="23" spans="1:14">
      <c r="A23" s="479" t="s">
        <v>6091</v>
      </c>
      <c r="B23" s="480" t="s">
        <v>6086</v>
      </c>
      <c r="C23" s="480" t="s">
        <v>3242</v>
      </c>
      <c r="D23" s="481" t="s">
        <v>6092</v>
      </c>
      <c r="E23" s="480" t="s">
        <v>6088</v>
      </c>
      <c r="F23" s="479" t="s">
        <v>6065</v>
      </c>
      <c r="G23" s="479" t="s">
        <v>6088</v>
      </c>
      <c r="H23" s="4"/>
      <c r="I23" s="480">
        <v>38</v>
      </c>
      <c r="J23" s="482">
        <v>32</v>
      </c>
      <c r="K23" s="483">
        <f t="shared" si="0"/>
        <v>6.4</v>
      </c>
      <c r="L23" s="479">
        <f t="shared" si="1"/>
        <v>0</v>
      </c>
      <c r="M23" s="479">
        <f t="shared" si="2"/>
        <v>0</v>
      </c>
      <c r="N23" s="479">
        <f t="shared" si="3"/>
        <v>0</v>
      </c>
    </row>
    <row r="24" spans="1:14">
      <c r="A24" s="479" t="s">
        <v>6093</v>
      </c>
      <c r="B24" s="480" t="s">
        <v>6086</v>
      </c>
      <c r="C24" s="480" t="s">
        <v>3242</v>
      </c>
      <c r="D24" s="481" t="s">
        <v>6094</v>
      </c>
      <c r="E24" s="480" t="s">
        <v>6088</v>
      </c>
      <c r="F24" s="479" t="s">
        <v>6065</v>
      </c>
      <c r="G24" s="479" t="s">
        <v>6088</v>
      </c>
      <c r="H24" s="4"/>
      <c r="I24" s="480">
        <v>20</v>
      </c>
      <c r="J24" s="482">
        <v>32</v>
      </c>
      <c r="K24" s="483">
        <f t="shared" si="0"/>
        <v>6.4</v>
      </c>
      <c r="L24" s="479">
        <f t="shared" si="1"/>
        <v>0</v>
      </c>
      <c r="M24" s="479">
        <f t="shared" si="2"/>
        <v>0</v>
      </c>
      <c r="N24" s="479">
        <f t="shared" si="3"/>
        <v>0</v>
      </c>
    </row>
    <row r="25" spans="1:14">
      <c r="A25" s="479" t="s">
        <v>6095</v>
      </c>
      <c r="B25" s="480" t="s">
        <v>6086</v>
      </c>
      <c r="C25" s="480" t="s">
        <v>3242</v>
      </c>
      <c r="D25" s="481" t="s">
        <v>6096</v>
      </c>
      <c r="E25" s="480" t="s">
        <v>6088</v>
      </c>
      <c r="F25" s="479" t="s">
        <v>6065</v>
      </c>
      <c r="G25" s="479" t="s">
        <v>6088</v>
      </c>
      <c r="H25" s="4"/>
      <c r="I25" s="480">
        <v>38</v>
      </c>
      <c r="J25" s="482">
        <v>32</v>
      </c>
      <c r="K25" s="483">
        <f t="shared" si="0"/>
        <v>6.4</v>
      </c>
      <c r="L25" s="479">
        <f t="shared" si="1"/>
        <v>0</v>
      </c>
      <c r="M25" s="479">
        <f t="shared" si="2"/>
        <v>0</v>
      </c>
      <c r="N25" s="479">
        <f t="shared" si="3"/>
        <v>0</v>
      </c>
    </row>
    <row r="26" spans="1:14" ht="29">
      <c r="A26" s="479" t="s">
        <v>6097</v>
      </c>
      <c r="B26" s="480" t="s">
        <v>6098</v>
      </c>
      <c r="C26" s="480" t="s">
        <v>3242</v>
      </c>
      <c r="D26" s="481" t="s">
        <v>6099</v>
      </c>
      <c r="E26" s="480" t="s">
        <v>6100</v>
      </c>
      <c r="F26" s="479" t="s">
        <v>6101</v>
      </c>
      <c r="G26" s="479" t="s">
        <v>6100</v>
      </c>
      <c r="H26" s="4"/>
      <c r="I26" s="480">
        <v>40</v>
      </c>
      <c r="J26" s="482">
        <v>8</v>
      </c>
      <c r="K26" s="483">
        <f t="shared" si="0"/>
        <v>1.6</v>
      </c>
      <c r="L26" s="479">
        <f t="shared" si="1"/>
        <v>0</v>
      </c>
      <c r="M26" s="479">
        <f t="shared" si="2"/>
        <v>0</v>
      </c>
      <c r="N26" s="479">
        <f t="shared" si="3"/>
        <v>0</v>
      </c>
    </row>
    <row r="27" spans="1:14" ht="29">
      <c r="A27" s="479" t="s">
        <v>6102</v>
      </c>
      <c r="B27" s="480" t="s">
        <v>6098</v>
      </c>
      <c r="C27" s="480" t="s">
        <v>3242</v>
      </c>
      <c r="D27" s="481" t="s">
        <v>6099</v>
      </c>
      <c r="E27" s="480" t="s">
        <v>6103</v>
      </c>
      <c r="F27" s="479" t="s">
        <v>6101</v>
      </c>
      <c r="G27" s="479" t="s">
        <v>6104</v>
      </c>
      <c r="H27" s="4"/>
      <c r="I27" s="480">
        <v>40</v>
      </c>
      <c r="J27" s="482">
        <v>8</v>
      </c>
      <c r="K27" s="483">
        <f t="shared" si="0"/>
        <v>1.6</v>
      </c>
      <c r="L27" s="479">
        <f t="shared" si="1"/>
        <v>0</v>
      </c>
      <c r="M27" s="479">
        <f t="shared" si="2"/>
        <v>0</v>
      </c>
      <c r="N27" s="479">
        <f t="shared" si="3"/>
        <v>0</v>
      </c>
    </row>
    <row r="28" spans="1:14" ht="29">
      <c r="A28" s="479" t="s">
        <v>6105</v>
      </c>
      <c r="B28" s="480" t="s">
        <v>6098</v>
      </c>
      <c r="C28" s="480" t="s">
        <v>3242</v>
      </c>
      <c r="D28" s="481" t="s">
        <v>6099</v>
      </c>
      <c r="E28" s="480" t="s">
        <v>6106</v>
      </c>
      <c r="F28" s="479" t="s">
        <v>6101</v>
      </c>
      <c r="G28" s="479" t="s">
        <v>6106</v>
      </c>
      <c r="H28" s="4"/>
      <c r="I28" s="480">
        <v>40</v>
      </c>
      <c r="J28" s="482">
        <v>8</v>
      </c>
      <c r="K28" s="483">
        <f t="shared" si="0"/>
        <v>1.6</v>
      </c>
      <c r="L28" s="479">
        <f t="shared" si="1"/>
        <v>0</v>
      </c>
      <c r="M28" s="479">
        <f t="shared" si="2"/>
        <v>0</v>
      </c>
      <c r="N28" s="479">
        <f t="shared" si="3"/>
        <v>0</v>
      </c>
    </row>
    <row r="29" spans="1:14" ht="29">
      <c r="A29" s="479" t="s">
        <v>6107</v>
      </c>
      <c r="B29" s="480" t="s">
        <v>6098</v>
      </c>
      <c r="C29" s="480" t="s">
        <v>3242</v>
      </c>
      <c r="D29" s="481" t="s">
        <v>6099</v>
      </c>
      <c r="E29" s="480" t="s">
        <v>6108</v>
      </c>
      <c r="F29" s="479" t="s">
        <v>6101</v>
      </c>
      <c r="G29" s="479" t="s">
        <v>6108</v>
      </c>
      <c r="H29" s="4"/>
      <c r="I29" s="480">
        <v>40</v>
      </c>
      <c r="J29" s="482">
        <v>8</v>
      </c>
      <c r="K29" s="483">
        <f t="shared" si="0"/>
        <v>1.6</v>
      </c>
      <c r="L29" s="479">
        <f t="shared" si="1"/>
        <v>0</v>
      </c>
      <c r="M29" s="479">
        <f t="shared" si="2"/>
        <v>0</v>
      </c>
      <c r="N29" s="479">
        <f t="shared" si="3"/>
        <v>0</v>
      </c>
    </row>
    <row r="30" spans="1:14" ht="29">
      <c r="A30" s="479" t="s">
        <v>6109</v>
      </c>
      <c r="B30" s="480" t="s">
        <v>6098</v>
      </c>
      <c r="C30" s="480" t="s">
        <v>3242</v>
      </c>
      <c r="D30" s="481" t="s">
        <v>6099</v>
      </c>
      <c r="E30" s="480" t="s">
        <v>6103</v>
      </c>
      <c r="F30" s="479" t="s">
        <v>6101</v>
      </c>
      <c r="G30" s="479" t="s">
        <v>6110</v>
      </c>
      <c r="H30" s="4"/>
      <c r="I30" s="480">
        <v>40</v>
      </c>
      <c r="J30" s="482">
        <v>8</v>
      </c>
      <c r="K30" s="483">
        <f t="shared" si="0"/>
        <v>1.6</v>
      </c>
      <c r="L30" s="479">
        <f t="shared" si="1"/>
        <v>0</v>
      </c>
      <c r="M30" s="479">
        <f t="shared" si="2"/>
        <v>0</v>
      </c>
      <c r="N30" s="479">
        <f t="shared" si="3"/>
        <v>0</v>
      </c>
    </row>
    <row r="31" spans="1:14">
      <c r="A31" s="479" t="s">
        <v>6111</v>
      </c>
      <c r="B31" s="480" t="s">
        <v>6112</v>
      </c>
      <c r="C31" s="480" t="s">
        <v>3242</v>
      </c>
      <c r="D31" s="481" t="s">
        <v>6113</v>
      </c>
      <c r="E31" s="480" t="s">
        <v>6114</v>
      </c>
      <c r="F31" s="479" t="s">
        <v>6101</v>
      </c>
      <c r="G31" s="479" t="s">
        <v>6114</v>
      </c>
      <c r="H31" s="4"/>
      <c r="I31" s="480">
        <v>24</v>
      </c>
      <c r="J31" s="482">
        <v>8</v>
      </c>
      <c r="K31" s="483">
        <f t="shared" si="0"/>
        <v>1.6</v>
      </c>
      <c r="L31" s="479">
        <f t="shared" si="1"/>
        <v>0</v>
      </c>
      <c r="M31" s="479">
        <f t="shared" si="2"/>
        <v>0</v>
      </c>
      <c r="N31" s="479">
        <f t="shared" si="3"/>
        <v>0</v>
      </c>
    </row>
    <row r="32" spans="1:14">
      <c r="A32" s="479" t="s">
        <v>6115</v>
      </c>
      <c r="B32" s="480" t="s">
        <v>6112</v>
      </c>
      <c r="C32" s="480" t="s">
        <v>3242</v>
      </c>
      <c r="D32" s="481" t="s">
        <v>6116</v>
      </c>
      <c r="E32" s="480" t="s">
        <v>6117</v>
      </c>
      <c r="F32" s="479" t="s">
        <v>6101</v>
      </c>
      <c r="G32" s="479" t="s">
        <v>6117</v>
      </c>
      <c r="H32" s="4"/>
      <c r="I32" s="480">
        <v>24</v>
      </c>
      <c r="J32" s="482">
        <v>8</v>
      </c>
      <c r="K32" s="483">
        <f t="shared" si="0"/>
        <v>1.6</v>
      </c>
      <c r="L32" s="479">
        <f t="shared" si="1"/>
        <v>0</v>
      </c>
      <c r="M32" s="479">
        <f t="shared" si="2"/>
        <v>0</v>
      </c>
      <c r="N32" s="479">
        <f t="shared" si="3"/>
        <v>0</v>
      </c>
    </row>
    <row r="33" spans="1:14">
      <c r="A33" s="479" t="s">
        <v>6118</v>
      </c>
      <c r="B33" s="480" t="s">
        <v>6112</v>
      </c>
      <c r="C33" s="480" t="s">
        <v>3242</v>
      </c>
      <c r="D33" s="481" t="s">
        <v>6119</v>
      </c>
      <c r="E33" s="480" t="s">
        <v>6120</v>
      </c>
      <c r="F33" s="479" t="s">
        <v>6101</v>
      </c>
      <c r="G33" s="479" t="s">
        <v>6120</v>
      </c>
      <c r="H33" s="4"/>
      <c r="I33" s="480">
        <v>24</v>
      </c>
      <c r="J33" s="482">
        <v>8</v>
      </c>
      <c r="K33" s="483">
        <f t="shared" si="0"/>
        <v>1.6</v>
      </c>
      <c r="L33" s="479">
        <f t="shared" si="1"/>
        <v>0</v>
      </c>
      <c r="M33" s="479">
        <f t="shared" si="2"/>
        <v>0</v>
      </c>
      <c r="N33" s="479">
        <f t="shared" si="3"/>
        <v>0</v>
      </c>
    </row>
    <row r="34" spans="1:14">
      <c r="A34" s="479" t="s">
        <v>6121</v>
      </c>
      <c r="B34" s="480" t="s">
        <v>6112</v>
      </c>
      <c r="C34" s="480" t="s">
        <v>3242</v>
      </c>
      <c r="D34" s="481" t="s">
        <v>6122</v>
      </c>
      <c r="E34" s="480" t="s">
        <v>6123</v>
      </c>
      <c r="F34" s="479" t="s">
        <v>6101</v>
      </c>
      <c r="G34" s="479" t="s">
        <v>6123</v>
      </c>
      <c r="H34" s="4"/>
      <c r="I34" s="480">
        <v>24</v>
      </c>
      <c r="J34" s="482">
        <v>8</v>
      </c>
      <c r="K34" s="483">
        <f t="shared" si="0"/>
        <v>1.6</v>
      </c>
      <c r="L34" s="479">
        <f t="shared" si="1"/>
        <v>0</v>
      </c>
      <c r="M34" s="479">
        <f t="shared" si="2"/>
        <v>0</v>
      </c>
      <c r="N34" s="479">
        <f t="shared" si="3"/>
        <v>0</v>
      </c>
    </row>
    <row r="35" spans="1:14">
      <c r="A35" s="479" t="s">
        <v>6124</v>
      </c>
      <c r="B35" s="480" t="s">
        <v>6125</v>
      </c>
      <c r="C35" s="480" t="s">
        <v>3242</v>
      </c>
      <c r="D35" s="481" t="s">
        <v>6126</v>
      </c>
      <c r="E35" s="480" t="s">
        <v>6127</v>
      </c>
      <c r="F35" s="479" t="s">
        <v>6065</v>
      </c>
      <c r="G35" s="479" t="s">
        <v>6128</v>
      </c>
      <c r="H35" s="4"/>
      <c r="I35" s="480">
        <v>40</v>
      </c>
      <c r="J35" s="482">
        <v>40</v>
      </c>
      <c r="K35" s="483">
        <f t="shared" si="0"/>
        <v>8</v>
      </c>
      <c r="L35" s="479">
        <f t="shared" si="1"/>
        <v>0</v>
      </c>
      <c r="M35" s="479">
        <f t="shared" si="2"/>
        <v>0</v>
      </c>
      <c r="N35" s="479">
        <f t="shared" si="3"/>
        <v>0</v>
      </c>
    </row>
    <row r="36" spans="1:14" ht="29">
      <c r="A36" s="479" t="s">
        <v>6129</v>
      </c>
      <c r="B36" s="480" t="s">
        <v>7</v>
      </c>
      <c r="C36" s="480" t="s">
        <v>6052</v>
      </c>
      <c r="D36" s="481" t="s">
        <v>6130</v>
      </c>
      <c r="E36" s="480" t="s">
        <v>6131</v>
      </c>
      <c r="F36" s="479" t="s">
        <v>6060</v>
      </c>
      <c r="G36" s="479" t="s">
        <v>6131</v>
      </c>
      <c r="H36" s="4"/>
      <c r="I36" s="480">
        <v>40</v>
      </c>
      <c r="J36" s="482">
        <v>40</v>
      </c>
      <c r="K36" s="483">
        <f t="shared" si="0"/>
        <v>8</v>
      </c>
      <c r="L36" s="479">
        <f t="shared" si="1"/>
        <v>0</v>
      </c>
      <c r="M36" s="479">
        <f t="shared" si="2"/>
        <v>0</v>
      </c>
      <c r="N36" s="479">
        <f t="shared" si="3"/>
        <v>0</v>
      </c>
    </row>
    <row r="37" spans="1:14" ht="29">
      <c r="A37" s="479" t="s">
        <v>6132</v>
      </c>
      <c r="B37" s="480" t="s">
        <v>6133</v>
      </c>
      <c r="C37" s="480" t="s">
        <v>6052</v>
      </c>
      <c r="D37" s="481" t="s">
        <v>6134</v>
      </c>
      <c r="E37" s="480" t="s">
        <v>6135</v>
      </c>
      <c r="F37" s="479" t="s">
        <v>6055</v>
      </c>
      <c r="G37" s="479" t="s">
        <v>6136</v>
      </c>
      <c r="H37" s="4"/>
      <c r="I37" s="480">
        <v>0</v>
      </c>
      <c r="J37" s="482">
        <v>24</v>
      </c>
      <c r="K37" s="483">
        <f t="shared" si="0"/>
        <v>4.8000000000000007</v>
      </c>
      <c r="L37" s="479">
        <f t="shared" si="1"/>
        <v>0</v>
      </c>
      <c r="M37" s="479">
        <f t="shared" si="2"/>
        <v>0</v>
      </c>
      <c r="N37" s="479">
        <f t="shared" si="3"/>
        <v>0</v>
      </c>
    </row>
    <row r="38" spans="1:14">
      <c r="A38" s="479" t="s">
        <v>6137</v>
      </c>
      <c r="B38" s="480" t="s">
        <v>6133</v>
      </c>
      <c r="C38" s="480" t="s">
        <v>6052</v>
      </c>
      <c r="D38" s="481" t="s">
        <v>6138</v>
      </c>
      <c r="E38" s="480" t="s">
        <v>2141</v>
      </c>
      <c r="F38" s="479" t="s">
        <v>6055</v>
      </c>
      <c r="G38" s="479" t="s">
        <v>6139</v>
      </c>
      <c r="H38" s="4"/>
      <c r="I38" s="480">
        <v>0</v>
      </c>
      <c r="J38" s="482">
        <v>24</v>
      </c>
      <c r="K38" s="483">
        <f t="shared" si="0"/>
        <v>4.8000000000000007</v>
      </c>
      <c r="L38" s="479">
        <f t="shared" si="1"/>
        <v>0</v>
      </c>
      <c r="M38" s="479">
        <f t="shared" si="2"/>
        <v>0</v>
      </c>
      <c r="N38" s="479">
        <f t="shared" si="3"/>
        <v>0</v>
      </c>
    </row>
    <row r="39" spans="1:14" ht="29">
      <c r="A39" s="479" t="s">
        <v>6140</v>
      </c>
      <c r="B39" s="480" t="s">
        <v>6133</v>
      </c>
      <c r="C39" s="480" t="s">
        <v>6052</v>
      </c>
      <c r="D39" s="481" t="s">
        <v>6141</v>
      </c>
      <c r="E39" s="480" t="s">
        <v>6142</v>
      </c>
      <c r="F39" s="479" t="s">
        <v>6055</v>
      </c>
      <c r="G39" s="479" t="s">
        <v>6143</v>
      </c>
      <c r="H39" s="4"/>
      <c r="I39" s="480">
        <v>120</v>
      </c>
      <c r="J39" s="482">
        <v>120</v>
      </c>
      <c r="K39" s="483">
        <f t="shared" si="0"/>
        <v>24</v>
      </c>
      <c r="L39" s="479">
        <f t="shared" si="1"/>
        <v>0</v>
      </c>
      <c r="M39" s="479">
        <f t="shared" si="2"/>
        <v>0</v>
      </c>
      <c r="N39" s="479">
        <f t="shared" si="3"/>
        <v>0</v>
      </c>
    </row>
    <row r="40" spans="1:14" ht="29">
      <c r="A40" s="479" t="s">
        <v>6144</v>
      </c>
      <c r="B40" s="480" t="s">
        <v>6133</v>
      </c>
      <c r="C40" s="480" t="s">
        <v>6052</v>
      </c>
      <c r="D40" s="481" t="s">
        <v>6141</v>
      </c>
      <c r="E40" s="480" t="s">
        <v>6145</v>
      </c>
      <c r="F40" s="479" t="s">
        <v>6055</v>
      </c>
      <c r="G40" s="479" t="s">
        <v>6146</v>
      </c>
      <c r="H40" s="4"/>
      <c r="I40" s="480">
        <v>120</v>
      </c>
      <c r="J40" s="482">
        <v>120</v>
      </c>
      <c r="K40" s="483">
        <f t="shared" si="0"/>
        <v>24</v>
      </c>
      <c r="L40" s="479">
        <f t="shared" si="1"/>
        <v>0</v>
      </c>
      <c r="M40" s="479">
        <f t="shared" si="2"/>
        <v>0</v>
      </c>
      <c r="N40" s="479">
        <f t="shared" si="3"/>
        <v>0</v>
      </c>
    </row>
    <row r="41" spans="1:14" ht="29">
      <c r="A41" s="479" t="s">
        <v>6147</v>
      </c>
      <c r="B41" s="480" t="s">
        <v>6133</v>
      </c>
      <c r="C41" s="480" t="s">
        <v>6052</v>
      </c>
      <c r="D41" s="481" t="s">
        <v>6148</v>
      </c>
      <c r="E41" s="480" t="s">
        <v>6135</v>
      </c>
      <c r="F41" s="479" t="s">
        <v>6055</v>
      </c>
      <c r="G41" s="479" t="s">
        <v>6149</v>
      </c>
      <c r="H41" s="4"/>
      <c r="I41" s="480">
        <v>0</v>
      </c>
      <c r="J41" s="482">
        <v>16</v>
      </c>
      <c r="K41" s="483">
        <f t="shared" si="0"/>
        <v>3.2</v>
      </c>
      <c r="L41" s="479">
        <f t="shared" si="1"/>
        <v>0</v>
      </c>
      <c r="M41" s="479">
        <f t="shared" si="2"/>
        <v>0</v>
      </c>
      <c r="N41" s="479">
        <f t="shared" si="3"/>
        <v>0</v>
      </c>
    </row>
    <row r="42" spans="1:14" ht="29">
      <c r="A42" s="479" t="s">
        <v>6150</v>
      </c>
      <c r="B42" s="480" t="s">
        <v>6133</v>
      </c>
      <c r="C42" s="480" t="s">
        <v>6052</v>
      </c>
      <c r="D42" s="481" t="s">
        <v>6151</v>
      </c>
      <c r="E42" s="480" t="s">
        <v>6152</v>
      </c>
      <c r="F42" s="479" t="s">
        <v>6055</v>
      </c>
      <c r="G42" s="479" t="s">
        <v>6153</v>
      </c>
      <c r="H42" s="4"/>
      <c r="I42" s="480">
        <v>120</v>
      </c>
      <c r="J42" s="482">
        <v>120</v>
      </c>
      <c r="K42" s="483">
        <f t="shared" si="0"/>
        <v>24</v>
      </c>
      <c r="L42" s="479">
        <f t="shared" si="1"/>
        <v>0</v>
      </c>
      <c r="M42" s="479">
        <f t="shared" si="2"/>
        <v>0</v>
      </c>
      <c r="N42" s="479">
        <f t="shared" si="3"/>
        <v>0</v>
      </c>
    </row>
    <row r="43" spans="1:14" ht="29">
      <c r="A43" s="479" t="s">
        <v>6154</v>
      </c>
      <c r="B43" s="480" t="s">
        <v>6133</v>
      </c>
      <c r="C43" s="480" t="s">
        <v>6052</v>
      </c>
      <c r="D43" s="481" t="s">
        <v>6155</v>
      </c>
      <c r="E43" s="480" t="s">
        <v>6156</v>
      </c>
      <c r="F43" s="479" t="s">
        <v>6055</v>
      </c>
      <c r="G43" s="479" t="s">
        <v>6157</v>
      </c>
      <c r="H43" s="4"/>
      <c r="I43" s="480">
        <v>120</v>
      </c>
      <c r="J43" s="482">
        <v>120</v>
      </c>
      <c r="K43" s="483">
        <f t="shared" si="0"/>
        <v>24</v>
      </c>
      <c r="L43" s="479">
        <f t="shared" si="1"/>
        <v>0</v>
      </c>
      <c r="M43" s="479">
        <f t="shared" si="2"/>
        <v>0</v>
      </c>
      <c r="N43" s="479">
        <f t="shared" si="3"/>
        <v>0</v>
      </c>
    </row>
    <row r="44" spans="1:14">
      <c r="A44" s="479" t="s">
        <v>6158</v>
      </c>
      <c r="B44" s="480" t="s">
        <v>6133</v>
      </c>
      <c r="C44" s="480" t="s">
        <v>6052</v>
      </c>
      <c r="D44" s="481" t="s">
        <v>6159</v>
      </c>
      <c r="E44" s="480" t="s">
        <v>6160</v>
      </c>
      <c r="F44" s="479" t="s">
        <v>6055</v>
      </c>
      <c r="G44" s="479" t="s">
        <v>6161</v>
      </c>
      <c r="H44" s="4"/>
      <c r="I44" s="480">
        <v>120</v>
      </c>
      <c r="J44" s="482">
        <v>120</v>
      </c>
      <c r="K44" s="483">
        <f t="shared" si="0"/>
        <v>24</v>
      </c>
      <c r="L44" s="479">
        <f t="shared" si="1"/>
        <v>0</v>
      </c>
      <c r="M44" s="479">
        <f t="shared" si="2"/>
        <v>0</v>
      </c>
      <c r="N44" s="479">
        <f t="shared" si="3"/>
        <v>0</v>
      </c>
    </row>
    <row r="45" spans="1:14">
      <c r="A45" s="479" t="s">
        <v>6162</v>
      </c>
      <c r="B45" s="480" t="s">
        <v>6133</v>
      </c>
      <c r="C45" s="480" t="s">
        <v>6052</v>
      </c>
      <c r="D45" s="481" t="s">
        <v>6163</v>
      </c>
      <c r="E45" s="480" t="s">
        <v>6156</v>
      </c>
      <c r="F45" s="479" t="s">
        <v>6055</v>
      </c>
      <c r="G45" s="479" t="s">
        <v>6157</v>
      </c>
      <c r="H45" s="4"/>
      <c r="I45" s="480">
        <v>30</v>
      </c>
      <c r="J45" s="482">
        <v>30</v>
      </c>
      <c r="K45" s="483">
        <f t="shared" si="0"/>
        <v>6</v>
      </c>
      <c r="L45" s="479">
        <f t="shared" si="1"/>
        <v>0</v>
      </c>
      <c r="M45" s="479">
        <f t="shared" si="2"/>
        <v>0</v>
      </c>
      <c r="N45" s="479">
        <f t="shared" si="3"/>
        <v>0</v>
      </c>
    </row>
    <row r="46" spans="1:14" ht="29">
      <c r="A46" s="479" t="s">
        <v>6164</v>
      </c>
      <c r="B46" s="480" t="s">
        <v>6133</v>
      </c>
      <c r="C46" s="480" t="s">
        <v>6052</v>
      </c>
      <c r="D46" s="481" t="s">
        <v>6165</v>
      </c>
      <c r="E46" s="480" t="s">
        <v>6166</v>
      </c>
      <c r="F46" s="479" t="s">
        <v>6055</v>
      </c>
      <c r="G46" s="479" t="s">
        <v>6166</v>
      </c>
      <c r="H46" s="4"/>
      <c r="I46" s="480">
        <v>120</v>
      </c>
      <c r="J46" s="482">
        <v>120</v>
      </c>
      <c r="K46" s="483">
        <f t="shared" si="0"/>
        <v>24</v>
      </c>
      <c r="L46" s="479">
        <f t="shared" si="1"/>
        <v>0</v>
      </c>
      <c r="M46" s="479">
        <f t="shared" si="2"/>
        <v>0</v>
      </c>
      <c r="N46" s="479">
        <f t="shared" si="3"/>
        <v>0</v>
      </c>
    </row>
    <row r="47" spans="1:14" ht="29">
      <c r="A47" s="479" t="s">
        <v>6167</v>
      </c>
      <c r="B47" s="480" t="s">
        <v>6133</v>
      </c>
      <c r="C47" s="480" t="s">
        <v>6052</v>
      </c>
      <c r="D47" s="481" t="s">
        <v>6168</v>
      </c>
      <c r="E47" s="480" t="s">
        <v>6169</v>
      </c>
      <c r="F47" s="479" t="s">
        <v>6055</v>
      </c>
      <c r="G47" s="479" t="s">
        <v>6170</v>
      </c>
      <c r="H47" s="4"/>
      <c r="I47" s="480">
        <v>120</v>
      </c>
      <c r="J47" s="482">
        <v>120</v>
      </c>
      <c r="K47" s="483">
        <f t="shared" si="0"/>
        <v>24</v>
      </c>
      <c r="L47" s="479">
        <f t="shared" si="1"/>
        <v>0</v>
      </c>
      <c r="M47" s="479">
        <f t="shared" si="2"/>
        <v>0</v>
      </c>
      <c r="N47" s="479">
        <f t="shared" si="3"/>
        <v>0</v>
      </c>
    </row>
    <row r="48" spans="1:14" ht="29">
      <c r="A48" s="481" t="s">
        <v>6171</v>
      </c>
      <c r="B48" s="480" t="s">
        <v>6133</v>
      </c>
      <c r="C48" s="480" t="s">
        <v>6052</v>
      </c>
      <c r="D48" s="481" t="s">
        <v>6172</v>
      </c>
      <c r="E48" s="480" t="s">
        <v>2141</v>
      </c>
      <c r="F48" s="479" t="s">
        <v>6055</v>
      </c>
      <c r="G48" s="479" t="s">
        <v>6173</v>
      </c>
      <c r="H48" s="4"/>
      <c r="I48" s="480">
        <v>0</v>
      </c>
      <c r="J48" s="482">
        <v>4</v>
      </c>
      <c r="K48" s="483">
        <f t="shared" si="0"/>
        <v>0.8</v>
      </c>
      <c r="L48" s="479">
        <f t="shared" si="1"/>
        <v>0</v>
      </c>
      <c r="M48" s="479">
        <f t="shared" si="2"/>
        <v>0</v>
      </c>
      <c r="N48" s="479">
        <f t="shared" si="3"/>
        <v>0</v>
      </c>
    </row>
    <row r="49" spans="1:14" ht="29">
      <c r="A49" s="481" t="s">
        <v>6174</v>
      </c>
      <c r="B49" s="480" t="s">
        <v>6175</v>
      </c>
      <c r="C49" s="480" t="s">
        <v>6052</v>
      </c>
      <c r="D49" s="481" t="s">
        <v>6176</v>
      </c>
      <c r="E49" s="480" t="s">
        <v>6177</v>
      </c>
      <c r="F49" s="479" t="s">
        <v>6060</v>
      </c>
      <c r="G49" s="479" t="s">
        <v>6178</v>
      </c>
      <c r="H49" s="4"/>
      <c r="I49" s="480">
        <v>40</v>
      </c>
      <c r="J49" s="482">
        <v>40</v>
      </c>
      <c r="K49" s="483">
        <f t="shared" si="0"/>
        <v>8</v>
      </c>
      <c r="L49" s="479">
        <f t="shared" si="1"/>
        <v>0</v>
      </c>
      <c r="M49" s="479">
        <f t="shared" si="2"/>
        <v>0</v>
      </c>
      <c r="N49" s="479">
        <f t="shared" si="3"/>
        <v>0</v>
      </c>
    </row>
    <row r="50" spans="1:14" ht="29">
      <c r="A50" s="479" t="s">
        <v>6179</v>
      </c>
      <c r="B50" s="480" t="s">
        <v>385</v>
      </c>
      <c r="C50" s="480" t="s">
        <v>6052</v>
      </c>
      <c r="D50" s="481" t="s">
        <v>6180</v>
      </c>
      <c r="E50" s="480" t="s">
        <v>385</v>
      </c>
      <c r="F50" s="479" t="s">
        <v>6060</v>
      </c>
      <c r="G50" s="479" t="s">
        <v>385</v>
      </c>
      <c r="H50" s="4"/>
      <c r="I50" s="480">
        <v>40</v>
      </c>
      <c r="J50" s="482">
        <v>40</v>
      </c>
      <c r="K50" s="483">
        <f t="shared" si="0"/>
        <v>8</v>
      </c>
      <c r="L50" s="479">
        <f t="shared" si="1"/>
        <v>0</v>
      </c>
      <c r="M50" s="479">
        <f t="shared" si="2"/>
        <v>0</v>
      </c>
      <c r="N50" s="479">
        <f t="shared" si="3"/>
        <v>0</v>
      </c>
    </row>
    <row r="51" spans="1:14" ht="29">
      <c r="A51" s="479" t="s">
        <v>6181</v>
      </c>
      <c r="B51" s="480" t="s">
        <v>6182</v>
      </c>
      <c r="C51" s="480" t="s">
        <v>3242</v>
      </c>
      <c r="D51" s="481" t="s">
        <v>6183</v>
      </c>
      <c r="E51" s="480" t="s">
        <v>6108</v>
      </c>
      <c r="F51" s="479" t="s">
        <v>6101</v>
      </c>
      <c r="G51" s="479" t="s">
        <v>6108</v>
      </c>
      <c r="H51" s="4"/>
      <c r="I51" s="480">
        <v>20</v>
      </c>
      <c r="J51" s="482">
        <v>8</v>
      </c>
      <c r="K51" s="483">
        <f t="shared" si="0"/>
        <v>1.6</v>
      </c>
      <c r="L51" s="479">
        <f t="shared" si="1"/>
        <v>0</v>
      </c>
      <c r="M51" s="479">
        <f t="shared" si="2"/>
        <v>0</v>
      </c>
      <c r="N51" s="479">
        <f t="shared" si="3"/>
        <v>0</v>
      </c>
    </row>
    <row r="52" spans="1:14" ht="29">
      <c r="A52" s="479" t="s">
        <v>6184</v>
      </c>
      <c r="B52" s="480" t="s">
        <v>6182</v>
      </c>
      <c r="C52" s="480" t="s">
        <v>3242</v>
      </c>
      <c r="D52" s="481" t="s">
        <v>6185</v>
      </c>
      <c r="E52" s="480" t="s">
        <v>6100</v>
      </c>
      <c r="F52" s="479" t="s">
        <v>6101</v>
      </c>
      <c r="G52" s="479" t="s">
        <v>6100</v>
      </c>
      <c r="H52" s="4"/>
      <c r="I52" s="480">
        <v>20</v>
      </c>
      <c r="J52" s="482">
        <v>8</v>
      </c>
      <c r="K52" s="483">
        <f t="shared" si="0"/>
        <v>1.6</v>
      </c>
      <c r="L52" s="479">
        <f t="shared" si="1"/>
        <v>0</v>
      </c>
      <c r="M52" s="479">
        <f t="shared" si="2"/>
        <v>0</v>
      </c>
      <c r="N52" s="479">
        <f t="shared" si="3"/>
        <v>0</v>
      </c>
    </row>
    <row r="53" spans="1:14" ht="29">
      <c r="A53" s="479" t="s">
        <v>6186</v>
      </c>
      <c r="B53" s="480" t="s">
        <v>6182</v>
      </c>
      <c r="C53" s="480" t="s">
        <v>3242</v>
      </c>
      <c r="D53" s="481" t="s">
        <v>6183</v>
      </c>
      <c r="E53" s="480" t="s">
        <v>6100</v>
      </c>
      <c r="F53" s="479" t="s">
        <v>6101</v>
      </c>
      <c r="G53" s="479" t="s">
        <v>6100</v>
      </c>
      <c r="H53" s="4"/>
      <c r="I53" s="480">
        <v>20</v>
      </c>
      <c r="J53" s="482">
        <v>8</v>
      </c>
      <c r="K53" s="483">
        <f t="shared" si="0"/>
        <v>1.6</v>
      </c>
      <c r="L53" s="479">
        <f t="shared" si="1"/>
        <v>0</v>
      </c>
      <c r="M53" s="479">
        <f t="shared" si="2"/>
        <v>0</v>
      </c>
      <c r="N53" s="479">
        <f t="shared" si="3"/>
        <v>0</v>
      </c>
    </row>
    <row r="54" spans="1:14" ht="29">
      <c r="A54" s="479" t="s">
        <v>6187</v>
      </c>
      <c r="B54" s="480" t="s">
        <v>6182</v>
      </c>
      <c r="C54" s="480" t="s">
        <v>3242</v>
      </c>
      <c r="D54" s="481" t="s">
        <v>6185</v>
      </c>
      <c r="E54" s="480" t="s">
        <v>6188</v>
      </c>
      <c r="F54" s="479" t="s">
        <v>6101</v>
      </c>
      <c r="G54" s="479" t="s">
        <v>6188</v>
      </c>
      <c r="H54" s="4"/>
      <c r="I54" s="480">
        <v>20</v>
      </c>
      <c r="J54" s="482">
        <v>8</v>
      </c>
      <c r="K54" s="483">
        <f t="shared" si="0"/>
        <v>1.6</v>
      </c>
      <c r="L54" s="479">
        <f t="shared" si="1"/>
        <v>0</v>
      </c>
      <c r="M54" s="479">
        <f t="shared" si="2"/>
        <v>0</v>
      </c>
      <c r="N54" s="479">
        <f t="shared" si="3"/>
        <v>0</v>
      </c>
    </row>
    <row r="55" spans="1:14" ht="29">
      <c r="A55" s="479" t="s">
        <v>6189</v>
      </c>
      <c r="B55" s="480" t="s">
        <v>6182</v>
      </c>
      <c r="C55" s="480" t="s">
        <v>3242</v>
      </c>
      <c r="D55" s="481" t="s">
        <v>6183</v>
      </c>
      <c r="E55" s="480" t="s">
        <v>6188</v>
      </c>
      <c r="F55" s="479" t="s">
        <v>6101</v>
      </c>
      <c r="G55" s="479" t="s">
        <v>6188</v>
      </c>
      <c r="H55" s="4"/>
      <c r="I55" s="480">
        <v>20</v>
      </c>
      <c r="J55" s="482">
        <v>8</v>
      </c>
      <c r="K55" s="483">
        <f t="shared" si="0"/>
        <v>1.6</v>
      </c>
      <c r="L55" s="479">
        <f t="shared" si="1"/>
        <v>0</v>
      </c>
      <c r="M55" s="479">
        <f t="shared" si="2"/>
        <v>0</v>
      </c>
      <c r="N55" s="479">
        <f t="shared" si="3"/>
        <v>0</v>
      </c>
    </row>
    <row r="56" spans="1:14" ht="29">
      <c r="A56" s="479" t="s">
        <v>6190</v>
      </c>
      <c r="B56" s="480" t="s">
        <v>6182</v>
      </c>
      <c r="C56" s="480" t="s">
        <v>3242</v>
      </c>
      <c r="D56" s="481" t="s">
        <v>6185</v>
      </c>
      <c r="E56" s="480" t="s">
        <v>6106</v>
      </c>
      <c r="F56" s="479" t="s">
        <v>6101</v>
      </c>
      <c r="G56" s="479" t="s">
        <v>6106</v>
      </c>
      <c r="H56" s="4"/>
      <c r="I56" s="480">
        <v>20</v>
      </c>
      <c r="J56" s="482">
        <v>8</v>
      </c>
      <c r="K56" s="483">
        <f t="shared" si="0"/>
        <v>1.6</v>
      </c>
      <c r="L56" s="479">
        <f t="shared" si="1"/>
        <v>0</v>
      </c>
      <c r="M56" s="479">
        <f t="shared" si="2"/>
        <v>0</v>
      </c>
      <c r="N56" s="479">
        <f t="shared" si="3"/>
        <v>0</v>
      </c>
    </row>
    <row r="57" spans="1:14" ht="29">
      <c r="A57" s="479" t="s">
        <v>6191</v>
      </c>
      <c r="B57" s="480" t="s">
        <v>6182</v>
      </c>
      <c r="C57" s="480" t="s">
        <v>3242</v>
      </c>
      <c r="D57" s="481" t="s">
        <v>6183</v>
      </c>
      <c r="E57" s="480" t="s">
        <v>6106</v>
      </c>
      <c r="F57" s="479" t="s">
        <v>6101</v>
      </c>
      <c r="G57" s="479" t="s">
        <v>6106</v>
      </c>
      <c r="H57" s="4"/>
      <c r="I57" s="480">
        <v>20</v>
      </c>
      <c r="J57" s="482">
        <v>8</v>
      </c>
      <c r="K57" s="483">
        <f t="shared" si="0"/>
        <v>1.6</v>
      </c>
      <c r="L57" s="479">
        <f t="shared" si="1"/>
        <v>0</v>
      </c>
      <c r="M57" s="479">
        <f t="shared" si="2"/>
        <v>0</v>
      </c>
      <c r="N57" s="479">
        <f t="shared" si="3"/>
        <v>0</v>
      </c>
    </row>
    <row r="58" spans="1:14" ht="29">
      <c r="A58" s="479" t="s">
        <v>6192</v>
      </c>
      <c r="B58" s="480" t="s">
        <v>6182</v>
      </c>
      <c r="C58" s="480" t="s">
        <v>3242</v>
      </c>
      <c r="D58" s="481" t="s">
        <v>6183</v>
      </c>
      <c r="E58" s="480" t="s">
        <v>6193</v>
      </c>
      <c r="F58" s="479" t="s">
        <v>6101</v>
      </c>
      <c r="G58" s="479" t="s">
        <v>6193</v>
      </c>
      <c r="H58" s="4"/>
      <c r="I58" s="480">
        <v>20</v>
      </c>
      <c r="J58" s="482">
        <v>8</v>
      </c>
      <c r="K58" s="483">
        <f t="shared" si="0"/>
        <v>1.6</v>
      </c>
      <c r="L58" s="479">
        <f t="shared" si="1"/>
        <v>0</v>
      </c>
      <c r="M58" s="479">
        <f t="shared" si="2"/>
        <v>0</v>
      </c>
      <c r="N58" s="479">
        <f t="shared" si="3"/>
        <v>0</v>
      </c>
    </row>
    <row r="59" spans="1:14" ht="29">
      <c r="A59" s="479" t="s">
        <v>6194</v>
      </c>
      <c r="B59" s="480" t="s">
        <v>6182</v>
      </c>
      <c r="C59" s="480" t="s">
        <v>3242</v>
      </c>
      <c r="D59" s="481" t="s">
        <v>6185</v>
      </c>
      <c r="E59" s="480" t="s">
        <v>6195</v>
      </c>
      <c r="F59" s="479" t="s">
        <v>6101</v>
      </c>
      <c r="G59" s="479" t="s">
        <v>6195</v>
      </c>
      <c r="H59" s="4"/>
      <c r="I59" s="480">
        <v>20</v>
      </c>
      <c r="J59" s="482">
        <v>8</v>
      </c>
      <c r="K59" s="483">
        <f t="shared" si="0"/>
        <v>1.6</v>
      </c>
      <c r="L59" s="479">
        <f t="shared" si="1"/>
        <v>0</v>
      </c>
      <c r="M59" s="479">
        <f t="shared" si="2"/>
        <v>0</v>
      </c>
      <c r="N59" s="479">
        <f t="shared" si="3"/>
        <v>0</v>
      </c>
    </row>
    <row r="60" spans="1:14" ht="29">
      <c r="A60" s="479" t="s">
        <v>6196</v>
      </c>
      <c r="B60" s="480" t="s">
        <v>6182</v>
      </c>
      <c r="C60" s="480" t="s">
        <v>3242</v>
      </c>
      <c r="D60" s="481" t="s">
        <v>6183</v>
      </c>
      <c r="E60" s="480" t="s">
        <v>6195</v>
      </c>
      <c r="F60" s="479" t="s">
        <v>6101</v>
      </c>
      <c r="G60" s="479" t="s">
        <v>6195</v>
      </c>
      <c r="H60" s="4"/>
      <c r="I60" s="480">
        <v>20</v>
      </c>
      <c r="J60" s="482">
        <v>8</v>
      </c>
      <c r="K60" s="483">
        <f t="shared" si="0"/>
        <v>1.6</v>
      </c>
      <c r="L60" s="479">
        <f t="shared" si="1"/>
        <v>0</v>
      </c>
      <c r="M60" s="479">
        <f t="shared" si="2"/>
        <v>0</v>
      </c>
      <c r="N60" s="479">
        <f t="shared" si="3"/>
        <v>0</v>
      </c>
    </row>
    <row r="61" spans="1:14" ht="29">
      <c r="A61" s="479" t="s">
        <v>6197</v>
      </c>
      <c r="B61" s="480" t="s">
        <v>6182</v>
      </c>
      <c r="C61" s="480" t="s">
        <v>3242</v>
      </c>
      <c r="D61" s="481" t="s">
        <v>6183</v>
      </c>
      <c r="E61" s="480" t="s">
        <v>6103</v>
      </c>
      <c r="F61" s="479" t="s">
        <v>6101</v>
      </c>
      <c r="G61" s="479" t="s">
        <v>6104</v>
      </c>
      <c r="H61" s="4"/>
      <c r="I61" s="480">
        <v>20</v>
      </c>
      <c r="J61" s="482">
        <v>8</v>
      </c>
      <c r="K61" s="483">
        <f t="shared" si="0"/>
        <v>1.6</v>
      </c>
      <c r="L61" s="479">
        <f t="shared" si="1"/>
        <v>0</v>
      </c>
      <c r="M61" s="479">
        <f t="shared" si="2"/>
        <v>0</v>
      </c>
      <c r="N61" s="479">
        <f t="shared" si="3"/>
        <v>0</v>
      </c>
    </row>
    <row r="62" spans="1:14" ht="29">
      <c r="A62" s="479" t="s">
        <v>6198</v>
      </c>
      <c r="B62" s="480" t="s">
        <v>6182</v>
      </c>
      <c r="C62" s="480" t="s">
        <v>3242</v>
      </c>
      <c r="D62" s="481" t="s">
        <v>6185</v>
      </c>
      <c r="E62" s="480" t="s">
        <v>6104</v>
      </c>
      <c r="F62" s="479" t="s">
        <v>6101</v>
      </c>
      <c r="G62" s="479" t="s">
        <v>6104</v>
      </c>
      <c r="H62" s="4"/>
      <c r="I62" s="480">
        <v>20</v>
      </c>
      <c r="J62" s="482">
        <v>8</v>
      </c>
      <c r="K62" s="483">
        <f t="shared" si="0"/>
        <v>1.6</v>
      </c>
      <c r="L62" s="479">
        <f t="shared" si="1"/>
        <v>0</v>
      </c>
      <c r="M62" s="479">
        <f t="shared" si="2"/>
        <v>0</v>
      </c>
      <c r="N62" s="479">
        <f t="shared" si="3"/>
        <v>0</v>
      </c>
    </row>
    <row r="63" spans="1:14" ht="29">
      <c r="A63" s="479" t="s">
        <v>6199</v>
      </c>
      <c r="B63" s="480" t="s">
        <v>6182</v>
      </c>
      <c r="C63" s="480" t="s">
        <v>3242</v>
      </c>
      <c r="D63" s="481" t="s">
        <v>6185</v>
      </c>
      <c r="E63" s="480" t="s">
        <v>6110</v>
      </c>
      <c r="F63" s="479" t="s">
        <v>6101</v>
      </c>
      <c r="G63" s="479" t="s">
        <v>6110</v>
      </c>
      <c r="H63" s="4"/>
      <c r="I63" s="480">
        <v>20</v>
      </c>
      <c r="J63" s="482">
        <v>8</v>
      </c>
      <c r="K63" s="483">
        <f t="shared" si="0"/>
        <v>1.6</v>
      </c>
      <c r="L63" s="479">
        <f t="shared" si="1"/>
        <v>0</v>
      </c>
      <c r="M63" s="479">
        <f t="shared" si="2"/>
        <v>0</v>
      </c>
      <c r="N63" s="479">
        <f t="shared" si="3"/>
        <v>0</v>
      </c>
    </row>
    <row r="64" spans="1:14">
      <c r="A64" s="479" t="s">
        <v>6200</v>
      </c>
      <c r="B64" s="480" t="s">
        <v>6201</v>
      </c>
      <c r="C64" s="480" t="s">
        <v>6052</v>
      </c>
      <c r="D64" s="481" t="s">
        <v>6202</v>
      </c>
      <c r="E64" s="480" t="s">
        <v>6200</v>
      </c>
      <c r="F64" s="479" t="s">
        <v>6060</v>
      </c>
      <c r="G64" s="479" t="s">
        <v>6200</v>
      </c>
      <c r="H64" s="4"/>
      <c r="I64" s="480">
        <v>40</v>
      </c>
      <c r="J64" s="482">
        <v>40</v>
      </c>
      <c r="K64" s="483">
        <f t="shared" si="0"/>
        <v>8</v>
      </c>
      <c r="L64" s="479">
        <f t="shared" si="1"/>
        <v>0</v>
      </c>
      <c r="M64" s="479">
        <f t="shared" si="2"/>
        <v>0</v>
      </c>
      <c r="N64" s="479">
        <f t="shared" si="3"/>
        <v>0</v>
      </c>
    </row>
    <row r="65" spans="1:14" ht="29">
      <c r="A65" s="479" t="s">
        <v>6203</v>
      </c>
      <c r="B65" s="480" t="s">
        <v>6201</v>
      </c>
      <c r="C65" s="480" t="s">
        <v>6052</v>
      </c>
      <c r="D65" s="481" t="s">
        <v>6204</v>
      </c>
      <c r="E65" s="480" t="s">
        <v>6205</v>
      </c>
      <c r="F65" s="479" t="s">
        <v>6060</v>
      </c>
      <c r="G65" s="479" t="s">
        <v>6205</v>
      </c>
      <c r="H65" s="4"/>
      <c r="I65" s="480">
        <v>40</v>
      </c>
      <c r="J65" s="482">
        <v>40</v>
      </c>
      <c r="K65" s="483">
        <f t="shared" si="0"/>
        <v>8</v>
      </c>
      <c r="L65" s="479">
        <f t="shared" si="1"/>
        <v>0</v>
      </c>
      <c r="M65" s="479">
        <f t="shared" si="2"/>
        <v>0</v>
      </c>
      <c r="N65" s="479">
        <f t="shared" si="3"/>
        <v>0</v>
      </c>
    </row>
    <row r="66" spans="1:14" ht="29">
      <c r="A66" s="479" t="s">
        <v>6206</v>
      </c>
      <c r="B66" s="480" t="s">
        <v>6201</v>
      </c>
      <c r="C66" s="480" t="s">
        <v>6052</v>
      </c>
      <c r="D66" s="481" t="s">
        <v>6207</v>
      </c>
      <c r="E66" s="480" t="s">
        <v>6208</v>
      </c>
      <c r="F66" s="479" t="s">
        <v>6060</v>
      </c>
      <c r="G66" s="479" t="s">
        <v>6208</v>
      </c>
      <c r="H66" s="4"/>
      <c r="I66" s="480">
        <v>40</v>
      </c>
      <c r="J66" s="482">
        <v>40</v>
      </c>
      <c r="K66" s="483">
        <f t="shared" si="0"/>
        <v>8</v>
      </c>
      <c r="L66" s="479">
        <f t="shared" si="1"/>
        <v>0</v>
      </c>
      <c r="M66" s="479">
        <f t="shared" si="2"/>
        <v>0</v>
      </c>
      <c r="N66" s="479">
        <f t="shared" si="3"/>
        <v>0</v>
      </c>
    </row>
    <row r="67" spans="1:14">
      <c r="A67" s="479" t="s">
        <v>6209</v>
      </c>
      <c r="B67" s="480" t="s">
        <v>6201</v>
      </c>
      <c r="C67" s="480" t="s">
        <v>6052</v>
      </c>
      <c r="D67" s="481" t="s">
        <v>6210</v>
      </c>
      <c r="E67" s="480" t="s">
        <v>6211</v>
      </c>
      <c r="F67" s="479" t="s">
        <v>6060</v>
      </c>
      <c r="G67" s="479" t="s">
        <v>6211</v>
      </c>
      <c r="H67" s="4"/>
      <c r="I67" s="480">
        <v>60</v>
      </c>
      <c r="J67" s="482">
        <v>40</v>
      </c>
      <c r="K67" s="483">
        <f t="shared" si="0"/>
        <v>8</v>
      </c>
      <c r="L67" s="479">
        <f t="shared" si="1"/>
        <v>0</v>
      </c>
      <c r="M67" s="479">
        <f t="shared" si="2"/>
        <v>0</v>
      </c>
      <c r="N67" s="479">
        <f t="shared" si="3"/>
        <v>0</v>
      </c>
    </row>
    <row r="68" spans="1:14" ht="29">
      <c r="A68" s="479" t="s">
        <v>6212</v>
      </c>
      <c r="B68" s="480" t="s">
        <v>6201</v>
      </c>
      <c r="C68" s="480" t="s">
        <v>6052</v>
      </c>
      <c r="D68" s="481" t="s">
        <v>6213</v>
      </c>
      <c r="E68" s="480" t="s">
        <v>6214</v>
      </c>
      <c r="F68" s="479" t="s">
        <v>6060</v>
      </c>
      <c r="G68" s="479" t="s">
        <v>6214</v>
      </c>
      <c r="H68" s="4"/>
      <c r="I68" s="480">
        <v>200</v>
      </c>
      <c r="J68" s="482">
        <v>80</v>
      </c>
      <c r="K68" s="483">
        <f t="shared" si="0"/>
        <v>16</v>
      </c>
      <c r="L68" s="479">
        <f t="shared" si="1"/>
        <v>0</v>
      </c>
      <c r="M68" s="479">
        <f t="shared" si="2"/>
        <v>0</v>
      </c>
      <c r="N68" s="479">
        <f t="shared" si="3"/>
        <v>0</v>
      </c>
    </row>
    <row r="69" spans="1:14">
      <c r="A69" s="479" t="s">
        <v>6215</v>
      </c>
      <c r="B69" s="480" t="s">
        <v>6201</v>
      </c>
      <c r="C69" s="480" t="s">
        <v>6052</v>
      </c>
      <c r="D69" s="481" t="s">
        <v>6216</v>
      </c>
      <c r="E69" s="480" t="s">
        <v>6205</v>
      </c>
      <c r="F69" s="479" t="s">
        <v>6060</v>
      </c>
      <c r="G69" s="479" t="s">
        <v>6217</v>
      </c>
      <c r="H69" s="4"/>
      <c r="I69" s="480">
        <v>120</v>
      </c>
      <c r="J69" s="482">
        <v>80</v>
      </c>
      <c r="K69" s="483">
        <f t="shared" si="0"/>
        <v>16</v>
      </c>
      <c r="L69" s="479">
        <f t="shared" si="1"/>
        <v>0</v>
      </c>
      <c r="M69" s="479">
        <f t="shared" si="2"/>
        <v>0</v>
      </c>
      <c r="N69" s="479">
        <f t="shared" si="3"/>
        <v>0</v>
      </c>
    </row>
    <row r="70" spans="1:14">
      <c r="A70" s="479" t="s">
        <v>6218</v>
      </c>
      <c r="B70" s="480" t="s">
        <v>6201</v>
      </c>
      <c r="C70" s="480" t="s">
        <v>6052</v>
      </c>
      <c r="D70" s="481" t="s">
        <v>6216</v>
      </c>
      <c r="E70" s="480" t="s">
        <v>6219</v>
      </c>
      <c r="F70" s="479" t="s">
        <v>6060</v>
      </c>
      <c r="G70" s="479" t="s">
        <v>6219</v>
      </c>
      <c r="H70" s="4"/>
      <c r="I70" s="480">
        <v>120</v>
      </c>
      <c r="J70" s="482">
        <v>80</v>
      </c>
      <c r="K70" s="483">
        <f t="shared" si="0"/>
        <v>16</v>
      </c>
      <c r="L70" s="479">
        <f t="shared" si="1"/>
        <v>0</v>
      </c>
      <c r="M70" s="479">
        <f t="shared" si="2"/>
        <v>0</v>
      </c>
      <c r="N70" s="479">
        <f t="shared" si="3"/>
        <v>0</v>
      </c>
    </row>
    <row r="71" spans="1:14" ht="29">
      <c r="A71" s="479" t="s">
        <v>6220</v>
      </c>
      <c r="B71" s="480" t="s">
        <v>6201</v>
      </c>
      <c r="C71" s="480" t="s">
        <v>6052</v>
      </c>
      <c r="D71" s="481" t="s">
        <v>6221</v>
      </c>
      <c r="E71" s="480" t="s">
        <v>6220</v>
      </c>
      <c r="F71" s="479" t="s">
        <v>6060</v>
      </c>
      <c r="G71" s="479" t="s">
        <v>6220</v>
      </c>
      <c r="H71" s="4"/>
      <c r="I71" s="480">
        <v>40</v>
      </c>
      <c r="J71" s="482">
        <v>40</v>
      </c>
      <c r="K71" s="483">
        <f t="shared" si="0"/>
        <v>8</v>
      </c>
      <c r="L71" s="479">
        <f t="shared" si="1"/>
        <v>0</v>
      </c>
      <c r="M71" s="479">
        <f t="shared" si="2"/>
        <v>0</v>
      </c>
      <c r="N71" s="479">
        <f t="shared" si="3"/>
        <v>0</v>
      </c>
    </row>
    <row r="72" spans="1:14">
      <c r="A72" s="479" t="s">
        <v>6222</v>
      </c>
      <c r="B72" s="480" t="s">
        <v>6223</v>
      </c>
      <c r="C72" s="480" t="s">
        <v>6052</v>
      </c>
      <c r="D72" s="481" t="s">
        <v>6224</v>
      </c>
      <c r="E72" s="480" t="s">
        <v>6225</v>
      </c>
      <c r="F72" s="479" t="s">
        <v>6060</v>
      </c>
      <c r="G72" s="479" t="s">
        <v>6225</v>
      </c>
      <c r="H72" s="4"/>
      <c r="I72" s="480">
        <v>0</v>
      </c>
      <c r="J72" s="482">
        <v>16</v>
      </c>
      <c r="K72" s="483">
        <f t="shared" si="0"/>
        <v>3.2</v>
      </c>
      <c r="L72" s="479">
        <f t="shared" si="1"/>
        <v>0</v>
      </c>
      <c r="M72" s="479">
        <f t="shared" si="2"/>
        <v>0</v>
      </c>
      <c r="N72" s="479">
        <f t="shared" si="3"/>
        <v>0</v>
      </c>
    </row>
    <row r="73" spans="1:14">
      <c r="A73" s="479" t="s">
        <v>6226</v>
      </c>
      <c r="B73" s="480" t="s">
        <v>6226</v>
      </c>
      <c r="C73" s="480" t="s">
        <v>3242</v>
      </c>
      <c r="D73" s="481" t="s">
        <v>6227</v>
      </c>
      <c r="E73" s="480" t="s">
        <v>6228</v>
      </c>
      <c r="F73" s="479" t="s">
        <v>6229</v>
      </c>
      <c r="G73" s="479" t="s">
        <v>6230</v>
      </c>
      <c r="H73" s="4"/>
      <c r="I73" s="480">
        <v>8</v>
      </c>
      <c r="J73" s="482">
        <v>8</v>
      </c>
      <c r="K73" s="483">
        <f t="shared" si="0"/>
        <v>1.6</v>
      </c>
      <c r="L73" s="479">
        <f t="shared" si="1"/>
        <v>0</v>
      </c>
      <c r="M73" s="479">
        <f t="shared" si="2"/>
        <v>0</v>
      </c>
      <c r="N73" s="479">
        <f t="shared" si="3"/>
        <v>0</v>
      </c>
    </row>
  </sheetData>
  <sheetProtection algorithmName="SHA-512" hashValue="XPrTYWC6PaOVRjVpQoKvoG43MrwRWyKMoNaTp7s6GjQREJ157k4Ev9p8mqXL8Q8nPfCrgsmBK8x/1d3oNMR71w==" saltValue="bwA0aDhCgXOCCOthOYgMeQ==" spinCount="100000" sheet="1" objects="1" scenarios="1"/>
  <autoFilter ref="A11:K73" xr:uid="{00000000-0009-0000-0000-000000000000}">
    <sortState xmlns:xlrd2="http://schemas.microsoft.com/office/spreadsheetml/2017/richdata2" ref="A12:K74">
      <sortCondition ref="B12"/>
    </sortState>
  </autoFilter>
  <mergeCells count="2">
    <mergeCell ref="B5:E5"/>
    <mergeCell ref="B1:E3"/>
  </mergeCells>
  <dataValidations count="1">
    <dataValidation type="list" allowBlank="1" showInputMessage="1" showErrorMessage="1" sqref="H12:H73" xr:uid="{90FB5050-FF9D-4E61-BF2B-9C099076EA1D}">
      <formula1>"Yes,No"</formula1>
    </dataValidation>
  </dataValidations>
  <pageMargins left="0.511811024" right="0.511811024" top="0.78740157499999996" bottom="0.78740157499999996" header="0.31496062000000002" footer="0.31496062000000002"/>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W763"/>
  <sheetViews>
    <sheetView showGridLines="0" topLeftCell="A2" zoomScale="80" zoomScaleNormal="80" workbookViewId="0">
      <selection activeCell="B25" sqref="B25"/>
    </sheetView>
  </sheetViews>
  <sheetFormatPr defaultColWidth="9.1796875" defaultRowHeight="14.5"/>
  <cols>
    <col min="1" max="1" width="3.81640625" style="198" customWidth="1"/>
    <col min="2" max="2" width="39.54296875" bestFit="1" customWidth="1"/>
    <col min="3" max="3" width="11.7265625" style="328" bestFit="1" customWidth="1"/>
    <col min="4" max="4" width="26.54296875" bestFit="1" customWidth="1"/>
    <col min="5" max="5" width="20.7265625" bestFit="1" customWidth="1"/>
    <col min="6" max="6" width="28.7265625" customWidth="1"/>
    <col min="7" max="7" width="27.1796875" bestFit="1" customWidth="1"/>
    <col min="8" max="14" width="11.26953125" customWidth="1"/>
    <col min="15" max="15" width="62.1796875" customWidth="1"/>
    <col min="16" max="16" width="10.7265625" customWidth="1"/>
    <col min="17" max="17" width="15.453125" customWidth="1"/>
    <col min="18" max="18" width="21.26953125" customWidth="1"/>
    <col min="19" max="19" width="14.81640625" bestFit="1" customWidth="1"/>
    <col min="20" max="21" width="10.7265625" customWidth="1"/>
    <col min="22" max="22" width="14.81640625" bestFit="1" customWidth="1"/>
    <col min="23" max="54" width="10.7265625" customWidth="1"/>
  </cols>
  <sheetData>
    <row r="1" spans="1:23" ht="46.5" customHeight="1">
      <c r="B1" s="552" t="str">
        <f>HLOOKUP('General Information'!$C$6,'IDIOMA (hide)'!$A$1:$D$5016,A2,0)</f>
        <v>LTEP - Levantamento Técnico de Estimativa de Projeto TASY EMR
Código do documento: 0060 - Rev 024</v>
      </c>
      <c r="C1" s="552"/>
      <c r="D1" s="552"/>
      <c r="E1" s="552"/>
      <c r="F1" s="552"/>
      <c r="G1" s="552"/>
      <c r="H1" s="552"/>
      <c r="I1" s="552"/>
      <c r="J1" s="552"/>
      <c r="K1" s="552"/>
      <c r="L1" s="552"/>
      <c r="M1" s="552"/>
      <c r="N1" s="552"/>
      <c r="O1" s="552"/>
      <c r="P1" s="552"/>
      <c r="Q1" s="552"/>
    </row>
    <row r="2" spans="1:23">
      <c r="A2" s="198">
        <v>2</v>
      </c>
    </row>
    <row r="3" spans="1:23" ht="21.5" thickBot="1">
      <c r="A3" s="198">
        <v>350</v>
      </c>
      <c r="B3" s="593" t="str">
        <f>HLOOKUP('General Information'!$C$6,'IDIOMA (hide)'!$A$1:$D$5016,A3,0)</f>
        <v>Resumo de Horas</v>
      </c>
      <c r="C3" s="593"/>
      <c r="D3" s="593"/>
      <c r="E3" s="593"/>
      <c r="F3" s="593"/>
      <c r="G3" s="593"/>
      <c r="H3" s="593"/>
      <c r="I3" s="593"/>
      <c r="J3" s="593"/>
      <c r="K3" s="593"/>
      <c r="L3" s="593"/>
      <c r="M3" s="593"/>
      <c r="N3" s="593"/>
      <c r="O3" s="593"/>
      <c r="P3" s="593"/>
      <c r="Q3" s="593"/>
      <c r="R3" s="593"/>
    </row>
    <row r="4" spans="1:23" ht="21">
      <c r="B4" s="98"/>
      <c r="C4" s="414">
        <v>483</v>
      </c>
      <c r="D4" s="634" t="str">
        <f>HLOOKUP('General Information'!$C$6,'IDIOMA (hide)'!$A$1:$D$5016,C4,0)</f>
        <v>ESTRATÉGIA DE IMPLANTAÇÃO</v>
      </c>
      <c r="E4" s="634"/>
      <c r="F4" s="634"/>
      <c r="G4" s="634"/>
      <c r="H4" s="634"/>
      <c r="I4" s="634"/>
      <c r="J4" s="634"/>
      <c r="K4" s="634"/>
      <c r="L4" s="634"/>
      <c r="M4" s="634"/>
      <c r="N4" s="634"/>
      <c r="O4" s="98"/>
      <c r="P4" s="98"/>
      <c r="Q4" s="98"/>
      <c r="R4" s="98"/>
    </row>
    <row r="5" spans="1:23" ht="21">
      <c r="B5" s="98"/>
      <c r="C5" s="414">
        <v>482</v>
      </c>
      <c r="D5" s="635" t="str">
        <f>HLOOKUP('General Information'!$C$6,'IDIOMA (hide)'!$A$1:$D$5016,C5,0)</f>
        <v>Descreva, detalhadamente, a estratégia de implantação para este projeto. Ela irá influenciar na análise do PMO
&gt;&gt;&gt;&gt;&gt;PREENCHIMENTO OBRIGATÓRIO PARA RECEBIMENTO DA PROPOSTA.&lt;&lt;&lt;&lt;&lt;</v>
      </c>
      <c r="E5" s="636"/>
      <c r="F5" s="636"/>
      <c r="G5" s="636"/>
      <c r="H5" s="636"/>
      <c r="I5" s="636"/>
      <c r="J5" s="636"/>
      <c r="K5" s="636"/>
      <c r="L5" s="636"/>
      <c r="M5" s="636"/>
      <c r="N5" s="636"/>
      <c r="O5" s="98"/>
      <c r="P5" s="98"/>
      <c r="Q5" s="98"/>
      <c r="R5" s="98"/>
    </row>
    <row r="6" spans="1:23" ht="21">
      <c r="B6" s="98"/>
      <c r="C6" s="98"/>
      <c r="D6" s="636"/>
      <c r="E6" s="636"/>
      <c r="F6" s="636"/>
      <c r="G6" s="636"/>
      <c r="H6" s="636"/>
      <c r="I6" s="636"/>
      <c r="J6" s="636"/>
      <c r="K6" s="636"/>
      <c r="L6" s="636"/>
      <c r="M6" s="636"/>
      <c r="N6" s="636"/>
      <c r="O6" s="98"/>
      <c r="P6" s="98"/>
      <c r="Q6" s="98"/>
      <c r="R6" s="98"/>
    </row>
    <row r="7" spans="1:23" ht="21">
      <c r="B7" s="98"/>
      <c r="C7" s="98"/>
      <c r="D7" s="636"/>
      <c r="E7" s="636"/>
      <c r="F7" s="636"/>
      <c r="G7" s="636"/>
      <c r="H7" s="636"/>
      <c r="I7" s="636"/>
      <c r="J7" s="636"/>
      <c r="K7" s="636"/>
      <c r="L7" s="636"/>
      <c r="M7" s="636"/>
      <c r="N7" s="636"/>
      <c r="O7" s="633" t="str">
        <f>HLOOKUP('General Information'!$C$6,'IDIOMA (hide)'!$A$1:$D$5016,Q10,0)</f>
        <v>Após preenchimento das informações prévias, atualizar o resumo com o botão direito sobre a tabela da estimativa observando os requisitos mínimos para gerar estimativa de implantação (tab General Information: "Funções sugeridas pelo porte do cliente" e "Plataforma"; tab Modules: selecionar os módulos a serem implantados; tab Questions: "Quantidade de Consultores para Implantação")</v>
      </c>
      <c r="P7" s="633"/>
      <c r="Q7" s="98"/>
      <c r="R7" s="98"/>
    </row>
    <row r="8" spans="1:23" ht="21" customHeight="1">
      <c r="B8" s="98"/>
      <c r="C8" s="98"/>
      <c r="D8" s="636"/>
      <c r="E8" s="636"/>
      <c r="F8" s="636"/>
      <c r="G8" s="636"/>
      <c r="H8" s="636"/>
      <c r="I8" s="636"/>
      <c r="J8" s="636"/>
      <c r="K8" s="636"/>
      <c r="L8" s="636"/>
      <c r="M8" s="636"/>
      <c r="N8" s="636"/>
      <c r="O8" s="633"/>
      <c r="P8" s="633"/>
      <c r="Q8" s="98"/>
      <c r="R8" s="98"/>
    </row>
    <row r="9" spans="1:23" ht="19.899999999999999" customHeight="1">
      <c r="C9"/>
      <c r="D9" s="636"/>
      <c r="E9" s="636"/>
      <c r="F9" s="636"/>
      <c r="G9" s="636"/>
      <c r="H9" s="636"/>
      <c r="I9" s="636"/>
      <c r="J9" s="636"/>
      <c r="K9" s="636"/>
      <c r="L9" s="636"/>
      <c r="M9" s="636"/>
      <c r="N9" s="636"/>
      <c r="O9" s="633"/>
      <c r="P9" s="633"/>
    </row>
    <row r="10" spans="1:23" ht="20.5" customHeight="1">
      <c r="B10" s="327" t="s">
        <v>2479</v>
      </c>
      <c r="C10" t="s">
        <v>2889</v>
      </c>
      <c r="D10" s="636"/>
      <c r="E10" s="636"/>
      <c r="F10" s="636"/>
      <c r="G10" s="636"/>
      <c r="H10" s="636"/>
      <c r="I10" s="636"/>
      <c r="J10" s="636"/>
      <c r="K10" s="636"/>
      <c r="L10" s="636"/>
      <c r="M10" s="636"/>
      <c r="N10" s="636"/>
      <c r="O10" s="633"/>
      <c r="P10" s="633"/>
      <c r="Q10" s="198">
        <v>359</v>
      </c>
    </row>
    <row r="11" spans="1:23" ht="20.5" customHeight="1">
      <c r="A11"/>
      <c r="B11" s="327" t="s">
        <v>2489</v>
      </c>
      <c r="C11" t="s">
        <v>2377</v>
      </c>
      <c r="D11" s="636"/>
      <c r="E11" s="636"/>
      <c r="F11" s="636"/>
      <c r="G11" s="636"/>
      <c r="H11" s="636"/>
      <c r="I11" s="636"/>
      <c r="J11" s="636"/>
      <c r="K11" s="636"/>
      <c r="L11" s="636"/>
      <c r="M11" s="636"/>
      <c r="N11" s="636"/>
      <c r="O11" s="633"/>
      <c r="P11" s="633"/>
    </row>
    <row r="12" spans="1:23" ht="13.15" customHeight="1">
      <c r="D12" s="198">
        <v>484</v>
      </c>
      <c r="E12" s="198">
        <v>485</v>
      </c>
      <c r="F12" s="198">
        <v>486</v>
      </c>
      <c r="G12" s="198">
        <v>487</v>
      </c>
    </row>
    <row r="13" spans="1:23">
      <c r="C13" s="328" t="s">
        <v>3232</v>
      </c>
      <c r="D13" s="202" t="str">
        <f>HLOOKUP('General Information'!$C$6,'IDIOMA (hide)'!$A$1:$D$5016,D12,0)</f>
        <v>Sugestão de Horas (Vendas)</v>
      </c>
      <c r="E13" s="202" t="str">
        <f>HLOOKUP('General Information'!$C$6,'IDIOMA (hide)'!$A$1:$D$5016,E12,0)</f>
        <v>Justificativa (Sales)</v>
      </c>
      <c r="F13" s="202" t="str">
        <f>HLOOKUP('General Information'!$C$6,'IDIOMA (hide)'!$A$1:$D$5016,F12,0)</f>
        <v>Sugestão de Horas (PMO)</v>
      </c>
      <c r="G13" s="202" t="str">
        <f>HLOOKUP('General Information'!$C$6,'IDIOMA (hide)'!$A$1:$D$5016,G12,0)</f>
        <v>Comentários (PMO)</v>
      </c>
      <c r="O13" s="201" t="s">
        <v>2888</v>
      </c>
      <c r="P13" s="202" t="s">
        <v>2887</v>
      </c>
      <c r="Q13" s="202" t="s">
        <v>3241</v>
      </c>
      <c r="R13" s="202" t="s">
        <v>2646</v>
      </c>
      <c r="S13" s="109"/>
      <c r="T13" s="109"/>
      <c r="U13" s="109"/>
      <c r="V13" s="109"/>
      <c r="W13" s="109"/>
    </row>
    <row r="14" spans="1:23">
      <c r="B14" s="19" t="s">
        <v>2903</v>
      </c>
      <c r="E14" s="298" t="str">
        <f>IF(D14&lt;&gt;0,"INSERIR JUSTIFICATIVA","")</f>
        <v/>
      </c>
      <c r="F14" s="298" t="str">
        <f>IF(E14&lt;&gt;"","INSERIR HORA PMO","")</f>
        <v/>
      </c>
      <c r="G14" t="str">
        <f t="shared" ref="G14:G77" si="0">IF(F14&lt;&gt;"","INSERIR COMENTÁRIO PMO","")</f>
        <v/>
      </c>
      <c r="H14" s="328"/>
      <c r="I14" s="328"/>
      <c r="J14" s="328"/>
      <c r="K14" s="328"/>
      <c r="L14" s="328"/>
      <c r="M14" s="328"/>
      <c r="N14" s="198">
        <v>357</v>
      </c>
      <c r="O14" s="349" t="str">
        <f>HLOOKUP('General Information'!$C$6,'IDIOMA (hide)'!$A$1:$D$5016,N14,0)</f>
        <v>Horas de Consultoria</v>
      </c>
      <c r="P14" s="200">
        <f>IFERROR(GETPIVOTDATA("TOTAL HOURS (STANDARD HOURS + ADDITIONAL HOURS)",$B$13),0)</f>
        <v>232</v>
      </c>
      <c r="Q14" s="508">
        <f>Proposal!C32</f>
        <v>0</v>
      </c>
      <c r="R14" s="507">
        <f>Q14*P14</f>
        <v>0</v>
      </c>
      <c r="S14" s="109"/>
      <c r="T14" s="399"/>
      <c r="U14" s="399"/>
      <c r="V14" s="400"/>
      <c r="W14" s="109"/>
    </row>
    <row r="15" spans="1:23">
      <c r="B15" s="329" t="s">
        <v>2010</v>
      </c>
      <c r="E15" s="298" t="str">
        <f t="shared" ref="E15:E78" si="1">IF(D15&lt;&gt;0,"INSERIR JUSTIFICATIVA","")</f>
        <v/>
      </c>
      <c r="F15" s="298" t="str">
        <f t="shared" ref="F15:F78" si="2">IF(E15&lt;&gt;"","INSERIR HORA PMO","")</f>
        <v/>
      </c>
      <c r="G15" t="str">
        <f t="shared" si="0"/>
        <v/>
      </c>
      <c r="H15" s="328"/>
      <c r="I15" s="328"/>
      <c r="J15" s="328"/>
      <c r="K15" s="328"/>
      <c r="L15" s="328"/>
      <c r="M15" s="328"/>
      <c r="N15" s="198">
        <v>351</v>
      </c>
      <c r="O15" s="349" t="str">
        <f>HLOOKUP('General Information'!$C$6,'IDIOMA (hide)'!$A$1:$D$5016,N15,0)</f>
        <v>Gerenciamento de Projetos</v>
      </c>
      <c r="P15" s="402">
        <f>P14*Questions!D146</f>
        <v>46.400000000000006</v>
      </c>
      <c r="Q15" s="508">
        <f>Proposal!C33</f>
        <v>0</v>
      </c>
      <c r="R15" s="507">
        <f>Q15*P15</f>
        <v>0</v>
      </c>
      <c r="S15" s="109"/>
      <c r="T15" s="399"/>
      <c r="U15" s="399"/>
      <c r="V15" s="400"/>
      <c r="W15" s="109"/>
    </row>
    <row r="16" spans="1:23">
      <c r="B16" s="330" t="s">
        <v>2355</v>
      </c>
      <c r="C16" s="328">
        <v>8</v>
      </c>
      <c r="E16" s="298" t="str">
        <f t="shared" si="1"/>
        <v/>
      </c>
      <c r="F16" s="298" t="str">
        <f t="shared" si="2"/>
        <v/>
      </c>
      <c r="G16" t="str">
        <f t="shared" si="0"/>
        <v/>
      </c>
      <c r="H16" s="328"/>
      <c r="I16" s="328"/>
      <c r="J16" s="328"/>
      <c r="K16" s="328"/>
      <c r="L16" s="328"/>
      <c r="M16" s="328"/>
      <c r="N16" s="198">
        <v>516</v>
      </c>
      <c r="O16" s="349" t="str">
        <f>HLOOKUP('General Information'!$C$6,'IDIOMA (hide)'!$A$1:$D$5016,N16,0)</f>
        <v>Horas de Desenvolvimento (Integrações)</v>
      </c>
      <c r="P16" s="514">
        <f>Integrations!Q5</f>
        <v>0</v>
      </c>
      <c r="Q16" s="508">
        <f>Proposal!C34</f>
        <v>0</v>
      </c>
      <c r="R16" s="507">
        <f>Q16*P16</f>
        <v>0</v>
      </c>
      <c r="S16" s="109"/>
      <c r="T16" s="399"/>
      <c r="U16" s="109"/>
      <c r="V16" s="400"/>
      <c r="W16" s="109"/>
    </row>
    <row r="17" spans="2:23" ht="16.149999999999999" customHeight="1">
      <c r="B17" s="19" t="s">
        <v>2904</v>
      </c>
      <c r="E17" s="298" t="str">
        <f t="shared" si="1"/>
        <v/>
      </c>
      <c r="F17" s="298" t="str">
        <f t="shared" si="2"/>
        <v/>
      </c>
      <c r="G17" t="str">
        <f t="shared" si="0"/>
        <v/>
      </c>
      <c r="H17" s="328"/>
      <c r="I17" s="328"/>
      <c r="J17" s="328"/>
      <c r="K17" s="328"/>
      <c r="L17" s="328"/>
      <c r="M17" s="328"/>
      <c r="N17" s="198">
        <v>348</v>
      </c>
      <c r="O17" s="350" t="str">
        <f>HLOOKUP('General Information'!$C$6,'IDIOMA (hide)'!$A$1:$D$5016,N17,0)</f>
        <v>Total de Horas do projeto</v>
      </c>
      <c r="P17" s="203">
        <f>P14+P15+P16</f>
        <v>278.39999999999998</v>
      </c>
      <c r="Q17" s="393" t="s">
        <v>3242</v>
      </c>
      <c r="R17" s="515">
        <f>R15+R14+R16</f>
        <v>0</v>
      </c>
      <c r="S17" s="109"/>
      <c r="T17" s="109"/>
      <c r="U17" s="109"/>
      <c r="V17" s="109"/>
      <c r="W17" s="109"/>
    </row>
    <row r="18" spans="2:23" ht="15" customHeight="1">
      <c r="B18" s="329" t="s">
        <v>2009</v>
      </c>
      <c r="E18" s="298" t="str">
        <f t="shared" si="1"/>
        <v/>
      </c>
      <c r="F18" s="298" t="str">
        <f t="shared" si="2"/>
        <v/>
      </c>
      <c r="G18" t="str">
        <f t="shared" si="0"/>
        <v/>
      </c>
      <c r="H18" s="328"/>
      <c r="I18" s="328"/>
      <c r="J18" s="328"/>
      <c r="K18" s="328"/>
      <c r="L18" s="328"/>
      <c r="M18" s="328"/>
      <c r="N18" s="198">
        <v>349</v>
      </c>
      <c r="O18" s="637" t="str">
        <f>HLOOKUP('General Information'!$C$6,'IDIOMA (hide)'!$A$1:$D$5016,N18,0)</f>
        <v>Caso seja necessária Estimativa personalizada, com número de horas diferentes dos padrões definidos pela área de Projetos, é necessária a abertura de uma Task no Sales Force, direcionada para o Suporte a Vendas, conforme PlayBook disponibilizado para a equipe comercial.</v>
      </c>
      <c r="P18" s="637"/>
      <c r="Q18" s="109"/>
      <c r="R18" s="109"/>
      <c r="S18" s="109"/>
      <c r="T18" s="109"/>
      <c r="U18" s="109"/>
      <c r="V18" s="109"/>
      <c r="W18" s="109"/>
    </row>
    <row r="19" spans="2:23">
      <c r="B19" s="330" t="s">
        <v>2016</v>
      </c>
      <c r="C19" s="328">
        <v>8</v>
      </c>
      <c r="E19" s="298" t="str">
        <f t="shared" si="1"/>
        <v/>
      </c>
      <c r="F19" s="298" t="str">
        <f t="shared" si="2"/>
        <v/>
      </c>
      <c r="G19" t="str">
        <f t="shared" si="0"/>
        <v/>
      </c>
      <c r="H19" s="328"/>
      <c r="I19" s="328"/>
      <c r="J19" s="328"/>
      <c r="K19" s="328"/>
      <c r="L19" s="328"/>
      <c r="M19" s="328"/>
      <c r="N19" s="328"/>
      <c r="O19" s="638"/>
      <c r="P19" s="638"/>
      <c r="Q19" s="109"/>
      <c r="R19" s="109"/>
      <c r="S19" s="109"/>
      <c r="T19" s="109"/>
      <c r="U19" s="109"/>
      <c r="V19" s="109"/>
      <c r="W19" s="109"/>
    </row>
    <row r="20" spans="2:23">
      <c r="B20" s="19" t="s">
        <v>2905</v>
      </c>
      <c r="E20" s="298" t="str">
        <f t="shared" si="1"/>
        <v/>
      </c>
      <c r="F20" s="298" t="str">
        <f t="shared" si="2"/>
        <v/>
      </c>
      <c r="G20" t="str">
        <f t="shared" si="0"/>
        <v/>
      </c>
      <c r="H20" s="328"/>
      <c r="I20" s="328"/>
      <c r="J20" s="328"/>
      <c r="K20" s="328"/>
      <c r="L20" s="328"/>
      <c r="M20" s="328"/>
      <c r="N20" s="328"/>
      <c r="O20" s="638"/>
      <c r="P20" s="638"/>
    </row>
    <row r="21" spans="2:23">
      <c r="B21" s="329" t="s">
        <v>2011</v>
      </c>
      <c r="E21" s="298" t="str">
        <f t="shared" si="1"/>
        <v/>
      </c>
      <c r="F21" s="298" t="str">
        <f t="shared" si="2"/>
        <v/>
      </c>
      <c r="G21" t="str">
        <f t="shared" si="0"/>
        <v/>
      </c>
      <c r="H21" s="328"/>
      <c r="I21" s="328"/>
      <c r="J21" s="328"/>
      <c r="K21" s="328"/>
      <c r="L21" s="328"/>
      <c r="M21" s="328"/>
      <c r="N21" s="328"/>
      <c r="O21" s="638"/>
      <c r="P21" s="638"/>
      <c r="S21" s="411"/>
    </row>
    <row r="22" spans="2:23">
      <c r="B22" s="330" t="s">
        <v>2017</v>
      </c>
      <c r="C22" s="328">
        <v>40</v>
      </c>
      <c r="E22" s="298" t="str">
        <f t="shared" si="1"/>
        <v/>
      </c>
      <c r="F22" s="298" t="str">
        <f t="shared" si="2"/>
        <v/>
      </c>
      <c r="G22" t="str">
        <f t="shared" si="0"/>
        <v/>
      </c>
      <c r="H22" s="328"/>
      <c r="I22" s="328"/>
      <c r="J22" s="328"/>
      <c r="K22" s="328"/>
      <c r="L22" s="328"/>
      <c r="M22" s="328"/>
      <c r="N22" s="328"/>
      <c r="O22" s="638"/>
      <c r="P22" s="638"/>
      <c r="S22" s="411"/>
    </row>
    <row r="23" spans="2:23">
      <c r="B23" s="330" t="s">
        <v>2008</v>
      </c>
      <c r="C23" s="328">
        <v>16</v>
      </c>
      <c r="E23" s="298" t="str">
        <f t="shared" si="1"/>
        <v/>
      </c>
      <c r="F23" s="298" t="str">
        <f t="shared" si="2"/>
        <v/>
      </c>
      <c r="G23" t="str">
        <f t="shared" si="0"/>
        <v/>
      </c>
      <c r="H23" s="328"/>
      <c r="I23" s="328"/>
      <c r="J23" s="328"/>
      <c r="K23" s="328"/>
      <c r="L23" s="328"/>
      <c r="M23" s="328"/>
      <c r="N23" s="328"/>
      <c r="O23" s="632"/>
      <c r="P23" s="632"/>
      <c r="S23" s="411"/>
    </row>
    <row r="24" spans="2:23">
      <c r="B24" s="330" t="s">
        <v>2018</v>
      </c>
      <c r="C24" s="328">
        <v>160</v>
      </c>
      <c r="E24" s="298" t="str">
        <f t="shared" si="1"/>
        <v/>
      </c>
      <c r="F24" s="298" t="str">
        <f t="shared" si="2"/>
        <v/>
      </c>
      <c r="G24" t="str">
        <f t="shared" si="0"/>
        <v/>
      </c>
      <c r="H24" s="328"/>
      <c r="I24" s="328"/>
      <c r="J24" s="328"/>
      <c r="K24" s="328"/>
      <c r="L24" s="328"/>
      <c r="M24" s="328"/>
      <c r="N24" s="328"/>
      <c r="O24" s="631"/>
      <c r="P24" s="631"/>
    </row>
    <row r="25" spans="2:23">
      <c r="B25" s="19" t="s">
        <v>2646</v>
      </c>
      <c r="C25" s="328">
        <v>232</v>
      </c>
      <c r="E25" s="298" t="str">
        <f t="shared" si="1"/>
        <v/>
      </c>
      <c r="F25" s="298" t="str">
        <f t="shared" si="2"/>
        <v/>
      </c>
      <c r="G25" t="str">
        <f t="shared" si="0"/>
        <v/>
      </c>
      <c r="H25" s="328"/>
      <c r="I25" s="328"/>
      <c r="J25" s="328"/>
      <c r="K25" s="328"/>
      <c r="L25" s="328"/>
      <c r="M25" s="328"/>
      <c r="N25" s="328"/>
    </row>
    <row r="26" spans="2:23">
      <c r="C26"/>
      <c r="E26" s="298" t="str">
        <f t="shared" si="1"/>
        <v/>
      </c>
      <c r="F26" s="298" t="str">
        <f t="shared" si="2"/>
        <v/>
      </c>
      <c r="G26" t="str">
        <f t="shared" si="0"/>
        <v/>
      </c>
    </row>
    <row r="27" spans="2:23">
      <c r="C27"/>
      <c r="E27" s="298" t="str">
        <f t="shared" si="1"/>
        <v/>
      </c>
      <c r="F27" s="298" t="str">
        <f t="shared" si="2"/>
        <v/>
      </c>
      <c r="G27" t="str">
        <f t="shared" si="0"/>
        <v/>
      </c>
    </row>
    <row r="28" spans="2:23">
      <c r="C28"/>
      <c r="E28" s="298" t="str">
        <f t="shared" si="1"/>
        <v/>
      </c>
      <c r="F28" s="298" t="str">
        <f t="shared" si="2"/>
        <v/>
      </c>
      <c r="G28" t="str">
        <f t="shared" si="0"/>
        <v/>
      </c>
    </row>
    <row r="29" spans="2:23">
      <c r="C29"/>
      <c r="E29" s="298" t="str">
        <f t="shared" si="1"/>
        <v/>
      </c>
      <c r="F29" s="298" t="str">
        <f t="shared" si="2"/>
        <v/>
      </c>
      <c r="G29" t="str">
        <f t="shared" si="0"/>
        <v/>
      </c>
    </row>
    <row r="30" spans="2:23">
      <c r="C30"/>
      <c r="E30" s="298" t="str">
        <f t="shared" si="1"/>
        <v/>
      </c>
      <c r="F30" s="298" t="str">
        <f t="shared" si="2"/>
        <v/>
      </c>
      <c r="G30" t="str">
        <f t="shared" si="0"/>
        <v/>
      </c>
    </row>
    <row r="31" spans="2:23">
      <c r="C31"/>
      <c r="E31" s="298" t="str">
        <f t="shared" si="1"/>
        <v/>
      </c>
      <c r="F31" s="298" t="str">
        <f t="shared" si="2"/>
        <v/>
      </c>
      <c r="G31" t="str">
        <f t="shared" si="0"/>
        <v/>
      </c>
    </row>
    <row r="32" spans="2:23">
      <c r="C32"/>
      <c r="E32" s="298" t="str">
        <f t="shared" si="1"/>
        <v/>
      </c>
      <c r="F32" s="298" t="str">
        <f t="shared" si="2"/>
        <v/>
      </c>
      <c r="G32" t="str">
        <f t="shared" si="0"/>
        <v/>
      </c>
    </row>
    <row r="33" spans="3:7">
      <c r="C33"/>
      <c r="E33" s="298" t="str">
        <f t="shared" si="1"/>
        <v/>
      </c>
      <c r="F33" s="298" t="str">
        <f t="shared" si="2"/>
        <v/>
      </c>
      <c r="G33" t="str">
        <f t="shared" si="0"/>
        <v/>
      </c>
    </row>
    <row r="34" spans="3:7">
      <c r="C34"/>
      <c r="E34" s="298" t="str">
        <f t="shared" si="1"/>
        <v/>
      </c>
      <c r="F34" s="298" t="str">
        <f t="shared" si="2"/>
        <v/>
      </c>
      <c r="G34" t="str">
        <f t="shared" si="0"/>
        <v/>
      </c>
    </row>
    <row r="35" spans="3:7">
      <c r="C35"/>
      <c r="E35" s="298" t="str">
        <f t="shared" si="1"/>
        <v/>
      </c>
      <c r="F35" s="298" t="str">
        <f t="shared" si="2"/>
        <v/>
      </c>
      <c r="G35" t="str">
        <f t="shared" si="0"/>
        <v/>
      </c>
    </row>
    <row r="36" spans="3:7">
      <c r="C36"/>
      <c r="E36" s="298" t="str">
        <f t="shared" si="1"/>
        <v/>
      </c>
      <c r="F36" s="298" t="str">
        <f t="shared" si="2"/>
        <v/>
      </c>
      <c r="G36" t="str">
        <f t="shared" si="0"/>
        <v/>
      </c>
    </row>
    <row r="37" spans="3:7">
      <c r="C37"/>
      <c r="E37" s="298" t="str">
        <f t="shared" si="1"/>
        <v/>
      </c>
      <c r="F37" s="298" t="str">
        <f t="shared" si="2"/>
        <v/>
      </c>
      <c r="G37" t="str">
        <f t="shared" si="0"/>
        <v/>
      </c>
    </row>
    <row r="38" spans="3:7">
      <c r="C38"/>
      <c r="E38" s="298" t="str">
        <f t="shared" si="1"/>
        <v/>
      </c>
      <c r="F38" s="298" t="str">
        <f t="shared" si="2"/>
        <v/>
      </c>
      <c r="G38" t="str">
        <f t="shared" si="0"/>
        <v/>
      </c>
    </row>
    <row r="39" spans="3:7">
      <c r="C39"/>
      <c r="E39" s="298" t="str">
        <f t="shared" si="1"/>
        <v/>
      </c>
      <c r="F39" s="298" t="str">
        <f t="shared" si="2"/>
        <v/>
      </c>
      <c r="G39" t="str">
        <f t="shared" si="0"/>
        <v/>
      </c>
    </row>
    <row r="40" spans="3:7">
      <c r="C40"/>
      <c r="E40" s="298" t="str">
        <f t="shared" si="1"/>
        <v/>
      </c>
      <c r="F40" s="298" t="str">
        <f t="shared" si="2"/>
        <v/>
      </c>
      <c r="G40" t="str">
        <f t="shared" si="0"/>
        <v/>
      </c>
    </row>
    <row r="41" spans="3:7">
      <c r="C41"/>
      <c r="E41" s="298" t="str">
        <f t="shared" si="1"/>
        <v/>
      </c>
      <c r="F41" s="298" t="str">
        <f t="shared" si="2"/>
        <v/>
      </c>
      <c r="G41" t="str">
        <f t="shared" si="0"/>
        <v/>
      </c>
    </row>
    <row r="42" spans="3:7">
      <c r="C42"/>
      <c r="E42" s="298" t="str">
        <f t="shared" si="1"/>
        <v/>
      </c>
      <c r="F42" s="298" t="str">
        <f t="shared" si="2"/>
        <v/>
      </c>
      <c r="G42" t="str">
        <f t="shared" si="0"/>
        <v/>
      </c>
    </row>
    <row r="43" spans="3:7">
      <c r="C43"/>
      <c r="E43" s="298" t="str">
        <f t="shared" si="1"/>
        <v/>
      </c>
      <c r="F43" s="298" t="str">
        <f t="shared" si="2"/>
        <v/>
      </c>
      <c r="G43" t="str">
        <f t="shared" si="0"/>
        <v/>
      </c>
    </row>
    <row r="44" spans="3:7">
      <c r="C44"/>
      <c r="E44" s="298" t="str">
        <f t="shared" si="1"/>
        <v/>
      </c>
      <c r="F44" s="298" t="str">
        <f t="shared" si="2"/>
        <v/>
      </c>
      <c r="G44" t="str">
        <f t="shared" si="0"/>
        <v/>
      </c>
    </row>
    <row r="45" spans="3:7">
      <c r="C45"/>
      <c r="E45" s="298" t="str">
        <f t="shared" si="1"/>
        <v/>
      </c>
      <c r="F45" s="298" t="str">
        <f t="shared" si="2"/>
        <v/>
      </c>
      <c r="G45" t="str">
        <f t="shared" si="0"/>
        <v/>
      </c>
    </row>
    <row r="46" spans="3:7">
      <c r="C46"/>
      <c r="E46" s="298" t="str">
        <f t="shared" si="1"/>
        <v/>
      </c>
      <c r="F46" s="298" t="str">
        <f t="shared" si="2"/>
        <v/>
      </c>
      <c r="G46" t="str">
        <f t="shared" si="0"/>
        <v/>
      </c>
    </row>
    <row r="47" spans="3:7">
      <c r="C47"/>
      <c r="E47" s="298" t="str">
        <f t="shared" si="1"/>
        <v/>
      </c>
      <c r="F47" s="298" t="str">
        <f t="shared" si="2"/>
        <v/>
      </c>
      <c r="G47" t="str">
        <f t="shared" si="0"/>
        <v/>
      </c>
    </row>
    <row r="48" spans="3:7">
      <c r="C48"/>
      <c r="E48" s="298" t="str">
        <f t="shared" si="1"/>
        <v/>
      </c>
      <c r="F48" s="298" t="str">
        <f t="shared" si="2"/>
        <v/>
      </c>
      <c r="G48" t="str">
        <f t="shared" si="0"/>
        <v/>
      </c>
    </row>
    <row r="49" spans="3:19">
      <c r="C49"/>
      <c r="E49" s="298" t="str">
        <f t="shared" si="1"/>
        <v/>
      </c>
      <c r="F49" s="298" t="str">
        <f t="shared" si="2"/>
        <v/>
      </c>
      <c r="G49" t="str">
        <f t="shared" si="0"/>
        <v/>
      </c>
    </row>
    <row r="50" spans="3:19">
      <c r="C50"/>
      <c r="E50" s="298" t="str">
        <f t="shared" si="1"/>
        <v/>
      </c>
      <c r="F50" s="298" t="str">
        <f t="shared" si="2"/>
        <v/>
      </c>
      <c r="G50" t="str">
        <f t="shared" si="0"/>
        <v/>
      </c>
    </row>
    <row r="51" spans="3:19">
      <c r="C51"/>
      <c r="E51" s="298" t="str">
        <f t="shared" si="1"/>
        <v/>
      </c>
      <c r="F51" s="298" t="str">
        <f t="shared" si="2"/>
        <v/>
      </c>
      <c r="G51" t="str">
        <f t="shared" si="0"/>
        <v/>
      </c>
    </row>
    <row r="52" spans="3:19">
      <c r="C52"/>
      <c r="E52" s="298" t="str">
        <f t="shared" si="1"/>
        <v/>
      </c>
      <c r="F52" s="298" t="str">
        <f t="shared" si="2"/>
        <v/>
      </c>
      <c r="G52" t="str">
        <f t="shared" si="0"/>
        <v/>
      </c>
    </row>
    <row r="53" spans="3:19">
      <c r="C53"/>
      <c r="E53" s="298" t="str">
        <f t="shared" si="1"/>
        <v/>
      </c>
      <c r="F53" s="298" t="str">
        <f t="shared" si="2"/>
        <v/>
      </c>
      <c r="G53" t="str">
        <f t="shared" si="0"/>
        <v/>
      </c>
    </row>
    <row r="54" spans="3:19">
      <c r="C54"/>
      <c r="E54" s="298" t="str">
        <f t="shared" si="1"/>
        <v/>
      </c>
      <c r="F54" s="298" t="str">
        <f t="shared" si="2"/>
        <v/>
      </c>
      <c r="G54" t="str">
        <f t="shared" si="0"/>
        <v/>
      </c>
    </row>
    <row r="55" spans="3:19">
      <c r="C55"/>
      <c r="E55" s="298" t="str">
        <f t="shared" si="1"/>
        <v/>
      </c>
      <c r="F55" s="298" t="str">
        <f t="shared" si="2"/>
        <v/>
      </c>
      <c r="G55" t="str">
        <f t="shared" si="0"/>
        <v/>
      </c>
    </row>
    <row r="56" spans="3:19">
      <c r="C56"/>
      <c r="E56" s="298" t="str">
        <f t="shared" si="1"/>
        <v/>
      </c>
      <c r="F56" s="298" t="str">
        <f t="shared" si="2"/>
        <v/>
      </c>
      <c r="G56" t="str">
        <f t="shared" si="0"/>
        <v/>
      </c>
    </row>
    <row r="57" spans="3:19">
      <c r="C57"/>
      <c r="E57" s="298" t="str">
        <f t="shared" si="1"/>
        <v/>
      </c>
      <c r="F57" s="298" t="str">
        <f t="shared" si="2"/>
        <v/>
      </c>
      <c r="G57" t="str">
        <f t="shared" si="0"/>
        <v/>
      </c>
    </row>
    <row r="58" spans="3:19">
      <c r="C58"/>
      <c r="E58" s="298" t="str">
        <f t="shared" si="1"/>
        <v/>
      </c>
      <c r="F58" s="298" t="str">
        <f t="shared" si="2"/>
        <v/>
      </c>
      <c r="G58" t="str">
        <f t="shared" si="0"/>
        <v/>
      </c>
    </row>
    <row r="59" spans="3:19" ht="14.5" customHeight="1">
      <c r="C59"/>
      <c r="E59" s="298" t="str">
        <f t="shared" si="1"/>
        <v/>
      </c>
      <c r="F59" s="298" t="str">
        <f t="shared" si="2"/>
        <v/>
      </c>
      <c r="G59" t="str">
        <f t="shared" si="0"/>
        <v/>
      </c>
      <c r="O59" s="352"/>
      <c r="P59" s="353"/>
      <c r="Q59" s="353"/>
      <c r="R59" s="353"/>
      <c r="S59" s="353"/>
    </row>
    <row r="60" spans="3:19">
      <c r="C60"/>
      <c r="E60" s="298" t="str">
        <f t="shared" si="1"/>
        <v/>
      </c>
      <c r="F60" s="298" t="str">
        <f t="shared" si="2"/>
        <v/>
      </c>
      <c r="G60" t="str">
        <f t="shared" si="0"/>
        <v/>
      </c>
      <c r="O60" s="353"/>
      <c r="P60" s="353"/>
      <c r="Q60" s="353"/>
      <c r="R60" s="353"/>
      <c r="S60" s="353"/>
    </row>
    <row r="61" spans="3:19">
      <c r="C61"/>
      <c r="E61" s="298" t="str">
        <f t="shared" si="1"/>
        <v/>
      </c>
      <c r="F61" s="298" t="str">
        <f t="shared" si="2"/>
        <v/>
      </c>
      <c r="G61" t="str">
        <f t="shared" si="0"/>
        <v/>
      </c>
    </row>
    <row r="62" spans="3:19">
      <c r="C62"/>
      <c r="E62" s="298" t="str">
        <f t="shared" si="1"/>
        <v/>
      </c>
      <c r="F62" s="298" t="str">
        <f t="shared" si="2"/>
        <v/>
      </c>
      <c r="G62" t="str">
        <f t="shared" si="0"/>
        <v/>
      </c>
    </row>
    <row r="63" spans="3:19">
      <c r="C63"/>
      <c r="E63" s="298" t="str">
        <f t="shared" si="1"/>
        <v/>
      </c>
      <c r="F63" s="298" t="str">
        <f t="shared" si="2"/>
        <v/>
      </c>
      <c r="G63" t="str">
        <f t="shared" si="0"/>
        <v/>
      </c>
    </row>
    <row r="64" spans="3:19">
      <c r="C64"/>
      <c r="E64" s="298" t="str">
        <f t="shared" si="1"/>
        <v/>
      </c>
      <c r="F64" s="298" t="str">
        <f t="shared" si="2"/>
        <v/>
      </c>
      <c r="G64" t="str">
        <f t="shared" si="0"/>
        <v/>
      </c>
    </row>
    <row r="65" spans="3:7">
      <c r="C65"/>
      <c r="E65" s="298" t="str">
        <f t="shared" si="1"/>
        <v/>
      </c>
      <c r="F65" s="298" t="str">
        <f t="shared" si="2"/>
        <v/>
      </c>
      <c r="G65" t="str">
        <f t="shared" si="0"/>
        <v/>
      </c>
    </row>
    <row r="66" spans="3:7">
      <c r="C66"/>
      <c r="E66" s="298" t="str">
        <f t="shared" si="1"/>
        <v/>
      </c>
      <c r="F66" s="298" t="str">
        <f t="shared" si="2"/>
        <v/>
      </c>
      <c r="G66" t="str">
        <f t="shared" si="0"/>
        <v/>
      </c>
    </row>
    <row r="67" spans="3:7">
      <c r="C67"/>
      <c r="E67" s="298" t="str">
        <f t="shared" si="1"/>
        <v/>
      </c>
      <c r="F67" s="298" t="str">
        <f t="shared" si="2"/>
        <v/>
      </c>
      <c r="G67" t="str">
        <f t="shared" si="0"/>
        <v/>
      </c>
    </row>
    <row r="68" spans="3:7">
      <c r="C68"/>
      <c r="E68" s="298" t="str">
        <f t="shared" si="1"/>
        <v/>
      </c>
      <c r="F68" s="298" t="str">
        <f t="shared" si="2"/>
        <v/>
      </c>
      <c r="G68" t="str">
        <f t="shared" si="0"/>
        <v/>
      </c>
    </row>
    <row r="69" spans="3:7">
      <c r="C69"/>
      <c r="E69" s="298" t="str">
        <f t="shared" si="1"/>
        <v/>
      </c>
      <c r="F69" s="298" t="str">
        <f t="shared" si="2"/>
        <v/>
      </c>
      <c r="G69" t="str">
        <f t="shared" si="0"/>
        <v/>
      </c>
    </row>
    <row r="70" spans="3:7">
      <c r="C70"/>
      <c r="E70" s="298" t="str">
        <f t="shared" si="1"/>
        <v/>
      </c>
      <c r="F70" s="298" t="str">
        <f t="shared" si="2"/>
        <v/>
      </c>
      <c r="G70" t="str">
        <f t="shared" si="0"/>
        <v/>
      </c>
    </row>
    <row r="71" spans="3:7">
      <c r="C71"/>
      <c r="E71" s="298" t="str">
        <f t="shared" si="1"/>
        <v/>
      </c>
      <c r="F71" s="298" t="str">
        <f t="shared" si="2"/>
        <v/>
      </c>
      <c r="G71" t="str">
        <f t="shared" si="0"/>
        <v/>
      </c>
    </row>
    <row r="72" spans="3:7">
      <c r="C72"/>
      <c r="E72" s="298" t="str">
        <f t="shared" si="1"/>
        <v/>
      </c>
      <c r="F72" s="298" t="str">
        <f t="shared" si="2"/>
        <v/>
      </c>
      <c r="G72" t="str">
        <f t="shared" si="0"/>
        <v/>
      </c>
    </row>
    <row r="73" spans="3:7">
      <c r="C73"/>
      <c r="E73" s="298" t="str">
        <f t="shared" si="1"/>
        <v/>
      </c>
      <c r="F73" s="298" t="str">
        <f t="shared" si="2"/>
        <v/>
      </c>
      <c r="G73" t="str">
        <f t="shared" si="0"/>
        <v/>
      </c>
    </row>
    <row r="74" spans="3:7">
      <c r="C74"/>
      <c r="E74" s="298" t="str">
        <f t="shared" si="1"/>
        <v/>
      </c>
      <c r="F74" s="298" t="str">
        <f t="shared" si="2"/>
        <v/>
      </c>
      <c r="G74" t="str">
        <f t="shared" si="0"/>
        <v/>
      </c>
    </row>
    <row r="75" spans="3:7">
      <c r="C75"/>
      <c r="E75" s="298" t="str">
        <f t="shared" si="1"/>
        <v/>
      </c>
      <c r="F75" s="298" t="str">
        <f t="shared" si="2"/>
        <v/>
      </c>
      <c r="G75" t="str">
        <f t="shared" si="0"/>
        <v/>
      </c>
    </row>
    <row r="76" spans="3:7">
      <c r="C76"/>
      <c r="E76" s="298" t="str">
        <f t="shared" si="1"/>
        <v/>
      </c>
      <c r="F76" s="298" t="str">
        <f t="shared" si="2"/>
        <v/>
      </c>
      <c r="G76" t="str">
        <f t="shared" si="0"/>
        <v/>
      </c>
    </row>
    <row r="77" spans="3:7">
      <c r="C77"/>
      <c r="E77" s="298" t="str">
        <f t="shared" si="1"/>
        <v/>
      </c>
      <c r="F77" s="298" t="str">
        <f t="shared" si="2"/>
        <v/>
      </c>
      <c r="G77" t="str">
        <f t="shared" si="0"/>
        <v/>
      </c>
    </row>
    <row r="78" spans="3:7">
      <c r="C78"/>
      <c r="E78" s="298" t="str">
        <f t="shared" si="1"/>
        <v/>
      </c>
      <c r="F78" s="298" t="str">
        <f t="shared" si="2"/>
        <v/>
      </c>
      <c r="G78" t="str">
        <f t="shared" ref="G78:G141" si="3">IF(F78&lt;&gt;"","INSERIR COMENTÁRIO PMO","")</f>
        <v/>
      </c>
    </row>
    <row r="79" spans="3:7">
      <c r="C79"/>
      <c r="E79" s="298" t="str">
        <f t="shared" ref="E79:E142" si="4">IF(D79&lt;&gt;0,"INSERIR JUSTIFICATIVA","")</f>
        <v/>
      </c>
      <c r="F79" s="298" t="str">
        <f t="shared" ref="F79:F142" si="5">IF(E79&lt;&gt;"","INSERIR HORA PMO","")</f>
        <v/>
      </c>
      <c r="G79" t="str">
        <f t="shared" si="3"/>
        <v/>
      </c>
    </row>
    <row r="80" spans="3:7">
      <c r="C80"/>
      <c r="E80" s="298" t="str">
        <f t="shared" si="4"/>
        <v/>
      </c>
      <c r="F80" s="298" t="str">
        <f t="shared" si="5"/>
        <v/>
      </c>
      <c r="G80" t="str">
        <f t="shared" si="3"/>
        <v/>
      </c>
    </row>
    <row r="81" spans="3:7">
      <c r="C81"/>
      <c r="E81" s="298" t="str">
        <f t="shared" si="4"/>
        <v/>
      </c>
      <c r="F81" s="298" t="str">
        <f t="shared" si="5"/>
        <v/>
      </c>
      <c r="G81" t="str">
        <f t="shared" si="3"/>
        <v/>
      </c>
    </row>
    <row r="82" spans="3:7">
      <c r="C82"/>
      <c r="E82" s="298" t="str">
        <f t="shared" si="4"/>
        <v/>
      </c>
      <c r="F82" s="298" t="str">
        <f t="shared" si="5"/>
        <v/>
      </c>
      <c r="G82" t="str">
        <f t="shared" si="3"/>
        <v/>
      </c>
    </row>
    <row r="83" spans="3:7">
      <c r="C83"/>
      <c r="E83" s="298" t="str">
        <f t="shared" si="4"/>
        <v/>
      </c>
      <c r="F83" s="298" t="str">
        <f t="shared" si="5"/>
        <v/>
      </c>
      <c r="G83" t="str">
        <f t="shared" si="3"/>
        <v/>
      </c>
    </row>
    <row r="84" spans="3:7">
      <c r="C84"/>
      <c r="E84" s="298" t="str">
        <f t="shared" si="4"/>
        <v/>
      </c>
      <c r="F84" s="298" t="str">
        <f t="shared" si="5"/>
        <v/>
      </c>
      <c r="G84" t="str">
        <f t="shared" si="3"/>
        <v/>
      </c>
    </row>
    <row r="85" spans="3:7">
      <c r="C85"/>
      <c r="E85" s="298" t="str">
        <f t="shared" si="4"/>
        <v/>
      </c>
      <c r="F85" s="298" t="str">
        <f t="shared" si="5"/>
        <v/>
      </c>
      <c r="G85" t="str">
        <f t="shared" si="3"/>
        <v/>
      </c>
    </row>
    <row r="86" spans="3:7">
      <c r="C86"/>
      <c r="E86" s="298" t="str">
        <f t="shared" si="4"/>
        <v/>
      </c>
      <c r="F86" s="298" t="str">
        <f t="shared" si="5"/>
        <v/>
      </c>
      <c r="G86" t="str">
        <f t="shared" si="3"/>
        <v/>
      </c>
    </row>
    <row r="87" spans="3:7">
      <c r="C87"/>
      <c r="E87" s="298" t="str">
        <f t="shared" si="4"/>
        <v/>
      </c>
      <c r="F87" s="298" t="str">
        <f t="shared" si="5"/>
        <v/>
      </c>
      <c r="G87" t="str">
        <f t="shared" si="3"/>
        <v/>
      </c>
    </row>
    <row r="88" spans="3:7">
      <c r="C88"/>
      <c r="E88" s="298" t="str">
        <f t="shared" si="4"/>
        <v/>
      </c>
      <c r="F88" s="298" t="str">
        <f t="shared" si="5"/>
        <v/>
      </c>
      <c r="G88" t="str">
        <f t="shared" si="3"/>
        <v/>
      </c>
    </row>
    <row r="89" spans="3:7">
      <c r="C89"/>
      <c r="E89" s="298" t="str">
        <f t="shared" si="4"/>
        <v/>
      </c>
      <c r="F89" s="298" t="str">
        <f t="shared" si="5"/>
        <v/>
      </c>
      <c r="G89" t="str">
        <f t="shared" si="3"/>
        <v/>
      </c>
    </row>
    <row r="90" spans="3:7">
      <c r="C90"/>
      <c r="E90" s="298" t="str">
        <f t="shared" si="4"/>
        <v/>
      </c>
      <c r="F90" s="298" t="str">
        <f t="shared" si="5"/>
        <v/>
      </c>
      <c r="G90" t="str">
        <f t="shared" si="3"/>
        <v/>
      </c>
    </row>
    <row r="91" spans="3:7">
      <c r="C91"/>
      <c r="E91" s="298" t="str">
        <f t="shared" si="4"/>
        <v/>
      </c>
      <c r="F91" s="298" t="str">
        <f t="shared" si="5"/>
        <v/>
      </c>
      <c r="G91" t="str">
        <f t="shared" si="3"/>
        <v/>
      </c>
    </row>
    <row r="92" spans="3:7">
      <c r="C92"/>
      <c r="E92" s="298" t="str">
        <f t="shared" si="4"/>
        <v/>
      </c>
      <c r="F92" s="298" t="str">
        <f t="shared" si="5"/>
        <v/>
      </c>
      <c r="G92" t="str">
        <f t="shared" si="3"/>
        <v/>
      </c>
    </row>
    <row r="93" spans="3:7">
      <c r="C93"/>
      <c r="E93" s="298" t="str">
        <f t="shared" si="4"/>
        <v/>
      </c>
      <c r="F93" s="298" t="str">
        <f t="shared" si="5"/>
        <v/>
      </c>
      <c r="G93" t="str">
        <f t="shared" si="3"/>
        <v/>
      </c>
    </row>
    <row r="94" spans="3:7">
      <c r="C94"/>
      <c r="E94" s="298" t="str">
        <f t="shared" si="4"/>
        <v/>
      </c>
      <c r="F94" s="298" t="str">
        <f t="shared" si="5"/>
        <v/>
      </c>
      <c r="G94" t="str">
        <f t="shared" si="3"/>
        <v/>
      </c>
    </row>
    <row r="95" spans="3:7">
      <c r="C95"/>
      <c r="E95" s="298" t="str">
        <f t="shared" si="4"/>
        <v/>
      </c>
      <c r="F95" s="298" t="str">
        <f t="shared" si="5"/>
        <v/>
      </c>
      <c r="G95" t="str">
        <f t="shared" si="3"/>
        <v/>
      </c>
    </row>
    <row r="96" spans="3:7">
      <c r="C96"/>
      <c r="E96" s="298" t="str">
        <f t="shared" si="4"/>
        <v/>
      </c>
      <c r="F96" s="298" t="str">
        <f t="shared" si="5"/>
        <v/>
      </c>
      <c r="G96" t="str">
        <f t="shared" si="3"/>
        <v/>
      </c>
    </row>
    <row r="97" spans="3:7">
      <c r="C97"/>
      <c r="E97" s="298" t="str">
        <f t="shared" si="4"/>
        <v/>
      </c>
      <c r="F97" s="298" t="str">
        <f t="shared" si="5"/>
        <v/>
      </c>
      <c r="G97" t="str">
        <f t="shared" si="3"/>
        <v/>
      </c>
    </row>
    <row r="98" spans="3:7">
      <c r="C98"/>
      <c r="E98" s="298" t="str">
        <f t="shared" si="4"/>
        <v/>
      </c>
      <c r="F98" s="298" t="str">
        <f t="shared" si="5"/>
        <v/>
      </c>
      <c r="G98" t="str">
        <f t="shared" si="3"/>
        <v/>
      </c>
    </row>
    <row r="99" spans="3:7">
      <c r="C99"/>
      <c r="E99" s="298" t="str">
        <f t="shared" si="4"/>
        <v/>
      </c>
      <c r="F99" s="298" t="str">
        <f t="shared" si="5"/>
        <v/>
      </c>
      <c r="G99" t="str">
        <f t="shared" si="3"/>
        <v/>
      </c>
    </row>
    <row r="100" spans="3:7">
      <c r="C100"/>
      <c r="E100" s="298" t="str">
        <f t="shared" si="4"/>
        <v/>
      </c>
      <c r="F100" s="298" t="str">
        <f t="shared" si="5"/>
        <v/>
      </c>
      <c r="G100" t="str">
        <f t="shared" si="3"/>
        <v/>
      </c>
    </row>
    <row r="101" spans="3:7">
      <c r="C101"/>
      <c r="E101" s="298" t="str">
        <f t="shared" si="4"/>
        <v/>
      </c>
      <c r="F101" s="298" t="str">
        <f t="shared" si="5"/>
        <v/>
      </c>
      <c r="G101" t="str">
        <f t="shared" si="3"/>
        <v/>
      </c>
    </row>
    <row r="102" spans="3:7">
      <c r="C102"/>
      <c r="E102" s="298" t="str">
        <f t="shared" si="4"/>
        <v/>
      </c>
      <c r="F102" s="298" t="str">
        <f t="shared" si="5"/>
        <v/>
      </c>
      <c r="G102" t="str">
        <f t="shared" si="3"/>
        <v/>
      </c>
    </row>
    <row r="103" spans="3:7">
      <c r="C103"/>
      <c r="E103" s="298" t="str">
        <f t="shared" si="4"/>
        <v/>
      </c>
      <c r="F103" s="298" t="str">
        <f t="shared" si="5"/>
        <v/>
      </c>
      <c r="G103" t="str">
        <f t="shared" si="3"/>
        <v/>
      </c>
    </row>
    <row r="104" spans="3:7">
      <c r="C104"/>
      <c r="E104" s="298" t="str">
        <f t="shared" si="4"/>
        <v/>
      </c>
      <c r="F104" s="298" t="str">
        <f t="shared" si="5"/>
        <v/>
      </c>
      <c r="G104" t="str">
        <f t="shared" si="3"/>
        <v/>
      </c>
    </row>
    <row r="105" spans="3:7">
      <c r="C105"/>
      <c r="E105" s="298" t="str">
        <f t="shared" si="4"/>
        <v/>
      </c>
      <c r="F105" s="298" t="str">
        <f t="shared" si="5"/>
        <v/>
      </c>
      <c r="G105" t="str">
        <f t="shared" si="3"/>
        <v/>
      </c>
    </row>
    <row r="106" spans="3:7">
      <c r="C106"/>
      <c r="E106" s="298" t="str">
        <f t="shared" si="4"/>
        <v/>
      </c>
      <c r="F106" s="298" t="str">
        <f t="shared" si="5"/>
        <v/>
      </c>
      <c r="G106" t="str">
        <f t="shared" si="3"/>
        <v/>
      </c>
    </row>
    <row r="107" spans="3:7">
      <c r="C107"/>
      <c r="E107" s="298" t="str">
        <f t="shared" si="4"/>
        <v/>
      </c>
      <c r="F107" s="298" t="str">
        <f t="shared" si="5"/>
        <v/>
      </c>
      <c r="G107" t="str">
        <f t="shared" si="3"/>
        <v/>
      </c>
    </row>
    <row r="108" spans="3:7">
      <c r="C108"/>
      <c r="E108" s="298" t="str">
        <f t="shared" si="4"/>
        <v/>
      </c>
      <c r="F108" s="298" t="str">
        <f t="shared" si="5"/>
        <v/>
      </c>
      <c r="G108" t="str">
        <f t="shared" si="3"/>
        <v/>
      </c>
    </row>
    <row r="109" spans="3:7">
      <c r="C109"/>
      <c r="E109" s="298" t="str">
        <f t="shared" si="4"/>
        <v/>
      </c>
      <c r="F109" s="298" t="str">
        <f t="shared" si="5"/>
        <v/>
      </c>
      <c r="G109" t="str">
        <f t="shared" si="3"/>
        <v/>
      </c>
    </row>
    <row r="110" spans="3:7">
      <c r="C110"/>
      <c r="E110" s="298" t="str">
        <f t="shared" si="4"/>
        <v/>
      </c>
      <c r="F110" s="298" t="str">
        <f t="shared" si="5"/>
        <v/>
      </c>
      <c r="G110" t="str">
        <f t="shared" si="3"/>
        <v/>
      </c>
    </row>
    <row r="111" spans="3:7">
      <c r="C111"/>
      <c r="E111" s="298" t="str">
        <f t="shared" si="4"/>
        <v/>
      </c>
      <c r="F111" s="298" t="str">
        <f t="shared" si="5"/>
        <v/>
      </c>
      <c r="G111" t="str">
        <f t="shared" si="3"/>
        <v/>
      </c>
    </row>
    <row r="112" spans="3:7">
      <c r="C112"/>
      <c r="E112" s="298" t="str">
        <f t="shared" si="4"/>
        <v/>
      </c>
      <c r="F112" s="298" t="str">
        <f t="shared" si="5"/>
        <v/>
      </c>
      <c r="G112" t="str">
        <f t="shared" si="3"/>
        <v/>
      </c>
    </row>
    <row r="113" spans="3:7">
      <c r="C113"/>
      <c r="E113" s="298" t="str">
        <f t="shared" si="4"/>
        <v/>
      </c>
      <c r="F113" s="298" t="str">
        <f t="shared" si="5"/>
        <v/>
      </c>
      <c r="G113" t="str">
        <f t="shared" si="3"/>
        <v/>
      </c>
    </row>
    <row r="114" spans="3:7">
      <c r="C114"/>
      <c r="E114" s="298" t="str">
        <f t="shared" si="4"/>
        <v/>
      </c>
      <c r="F114" s="298" t="str">
        <f t="shared" si="5"/>
        <v/>
      </c>
      <c r="G114" t="str">
        <f t="shared" si="3"/>
        <v/>
      </c>
    </row>
    <row r="115" spans="3:7">
      <c r="C115"/>
      <c r="E115" s="298" t="str">
        <f t="shared" si="4"/>
        <v/>
      </c>
      <c r="F115" s="298" t="str">
        <f t="shared" si="5"/>
        <v/>
      </c>
      <c r="G115" t="str">
        <f t="shared" si="3"/>
        <v/>
      </c>
    </row>
    <row r="116" spans="3:7">
      <c r="C116"/>
      <c r="E116" s="298" t="str">
        <f t="shared" si="4"/>
        <v/>
      </c>
      <c r="F116" s="298" t="str">
        <f t="shared" si="5"/>
        <v/>
      </c>
      <c r="G116" t="str">
        <f t="shared" si="3"/>
        <v/>
      </c>
    </row>
    <row r="117" spans="3:7">
      <c r="C117"/>
      <c r="E117" s="298" t="str">
        <f t="shared" si="4"/>
        <v/>
      </c>
      <c r="F117" s="298" t="str">
        <f t="shared" si="5"/>
        <v/>
      </c>
      <c r="G117" t="str">
        <f t="shared" si="3"/>
        <v/>
      </c>
    </row>
    <row r="118" spans="3:7">
      <c r="C118"/>
      <c r="E118" s="298" t="str">
        <f t="shared" si="4"/>
        <v/>
      </c>
      <c r="F118" s="298" t="str">
        <f t="shared" si="5"/>
        <v/>
      </c>
      <c r="G118" t="str">
        <f t="shared" si="3"/>
        <v/>
      </c>
    </row>
    <row r="119" spans="3:7">
      <c r="C119"/>
      <c r="E119" s="298" t="str">
        <f t="shared" si="4"/>
        <v/>
      </c>
      <c r="F119" s="298" t="str">
        <f t="shared" si="5"/>
        <v/>
      </c>
      <c r="G119" t="str">
        <f t="shared" si="3"/>
        <v/>
      </c>
    </row>
    <row r="120" spans="3:7">
      <c r="C120"/>
      <c r="E120" s="298" t="str">
        <f t="shared" si="4"/>
        <v/>
      </c>
      <c r="F120" s="298" t="str">
        <f t="shared" si="5"/>
        <v/>
      </c>
      <c r="G120" t="str">
        <f t="shared" si="3"/>
        <v/>
      </c>
    </row>
    <row r="121" spans="3:7">
      <c r="C121"/>
      <c r="E121" s="298" t="str">
        <f t="shared" si="4"/>
        <v/>
      </c>
      <c r="F121" s="298" t="str">
        <f t="shared" si="5"/>
        <v/>
      </c>
      <c r="G121" t="str">
        <f t="shared" si="3"/>
        <v/>
      </c>
    </row>
    <row r="122" spans="3:7">
      <c r="C122"/>
      <c r="E122" s="298" t="str">
        <f t="shared" si="4"/>
        <v/>
      </c>
      <c r="F122" s="298" t="str">
        <f t="shared" si="5"/>
        <v/>
      </c>
      <c r="G122" t="str">
        <f t="shared" si="3"/>
        <v/>
      </c>
    </row>
    <row r="123" spans="3:7">
      <c r="C123"/>
      <c r="E123" s="298" t="str">
        <f t="shared" si="4"/>
        <v/>
      </c>
      <c r="F123" s="298" t="str">
        <f t="shared" si="5"/>
        <v/>
      </c>
      <c r="G123" t="str">
        <f t="shared" si="3"/>
        <v/>
      </c>
    </row>
    <row r="124" spans="3:7">
      <c r="C124"/>
      <c r="E124" s="298" t="str">
        <f t="shared" si="4"/>
        <v/>
      </c>
      <c r="F124" s="298" t="str">
        <f t="shared" si="5"/>
        <v/>
      </c>
      <c r="G124" t="str">
        <f t="shared" si="3"/>
        <v/>
      </c>
    </row>
    <row r="125" spans="3:7">
      <c r="C125"/>
      <c r="E125" s="298" t="str">
        <f t="shared" si="4"/>
        <v/>
      </c>
      <c r="F125" s="298" t="str">
        <f t="shared" si="5"/>
        <v/>
      </c>
      <c r="G125" t="str">
        <f t="shared" si="3"/>
        <v/>
      </c>
    </row>
    <row r="126" spans="3:7">
      <c r="C126"/>
      <c r="E126" s="298" t="str">
        <f t="shared" si="4"/>
        <v/>
      </c>
      <c r="F126" s="298" t="str">
        <f t="shared" si="5"/>
        <v/>
      </c>
      <c r="G126" t="str">
        <f t="shared" si="3"/>
        <v/>
      </c>
    </row>
    <row r="127" spans="3:7">
      <c r="C127"/>
      <c r="E127" s="298" t="str">
        <f t="shared" si="4"/>
        <v/>
      </c>
      <c r="F127" s="298" t="str">
        <f t="shared" si="5"/>
        <v/>
      </c>
      <c r="G127" t="str">
        <f t="shared" si="3"/>
        <v/>
      </c>
    </row>
    <row r="128" spans="3:7">
      <c r="C128"/>
      <c r="E128" s="298" t="str">
        <f t="shared" si="4"/>
        <v/>
      </c>
      <c r="F128" s="298" t="str">
        <f t="shared" si="5"/>
        <v/>
      </c>
      <c r="G128" t="str">
        <f t="shared" si="3"/>
        <v/>
      </c>
    </row>
    <row r="129" spans="3:7">
      <c r="C129"/>
      <c r="E129" s="298" t="str">
        <f t="shared" si="4"/>
        <v/>
      </c>
      <c r="F129" s="298" t="str">
        <f t="shared" si="5"/>
        <v/>
      </c>
      <c r="G129" t="str">
        <f t="shared" si="3"/>
        <v/>
      </c>
    </row>
    <row r="130" spans="3:7">
      <c r="C130"/>
      <c r="E130" s="298" t="str">
        <f t="shared" si="4"/>
        <v/>
      </c>
      <c r="F130" s="298" t="str">
        <f t="shared" si="5"/>
        <v/>
      </c>
      <c r="G130" t="str">
        <f t="shared" si="3"/>
        <v/>
      </c>
    </row>
    <row r="131" spans="3:7">
      <c r="C131"/>
      <c r="E131" s="298" t="str">
        <f t="shared" si="4"/>
        <v/>
      </c>
      <c r="F131" s="298" t="str">
        <f t="shared" si="5"/>
        <v/>
      </c>
      <c r="G131" t="str">
        <f t="shared" si="3"/>
        <v/>
      </c>
    </row>
    <row r="132" spans="3:7">
      <c r="C132"/>
      <c r="E132" s="298" t="str">
        <f t="shared" si="4"/>
        <v/>
      </c>
      <c r="F132" s="298" t="str">
        <f t="shared" si="5"/>
        <v/>
      </c>
      <c r="G132" t="str">
        <f t="shared" si="3"/>
        <v/>
      </c>
    </row>
    <row r="133" spans="3:7">
      <c r="C133"/>
      <c r="E133" s="298" t="str">
        <f t="shared" si="4"/>
        <v/>
      </c>
      <c r="F133" s="298" t="str">
        <f t="shared" si="5"/>
        <v/>
      </c>
      <c r="G133" t="str">
        <f t="shared" si="3"/>
        <v/>
      </c>
    </row>
    <row r="134" spans="3:7">
      <c r="C134"/>
      <c r="E134" s="298" t="str">
        <f t="shared" si="4"/>
        <v/>
      </c>
      <c r="F134" s="298" t="str">
        <f t="shared" si="5"/>
        <v/>
      </c>
      <c r="G134" t="str">
        <f t="shared" si="3"/>
        <v/>
      </c>
    </row>
    <row r="135" spans="3:7">
      <c r="C135"/>
      <c r="E135" s="298" t="str">
        <f t="shared" si="4"/>
        <v/>
      </c>
      <c r="F135" s="298" t="str">
        <f t="shared" si="5"/>
        <v/>
      </c>
      <c r="G135" t="str">
        <f t="shared" si="3"/>
        <v/>
      </c>
    </row>
    <row r="136" spans="3:7">
      <c r="C136"/>
      <c r="E136" s="298" t="str">
        <f t="shared" si="4"/>
        <v/>
      </c>
      <c r="F136" s="298" t="str">
        <f t="shared" si="5"/>
        <v/>
      </c>
      <c r="G136" t="str">
        <f t="shared" si="3"/>
        <v/>
      </c>
    </row>
    <row r="137" spans="3:7">
      <c r="C137"/>
      <c r="E137" s="298" t="str">
        <f t="shared" si="4"/>
        <v/>
      </c>
      <c r="F137" s="298" t="str">
        <f t="shared" si="5"/>
        <v/>
      </c>
      <c r="G137" t="str">
        <f t="shared" si="3"/>
        <v/>
      </c>
    </row>
    <row r="138" spans="3:7">
      <c r="C138"/>
      <c r="E138" s="298" t="str">
        <f t="shared" si="4"/>
        <v/>
      </c>
      <c r="F138" s="298" t="str">
        <f t="shared" si="5"/>
        <v/>
      </c>
      <c r="G138" t="str">
        <f t="shared" si="3"/>
        <v/>
      </c>
    </row>
    <row r="139" spans="3:7">
      <c r="C139"/>
      <c r="E139" s="298" t="str">
        <f t="shared" si="4"/>
        <v/>
      </c>
      <c r="F139" s="298" t="str">
        <f t="shared" si="5"/>
        <v/>
      </c>
      <c r="G139" t="str">
        <f t="shared" si="3"/>
        <v/>
      </c>
    </row>
    <row r="140" spans="3:7">
      <c r="C140"/>
      <c r="E140" s="298" t="str">
        <f t="shared" si="4"/>
        <v/>
      </c>
      <c r="F140" s="298" t="str">
        <f t="shared" si="5"/>
        <v/>
      </c>
      <c r="G140" t="str">
        <f t="shared" si="3"/>
        <v/>
      </c>
    </row>
    <row r="141" spans="3:7">
      <c r="C141"/>
      <c r="E141" s="298" t="str">
        <f t="shared" si="4"/>
        <v/>
      </c>
      <c r="F141" s="298" t="str">
        <f t="shared" si="5"/>
        <v/>
      </c>
      <c r="G141" t="str">
        <f t="shared" si="3"/>
        <v/>
      </c>
    </row>
    <row r="142" spans="3:7">
      <c r="C142"/>
      <c r="E142" s="298" t="str">
        <f t="shared" si="4"/>
        <v/>
      </c>
      <c r="F142" s="298" t="str">
        <f t="shared" si="5"/>
        <v/>
      </c>
      <c r="G142" t="str">
        <f t="shared" ref="G142:G205" si="6">IF(F142&lt;&gt;"","INSERIR COMENTÁRIO PMO","")</f>
        <v/>
      </c>
    </row>
    <row r="143" spans="3:7">
      <c r="C143"/>
      <c r="E143" s="298" t="str">
        <f t="shared" ref="E143:E206" si="7">IF(D143&lt;&gt;0,"INSERIR JUSTIFICATIVA","")</f>
        <v/>
      </c>
      <c r="F143" s="298" t="str">
        <f t="shared" ref="F143:F206" si="8">IF(E143&lt;&gt;"","INSERIR HORA PMO","")</f>
        <v/>
      </c>
      <c r="G143" t="str">
        <f t="shared" si="6"/>
        <v/>
      </c>
    </row>
    <row r="144" spans="3:7">
      <c r="C144"/>
      <c r="E144" s="298" t="str">
        <f t="shared" si="7"/>
        <v/>
      </c>
      <c r="F144" s="298" t="str">
        <f t="shared" si="8"/>
        <v/>
      </c>
      <c r="G144" t="str">
        <f t="shared" si="6"/>
        <v/>
      </c>
    </row>
    <row r="145" spans="3:7">
      <c r="C145"/>
      <c r="E145" s="298" t="str">
        <f t="shared" si="7"/>
        <v/>
      </c>
      <c r="F145" s="298" t="str">
        <f t="shared" si="8"/>
        <v/>
      </c>
      <c r="G145" t="str">
        <f t="shared" si="6"/>
        <v/>
      </c>
    </row>
    <row r="146" spans="3:7">
      <c r="C146"/>
      <c r="E146" s="298" t="str">
        <f t="shared" si="7"/>
        <v/>
      </c>
      <c r="F146" s="298" t="str">
        <f t="shared" si="8"/>
        <v/>
      </c>
      <c r="G146" t="str">
        <f t="shared" si="6"/>
        <v/>
      </c>
    </row>
    <row r="147" spans="3:7">
      <c r="C147"/>
      <c r="E147" s="298" t="str">
        <f t="shared" si="7"/>
        <v/>
      </c>
      <c r="F147" s="298" t="str">
        <f t="shared" si="8"/>
        <v/>
      </c>
      <c r="G147" t="str">
        <f t="shared" si="6"/>
        <v/>
      </c>
    </row>
    <row r="148" spans="3:7">
      <c r="C148"/>
      <c r="E148" s="298" t="str">
        <f t="shared" si="7"/>
        <v/>
      </c>
      <c r="F148" s="298" t="str">
        <f t="shared" si="8"/>
        <v/>
      </c>
      <c r="G148" t="str">
        <f t="shared" si="6"/>
        <v/>
      </c>
    </row>
    <row r="149" spans="3:7">
      <c r="C149"/>
      <c r="E149" s="298" t="str">
        <f t="shared" si="7"/>
        <v/>
      </c>
      <c r="F149" s="298" t="str">
        <f t="shared" si="8"/>
        <v/>
      </c>
      <c r="G149" t="str">
        <f t="shared" si="6"/>
        <v/>
      </c>
    </row>
    <row r="150" spans="3:7">
      <c r="C150"/>
      <c r="E150" s="298" t="str">
        <f t="shared" si="7"/>
        <v/>
      </c>
      <c r="F150" s="298" t="str">
        <f t="shared" si="8"/>
        <v/>
      </c>
      <c r="G150" t="str">
        <f t="shared" si="6"/>
        <v/>
      </c>
    </row>
    <row r="151" spans="3:7">
      <c r="C151"/>
      <c r="E151" s="298" t="str">
        <f t="shared" si="7"/>
        <v/>
      </c>
      <c r="F151" s="298" t="str">
        <f t="shared" si="8"/>
        <v/>
      </c>
      <c r="G151" t="str">
        <f t="shared" si="6"/>
        <v/>
      </c>
    </row>
    <row r="152" spans="3:7">
      <c r="C152"/>
      <c r="E152" s="298" t="str">
        <f t="shared" si="7"/>
        <v/>
      </c>
      <c r="F152" s="298" t="str">
        <f t="shared" si="8"/>
        <v/>
      </c>
      <c r="G152" t="str">
        <f t="shared" si="6"/>
        <v/>
      </c>
    </row>
    <row r="153" spans="3:7">
      <c r="C153"/>
      <c r="E153" s="298" t="str">
        <f t="shared" si="7"/>
        <v/>
      </c>
      <c r="F153" s="298" t="str">
        <f t="shared" si="8"/>
        <v/>
      </c>
      <c r="G153" t="str">
        <f t="shared" si="6"/>
        <v/>
      </c>
    </row>
    <row r="154" spans="3:7">
      <c r="C154"/>
      <c r="E154" s="298" t="str">
        <f t="shared" si="7"/>
        <v/>
      </c>
      <c r="F154" s="298" t="str">
        <f t="shared" si="8"/>
        <v/>
      </c>
      <c r="G154" t="str">
        <f t="shared" si="6"/>
        <v/>
      </c>
    </row>
    <row r="155" spans="3:7">
      <c r="C155"/>
      <c r="E155" s="298" t="str">
        <f t="shared" si="7"/>
        <v/>
      </c>
      <c r="F155" s="298" t="str">
        <f t="shared" si="8"/>
        <v/>
      </c>
      <c r="G155" t="str">
        <f t="shared" si="6"/>
        <v/>
      </c>
    </row>
    <row r="156" spans="3:7">
      <c r="C156"/>
      <c r="E156" s="298" t="str">
        <f t="shared" si="7"/>
        <v/>
      </c>
      <c r="F156" s="298" t="str">
        <f t="shared" si="8"/>
        <v/>
      </c>
      <c r="G156" t="str">
        <f t="shared" si="6"/>
        <v/>
      </c>
    </row>
    <row r="157" spans="3:7">
      <c r="C157"/>
      <c r="E157" s="298" t="str">
        <f t="shared" si="7"/>
        <v/>
      </c>
      <c r="F157" s="298" t="str">
        <f t="shared" si="8"/>
        <v/>
      </c>
      <c r="G157" t="str">
        <f t="shared" si="6"/>
        <v/>
      </c>
    </row>
    <row r="158" spans="3:7">
      <c r="C158"/>
      <c r="E158" s="298" t="str">
        <f t="shared" si="7"/>
        <v/>
      </c>
      <c r="F158" s="298" t="str">
        <f t="shared" si="8"/>
        <v/>
      </c>
      <c r="G158" t="str">
        <f t="shared" si="6"/>
        <v/>
      </c>
    </row>
    <row r="159" spans="3:7">
      <c r="C159"/>
      <c r="E159" s="298" t="str">
        <f t="shared" si="7"/>
        <v/>
      </c>
      <c r="F159" s="298" t="str">
        <f t="shared" si="8"/>
        <v/>
      </c>
      <c r="G159" t="str">
        <f t="shared" si="6"/>
        <v/>
      </c>
    </row>
    <row r="160" spans="3:7">
      <c r="C160"/>
      <c r="E160" s="298" t="str">
        <f t="shared" si="7"/>
        <v/>
      </c>
      <c r="F160" s="298" t="str">
        <f t="shared" si="8"/>
        <v/>
      </c>
      <c r="G160" t="str">
        <f t="shared" si="6"/>
        <v/>
      </c>
    </row>
    <row r="161" spans="3:7">
      <c r="C161"/>
      <c r="E161" s="298" t="str">
        <f t="shared" si="7"/>
        <v/>
      </c>
      <c r="F161" s="298" t="str">
        <f t="shared" si="8"/>
        <v/>
      </c>
      <c r="G161" t="str">
        <f t="shared" si="6"/>
        <v/>
      </c>
    </row>
    <row r="162" spans="3:7">
      <c r="C162"/>
      <c r="E162" s="298" t="str">
        <f t="shared" si="7"/>
        <v/>
      </c>
      <c r="F162" s="298" t="str">
        <f t="shared" si="8"/>
        <v/>
      </c>
      <c r="G162" t="str">
        <f t="shared" si="6"/>
        <v/>
      </c>
    </row>
    <row r="163" spans="3:7">
      <c r="C163"/>
      <c r="E163" s="298" t="str">
        <f t="shared" si="7"/>
        <v/>
      </c>
      <c r="F163" s="298" t="str">
        <f t="shared" si="8"/>
        <v/>
      </c>
      <c r="G163" t="str">
        <f t="shared" si="6"/>
        <v/>
      </c>
    </row>
    <row r="164" spans="3:7">
      <c r="C164"/>
      <c r="E164" s="298" t="str">
        <f t="shared" si="7"/>
        <v/>
      </c>
      <c r="F164" s="298" t="str">
        <f t="shared" si="8"/>
        <v/>
      </c>
      <c r="G164" t="str">
        <f t="shared" si="6"/>
        <v/>
      </c>
    </row>
    <row r="165" spans="3:7">
      <c r="C165"/>
      <c r="E165" s="298" t="str">
        <f t="shared" si="7"/>
        <v/>
      </c>
      <c r="F165" s="298" t="str">
        <f t="shared" si="8"/>
        <v/>
      </c>
      <c r="G165" t="str">
        <f t="shared" si="6"/>
        <v/>
      </c>
    </row>
    <row r="166" spans="3:7">
      <c r="C166"/>
      <c r="E166" s="298" t="str">
        <f t="shared" si="7"/>
        <v/>
      </c>
      <c r="F166" s="298" t="str">
        <f t="shared" si="8"/>
        <v/>
      </c>
      <c r="G166" t="str">
        <f t="shared" si="6"/>
        <v/>
      </c>
    </row>
    <row r="167" spans="3:7">
      <c r="C167"/>
      <c r="E167" s="298" t="str">
        <f t="shared" si="7"/>
        <v/>
      </c>
      <c r="F167" s="298" t="str">
        <f t="shared" si="8"/>
        <v/>
      </c>
      <c r="G167" t="str">
        <f t="shared" si="6"/>
        <v/>
      </c>
    </row>
    <row r="168" spans="3:7">
      <c r="C168"/>
      <c r="E168" s="298" t="str">
        <f t="shared" si="7"/>
        <v/>
      </c>
      <c r="F168" s="298" t="str">
        <f t="shared" si="8"/>
        <v/>
      </c>
      <c r="G168" t="str">
        <f t="shared" si="6"/>
        <v/>
      </c>
    </row>
    <row r="169" spans="3:7">
      <c r="C169"/>
      <c r="E169" s="298" t="str">
        <f t="shared" si="7"/>
        <v/>
      </c>
      <c r="F169" s="298" t="str">
        <f t="shared" si="8"/>
        <v/>
      </c>
      <c r="G169" t="str">
        <f t="shared" si="6"/>
        <v/>
      </c>
    </row>
    <row r="170" spans="3:7">
      <c r="C170"/>
      <c r="E170" s="298" t="str">
        <f t="shared" si="7"/>
        <v/>
      </c>
      <c r="F170" s="298" t="str">
        <f t="shared" si="8"/>
        <v/>
      </c>
      <c r="G170" t="str">
        <f t="shared" si="6"/>
        <v/>
      </c>
    </row>
    <row r="171" spans="3:7">
      <c r="C171"/>
      <c r="E171" s="298" t="str">
        <f t="shared" si="7"/>
        <v/>
      </c>
      <c r="F171" s="298" t="str">
        <f t="shared" si="8"/>
        <v/>
      </c>
      <c r="G171" t="str">
        <f t="shared" si="6"/>
        <v/>
      </c>
    </row>
    <row r="172" spans="3:7">
      <c r="C172"/>
      <c r="E172" s="298" t="str">
        <f t="shared" si="7"/>
        <v/>
      </c>
      <c r="F172" s="298" t="str">
        <f t="shared" si="8"/>
        <v/>
      </c>
      <c r="G172" t="str">
        <f t="shared" si="6"/>
        <v/>
      </c>
    </row>
    <row r="173" spans="3:7">
      <c r="C173"/>
      <c r="E173" s="298" t="str">
        <f t="shared" si="7"/>
        <v/>
      </c>
      <c r="F173" s="298" t="str">
        <f t="shared" si="8"/>
        <v/>
      </c>
      <c r="G173" t="str">
        <f t="shared" si="6"/>
        <v/>
      </c>
    </row>
    <row r="174" spans="3:7">
      <c r="C174"/>
      <c r="E174" s="298" t="str">
        <f t="shared" si="7"/>
        <v/>
      </c>
      <c r="F174" s="298" t="str">
        <f t="shared" si="8"/>
        <v/>
      </c>
      <c r="G174" t="str">
        <f t="shared" si="6"/>
        <v/>
      </c>
    </row>
    <row r="175" spans="3:7">
      <c r="C175"/>
      <c r="E175" s="298" t="str">
        <f t="shared" si="7"/>
        <v/>
      </c>
      <c r="F175" s="298" t="str">
        <f t="shared" si="8"/>
        <v/>
      </c>
      <c r="G175" t="str">
        <f t="shared" si="6"/>
        <v/>
      </c>
    </row>
    <row r="176" spans="3:7">
      <c r="C176"/>
      <c r="E176" s="298" t="str">
        <f t="shared" si="7"/>
        <v/>
      </c>
      <c r="F176" s="298" t="str">
        <f t="shared" si="8"/>
        <v/>
      </c>
      <c r="G176" t="str">
        <f t="shared" si="6"/>
        <v/>
      </c>
    </row>
    <row r="177" spans="3:7">
      <c r="C177"/>
      <c r="E177" s="298" t="str">
        <f t="shared" si="7"/>
        <v/>
      </c>
      <c r="F177" s="298" t="str">
        <f t="shared" si="8"/>
        <v/>
      </c>
      <c r="G177" t="str">
        <f t="shared" si="6"/>
        <v/>
      </c>
    </row>
    <row r="178" spans="3:7">
      <c r="C178"/>
      <c r="E178" s="298" t="str">
        <f t="shared" si="7"/>
        <v/>
      </c>
      <c r="F178" s="298" t="str">
        <f t="shared" si="8"/>
        <v/>
      </c>
      <c r="G178" t="str">
        <f t="shared" si="6"/>
        <v/>
      </c>
    </row>
    <row r="179" spans="3:7">
      <c r="C179"/>
      <c r="E179" s="298" t="str">
        <f t="shared" si="7"/>
        <v/>
      </c>
      <c r="F179" s="298" t="str">
        <f t="shared" si="8"/>
        <v/>
      </c>
      <c r="G179" t="str">
        <f t="shared" si="6"/>
        <v/>
      </c>
    </row>
    <row r="180" spans="3:7">
      <c r="C180"/>
      <c r="E180" s="298" t="str">
        <f t="shared" si="7"/>
        <v/>
      </c>
      <c r="F180" s="298" t="str">
        <f t="shared" si="8"/>
        <v/>
      </c>
      <c r="G180" t="str">
        <f t="shared" si="6"/>
        <v/>
      </c>
    </row>
    <row r="181" spans="3:7">
      <c r="C181"/>
      <c r="E181" s="298" t="str">
        <f t="shared" si="7"/>
        <v/>
      </c>
      <c r="F181" s="298" t="str">
        <f t="shared" si="8"/>
        <v/>
      </c>
      <c r="G181" t="str">
        <f t="shared" si="6"/>
        <v/>
      </c>
    </row>
    <row r="182" spans="3:7">
      <c r="C182"/>
      <c r="E182" s="298" t="str">
        <f t="shared" si="7"/>
        <v/>
      </c>
      <c r="F182" s="298" t="str">
        <f t="shared" si="8"/>
        <v/>
      </c>
      <c r="G182" t="str">
        <f t="shared" si="6"/>
        <v/>
      </c>
    </row>
    <row r="183" spans="3:7">
      <c r="C183"/>
      <c r="E183" s="298" t="str">
        <f t="shared" si="7"/>
        <v/>
      </c>
      <c r="F183" s="298" t="str">
        <f t="shared" si="8"/>
        <v/>
      </c>
      <c r="G183" t="str">
        <f t="shared" si="6"/>
        <v/>
      </c>
    </row>
    <row r="184" spans="3:7">
      <c r="C184"/>
      <c r="E184" s="298" t="str">
        <f t="shared" si="7"/>
        <v/>
      </c>
      <c r="F184" s="298" t="str">
        <f t="shared" si="8"/>
        <v/>
      </c>
      <c r="G184" t="str">
        <f t="shared" si="6"/>
        <v/>
      </c>
    </row>
    <row r="185" spans="3:7">
      <c r="C185"/>
      <c r="E185" s="298" t="str">
        <f t="shared" si="7"/>
        <v/>
      </c>
      <c r="F185" s="298" t="str">
        <f t="shared" si="8"/>
        <v/>
      </c>
      <c r="G185" t="str">
        <f t="shared" si="6"/>
        <v/>
      </c>
    </row>
    <row r="186" spans="3:7">
      <c r="C186"/>
      <c r="E186" s="298" t="str">
        <f t="shared" si="7"/>
        <v/>
      </c>
      <c r="F186" s="298" t="str">
        <f t="shared" si="8"/>
        <v/>
      </c>
      <c r="G186" t="str">
        <f t="shared" si="6"/>
        <v/>
      </c>
    </row>
    <row r="187" spans="3:7">
      <c r="C187"/>
      <c r="E187" s="298" t="str">
        <f t="shared" si="7"/>
        <v/>
      </c>
      <c r="F187" s="298" t="str">
        <f t="shared" si="8"/>
        <v/>
      </c>
      <c r="G187" t="str">
        <f t="shared" si="6"/>
        <v/>
      </c>
    </row>
    <row r="188" spans="3:7">
      <c r="C188"/>
      <c r="E188" s="298" t="str">
        <f t="shared" si="7"/>
        <v/>
      </c>
      <c r="F188" s="298" t="str">
        <f t="shared" si="8"/>
        <v/>
      </c>
      <c r="G188" t="str">
        <f t="shared" si="6"/>
        <v/>
      </c>
    </row>
    <row r="189" spans="3:7">
      <c r="C189"/>
      <c r="E189" s="298" t="str">
        <f t="shared" si="7"/>
        <v/>
      </c>
      <c r="F189" s="298" t="str">
        <f t="shared" si="8"/>
        <v/>
      </c>
      <c r="G189" t="str">
        <f t="shared" si="6"/>
        <v/>
      </c>
    </row>
    <row r="190" spans="3:7">
      <c r="C190"/>
      <c r="E190" s="298" t="str">
        <f t="shared" si="7"/>
        <v/>
      </c>
      <c r="F190" s="298" t="str">
        <f t="shared" si="8"/>
        <v/>
      </c>
      <c r="G190" t="str">
        <f t="shared" si="6"/>
        <v/>
      </c>
    </row>
    <row r="191" spans="3:7">
      <c r="C191"/>
      <c r="E191" s="298" t="str">
        <f t="shared" si="7"/>
        <v/>
      </c>
      <c r="F191" s="298" t="str">
        <f t="shared" si="8"/>
        <v/>
      </c>
      <c r="G191" t="str">
        <f t="shared" si="6"/>
        <v/>
      </c>
    </row>
    <row r="192" spans="3:7">
      <c r="C192"/>
      <c r="E192" s="298" t="str">
        <f t="shared" si="7"/>
        <v/>
      </c>
      <c r="F192" s="298" t="str">
        <f t="shared" si="8"/>
        <v/>
      </c>
      <c r="G192" t="str">
        <f t="shared" si="6"/>
        <v/>
      </c>
    </row>
    <row r="193" spans="3:7">
      <c r="C193"/>
      <c r="E193" s="298" t="str">
        <f t="shared" si="7"/>
        <v/>
      </c>
      <c r="F193" s="298" t="str">
        <f t="shared" si="8"/>
        <v/>
      </c>
      <c r="G193" t="str">
        <f t="shared" si="6"/>
        <v/>
      </c>
    </row>
    <row r="194" spans="3:7">
      <c r="C194"/>
      <c r="E194" s="298" t="str">
        <f t="shared" si="7"/>
        <v/>
      </c>
      <c r="F194" s="298" t="str">
        <f t="shared" si="8"/>
        <v/>
      </c>
      <c r="G194" t="str">
        <f t="shared" si="6"/>
        <v/>
      </c>
    </row>
    <row r="195" spans="3:7">
      <c r="C195"/>
      <c r="E195" s="298" t="str">
        <f t="shared" si="7"/>
        <v/>
      </c>
      <c r="F195" s="298" t="str">
        <f t="shared" si="8"/>
        <v/>
      </c>
      <c r="G195" t="str">
        <f t="shared" si="6"/>
        <v/>
      </c>
    </row>
    <row r="196" spans="3:7">
      <c r="C196"/>
      <c r="E196" s="298" t="str">
        <f t="shared" si="7"/>
        <v/>
      </c>
      <c r="F196" s="298" t="str">
        <f t="shared" si="8"/>
        <v/>
      </c>
      <c r="G196" t="str">
        <f t="shared" si="6"/>
        <v/>
      </c>
    </row>
    <row r="197" spans="3:7">
      <c r="C197"/>
      <c r="E197" s="298" t="str">
        <f t="shared" si="7"/>
        <v/>
      </c>
      <c r="F197" s="298" t="str">
        <f t="shared" si="8"/>
        <v/>
      </c>
      <c r="G197" t="str">
        <f t="shared" si="6"/>
        <v/>
      </c>
    </row>
    <row r="198" spans="3:7">
      <c r="C198"/>
      <c r="E198" s="298" t="str">
        <f t="shared" si="7"/>
        <v/>
      </c>
      <c r="F198" s="298" t="str">
        <f t="shared" si="8"/>
        <v/>
      </c>
      <c r="G198" t="str">
        <f t="shared" si="6"/>
        <v/>
      </c>
    </row>
    <row r="199" spans="3:7">
      <c r="C199"/>
      <c r="E199" s="298" t="str">
        <f t="shared" si="7"/>
        <v/>
      </c>
      <c r="F199" s="298" t="str">
        <f t="shared" si="8"/>
        <v/>
      </c>
      <c r="G199" t="str">
        <f t="shared" si="6"/>
        <v/>
      </c>
    </row>
    <row r="200" spans="3:7">
      <c r="C200"/>
      <c r="E200" s="298" t="str">
        <f t="shared" si="7"/>
        <v/>
      </c>
      <c r="F200" s="298" t="str">
        <f t="shared" si="8"/>
        <v/>
      </c>
      <c r="G200" t="str">
        <f t="shared" si="6"/>
        <v/>
      </c>
    </row>
    <row r="201" spans="3:7">
      <c r="C201"/>
      <c r="E201" s="298" t="str">
        <f t="shared" si="7"/>
        <v/>
      </c>
      <c r="F201" s="298" t="str">
        <f t="shared" si="8"/>
        <v/>
      </c>
      <c r="G201" t="str">
        <f t="shared" si="6"/>
        <v/>
      </c>
    </row>
    <row r="202" spans="3:7">
      <c r="C202"/>
      <c r="E202" s="298" t="str">
        <f t="shared" si="7"/>
        <v/>
      </c>
      <c r="F202" s="298" t="str">
        <f t="shared" si="8"/>
        <v/>
      </c>
      <c r="G202" t="str">
        <f t="shared" si="6"/>
        <v/>
      </c>
    </row>
    <row r="203" spans="3:7">
      <c r="C203"/>
      <c r="E203" s="298" t="str">
        <f t="shared" si="7"/>
        <v/>
      </c>
      <c r="F203" s="298" t="str">
        <f t="shared" si="8"/>
        <v/>
      </c>
      <c r="G203" t="str">
        <f t="shared" si="6"/>
        <v/>
      </c>
    </row>
    <row r="204" spans="3:7">
      <c r="C204"/>
      <c r="E204" s="298" t="str">
        <f t="shared" si="7"/>
        <v/>
      </c>
      <c r="F204" s="298" t="str">
        <f t="shared" si="8"/>
        <v/>
      </c>
      <c r="G204" t="str">
        <f t="shared" si="6"/>
        <v/>
      </c>
    </row>
    <row r="205" spans="3:7">
      <c r="C205"/>
      <c r="E205" s="298" t="str">
        <f t="shared" si="7"/>
        <v/>
      </c>
      <c r="F205" s="298" t="str">
        <f t="shared" si="8"/>
        <v/>
      </c>
      <c r="G205" t="str">
        <f t="shared" si="6"/>
        <v/>
      </c>
    </row>
    <row r="206" spans="3:7">
      <c r="C206"/>
      <c r="E206" s="298" t="str">
        <f t="shared" si="7"/>
        <v/>
      </c>
      <c r="F206" s="298" t="str">
        <f t="shared" si="8"/>
        <v/>
      </c>
      <c r="G206" t="str">
        <f t="shared" ref="G206:G269" si="9">IF(F206&lt;&gt;"","INSERIR COMENTÁRIO PMO","")</f>
        <v/>
      </c>
    </row>
    <row r="207" spans="3:7">
      <c r="C207"/>
      <c r="E207" s="298" t="str">
        <f t="shared" ref="E207:E270" si="10">IF(D207&lt;&gt;0,"INSERIR JUSTIFICATIVA","")</f>
        <v/>
      </c>
      <c r="F207" s="298" t="str">
        <f t="shared" ref="F207:F270" si="11">IF(E207&lt;&gt;"","INSERIR HORA PMO","")</f>
        <v/>
      </c>
      <c r="G207" t="str">
        <f t="shared" si="9"/>
        <v/>
      </c>
    </row>
    <row r="208" spans="3:7">
      <c r="C208"/>
      <c r="E208" s="298" t="str">
        <f t="shared" si="10"/>
        <v/>
      </c>
      <c r="F208" s="298" t="str">
        <f t="shared" si="11"/>
        <v/>
      </c>
      <c r="G208" t="str">
        <f t="shared" si="9"/>
        <v/>
      </c>
    </row>
    <row r="209" spans="3:7">
      <c r="C209"/>
      <c r="E209" s="298" t="str">
        <f t="shared" si="10"/>
        <v/>
      </c>
      <c r="F209" s="298" t="str">
        <f t="shared" si="11"/>
        <v/>
      </c>
      <c r="G209" t="str">
        <f t="shared" si="9"/>
        <v/>
      </c>
    </row>
    <row r="210" spans="3:7">
      <c r="C210"/>
      <c r="E210" s="298" t="str">
        <f t="shared" si="10"/>
        <v/>
      </c>
      <c r="F210" s="298" t="str">
        <f t="shared" si="11"/>
        <v/>
      </c>
      <c r="G210" t="str">
        <f t="shared" si="9"/>
        <v/>
      </c>
    </row>
    <row r="211" spans="3:7">
      <c r="C211"/>
      <c r="E211" s="298" t="str">
        <f t="shared" si="10"/>
        <v/>
      </c>
      <c r="F211" s="298" t="str">
        <f t="shared" si="11"/>
        <v/>
      </c>
      <c r="G211" t="str">
        <f t="shared" si="9"/>
        <v/>
      </c>
    </row>
    <row r="212" spans="3:7">
      <c r="C212"/>
      <c r="E212" s="298" t="str">
        <f t="shared" si="10"/>
        <v/>
      </c>
      <c r="F212" s="298" t="str">
        <f t="shared" si="11"/>
        <v/>
      </c>
      <c r="G212" t="str">
        <f t="shared" si="9"/>
        <v/>
      </c>
    </row>
    <row r="213" spans="3:7">
      <c r="C213"/>
      <c r="E213" s="298" t="str">
        <f t="shared" si="10"/>
        <v/>
      </c>
      <c r="F213" s="298" t="str">
        <f t="shared" si="11"/>
        <v/>
      </c>
      <c r="G213" t="str">
        <f t="shared" si="9"/>
        <v/>
      </c>
    </row>
    <row r="214" spans="3:7">
      <c r="C214"/>
      <c r="E214" s="298" t="str">
        <f t="shared" si="10"/>
        <v/>
      </c>
      <c r="F214" s="298" t="str">
        <f t="shared" si="11"/>
        <v/>
      </c>
      <c r="G214" t="str">
        <f t="shared" si="9"/>
        <v/>
      </c>
    </row>
    <row r="215" spans="3:7">
      <c r="C215"/>
      <c r="E215" s="298" t="str">
        <f t="shared" si="10"/>
        <v/>
      </c>
      <c r="F215" s="298" t="str">
        <f t="shared" si="11"/>
        <v/>
      </c>
      <c r="G215" t="str">
        <f t="shared" si="9"/>
        <v/>
      </c>
    </row>
    <row r="216" spans="3:7">
      <c r="C216"/>
      <c r="E216" s="298" t="str">
        <f t="shared" si="10"/>
        <v/>
      </c>
      <c r="F216" s="298" t="str">
        <f t="shared" si="11"/>
        <v/>
      </c>
      <c r="G216" t="str">
        <f t="shared" si="9"/>
        <v/>
      </c>
    </row>
    <row r="217" spans="3:7">
      <c r="C217"/>
      <c r="E217" s="298" t="str">
        <f t="shared" si="10"/>
        <v/>
      </c>
      <c r="F217" s="298" t="str">
        <f t="shared" si="11"/>
        <v/>
      </c>
      <c r="G217" t="str">
        <f t="shared" si="9"/>
        <v/>
      </c>
    </row>
    <row r="218" spans="3:7">
      <c r="C218"/>
      <c r="E218" s="298" t="str">
        <f t="shared" si="10"/>
        <v/>
      </c>
      <c r="F218" s="298" t="str">
        <f t="shared" si="11"/>
        <v/>
      </c>
      <c r="G218" t="str">
        <f t="shared" si="9"/>
        <v/>
      </c>
    </row>
    <row r="219" spans="3:7">
      <c r="C219"/>
      <c r="E219" s="298" t="str">
        <f t="shared" si="10"/>
        <v/>
      </c>
      <c r="F219" s="298" t="str">
        <f t="shared" si="11"/>
        <v/>
      </c>
      <c r="G219" t="str">
        <f t="shared" si="9"/>
        <v/>
      </c>
    </row>
    <row r="220" spans="3:7">
      <c r="C220"/>
      <c r="E220" s="298" t="str">
        <f t="shared" si="10"/>
        <v/>
      </c>
      <c r="F220" s="298" t="str">
        <f t="shared" si="11"/>
        <v/>
      </c>
      <c r="G220" t="str">
        <f t="shared" si="9"/>
        <v/>
      </c>
    </row>
    <row r="221" spans="3:7">
      <c r="C221"/>
      <c r="E221" s="298" t="str">
        <f t="shared" si="10"/>
        <v/>
      </c>
      <c r="F221" s="298" t="str">
        <f t="shared" si="11"/>
        <v/>
      </c>
      <c r="G221" t="str">
        <f t="shared" si="9"/>
        <v/>
      </c>
    </row>
    <row r="222" spans="3:7">
      <c r="C222"/>
      <c r="E222" s="298" t="str">
        <f t="shared" si="10"/>
        <v/>
      </c>
      <c r="F222" s="298" t="str">
        <f t="shared" si="11"/>
        <v/>
      </c>
      <c r="G222" t="str">
        <f t="shared" si="9"/>
        <v/>
      </c>
    </row>
    <row r="223" spans="3:7">
      <c r="C223"/>
      <c r="E223" s="298" t="str">
        <f t="shared" si="10"/>
        <v/>
      </c>
      <c r="F223" s="298" t="str">
        <f t="shared" si="11"/>
        <v/>
      </c>
      <c r="G223" t="str">
        <f t="shared" si="9"/>
        <v/>
      </c>
    </row>
    <row r="224" spans="3:7">
      <c r="C224"/>
      <c r="E224" s="298" t="str">
        <f t="shared" si="10"/>
        <v/>
      </c>
      <c r="F224" s="298" t="str">
        <f t="shared" si="11"/>
        <v/>
      </c>
      <c r="G224" t="str">
        <f t="shared" si="9"/>
        <v/>
      </c>
    </row>
    <row r="225" spans="3:7">
      <c r="C225"/>
      <c r="E225" s="298" t="str">
        <f t="shared" si="10"/>
        <v/>
      </c>
      <c r="F225" s="298" t="str">
        <f t="shared" si="11"/>
        <v/>
      </c>
      <c r="G225" t="str">
        <f t="shared" si="9"/>
        <v/>
      </c>
    </row>
    <row r="226" spans="3:7">
      <c r="C226"/>
      <c r="E226" s="298" t="str">
        <f t="shared" si="10"/>
        <v/>
      </c>
      <c r="F226" s="298" t="str">
        <f t="shared" si="11"/>
        <v/>
      </c>
      <c r="G226" t="str">
        <f t="shared" si="9"/>
        <v/>
      </c>
    </row>
    <row r="227" spans="3:7">
      <c r="C227"/>
      <c r="E227" s="298" t="str">
        <f t="shared" si="10"/>
        <v/>
      </c>
      <c r="F227" s="298" t="str">
        <f t="shared" si="11"/>
        <v/>
      </c>
      <c r="G227" t="str">
        <f t="shared" si="9"/>
        <v/>
      </c>
    </row>
    <row r="228" spans="3:7">
      <c r="C228"/>
      <c r="E228" s="298" t="str">
        <f t="shared" si="10"/>
        <v/>
      </c>
      <c r="F228" s="298" t="str">
        <f t="shared" si="11"/>
        <v/>
      </c>
      <c r="G228" t="str">
        <f t="shared" si="9"/>
        <v/>
      </c>
    </row>
    <row r="229" spans="3:7">
      <c r="C229"/>
      <c r="E229" s="298" t="str">
        <f t="shared" si="10"/>
        <v/>
      </c>
      <c r="F229" s="298" t="str">
        <f t="shared" si="11"/>
        <v/>
      </c>
      <c r="G229" t="str">
        <f t="shared" si="9"/>
        <v/>
      </c>
    </row>
    <row r="230" spans="3:7">
      <c r="C230"/>
      <c r="E230" s="298" t="str">
        <f t="shared" si="10"/>
        <v/>
      </c>
      <c r="F230" s="298" t="str">
        <f t="shared" si="11"/>
        <v/>
      </c>
      <c r="G230" t="str">
        <f t="shared" si="9"/>
        <v/>
      </c>
    </row>
    <row r="231" spans="3:7">
      <c r="C231"/>
      <c r="E231" s="298" t="str">
        <f t="shared" si="10"/>
        <v/>
      </c>
      <c r="F231" s="298" t="str">
        <f t="shared" si="11"/>
        <v/>
      </c>
      <c r="G231" t="str">
        <f t="shared" si="9"/>
        <v/>
      </c>
    </row>
    <row r="232" spans="3:7">
      <c r="C232"/>
      <c r="E232" s="298" t="str">
        <f t="shared" si="10"/>
        <v/>
      </c>
      <c r="F232" s="298" t="str">
        <f t="shared" si="11"/>
        <v/>
      </c>
      <c r="G232" t="str">
        <f t="shared" si="9"/>
        <v/>
      </c>
    </row>
    <row r="233" spans="3:7">
      <c r="C233"/>
      <c r="E233" s="298" t="str">
        <f t="shared" si="10"/>
        <v/>
      </c>
      <c r="F233" s="298" t="str">
        <f t="shared" si="11"/>
        <v/>
      </c>
      <c r="G233" t="str">
        <f t="shared" si="9"/>
        <v/>
      </c>
    </row>
    <row r="234" spans="3:7">
      <c r="C234"/>
      <c r="E234" s="298" t="str">
        <f t="shared" si="10"/>
        <v/>
      </c>
      <c r="F234" s="298" t="str">
        <f t="shared" si="11"/>
        <v/>
      </c>
      <c r="G234" t="str">
        <f t="shared" si="9"/>
        <v/>
      </c>
    </row>
    <row r="235" spans="3:7">
      <c r="C235"/>
      <c r="E235" s="298" t="str">
        <f t="shared" si="10"/>
        <v/>
      </c>
      <c r="F235" s="298" t="str">
        <f t="shared" si="11"/>
        <v/>
      </c>
      <c r="G235" t="str">
        <f t="shared" si="9"/>
        <v/>
      </c>
    </row>
    <row r="236" spans="3:7">
      <c r="C236"/>
      <c r="E236" s="298" t="str">
        <f t="shared" si="10"/>
        <v/>
      </c>
      <c r="F236" s="298" t="str">
        <f t="shared" si="11"/>
        <v/>
      </c>
      <c r="G236" t="str">
        <f t="shared" si="9"/>
        <v/>
      </c>
    </row>
    <row r="237" spans="3:7">
      <c r="C237"/>
      <c r="E237" s="298" t="str">
        <f t="shared" si="10"/>
        <v/>
      </c>
      <c r="F237" s="298" t="str">
        <f t="shared" si="11"/>
        <v/>
      </c>
      <c r="G237" t="str">
        <f t="shared" si="9"/>
        <v/>
      </c>
    </row>
    <row r="238" spans="3:7">
      <c r="C238"/>
      <c r="E238" s="298" t="str">
        <f t="shared" si="10"/>
        <v/>
      </c>
      <c r="F238" s="298" t="str">
        <f t="shared" si="11"/>
        <v/>
      </c>
      <c r="G238" t="str">
        <f t="shared" si="9"/>
        <v/>
      </c>
    </row>
    <row r="239" spans="3:7">
      <c r="C239"/>
      <c r="E239" s="298" t="str">
        <f t="shared" si="10"/>
        <v/>
      </c>
      <c r="F239" s="298" t="str">
        <f t="shared" si="11"/>
        <v/>
      </c>
      <c r="G239" t="str">
        <f t="shared" si="9"/>
        <v/>
      </c>
    </row>
    <row r="240" spans="3:7">
      <c r="C240"/>
      <c r="E240" s="298" t="str">
        <f t="shared" si="10"/>
        <v/>
      </c>
      <c r="F240" s="298" t="str">
        <f t="shared" si="11"/>
        <v/>
      </c>
      <c r="G240" t="str">
        <f t="shared" si="9"/>
        <v/>
      </c>
    </row>
    <row r="241" spans="3:7">
      <c r="C241"/>
      <c r="E241" s="298" t="str">
        <f t="shared" si="10"/>
        <v/>
      </c>
      <c r="F241" s="298" t="str">
        <f t="shared" si="11"/>
        <v/>
      </c>
      <c r="G241" t="str">
        <f t="shared" si="9"/>
        <v/>
      </c>
    </row>
    <row r="242" spans="3:7">
      <c r="C242"/>
      <c r="E242" s="298" t="str">
        <f t="shared" si="10"/>
        <v/>
      </c>
      <c r="F242" s="298" t="str">
        <f t="shared" si="11"/>
        <v/>
      </c>
      <c r="G242" t="str">
        <f t="shared" si="9"/>
        <v/>
      </c>
    </row>
    <row r="243" spans="3:7">
      <c r="C243"/>
      <c r="E243" s="298" t="str">
        <f t="shared" si="10"/>
        <v/>
      </c>
      <c r="F243" s="298" t="str">
        <f t="shared" si="11"/>
        <v/>
      </c>
      <c r="G243" t="str">
        <f t="shared" si="9"/>
        <v/>
      </c>
    </row>
    <row r="244" spans="3:7">
      <c r="C244"/>
      <c r="E244" s="298" t="str">
        <f t="shared" si="10"/>
        <v/>
      </c>
      <c r="F244" s="298" t="str">
        <f t="shared" si="11"/>
        <v/>
      </c>
      <c r="G244" t="str">
        <f t="shared" si="9"/>
        <v/>
      </c>
    </row>
    <row r="245" spans="3:7">
      <c r="C245"/>
      <c r="E245" s="298" t="str">
        <f t="shared" si="10"/>
        <v/>
      </c>
      <c r="F245" s="298" t="str">
        <f t="shared" si="11"/>
        <v/>
      </c>
      <c r="G245" t="str">
        <f t="shared" si="9"/>
        <v/>
      </c>
    </row>
    <row r="246" spans="3:7">
      <c r="C246"/>
      <c r="E246" s="298" t="str">
        <f t="shared" si="10"/>
        <v/>
      </c>
      <c r="F246" s="298" t="str">
        <f t="shared" si="11"/>
        <v/>
      </c>
      <c r="G246" t="str">
        <f t="shared" si="9"/>
        <v/>
      </c>
    </row>
    <row r="247" spans="3:7">
      <c r="C247"/>
      <c r="E247" s="298" t="str">
        <f t="shared" si="10"/>
        <v/>
      </c>
      <c r="F247" s="298" t="str">
        <f t="shared" si="11"/>
        <v/>
      </c>
      <c r="G247" t="str">
        <f t="shared" si="9"/>
        <v/>
      </c>
    </row>
    <row r="248" spans="3:7">
      <c r="C248"/>
      <c r="E248" s="298" t="str">
        <f t="shared" si="10"/>
        <v/>
      </c>
      <c r="F248" s="298" t="str">
        <f t="shared" si="11"/>
        <v/>
      </c>
      <c r="G248" t="str">
        <f t="shared" si="9"/>
        <v/>
      </c>
    </row>
    <row r="249" spans="3:7">
      <c r="C249"/>
      <c r="E249" s="298" t="str">
        <f t="shared" si="10"/>
        <v/>
      </c>
      <c r="F249" s="298" t="str">
        <f t="shared" si="11"/>
        <v/>
      </c>
      <c r="G249" t="str">
        <f t="shared" si="9"/>
        <v/>
      </c>
    </row>
    <row r="250" spans="3:7">
      <c r="C250"/>
      <c r="E250" s="298" t="str">
        <f t="shared" si="10"/>
        <v/>
      </c>
      <c r="F250" s="298" t="str">
        <f t="shared" si="11"/>
        <v/>
      </c>
      <c r="G250" t="str">
        <f t="shared" si="9"/>
        <v/>
      </c>
    </row>
    <row r="251" spans="3:7">
      <c r="C251"/>
      <c r="E251" s="298" t="str">
        <f t="shared" si="10"/>
        <v/>
      </c>
      <c r="F251" s="298" t="str">
        <f t="shared" si="11"/>
        <v/>
      </c>
      <c r="G251" t="str">
        <f t="shared" si="9"/>
        <v/>
      </c>
    </row>
    <row r="252" spans="3:7">
      <c r="C252"/>
      <c r="E252" s="298" t="str">
        <f t="shared" si="10"/>
        <v/>
      </c>
      <c r="F252" s="298" t="str">
        <f t="shared" si="11"/>
        <v/>
      </c>
      <c r="G252" t="str">
        <f t="shared" si="9"/>
        <v/>
      </c>
    </row>
    <row r="253" spans="3:7">
      <c r="C253"/>
      <c r="E253" s="298" t="str">
        <f t="shared" si="10"/>
        <v/>
      </c>
      <c r="F253" s="298" t="str">
        <f t="shared" si="11"/>
        <v/>
      </c>
      <c r="G253" t="str">
        <f t="shared" si="9"/>
        <v/>
      </c>
    </row>
    <row r="254" spans="3:7">
      <c r="C254"/>
      <c r="E254" s="298" t="str">
        <f t="shared" si="10"/>
        <v/>
      </c>
      <c r="F254" s="298" t="str">
        <f t="shared" si="11"/>
        <v/>
      </c>
      <c r="G254" t="str">
        <f t="shared" si="9"/>
        <v/>
      </c>
    </row>
    <row r="255" spans="3:7">
      <c r="C255"/>
      <c r="E255" s="298" t="str">
        <f t="shared" si="10"/>
        <v/>
      </c>
      <c r="F255" s="298" t="str">
        <f t="shared" si="11"/>
        <v/>
      </c>
      <c r="G255" t="str">
        <f t="shared" si="9"/>
        <v/>
      </c>
    </row>
    <row r="256" spans="3:7">
      <c r="C256"/>
      <c r="E256" s="298" t="str">
        <f t="shared" si="10"/>
        <v/>
      </c>
      <c r="F256" s="298" t="str">
        <f t="shared" si="11"/>
        <v/>
      </c>
      <c r="G256" t="str">
        <f t="shared" si="9"/>
        <v/>
      </c>
    </row>
    <row r="257" spans="3:7">
      <c r="C257"/>
      <c r="E257" s="298" t="str">
        <f t="shared" si="10"/>
        <v/>
      </c>
      <c r="F257" s="298" t="str">
        <f t="shared" si="11"/>
        <v/>
      </c>
      <c r="G257" t="str">
        <f t="shared" si="9"/>
        <v/>
      </c>
    </row>
    <row r="258" spans="3:7">
      <c r="C258"/>
      <c r="E258" s="298" t="str">
        <f t="shared" si="10"/>
        <v/>
      </c>
      <c r="F258" s="298" t="str">
        <f t="shared" si="11"/>
        <v/>
      </c>
      <c r="G258" t="str">
        <f t="shared" si="9"/>
        <v/>
      </c>
    </row>
    <row r="259" spans="3:7">
      <c r="C259"/>
      <c r="E259" s="298" t="str">
        <f t="shared" si="10"/>
        <v/>
      </c>
      <c r="F259" s="298" t="str">
        <f t="shared" si="11"/>
        <v/>
      </c>
      <c r="G259" t="str">
        <f t="shared" si="9"/>
        <v/>
      </c>
    </row>
    <row r="260" spans="3:7">
      <c r="C260"/>
      <c r="E260" s="298" t="str">
        <f t="shared" si="10"/>
        <v/>
      </c>
      <c r="F260" s="298" t="str">
        <f t="shared" si="11"/>
        <v/>
      </c>
      <c r="G260" t="str">
        <f t="shared" si="9"/>
        <v/>
      </c>
    </row>
    <row r="261" spans="3:7">
      <c r="C261"/>
      <c r="E261" s="298" t="str">
        <f t="shared" si="10"/>
        <v/>
      </c>
      <c r="F261" s="298" t="str">
        <f t="shared" si="11"/>
        <v/>
      </c>
      <c r="G261" t="str">
        <f t="shared" si="9"/>
        <v/>
      </c>
    </row>
    <row r="262" spans="3:7">
      <c r="C262"/>
      <c r="E262" s="298" t="str">
        <f t="shared" si="10"/>
        <v/>
      </c>
      <c r="F262" s="298" t="str">
        <f t="shared" si="11"/>
        <v/>
      </c>
      <c r="G262" t="str">
        <f t="shared" si="9"/>
        <v/>
      </c>
    </row>
    <row r="263" spans="3:7">
      <c r="C263"/>
      <c r="E263" s="298" t="str">
        <f t="shared" si="10"/>
        <v/>
      </c>
      <c r="F263" s="298" t="str">
        <f t="shared" si="11"/>
        <v/>
      </c>
      <c r="G263" t="str">
        <f t="shared" si="9"/>
        <v/>
      </c>
    </row>
    <row r="264" spans="3:7">
      <c r="C264"/>
      <c r="E264" s="298" t="str">
        <f t="shared" si="10"/>
        <v/>
      </c>
      <c r="F264" s="298" t="str">
        <f t="shared" si="11"/>
        <v/>
      </c>
      <c r="G264" t="str">
        <f t="shared" si="9"/>
        <v/>
      </c>
    </row>
    <row r="265" spans="3:7">
      <c r="C265"/>
      <c r="E265" s="298" t="str">
        <f t="shared" si="10"/>
        <v/>
      </c>
      <c r="F265" s="298" t="str">
        <f t="shared" si="11"/>
        <v/>
      </c>
      <c r="G265" t="str">
        <f t="shared" si="9"/>
        <v/>
      </c>
    </row>
    <row r="266" spans="3:7">
      <c r="C266"/>
      <c r="E266" s="298" t="str">
        <f t="shared" si="10"/>
        <v/>
      </c>
      <c r="F266" s="298" t="str">
        <f t="shared" si="11"/>
        <v/>
      </c>
      <c r="G266" t="str">
        <f t="shared" si="9"/>
        <v/>
      </c>
    </row>
    <row r="267" spans="3:7">
      <c r="C267"/>
      <c r="E267" s="298" t="str">
        <f t="shared" si="10"/>
        <v/>
      </c>
      <c r="F267" s="298" t="str">
        <f t="shared" si="11"/>
        <v/>
      </c>
      <c r="G267" t="str">
        <f t="shared" si="9"/>
        <v/>
      </c>
    </row>
    <row r="268" spans="3:7">
      <c r="C268"/>
      <c r="E268" s="298" t="str">
        <f t="shared" si="10"/>
        <v/>
      </c>
      <c r="F268" s="298" t="str">
        <f t="shared" si="11"/>
        <v/>
      </c>
      <c r="G268" t="str">
        <f t="shared" si="9"/>
        <v/>
      </c>
    </row>
    <row r="269" spans="3:7">
      <c r="C269"/>
      <c r="E269" s="298" t="str">
        <f t="shared" si="10"/>
        <v/>
      </c>
      <c r="F269" s="298" t="str">
        <f t="shared" si="11"/>
        <v/>
      </c>
      <c r="G269" t="str">
        <f t="shared" si="9"/>
        <v/>
      </c>
    </row>
    <row r="270" spans="3:7">
      <c r="C270"/>
      <c r="E270" s="298" t="str">
        <f t="shared" si="10"/>
        <v/>
      </c>
      <c r="F270" s="298" t="str">
        <f t="shared" si="11"/>
        <v/>
      </c>
      <c r="G270" t="str">
        <f t="shared" ref="G270:G333" si="12">IF(F270&lt;&gt;"","INSERIR COMENTÁRIO PMO","")</f>
        <v/>
      </c>
    </row>
    <row r="271" spans="3:7">
      <c r="C271"/>
      <c r="E271" s="298" t="str">
        <f t="shared" ref="E271:E334" si="13">IF(D271&lt;&gt;0,"INSERIR JUSTIFICATIVA","")</f>
        <v/>
      </c>
      <c r="F271" s="298" t="str">
        <f t="shared" ref="F271:F334" si="14">IF(E271&lt;&gt;"","INSERIR HORA PMO","")</f>
        <v/>
      </c>
      <c r="G271" t="str">
        <f t="shared" si="12"/>
        <v/>
      </c>
    </row>
    <row r="272" spans="3:7">
      <c r="C272"/>
      <c r="E272" s="298" t="str">
        <f t="shared" si="13"/>
        <v/>
      </c>
      <c r="F272" s="298" t="str">
        <f t="shared" si="14"/>
        <v/>
      </c>
      <c r="G272" t="str">
        <f t="shared" si="12"/>
        <v/>
      </c>
    </row>
    <row r="273" spans="3:7">
      <c r="C273"/>
      <c r="E273" s="298" t="str">
        <f t="shared" si="13"/>
        <v/>
      </c>
      <c r="F273" s="298" t="str">
        <f t="shared" si="14"/>
        <v/>
      </c>
      <c r="G273" t="str">
        <f t="shared" si="12"/>
        <v/>
      </c>
    </row>
    <row r="274" spans="3:7">
      <c r="C274"/>
      <c r="E274" s="298" t="str">
        <f t="shared" si="13"/>
        <v/>
      </c>
      <c r="F274" s="298" t="str">
        <f t="shared" si="14"/>
        <v/>
      </c>
      <c r="G274" t="str">
        <f t="shared" si="12"/>
        <v/>
      </c>
    </row>
    <row r="275" spans="3:7">
      <c r="C275"/>
      <c r="E275" s="298" t="str">
        <f t="shared" si="13"/>
        <v/>
      </c>
      <c r="F275" s="298" t="str">
        <f t="shared" si="14"/>
        <v/>
      </c>
      <c r="G275" t="str">
        <f t="shared" si="12"/>
        <v/>
      </c>
    </row>
    <row r="276" spans="3:7">
      <c r="C276"/>
      <c r="E276" s="298" t="str">
        <f t="shared" si="13"/>
        <v/>
      </c>
      <c r="F276" s="298" t="str">
        <f t="shared" si="14"/>
        <v/>
      </c>
      <c r="G276" t="str">
        <f t="shared" si="12"/>
        <v/>
      </c>
    </row>
    <row r="277" spans="3:7">
      <c r="C277"/>
      <c r="E277" s="298" t="str">
        <f t="shared" si="13"/>
        <v/>
      </c>
      <c r="F277" s="298" t="str">
        <f t="shared" si="14"/>
        <v/>
      </c>
      <c r="G277" t="str">
        <f t="shared" si="12"/>
        <v/>
      </c>
    </row>
    <row r="278" spans="3:7">
      <c r="C278"/>
      <c r="E278" s="298" t="str">
        <f t="shared" si="13"/>
        <v/>
      </c>
      <c r="F278" s="298" t="str">
        <f t="shared" si="14"/>
        <v/>
      </c>
      <c r="G278" t="str">
        <f t="shared" si="12"/>
        <v/>
      </c>
    </row>
    <row r="279" spans="3:7">
      <c r="C279"/>
      <c r="E279" s="298" t="str">
        <f t="shared" si="13"/>
        <v/>
      </c>
      <c r="F279" s="298" t="str">
        <f t="shared" si="14"/>
        <v/>
      </c>
      <c r="G279" t="str">
        <f t="shared" si="12"/>
        <v/>
      </c>
    </row>
    <row r="280" spans="3:7">
      <c r="C280"/>
      <c r="E280" s="298" t="str">
        <f t="shared" si="13"/>
        <v/>
      </c>
      <c r="F280" s="298" t="str">
        <f t="shared" si="14"/>
        <v/>
      </c>
      <c r="G280" t="str">
        <f t="shared" si="12"/>
        <v/>
      </c>
    </row>
    <row r="281" spans="3:7">
      <c r="C281"/>
      <c r="E281" s="298" t="str">
        <f t="shared" si="13"/>
        <v/>
      </c>
      <c r="F281" s="298" t="str">
        <f t="shared" si="14"/>
        <v/>
      </c>
      <c r="G281" t="str">
        <f t="shared" si="12"/>
        <v/>
      </c>
    </row>
    <row r="282" spans="3:7">
      <c r="C282"/>
      <c r="E282" s="298" t="str">
        <f t="shared" si="13"/>
        <v/>
      </c>
      <c r="F282" s="298" t="str">
        <f t="shared" si="14"/>
        <v/>
      </c>
      <c r="G282" t="str">
        <f t="shared" si="12"/>
        <v/>
      </c>
    </row>
    <row r="283" spans="3:7">
      <c r="C283"/>
      <c r="E283" s="298" t="str">
        <f t="shared" si="13"/>
        <v/>
      </c>
      <c r="F283" s="298" t="str">
        <f t="shared" si="14"/>
        <v/>
      </c>
      <c r="G283" t="str">
        <f t="shared" si="12"/>
        <v/>
      </c>
    </row>
    <row r="284" spans="3:7">
      <c r="C284"/>
      <c r="E284" s="298" t="str">
        <f t="shared" si="13"/>
        <v/>
      </c>
      <c r="F284" s="298" t="str">
        <f t="shared" si="14"/>
        <v/>
      </c>
      <c r="G284" t="str">
        <f t="shared" si="12"/>
        <v/>
      </c>
    </row>
    <row r="285" spans="3:7">
      <c r="C285"/>
      <c r="E285" s="298" t="str">
        <f t="shared" si="13"/>
        <v/>
      </c>
      <c r="F285" s="298" t="str">
        <f t="shared" si="14"/>
        <v/>
      </c>
      <c r="G285" t="str">
        <f t="shared" si="12"/>
        <v/>
      </c>
    </row>
    <row r="286" spans="3:7">
      <c r="C286"/>
      <c r="E286" s="298" t="str">
        <f t="shared" si="13"/>
        <v/>
      </c>
      <c r="F286" s="298" t="str">
        <f t="shared" si="14"/>
        <v/>
      </c>
      <c r="G286" t="str">
        <f t="shared" si="12"/>
        <v/>
      </c>
    </row>
    <row r="287" spans="3:7">
      <c r="C287"/>
      <c r="E287" s="298" t="str">
        <f t="shared" si="13"/>
        <v/>
      </c>
      <c r="F287" s="298" t="str">
        <f t="shared" si="14"/>
        <v/>
      </c>
      <c r="G287" t="str">
        <f t="shared" si="12"/>
        <v/>
      </c>
    </row>
    <row r="288" spans="3:7">
      <c r="C288"/>
      <c r="E288" s="298" t="str">
        <f t="shared" si="13"/>
        <v/>
      </c>
      <c r="F288" s="298" t="str">
        <f t="shared" si="14"/>
        <v/>
      </c>
      <c r="G288" t="str">
        <f t="shared" si="12"/>
        <v/>
      </c>
    </row>
    <row r="289" spans="3:7">
      <c r="C289"/>
      <c r="E289" s="298" t="str">
        <f t="shared" si="13"/>
        <v/>
      </c>
      <c r="F289" s="298" t="str">
        <f t="shared" si="14"/>
        <v/>
      </c>
      <c r="G289" t="str">
        <f t="shared" si="12"/>
        <v/>
      </c>
    </row>
    <row r="290" spans="3:7">
      <c r="C290"/>
      <c r="E290" s="298" t="str">
        <f t="shared" si="13"/>
        <v/>
      </c>
      <c r="F290" s="298" t="str">
        <f t="shared" si="14"/>
        <v/>
      </c>
      <c r="G290" t="str">
        <f t="shared" si="12"/>
        <v/>
      </c>
    </row>
    <row r="291" spans="3:7">
      <c r="C291"/>
      <c r="E291" s="298" t="str">
        <f t="shared" si="13"/>
        <v/>
      </c>
      <c r="F291" s="298" t="str">
        <f t="shared" si="14"/>
        <v/>
      </c>
      <c r="G291" t="str">
        <f t="shared" si="12"/>
        <v/>
      </c>
    </row>
    <row r="292" spans="3:7">
      <c r="C292"/>
      <c r="E292" s="298" t="str">
        <f t="shared" si="13"/>
        <v/>
      </c>
      <c r="F292" s="298" t="str">
        <f t="shared" si="14"/>
        <v/>
      </c>
      <c r="G292" t="str">
        <f t="shared" si="12"/>
        <v/>
      </c>
    </row>
    <row r="293" spans="3:7">
      <c r="C293"/>
      <c r="E293" s="298" t="str">
        <f t="shared" si="13"/>
        <v/>
      </c>
      <c r="F293" s="298" t="str">
        <f t="shared" si="14"/>
        <v/>
      </c>
      <c r="G293" t="str">
        <f t="shared" si="12"/>
        <v/>
      </c>
    </row>
    <row r="294" spans="3:7">
      <c r="C294"/>
      <c r="E294" s="298" t="str">
        <f t="shared" si="13"/>
        <v/>
      </c>
      <c r="F294" s="298" t="str">
        <f t="shared" si="14"/>
        <v/>
      </c>
      <c r="G294" t="str">
        <f t="shared" si="12"/>
        <v/>
      </c>
    </row>
    <row r="295" spans="3:7">
      <c r="C295"/>
      <c r="E295" s="298" t="str">
        <f t="shared" si="13"/>
        <v/>
      </c>
      <c r="F295" s="298" t="str">
        <f t="shared" si="14"/>
        <v/>
      </c>
      <c r="G295" t="str">
        <f t="shared" si="12"/>
        <v/>
      </c>
    </row>
    <row r="296" spans="3:7">
      <c r="C296"/>
      <c r="E296" s="298" t="str">
        <f t="shared" si="13"/>
        <v/>
      </c>
      <c r="F296" s="298" t="str">
        <f t="shared" si="14"/>
        <v/>
      </c>
      <c r="G296" t="str">
        <f t="shared" si="12"/>
        <v/>
      </c>
    </row>
    <row r="297" spans="3:7">
      <c r="C297"/>
      <c r="E297" s="298" t="str">
        <f t="shared" si="13"/>
        <v/>
      </c>
      <c r="F297" s="298" t="str">
        <f t="shared" si="14"/>
        <v/>
      </c>
      <c r="G297" t="str">
        <f t="shared" si="12"/>
        <v/>
      </c>
    </row>
    <row r="298" spans="3:7">
      <c r="C298"/>
      <c r="E298" s="298" t="str">
        <f t="shared" si="13"/>
        <v/>
      </c>
      <c r="F298" s="298" t="str">
        <f t="shared" si="14"/>
        <v/>
      </c>
      <c r="G298" t="str">
        <f t="shared" si="12"/>
        <v/>
      </c>
    </row>
    <row r="299" spans="3:7">
      <c r="C299"/>
      <c r="E299" s="298" t="str">
        <f t="shared" si="13"/>
        <v/>
      </c>
      <c r="F299" s="298" t="str">
        <f t="shared" si="14"/>
        <v/>
      </c>
      <c r="G299" t="str">
        <f t="shared" si="12"/>
        <v/>
      </c>
    </row>
    <row r="300" spans="3:7">
      <c r="C300"/>
      <c r="E300" s="298" t="str">
        <f t="shared" si="13"/>
        <v/>
      </c>
      <c r="F300" s="298" t="str">
        <f t="shared" si="14"/>
        <v/>
      </c>
      <c r="G300" t="str">
        <f t="shared" si="12"/>
        <v/>
      </c>
    </row>
    <row r="301" spans="3:7">
      <c r="C301"/>
      <c r="E301" s="298" t="str">
        <f t="shared" si="13"/>
        <v/>
      </c>
      <c r="F301" s="298" t="str">
        <f t="shared" si="14"/>
        <v/>
      </c>
      <c r="G301" t="str">
        <f t="shared" si="12"/>
        <v/>
      </c>
    </row>
    <row r="302" spans="3:7">
      <c r="C302"/>
      <c r="E302" s="298" t="str">
        <f t="shared" si="13"/>
        <v/>
      </c>
      <c r="F302" s="298" t="str">
        <f t="shared" si="14"/>
        <v/>
      </c>
      <c r="G302" t="str">
        <f t="shared" si="12"/>
        <v/>
      </c>
    </row>
    <row r="303" spans="3:7">
      <c r="C303"/>
      <c r="E303" s="298" t="str">
        <f t="shared" si="13"/>
        <v/>
      </c>
      <c r="F303" s="298" t="str">
        <f t="shared" si="14"/>
        <v/>
      </c>
      <c r="G303" t="str">
        <f t="shared" si="12"/>
        <v/>
      </c>
    </row>
    <row r="304" spans="3:7">
      <c r="C304"/>
      <c r="E304" s="298" t="str">
        <f t="shared" si="13"/>
        <v/>
      </c>
      <c r="F304" s="298" t="str">
        <f t="shared" si="14"/>
        <v/>
      </c>
      <c r="G304" t="str">
        <f t="shared" si="12"/>
        <v/>
      </c>
    </row>
    <row r="305" spans="3:7">
      <c r="C305"/>
      <c r="E305" s="298" t="str">
        <f t="shared" si="13"/>
        <v/>
      </c>
      <c r="F305" s="298" t="str">
        <f t="shared" si="14"/>
        <v/>
      </c>
      <c r="G305" t="str">
        <f t="shared" si="12"/>
        <v/>
      </c>
    </row>
    <row r="306" spans="3:7">
      <c r="C306"/>
      <c r="E306" s="298" t="str">
        <f t="shared" si="13"/>
        <v/>
      </c>
      <c r="F306" s="298" t="str">
        <f t="shared" si="14"/>
        <v/>
      </c>
      <c r="G306" t="str">
        <f t="shared" si="12"/>
        <v/>
      </c>
    </row>
    <row r="307" spans="3:7">
      <c r="C307"/>
      <c r="E307" s="298" t="str">
        <f t="shared" si="13"/>
        <v/>
      </c>
      <c r="F307" s="298" t="str">
        <f t="shared" si="14"/>
        <v/>
      </c>
      <c r="G307" t="str">
        <f t="shared" si="12"/>
        <v/>
      </c>
    </row>
    <row r="308" spans="3:7">
      <c r="C308"/>
      <c r="E308" s="298" t="str">
        <f t="shared" si="13"/>
        <v/>
      </c>
      <c r="F308" s="298" t="str">
        <f t="shared" si="14"/>
        <v/>
      </c>
      <c r="G308" t="str">
        <f t="shared" si="12"/>
        <v/>
      </c>
    </row>
    <row r="309" spans="3:7">
      <c r="C309"/>
      <c r="E309" s="298" t="str">
        <f t="shared" si="13"/>
        <v/>
      </c>
      <c r="F309" s="298" t="str">
        <f t="shared" si="14"/>
        <v/>
      </c>
      <c r="G309" t="str">
        <f t="shared" si="12"/>
        <v/>
      </c>
    </row>
    <row r="310" spans="3:7">
      <c r="C310"/>
      <c r="E310" s="298" t="str">
        <f t="shared" si="13"/>
        <v/>
      </c>
      <c r="F310" s="298" t="str">
        <f t="shared" si="14"/>
        <v/>
      </c>
      <c r="G310" t="str">
        <f t="shared" si="12"/>
        <v/>
      </c>
    </row>
    <row r="311" spans="3:7">
      <c r="C311"/>
      <c r="E311" s="298" t="str">
        <f t="shared" si="13"/>
        <v/>
      </c>
      <c r="F311" s="298" t="str">
        <f t="shared" si="14"/>
        <v/>
      </c>
      <c r="G311" t="str">
        <f t="shared" si="12"/>
        <v/>
      </c>
    </row>
    <row r="312" spans="3:7">
      <c r="C312"/>
      <c r="E312" s="298" t="str">
        <f t="shared" si="13"/>
        <v/>
      </c>
      <c r="F312" s="298" t="str">
        <f t="shared" si="14"/>
        <v/>
      </c>
      <c r="G312" t="str">
        <f t="shared" si="12"/>
        <v/>
      </c>
    </row>
    <row r="313" spans="3:7">
      <c r="C313"/>
      <c r="E313" s="298" t="str">
        <f t="shared" si="13"/>
        <v/>
      </c>
      <c r="F313" s="298" t="str">
        <f t="shared" si="14"/>
        <v/>
      </c>
      <c r="G313" t="str">
        <f t="shared" si="12"/>
        <v/>
      </c>
    </row>
    <row r="314" spans="3:7">
      <c r="C314"/>
      <c r="E314" s="298" t="str">
        <f t="shared" si="13"/>
        <v/>
      </c>
      <c r="F314" s="298" t="str">
        <f t="shared" si="14"/>
        <v/>
      </c>
      <c r="G314" t="str">
        <f t="shared" si="12"/>
        <v/>
      </c>
    </row>
    <row r="315" spans="3:7">
      <c r="C315"/>
      <c r="E315" s="298" t="str">
        <f t="shared" si="13"/>
        <v/>
      </c>
      <c r="F315" s="298" t="str">
        <f t="shared" si="14"/>
        <v/>
      </c>
      <c r="G315" t="str">
        <f t="shared" si="12"/>
        <v/>
      </c>
    </row>
    <row r="316" spans="3:7">
      <c r="C316"/>
      <c r="E316" s="298" t="str">
        <f t="shared" si="13"/>
        <v/>
      </c>
      <c r="F316" s="298" t="str">
        <f t="shared" si="14"/>
        <v/>
      </c>
      <c r="G316" t="str">
        <f t="shared" si="12"/>
        <v/>
      </c>
    </row>
    <row r="317" spans="3:7">
      <c r="C317"/>
      <c r="E317" s="298" t="str">
        <f t="shared" si="13"/>
        <v/>
      </c>
      <c r="F317" s="298" t="str">
        <f t="shared" si="14"/>
        <v/>
      </c>
      <c r="G317" t="str">
        <f t="shared" si="12"/>
        <v/>
      </c>
    </row>
    <row r="318" spans="3:7">
      <c r="C318"/>
      <c r="E318" s="298" t="str">
        <f t="shared" si="13"/>
        <v/>
      </c>
      <c r="F318" s="298" t="str">
        <f t="shared" si="14"/>
        <v/>
      </c>
      <c r="G318" t="str">
        <f t="shared" si="12"/>
        <v/>
      </c>
    </row>
    <row r="319" spans="3:7">
      <c r="C319"/>
      <c r="E319" s="298" t="str">
        <f t="shared" si="13"/>
        <v/>
      </c>
      <c r="F319" s="298" t="str">
        <f t="shared" si="14"/>
        <v/>
      </c>
      <c r="G319" t="str">
        <f t="shared" si="12"/>
        <v/>
      </c>
    </row>
    <row r="320" spans="3:7">
      <c r="C320"/>
      <c r="E320" s="298" t="str">
        <f t="shared" si="13"/>
        <v/>
      </c>
      <c r="F320" s="298" t="str">
        <f t="shared" si="14"/>
        <v/>
      </c>
      <c r="G320" t="str">
        <f t="shared" si="12"/>
        <v/>
      </c>
    </row>
    <row r="321" spans="3:7">
      <c r="C321"/>
      <c r="E321" s="298" t="str">
        <f t="shared" si="13"/>
        <v/>
      </c>
      <c r="F321" s="298" t="str">
        <f t="shared" si="14"/>
        <v/>
      </c>
      <c r="G321" t="str">
        <f t="shared" si="12"/>
        <v/>
      </c>
    </row>
    <row r="322" spans="3:7">
      <c r="C322"/>
      <c r="E322" s="298" t="str">
        <f t="shared" si="13"/>
        <v/>
      </c>
      <c r="F322" s="298" t="str">
        <f t="shared" si="14"/>
        <v/>
      </c>
      <c r="G322" t="str">
        <f t="shared" si="12"/>
        <v/>
      </c>
    </row>
    <row r="323" spans="3:7">
      <c r="C323"/>
      <c r="E323" s="298" t="str">
        <f t="shared" si="13"/>
        <v/>
      </c>
      <c r="F323" s="298" t="str">
        <f t="shared" si="14"/>
        <v/>
      </c>
      <c r="G323" t="str">
        <f t="shared" si="12"/>
        <v/>
      </c>
    </row>
    <row r="324" spans="3:7">
      <c r="C324"/>
      <c r="E324" s="298" t="str">
        <f t="shared" si="13"/>
        <v/>
      </c>
      <c r="F324" s="298" t="str">
        <f t="shared" si="14"/>
        <v/>
      </c>
      <c r="G324" t="str">
        <f t="shared" si="12"/>
        <v/>
      </c>
    </row>
    <row r="325" spans="3:7">
      <c r="C325"/>
      <c r="E325" s="298" t="str">
        <f t="shared" si="13"/>
        <v/>
      </c>
      <c r="F325" s="298" t="str">
        <f t="shared" si="14"/>
        <v/>
      </c>
      <c r="G325" t="str">
        <f t="shared" si="12"/>
        <v/>
      </c>
    </row>
    <row r="326" spans="3:7">
      <c r="C326"/>
      <c r="E326" s="298" t="str">
        <f t="shared" si="13"/>
        <v/>
      </c>
      <c r="F326" s="298" t="str">
        <f t="shared" si="14"/>
        <v/>
      </c>
      <c r="G326" t="str">
        <f t="shared" si="12"/>
        <v/>
      </c>
    </row>
    <row r="327" spans="3:7">
      <c r="C327"/>
      <c r="E327" s="298" t="str">
        <f t="shared" si="13"/>
        <v/>
      </c>
      <c r="F327" s="298" t="str">
        <f t="shared" si="14"/>
        <v/>
      </c>
      <c r="G327" t="str">
        <f t="shared" si="12"/>
        <v/>
      </c>
    </row>
    <row r="328" spans="3:7">
      <c r="C328"/>
      <c r="E328" s="298" t="str">
        <f t="shared" si="13"/>
        <v/>
      </c>
      <c r="F328" s="298" t="str">
        <f t="shared" si="14"/>
        <v/>
      </c>
      <c r="G328" t="str">
        <f t="shared" si="12"/>
        <v/>
      </c>
    </row>
    <row r="329" spans="3:7">
      <c r="C329"/>
      <c r="E329" s="298" t="str">
        <f t="shared" si="13"/>
        <v/>
      </c>
      <c r="F329" s="298" t="str">
        <f t="shared" si="14"/>
        <v/>
      </c>
      <c r="G329" t="str">
        <f t="shared" si="12"/>
        <v/>
      </c>
    </row>
    <row r="330" spans="3:7">
      <c r="C330"/>
      <c r="E330" s="298" t="str">
        <f t="shared" si="13"/>
        <v/>
      </c>
      <c r="F330" s="298" t="str">
        <f t="shared" si="14"/>
        <v/>
      </c>
      <c r="G330" t="str">
        <f t="shared" si="12"/>
        <v/>
      </c>
    </row>
    <row r="331" spans="3:7">
      <c r="C331"/>
      <c r="E331" s="298" t="str">
        <f t="shared" si="13"/>
        <v/>
      </c>
      <c r="F331" s="298" t="str">
        <f t="shared" si="14"/>
        <v/>
      </c>
      <c r="G331" t="str">
        <f t="shared" si="12"/>
        <v/>
      </c>
    </row>
    <row r="332" spans="3:7">
      <c r="C332"/>
      <c r="E332" s="298" t="str">
        <f t="shared" si="13"/>
        <v/>
      </c>
      <c r="F332" s="298" t="str">
        <f t="shared" si="14"/>
        <v/>
      </c>
      <c r="G332" t="str">
        <f t="shared" si="12"/>
        <v/>
      </c>
    </row>
    <row r="333" spans="3:7">
      <c r="C333"/>
      <c r="E333" s="298" t="str">
        <f t="shared" si="13"/>
        <v/>
      </c>
      <c r="F333" s="298" t="str">
        <f t="shared" si="14"/>
        <v/>
      </c>
      <c r="G333" t="str">
        <f t="shared" si="12"/>
        <v/>
      </c>
    </row>
    <row r="334" spans="3:7">
      <c r="C334"/>
      <c r="E334" s="298" t="str">
        <f t="shared" si="13"/>
        <v/>
      </c>
      <c r="F334" s="298" t="str">
        <f t="shared" si="14"/>
        <v/>
      </c>
      <c r="G334" t="str">
        <f t="shared" ref="G334:G397" si="15">IF(F334&lt;&gt;"","INSERIR COMENTÁRIO PMO","")</f>
        <v/>
      </c>
    </row>
    <row r="335" spans="3:7">
      <c r="C335"/>
      <c r="E335" s="298" t="str">
        <f t="shared" ref="E335:E398" si="16">IF(D335&lt;&gt;0,"INSERIR JUSTIFICATIVA","")</f>
        <v/>
      </c>
      <c r="F335" s="298" t="str">
        <f t="shared" ref="F335:F398" si="17">IF(E335&lt;&gt;"","INSERIR HORA PMO","")</f>
        <v/>
      </c>
      <c r="G335" t="str">
        <f t="shared" si="15"/>
        <v/>
      </c>
    </row>
    <row r="336" spans="3:7">
      <c r="C336"/>
      <c r="E336" s="298" t="str">
        <f t="shared" si="16"/>
        <v/>
      </c>
      <c r="F336" s="298" t="str">
        <f t="shared" si="17"/>
        <v/>
      </c>
      <c r="G336" t="str">
        <f t="shared" si="15"/>
        <v/>
      </c>
    </row>
    <row r="337" spans="3:7">
      <c r="C337"/>
      <c r="E337" s="298" t="str">
        <f t="shared" si="16"/>
        <v/>
      </c>
      <c r="F337" s="298" t="str">
        <f t="shared" si="17"/>
        <v/>
      </c>
      <c r="G337" t="str">
        <f t="shared" si="15"/>
        <v/>
      </c>
    </row>
    <row r="338" spans="3:7">
      <c r="C338"/>
      <c r="E338" s="298" t="str">
        <f t="shared" si="16"/>
        <v/>
      </c>
      <c r="F338" s="298" t="str">
        <f t="shared" si="17"/>
        <v/>
      </c>
      <c r="G338" t="str">
        <f t="shared" si="15"/>
        <v/>
      </c>
    </row>
    <row r="339" spans="3:7">
      <c r="C339"/>
      <c r="E339" s="298" t="str">
        <f t="shared" si="16"/>
        <v/>
      </c>
      <c r="F339" s="298" t="str">
        <f t="shared" si="17"/>
        <v/>
      </c>
      <c r="G339" t="str">
        <f t="shared" si="15"/>
        <v/>
      </c>
    </row>
    <row r="340" spans="3:7">
      <c r="C340"/>
      <c r="E340" s="298" t="str">
        <f t="shared" si="16"/>
        <v/>
      </c>
      <c r="F340" s="298" t="str">
        <f t="shared" si="17"/>
        <v/>
      </c>
      <c r="G340" t="str">
        <f t="shared" si="15"/>
        <v/>
      </c>
    </row>
    <row r="341" spans="3:7">
      <c r="C341"/>
      <c r="E341" s="298" t="str">
        <f t="shared" si="16"/>
        <v/>
      </c>
      <c r="F341" s="298" t="str">
        <f t="shared" si="17"/>
        <v/>
      </c>
      <c r="G341" t="str">
        <f t="shared" si="15"/>
        <v/>
      </c>
    </row>
    <row r="342" spans="3:7">
      <c r="C342"/>
      <c r="E342" s="298" t="str">
        <f t="shared" si="16"/>
        <v/>
      </c>
      <c r="F342" s="298" t="str">
        <f t="shared" si="17"/>
        <v/>
      </c>
      <c r="G342" t="str">
        <f t="shared" si="15"/>
        <v/>
      </c>
    </row>
    <row r="343" spans="3:7">
      <c r="C343"/>
      <c r="E343" s="298" t="str">
        <f t="shared" si="16"/>
        <v/>
      </c>
      <c r="F343" s="298" t="str">
        <f t="shared" si="17"/>
        <v/>
      </c>
      <c r="G343" t="str">
        <f t="shared" si="15"/>
        <v/>
      </c>
    </row>
    <row r="344" spans="3:7">
      <c r="C344"/>
      <c r="E344" s="298" t="str">
        <f t="shared" si="16"/>
        <v/>
      </c>
      <c r="F344" s="298" t="str">
        <f t="shared" si="17"/>
        <v/>
      </c>
      <c r="G344" t="str">
        <f t="shared" si="15"/>
        <v/>
      </c>
    </row>
    <row r="345" spans="3:7">
      <c r="C345"/>
      <c r="E345" s="298" t="str">
        <f t="shared" si="16"/>
        <v/>
      </c>
      <c r="F345" s="298" t="str">
        <f t="shared" si="17"/>
        <v/>
      </c>
      <c r="G345" t="str">
        <f t="shared" si="15"/>
        <v/>
      </c>
    </row>
    <row r="346" spans="3:7">
      <c r="C346"/>
      <c r="E346" s="298" t="str">
        <f t="shared" si="16"/>
        <v/>
      </c>
      <c r="F346" s="298" t="str">
        <f t="shared" si="17"/>
        <v/>
      </c>
      <c r="G346" t="str">
        <f t="shared" si="15"/>
        <v/>
      </c>
    </row>
    <row r="347" spans="3:7">
      <c r="C347"/>
      <c r="E347" s="298" t="str">
        <f t="shared" si="16"/>
        <v/>
      </c>
      <c r="F347" s="298" t="str">
        <f t="shared" si="17"/>
        <v/>
      </c>
      <c r="G347" t="str">
        <f t="shared" si="15"/>
        <v/>
      </c>
    </row>
    <row r="348" spans="3:7">
      <c r="C348"/>
      <c r="E348" s="298" t="str">
        <f t="shared" si="16"/>
        <v/>
      </c>
      <c r="F348" s="298" t="str">
        <f t="shared" si="17"/>
        <v/>
      </c>
      <c r="G348" t="str">
        <f t="shared" si="15"/>
        <v/>
      </c>
    </row>
    <row r="349" spans="3:7">
      <c r="C349"/>
      <c r="E349" s="298" t="str">
        <f t="shared" si="16"/>
        <v/>
      </c>
      <c r="F349" s="298" t="str">
        <f t="shared" si="17"/>
        <v/>
      </c>
      <c r="G349" t="str">
        <f t="shared" si="15"/>
        <v/>
      </c>
    </row>
    <row r="350" spans="3:7">
      <c r="C350"/>
      <c r="E350" s="298" t="str">
        <f t="shared" si="16"/>
        <v/>
      </c>
      <c r="F350" s="298" t="str">
        <f t="shared" si="17"/>
        <v/>
      </c>
      <c r="G350" t="str">
        <f t="shared" si="15"/>
        <v/>
      </c>
    </row>
    <row r="351" spans="3:7">
      <c r="C351"/>
      <c r="E351" s="298" t="str">
        <f t="shared" si="16"/>
        <v/>
      </c>
      <c r="F351" s="298" t="str">
        <f t="shared" si="17"/>
        <v/>
      </c>
      <c r="G351" t="str">
        <f t="shared" si="15"/>
        <v/>
      </c>
    </row>
    <row r="352" spans="3:7">
      <c r="C352"/>
      <c r="E352" s="298" t="str">
        <f t="shared" si="16"/>
        <v/>
      </c>
      <c r="F352" s="298" t="str">
        <f t="shared" si="17"/>
        <v/>
      </c>
      <c r="G352" t="str">
        <f t="shared" si="15"/>
        <v/>
      </c>
    </row>
    <row r="353" spans="3:7">
      <c r="C353"/>
      <c r="E353" s="298" t="str">
        <f t="shared" si="16"/>
        <v/>
      </c>
      <c r="F353" s="298" t="str">
        <f t="shared" si="17"/>
        <v/>
      </c>
      <c r="G353" t="str">
        <f t="shared" si="15"/>
        <v/>
      </c>
    </row>
    <row r="354" spans="3:7">
      <c r="C354"/>
      <c r="E354" s="298" t="str">
        <f t="shared" si="16"/>
        <v/>
      </c>
      <c r="F354" s="298" t="str">
        <f t="shared" si="17"/>
        <v/>
      </c>
      <c r="G354" t="str">
        <f t="shared" si="15"/>
        <v/>
      </c>
    </row>
    <row r="355" spans="3:7">
      <c r="C355"/>
      <c r="E355" s="298" t="str">
        <f t="shared" si="16"/>
        <v/>
      </c>
      <c r="F355" s="298" t="str">
        <f t="shared" si="17"/>
        <v/>
      </c>
      <c r="G355" t="str">
        <f t="shared" si="15"/>
        <v/>
      </c>
    </row>
    <row r="356" spans="3:7">
      <c r="C356"/>
      <c r="E356" s="298" t="str">
        <f t="shared" si="16"/>
        <v/>
      </c>
      <c r="F356" s="298" t="str">
        <f t="shared" si="17"/>
        <v/>
      </c>
      <c r="G356" t="str">
        <f t="shared" si="15"/>
        <v/>
      </c>
    </row>
    <row r="357" spans="3:7">
      <c r="C357"/>
      <c r="E357" s="298" t="str">
        <f t="shared" si="16"/>
        <v/>
      </c>
      <c r="F357" s="298" t="str">
        <f t="shared" si="17"/>
        <v/>
      </c>
      <c r="G357" t="str">
        <f t="shared" si="15"/>
        <v/>
      </c>
    </row>
    <row r="358" spans="3:7">
      <c r="C358"/>
      <c r="E358" s="298" t="str">
        <f t="shared" si="16"/>
        <v/>
      </c>
      <c r="F358" s="298" t="str">
        <f t="shared" si="17"/>
        <v/>
      </c>
      <c r="G358" t="str">
        <f t="shared" si="15"/>
        <v/>
      </c>
    </row>
    <row r="359" spans="3:7">
      <c r="C359"/>
      <c r="E359" s="298" t="str">
        <f t="shared" si="16"/>
        <v/>
      </c>
      <c r="F359" s="298" t="str">
        <f t="shared" si="17"/>
        <v/>
      </c>
      <c r="G359" t="str">
        <f t="shared" si="15"/>
        <v/>
      </c>
    </row>
    <row r="360" spans="3:7">
      <c r="C360"/>
      <c r="E360" s="298" t="str">
        <f t="shared" si="16"/>
        <v/>
      </c>
      <c r="F360" s="298" t="str">
        <f t="shared" si="17"/>
        <v/>
      </c>
      <c r="G360" t="str">
        <f t="shared" si="15"/>
        <v/>
      </c>
    </row>
    <row r="361" spans="3:7">
      <c r="C361"/>
      <c r="E361" s="298" t="str">
        <f t="shared" si="16"/>
        <v/>
      </c>
      <c r="F361" s="298" t="str">
        <f t="shared" si="17"/>
        <v/>
      </c>
      <c r="G361" t="str">
        <f t="shared" si="15"/>
        <v/>
      </c>
    </row>
    <row r="362" spans="3:7">
      <c r="C362"/>
      <c r="E362" s="298" t="str">
        <f t="shared" si="16"/>
        <v/>
      </c>
      <c r="F362" s="298" t="str">
        <f t="shared" si="17"/>
        <v/>
      </c>
      <c r="G362" t="str">
        <f t="shared" si="15"/>
        <v/>
      </c>
    </row>
    <row r="363" spans="3:7">
      <c r="C363"/>
      <c r="E363" s="298" t="str">
        <f t="shared" si="16"/>
        <v/>
      </c>
      <c r="F363" s="298" t="str">
        <f t="shared" si="17"/>
        <v/>
      </c>
      <c r="G363" t="str">
        <f t="shared" si="15"/>
        <v/>
      </c>
    </row>
    <row r="364" spans="3:7">
      <c r="C364"/>
      <c r="E364" s="298" t="str">
        <f t="shared" si="16"/>
        <v/>
      </c>
      <c r="F364" s="298" t="str">
        <f t="shared" si="17"/>
        <v/>
      </c>
      <c r="G364" t="str">
        <f t="shared" si="15"/>
        <v/>
      </c>
    </row>
    <row r="365" spans="3:7">
      <c r="C365"/>
      <c r="E365" s="298" t="str">
        <f t="shared" si="16"/>
        <v/>
      </c>
      <c r="F365" s="298" t="str">
        <f t="shared" si="17"/>
        <v/>
      </c>
      <c r="G365" t="str">
        <f t="shared" si="15"/>
        <v/>
      </c>
    </row>
    <row r="366" spans="3:7">
      <c r="C366"/>
      <c r="E366" s="298" t="str">
        <f t="shared" si="16"/>
        <v/>
      </c>
      <c r="F366" s="298" t="str">
        <f t="shared" si="17"/>
        <v/>
      </c>
      <c r="G366" t="str">
        <f t="shared" si="15"/>
        <v/>
      </c>
    </row>
    <row r="367" spans="3:7">
      <c r="C367"/>
      <c r="E367" s="298" t="str">
        <f t="shared" si="16"/>
        <v/>
      </c>
      <c r="F367" s="298" t="str">
        <f t="shared" si="17"/>
        <v/>
      </c>
      <c r="G367" t="str">
        <f t="shared" si="15"/>
        <v/>
      </c>
    </row>
    <row r="368" spans="3:7">
      <c r="C368"/>
      <c r="E368" s="298" t="str">
        <f t="shared" si="16"/>
        <v/>
      </c>
      <c r="F368" s="298" t="str">
        <f t="shared" si="17"/>
        <v/>
      </c>
      <c r="G368" t="str">
        <f t="shared" si="15"/>
        <v/>
      </c>
    </row>
    <row r="369" spans="3:7">
      <c r="C369"/>
      <c r="E369" s="298" t="str">
        <f t="shared" si="16"/>
        <v/>
      </c>
      <c r="F369" s="298" t="str">
        <f t="shared" si="17"/>
        <v/>
      </c>
      <c r="G369" t="str">
        <f t="shared" si="15"/>
        <v/>
      </c>
    </row>
    <row r="370" spans="3:7">
      <c r="C370"/>
      <c r="E370" s="298" t="str">
        <f t="shared" si="16"/>
        <v/>
      </c>
      <c r="F370" s="298" t="str">
        <f t="shared" si="17"/>
        <v/>
      </c>
      <c r="G370" t="str">
        <f t="shared" si="15"/>
        <v/>
      </c>
    </row>
    <row r="371" spans="3:7">
      <c r="C371"/>
      <c r="E371" s="298" t="str">
        <f t="shared" si="16"/>
        <v/>
      </c>
      <c r="F371" s="298" t="str">
        <f t="shared" si="17"/>
        <v/>
      </c>
      <c r="G371" t="str">
        <f t="shared" si="15"/>
        <v/>
      </c>
    </row>
    <row r="372" spans="3:7">
      <c r="C372"/>
      <c r="E372" s="298" t="str">
        <f t="shared" si="16"/>
        <v/>
      </c>
      <c r="F372" s="298" t="str">
        <f t="shared" si="17"/>
        <v/>
      </c>
      <c r="G372" t="str">
        <f t="shared" si="15"/>
        <v/>
      </c>
    </row>
    <row r="373" spans="3:7">
      <c r="C373"/>
      <c r="E373" s="298" t="str">
        <f t="shared" si="16"/>
        <v/>
      </c>
      <c r="F373" s="298" t="str">
        <f t="shared" si="17"/>
        <v/>
      </c>
      <c r="G373" t="str">
        <f t="shared" si="15"/>
        <v/>
      </c>
    </row>
    <row r="374" spans="3:7">
      <c r="C374"/>
      <c r="E374" s="298" t="str">
        <f t="shared" si="16"/>
        <v/>
      </c>
      <c r="F374" s="298" t="str">
        <f t="shared" si="17"/>
        <v/>
      </c>
      <c r="G374" t="str">
        <f t="shared" si="15"/>
        <v/>
      </c>
    </row>
    <row r="375" spans="3:7">
      <c r="C375"/>
      <c r="E375" s="298" t="str">
        <f t="shared" si="16"/>
        <v/>
      </c>
      <c r="F375" s="298" t="str">
        <f t="shared" si="17"/>
        <v/>
      </c>
      <c r="G375" t="str">
        <f t="shared" si="15"/>
        <v/>
      </c>
    </row>
    <row r="376" spans="3:7">
      <c r="C376"/>
      <c r="E376" s="298" t="str">
        <f t="shared" si="16"/>
        <v/>
      </c>
      <c r="F376" s="298" t="str">
        <f t="shared" si="17"/>
        <v/>
      </c>
      <c r="G376" t="str">
        <f t="shared" si="15"/>
        <v/>
      </c>
    </row>
    <row r="377" spans="3:7">
      <c r="C377"/>
      <c r="E377" s="298" t="str">
        <f t="shared" si="16"/>
        <v/>
      </c>
      <c r="F377" s="298" t="str">
        <f t="shared" si="17"/>
        <v/>
      </c>
      <c r="G377" t="str">
        <f t="shared" si="15"/>
        <v/>
      </c>
    </row>
    <row r="378" spans="3:7">
      <c r="C378"/>
      <c r="E378" s="298" t="str">
        <f t="shared" si="16"/>
        <v/>
      </c>
      <c r="F378" s="298" t="str">
        <f t="shared" si="17"/>
        <v/>
      </c>
      <c r="G378" t="str">
        <f t="shared" si="15"/>
        <v/>
      </c>
    </row>
    <row r="379" spans="3:7">
      <c r="C379"/>
      <c r="E379" s="298" t="str">
        <f t="shared" si="16"/>
        <v/>
      </c>
      <c r="F379" s="298" t="str">
        <f t="shared" si="17"/>
        <v/>
      </c>
      <c r="G379" t="str">
        <f t="shared" si="15"/>
        <v/>
      </c>
    </row>
    <row r="380" spans="3:7">
      <c r="C380"/>
      <c r="E380" s="298" t="str">
        <f t="shared" si="16"/>
        <v/>
      </c>
      <c r="F380" s="298" t="str">
        <f t="shared" si="17"/>
        <v/>
      </c>
      <c r="G380" t="str">
        <f t="shared" si="15"/>
        <v/>
      </c>
    </row>
    <row r="381" spans="3:7">
      <c r="C381"/>
      <c r="E381" s="298" t="str">
        <f t="shared" si="16"/>
        <v/>
      </c>
      <c r="F381" s="298" t="str">
        <f t="shared" si="17"/>
        <v/>
      </c>
      <c r="G381" t="str">
        <f t="shared" si="15"/>
        <v/>
      </c>
    </row>
    <row r="382" spans="3:7">
      <c r="C382"/>
      <c r="E382" s="298" t="str">
        <f t="shared" si="16"/>
        <v/>
      </c>
      <c r="F382" s="298" t="str">
        <f t="shared" si="17"/>
        <v/>
      </c>
      <c r="G382" t="str">
        <f t="shared" si="15"/>
        <v/>
      </c>
    </row>
    <row r="383" spans="3:7">
      <c r="C383"/>
      <c r="E383" s="298" t="str">
        <f t="shared" si="16"/>
        <v/>
      </c>
      <c r="F383" s="298" t="str">
        <f t="shared" si="17"/>
        <v/>
      </c>
      <c r="G383" t="str">
        <f t="shared" si="15"/>
        <v/>
      </c>
    </row>
    <row r="384" spans="3:7">
      <c r="C384"/>
      <c r="E384" s="298" t="str">
        <f t="shared" si="16"/>
        <v/>
      </c>
      <c r="F384" s="298" t="str">
        <f t="shared" si="17"/>
        <v/>
      </c>
      <c r="G384" t="str">
        <f t="shared" si="15"/>
        <v/>
      </c>
    </row>
    <row r="385" spans="3:7">
      <c r="C385"/>
      <c r="E385" s="298" t="str">
        <f t="shared" si="16"/>
        <v/>
      </c>
      <c r="F385" s="298" t="str">
        <f t="shared" si="17"/>
        <v/>
      </c>
      <c r="G385" t="str">
        <f t="shared" si="15"/>
        <v/>
      </c>
    </row>
    <row r="386" spans="3:7">
      <c r="C386"/>
      <c r="E386" s="298" t="str">
        <f t="shared" si="16"/>
        <v/>
      </c>
      <c r="F386" s="298" t="str">
        <f t="shared" si="17"/>
        <v/>
      </c>
      <c r="G386" t="str">
        <f t="shared" si="15"/>
        <v/>
      </c>
    </row>
    <row r="387" spans="3:7">
      <c r="C387"/>
      <c r="E387" s="298" t="str">
        <f t="shared" si="16"/>
        <v/>
      </c>
      <c r="F387" s="298" t="str">
        <f t="shared" si="17"/>
        <v/>
      </c>
      <c r="G387" t="str">
        <f t="shared" si="15"/>
        <v/>
      </c>
    </row>
    <row r="388" spans="3:7">
      <c r="C388"/>
      <c r="E388" s="298" t="str">
        <f t="shared" si="16"/>
        <v/>
      </c>
      <c r="F388" s="298" t="str">
        <f t="shared" si="17"/>
        <v/>
      </c>
      <c r="G388" t="str">
        <f t="shared" si="15"/>
        <v/>
      </c>
    </row>
    <row r="389" spans="3:7">
      <c r="C389"/>
      <c r="E389" s="298" t="str">
        <f t="shared" si="16"/>
        <v/>
      </c>
      <c r="F389" s="298" t="str">
        <f t="shared" si="17"/>
        <v/>
      </c>
      <c r="G389" t="str">
        <f t="shared" si="15"/>
        <v/>
      </c>
    </row>
    <row r="390" spans="3:7">
      <c r="C390"/>
      <c r="E390" s="298" t="str">
        <f t="shared" si="16"/>
        <v/>
      </c>
      <c r="F390" s="298" t="str">
        <f t="shared" si="17"/>
        <v/>
      </c>
      <c r="G390" t="str">
        <f t="shared" si="15"/>
        <v/>
      </c>
    </row>
    <row r="391" spans="3:7">
      <c r="C391"/>
      <c r="E391" s="298" t="str">
        <f t="shared" si="16"/>
        <v/>
      </c>
      <c r="F391" s="298" t="str">
        <f t="shared" si="17"/>
        <v/>
      </c>
      <c r="G391" t="str">
        <f t="shared" si="15"/>
        <v/>
      </c>
    </row>
    <row r="392" spans="3:7">
      <c r="C392"/>
      <c r="E392" s="298" t="str">
        <f t="shared" si="16"/>
        <v/>
      </c>
      <c r="F392" s="298" t="str">
        <f t="shared" si="17"/>
        <v/>
      </c>
      <c r="G392" t="str">
        <f t="shared" si="15"/>
        <v/>
      </c>
    </row>
    <row r="393" spans="3:7">
      <c r="C393"/>
      <c r="E393" s="298" t="str">
        <f t="shared" si="16"/>
        <v/>
      </c>
      <c r="F393" s="298" t="str">
        <f t="shared" si="17"/>
        <v/>
      </c>
      <c r="G393" t="str">
        <f t="shared" si="15"/>
        <v/>
      </c>
    </row>
    <row r="394" spans="3:7">
      <c r="C394"/>
      <c r="E394" s="298" t="str">
        <f t="shared" si="16"/>
        <v/>
      </c>
      <c r="F394" s="298" t="str">
        <f t="shared" si="17"/>
        <v/>
      </c>
      <c r="G394" t="str">
        <f t="shared" si="15"/>
        <v/>
      </c>
    </row>
    <row r="395" spans="3:7">
      <c r="C395"/>
      <c r="E395" s="298" t="str">
        <f t="shared" si="16"/>
        <v/>
      </c>
      <c r="F395" s="298" t="str">
        <f t="shared" si="17"/>
        <v/>
      </c>
      <c r="G395" t="str">
        <f t="shared" si="15"/>
        <v/>
      </c>
    </row>
    <row r="396" spans="3:7">
      <c r="C396"/>
      <c r="E396" s="298" t="str">
        <f t="shared" si="16"/>
        <v/>
      </c>
      <c r="F396" s="298" t="str">
        <f t="shared" si="17"/>
        <v/>
      </c>
      <c r="G396" t="str">
        <f t="shared" si="15"/>
        <v/>
      </c>
    </row>
    <row r="397" spans="3:7">
      <c r="C397"/>
      <c r="E397" s="298" t="str">
        <f t="shared" si="16"/>
        <v/>
      </c>
      <c r="F397" s="298" t="str">
        <f t="shared" si="17"/>
        <v/>
      </c>
      <c r="G397" t="str">
        <f t="shared" si="15"/>
        <v/>
      </c>
    </row>
    <row r="398" spans="3:7">
      <c r="C398"/>
      <c r="E398" s="298" t="str">
        <f t="shared" si="16"/>
        <v/>
      </c>
      <c r="F398" s="298" t="str">
        <f t="shared" si="17"/>
        <v/>
      </c>
      <c r="G398" t="str">
        <f t="shared" ref="G398:G461" si="18">IF(F398&lt;&gt;"","INSERIR COMENTÁRIO PMO","")</f>
        <v/>
      </c>
    </row>
    <row r="399" spans="3:7">
      <c r="C399"/>
      <c r="E399" s="298" t="str">
        <f t="shared" ref="E399:E462" si="19">IF(D399&lt;&gt;0,"INSERIR JUSTIFICATIVA","")</f>
        <v/>
      </c>
      <c r="F399" s="298" t="str">
        <f t="shared" ref="F399:F462" si="20">IF(E399&lt;&gt;"","INSERIR HORA PMO","")</f>
        <v/>
      </c>
      <c r="G399" t="str">
        <f t="shared" si="18"/>
        <v/>
      </c>
    </row>
    <row r="400" spans="3:7">
      <c r="C400"/>
      <c r="E400" s="298" t="str">
        <f t="shared" si="19"/>
        <v/>
      </c>
      <c r="F400" s="298" t="str">
        <f t="shared" si="20"/>
        <v/>
      </c>
      <c r="G400" t="str">
        <f t="shared" si="18"/>
        <v/>
      </c>
    </row>
    <row r="401" spans="3:7">
      <c r="C401"/>
      <c r="E401" s="298" t="str">
        <f t="shared" si="19"/>
        <v/>
      </c>
      <c r="F401" s="298" t="str">
        <f t="shared" si="20"/>
        <v/>
      </c>
      <c r="G401" t="str">
        <f t="shared" si="18"/>
        <v/>
      </c>
    </row>
    <row r="402" spans="3:7">
      <c r="C402"/>
      <c r="E402" s="298" t="str">
        <f t="shared" si="19"/>
        <v/>
      </c>
      <c r="F402" s="298" t="str">
        <f t="shared" si="20"/>
        <v/>
      </c>
      <c r="G402" t="str">
        <f t="shared" si="18"/>
        <v/>
      </c>
    </row>
    <row r="403" spans="3:7">
      <c r="C403"/>
      <c r="E403" s="298" t="str">
        <f t="shared" si="19"/>
        <v/>
      </c>
      <c r="F403" s="298" t="str">
        <f t="shared" si="20"/>
        <v/>
      </c>
      <c r="G403" t="str">
        <f t="shared" si="18"/>
        <v/>
      </c>
    </row>
    <row r="404" spans="3:7">
      <c r="C404"/>
      <c r="E404" s="298" t="str">
        <f t="shared" si="19"/>
        <v/>
      </c>
      <c r="F404" s="298" t="str">
        <f t="shared" si="20"/>
        <v/>
      </c>
      <c r="G404" t="str">
        <f t="shared" si="18"/>
        <v/>
      </c>
    </row>
    <row r="405" spans="3:7">
      <c r="C405"/>
      <c r="E405" s="298" t="str">
        <f t="shared" si="19"/>
        <v/>
      </c>
      <c r="F405" s="298" t="str">
        <f t="shared" si="20"/>
        <v/>
      </c>
      <c r="G405" t="str">
        <f t="shared" si="18"/>
        <v/>
      </c>
    </row>
    <row r="406" spans="3:7">
      <c r="C406"/>
      <c r="E406" s="298" t="str">
        <f t="shared" si="19"/>
        <v/>
      </c>
      <c r="F406" s="298" t="str">
        <f t="shared" si="20"/>
        <v/>
      </c>
      <c r="G406" t="str">
        <f t="shared" si="18"/>
        <v/>
      </c>
    </row>
    <row r="407" spans="3:7">
      <c r="C407"/>
      <c r="E407" s="298" t="str">
        <f t="shared" si="19"/>
        <v/>
      </c>
      <c r="F407" s="298" t="str">
        <f t="shared" si="20"/>
        <v/>
      </c>
      <c r="G407" t="str">
        <f t="shared" si="18"/>
        <v/>
      </c>
    </row>
    <row r="408" spans="3:7">
      <c r="C408"/>
      <c r="E408" s="298" t="str">
        <f t="shared" si="19"/>
        <v/>
      </c>
      <c r="F408" s="298" t="str">
        <f t="shared" si="20"/>
        <v/>
      </c>
      <c r="G408" t="str">
        <f t="shared" si="18"/>
        <v/>
      </c>
    </row>
    <row r="409" spans="3:7">
      <c r="C409"/>
      <c r="E409" s="298" t="str">
        <f t="shared" si="19"/>
        <v/>
      </c>
      <c r="F409" s="298" t="str">
        <f t="shared" si="20"/>
        <v/>
      </c>
      <c r="G409" t="str">
        <f t="shared" si="18"/>
        <v/>
      </c>
    </row>
    <row r="410" spans="3:7">
      <c r="C410"/>
      <c r="E410" s="298" t="str">
        <f t="shared" si="19"/>
        <v/>
      </c>
      <c r="F410" s="298" t="str">
        <f t="shared" si="20"/>
        <v/>
      </c>
      <c r="G410" t="str">
        <f t="shared" si="18"/>
        <v/>
      </c>
    </row>
    <row r="411" spans="3:7">
      <c r="C411"/>
      <c r="E411" s="298" t="str">
        <f t="shared" si="19"/>
        <v/>
      </c>
      <c r="F411" s="298" t="str">
        <f t="shared" si="20"/>
        <v/>
      </c>
      <c r="G411" t="str">
        <f t="shared" si="18"/>
        <v/>
      </c>
    </row>
    <row r="412" spans="3:7">
      <c r="C412"/>
      <c r="E412" s="298" t="str">
        <f t="shared" si="19"/>
        <v/>
      </c>
      <c r="F412" s="298" t="str">
        <f t="shared" si="20"/>
        <v/>
      </c>
      <c r="G412" t="str">
        <f t="shared" si="18"/>
        <v/>
      </c>
    </row>
    <row r="413" spans="3:7">
      <c r="C413"/>
      <c r="E413" s="298" t="str">
        <f t="shared" si="19"/>
        <v/>
      </c>
      <c r="F413" s="298" t="str">
        <f t="shared" si="20"/>
        <v/>
      </c>
      <c r="G413" t="str">
        <f t="shared" si="18"/>
        <v/>
      </c>
    </row>
    <row r="414" spans="3:7">
      <c r="C414"/>
      <c r="E414" s="298" t="str">
        <f t="shared" si="19"/>
        <v/>
      </c>
      <c r="F414" s="298" t="str">
        <f t="shared" si="20"/>
        <v/>
      </c>
      <c r="G414" t="str">
        <f t="shared" si="18"/>
        <v/>
      </c>
    </row>
    <row r="415" spans="3:7">
      <c r="C415"/>
      <c r="E415" s="298" t="str">
        <f t="shared" si="19"/>
        <v/>
      </c>
      <c r="F415" s="298" t="str">
        <f t="shared" si="20"/>
        <v/>
      </c>
      <c r="G415" t="str">
        <f t="shared" si="18"/>
        <v/>
      </c>
    </row>
    <row r="416" spans="3:7">
      <c r="C416"/>
      <c r="E416" s="298" t="str">
        <f t="shared" si="19"/>
        <v/>
      </c>
      <c r="F416" s="298" t="str">
        <f t="shared" si="20"/>
        <v/>
      </c>
      <c r="G416" t="str">
        <f t="shared" si="18"/>
        <v/>
      </c>
    </row>
    <row r="417" spans="3:7">
      <c r="C417"/>
      <c r="E417" s="298" t="str">
        <f t="shared" si="19"/>
        <v/>
      </c>
      <c r="F417" s="298" t="str">
        <f t="shared" si="20"/>
        <v/>
      </c>
      <c r="G417" t="str">
        <f t="shared" si="18"/>
        <v/>
      </c>
    </row>
    <row r="418" spans="3:7">
      <c r="C418"/>
      <c r="E418" s="298" t="str">
        <f t="shared" si="19"/>
        <v/>
      </c>
      <c r="F418" s="298" t="str">
        <f t="shared" si="20"/>
        <v/>
      </c>
      <c r="G418" t="str">
        <f t="shared" si="18"/>
        <v/>
      </c>
    </row>
    <row r="419" spans="3:7">
      <c r="C419"/>
      <c r="E419" s="298" t="str">
        <f t="shared" si="19"/>
        <v/>
      </c>
      <c r="F419" s="298" t="str">
        <f t="shared" si="20"/>
        <v/>
      </c>
      <c r="G419" t="str">
        <f t="shared" si="18"/>
        <v/>
      </c>
    </row>
    <row r="420" spans="3:7">
      <c r="C420"/>
      <c r="E420" s="298" t="str">
        <f t="shared" si="19"/>
        <v/>
      </c>
      <c r="F420" s="298" t="str">
        <f t="shared" si="20"/>
        <v/>
      </c>
      <c r="G420" t="str">
        <f t="shared" si="18"/>
        <v/>
      </c>
    </row>
    <row r="421" spans="3:7">
      <c r="C421"/>
      <c r="E421" s="298" t="str">
        <f t="shared" si="19"/>
        <v/>
      </c>
      <c r="F421" s="298" t="str">
        <f t="shared" si="20"/>
        <v/>
      </c>
      <c r="G421" t="str">
        <f t="shared" si="18"/>
        <v/>
      </c>
    </row>
    <row r="422" spans="3:7">
      <c r="C422"/>
      <c r="E422" s="298" t="str">
        <f t="shared" si="19"/>
        <v/>
      </c>
      <c r="F422" s="298" t="str">
        <f t="shared" si="20"/>
        <v/>
      </c>
      <c r="G422" t="str">
        <f t="shared" si="18"/>
        <v/>
      </c>
    </row>
    <row r="423" spans="3:7">
      <c r="C423"/>
      <c r="E423" s="298" t="str">
        <f t="shared" si="19"/>
        <v/>
      </c>
      <c r="F423" s="298" t="str">
        <f t="shared" si="20"/>
        <v/>
      </c>
      <c r="G423" t="str">
        <f t="shared" si="18"/>
        <v/>
      </c>
    </row>
    <row r="424" spans="3:7">
      <c r="C424"/>
      <c r="E424" s="298" t="str">
        <f t="shared" si="19"/>
        <v/>
      </c>
      <c r="F424" s="298" t="str">
        <f t="shared" si="20"/>
        <v/>
      </c>
      <c r="G424" t="str">
        <f t="shared" si="18"/>
        <v/>
      </c>
    </row>
    <row r="425" spans="3:7">
      <c r="C425"/>
      <c r="E425" s="298" t="str">
        <f t="shared" si="19"/>
        <v/>
      </c>
      <c r="F425" s="298" t="str">
        <f t="shared" si="20"/>
        <v/>
      </c>
      <c r="G425" t="str">
        <f t="shared" si="18"/>
        <v/>
      </c>
    </row>
    <row r="426" spans="3:7">
      <c r="C426"/>
      <c r="E426" s="298" t="str">
        <f t="shared" si="19"/>
        <v/>
      </c>
      <c r="F426" s="298" t="str">
        <f t="shared" si="20"/>
        <v/>
      </c>
      <c r="G426" t="str">
        <f t="shared" si="18"/>
        <v/>
      </c>
    </row>
    <row r="427" spans="3:7">
      <c r="C427"/>
      <c r="E427" s="298" t="str">
        <f t="shared" si="19"/>
        <v/>
      </c>
      <c r="F427" s="298" t="str">
        <f t="shared" si="20"/>
        <v/>
      </c>
      <c r="G427" t="str">
        <f t="shared" si="18"/>
        <v/>
      </c>
    </row>
    <row r="428" spans="3:7">
      <c r="C428"/>
      <c r="E428" s="298" t="str">
        <f t="shared" si="19"/>
        <v/>
      </c>
      <c r="F428" s="298" t="str">
        <f t="shared" si="20"/>
        <v/>
      </c>
      <c r="G428" t="str">
        <f t="shared" si="18"/>
        <v/>
      </c>
    </row>
    <row r="429" spans="3:7">
      <c r="C429"/>
      <c r="E429" s="298" t="str">
        <f t="shared" si="19"/>
        <v/>
      </c>
      <c r="F429" s="298" t="str">
        <f t="shared" si="20"/>
        <v/>
      </c>
      <c r="G429" t="str">
        <f t="shared" si="18"/>
        <v/>
      </c>
    </row>
    <row r="430" spans="3:7">
      <c r="C430"/>
      <c r="E430" s="298" t="str">
        <f t="shared" si="19"/>
        <v/>
      </c>
      <c r="F430" s="298" t="str">
        <f t="shared" si="20"/>
        <v/>
      </c>
      <c r="G430" t="str">
        <f t="shared" si="18"/>
        <v/>
      </c>
    </row>
    <row r="431" spans="3:7">
      <c r="C431"/>
      <c r="E431" s="298" t="str">
        <f t="shared" si="19"/>
        <v/>
      </c>
      <c r="F431" s="298" t="str">
        <f t="shared" si="20"/>
        <v/>
      </c>
      <c r="G431" t="str">
        <f t="shared" si="18"/>
        <v/>
      </c>
    </row>
    <row r="432" spans="3:7">
      <c r="C432"/>
      <c r="E432" s="298" t="str">
        <f t="shared" si="19"/>
        <v/>
      </c>
      <c r="F432" s="298" t="str">
        <f t="shared" si="20"/>
        <v/>
      </c>
      <c r="G432" t="str">
        <f t="shared" si="18"/>
        <v/>
      </c>
    </row>
    <row r="433" spans="3:7">
      <c r="C433"/>
      <c r="E433" s="298" t="str">
        <f t="shared" si="19"/>
        <v/>
      </c>
      <c r="F433" s="298" t="str">
        <f t="shared" si="20"/>
        <v/>
      </c>
      <c r="G433" t="str">
        <f t="shared" si="18"/>
        <v/>
      </c>
    </row>
    <row r="434" spans="3:7">
      <c r="C434"/>
      <c r="E434" s="298" t="str">
        <f t="shared" si="19"/>
        <v/>
      </c>
      <c r="F434" s="298" t="str">
        <f t="shared" si="20"/>
        <v/>
      </c>
      <c r="G434" t="str">
        <f t="shared" si="18"/>
        <v/>
      </c>
    </row>
    <row r="435" spans="3:7">
      <c r="C435"/>
      <c r="E435" s="298" t="str">
        <f t="shared" si="19"/>
        <v/>
      </c>
      <c r="F435" s="298" t="str">
        <f t="shared" si="20"/>
        <v/>
      </c>
      <c r="G435" t="str">
        <f t="shared" si="18"/>
        <v/>
      </c>
    </row>
    <row r="436" spans="3:7">
      <c r="C436"/>
      <c r="E436" s="298" t="str">
        <f t="shared" si="19"/>
        <v/>
      </c>
      <c r="F436" s="298" t="str">
        <f t="shared" si="20"/>
        <v/>
      </c>
      <c r="G436" t="str">
        <f t="shared" si="18"/>
        <v/>
      </c>
    </row>
    <row r="437" spans="3:7">
      <c r="C437"/>
      <c r="E437" s="298" t="str">
        <f t="shared" si="19"/>
        <v/>
      </c>
      <c r="F437" s="298" t="str">
        <f t="shared" si="20"/>
        <v/>
      </c>
      <c r="G437" t="str">
        <f t="shared" si="18"/>
        <v/>
      </c>
    </row>
    <row r="438" spans="3:7">
      <c r="C438"/>
      <c r="E438" s="298" t="str">
        <f t="shared" si="19"/>
        <v/>
      </c>
      <c r="F438" s="298" t="str">
        <f t="shared" si="20"/>
        <v/>
      </c>
      <c r="G438" t="str">
        <f t="shared" si="18"/>
        <v/>
      </c>
    </row>
    <row r="439" spans="3:7">
      <c r="C439"/>
      <c r="E439" s="298" t="str">
        <f t="shared" si="19"/>
        <v/>
      </c>
      <c r="F439" s="298" t="str">
        <f t="shared" si="20"/>
        <v/>
      </c>
      <c r="G439" t="str">
        <f t="shared" si="18"/>
        <v/>
      </c>
    </row>
    <row r="440" spans="3:7">
      <c r="C440"/>
      <c r="E440" s="298" t="str">
        <f t="shared" si="19"/>
        <v/>
      </c>
      <c r="F440" s="298" t="str">
        <f t="shared" si="20"/>
        <v/>
      </c>
      <c r="G440" t="str">
        <f t="shared" si="18"/>
        <v/>
      </c>
    </row>
    <row r="441" spans="3:7">
      <c r="C441"/>
      <c r="E441" s="298" t="str">
        <f t="shared" si="19"/>
        <v/>
      </c>
      <c r="F441" s="298" t="str">
        <f t="shared" si="20"/>
        <v/>
      </c>
      <c r="G441" t="str">
        <f t="shared" si="18"/>
        <v/>
      </c>
    </row>
    <row r="442" spans="3:7">
      <c r="C442"/>
      <c r="E442" s="298" t="str">
        <f t="shared" si="19"/>
        <v/>
      </c>
      <c r="F442" s="298" t="str">
        <f t="shared" si="20"/>
        <v/>
      </c>
      <c r="G442" t="str">
        <f t="shared" si="18"/>
        <v/>
      </c>
    </row>
    <row r="443" spans="3:7">
      <c r="C443"/>
      <c r="E443" s="298" t="str">
        <f t="shared" si="19"/>
        <v/>
      </c>
      <c r="F443" s="298" t="str">
        <f t="shared" si="20"/>
        <v/>
      </c>
      <c r="G443" t="str">
        <f t="shared" si="18"/>
        <v/>
      </c>
    </row>
    <row r="444" spans="3:7">
      <c r="C444"/>
      <c r="E444" s="298" t="str">
        <f t="shared" si="19"/>
        <v/>
      </c>
      <c r="F444" s="298" t="str">
        <f t="shared" si="20"/>
        <v/>
      </c>
      <c r="G444" t="str">
        <f t="shared" si="18"/>
        <v/>
      </c>
    </row>
    <row r="445" spans="3:7">
      <c r="C445"/>
      <c r="E445" s="298" t="str">
        <f t="shared" si="19"/>
        <v/>
      </c>
      <c r="F445" s="298" t="str">
        <f t="shared" si="20"/>
        <v/>
      </c>
      <c r="G445" t="str">
        <f t="shared" si="18"/>
        <v/>
      </c>
    </row>
    <row r="446" spans="3:7">
      <c r="C446"/>
      <c r="E446" s="298" t="str">
        <f t="shared" si="19"/>
        <v/>
      </c>
      <c r="F446" s="298" t="str">
        <f t="shared" si="20"/>
        <v/>
      </c>
      <c r="G446" t="str">
        <f t="shared" si="18"/>
        <v/>
      </c>
    </row>
    <row r="447" spans="3:7">
      <c r="C447"/>
      <c r="E447" s="298" t="str">
        <f t="shared" si="19"/>
        <v/>
      </c>
      <c r="F447" s="298" t="str">
        <f t="shared" si="20"/>
        <v/>
      </c>
      <c r="G447" t="str">
        <f t="shared" si="18"/>
        <v/>
      </c>
    </row>
    <row r="448" spans="3:7">
      <c r="C448"/>
      <c r="E448" s="298" t="str">
        <f t="shared" si="19"/>
        <v/>
      </c>
      <c r="F448" s="298" t="str">
        <f t="shared" si="20"/>
        <v/>
      </c>
      <c r="G448" t="str">
        <f t="shared" si="18"/>
        <v/>
      </c>
    </row>
    <row r="449" spans="3:7">
      <c r="C449"/>
      <c r="E449" s="298" t="str">
        <f t="shared" si="19"/>
        <v/>
      </c>
      <c r="F449" s="298" t="str">
        <f t="shared" si="20"/>
        <v/>
      </c>
      <c r="G449" t="str">
        <f t="shared" si="18"/>
        <v/>
      </c>
    </row>
    <row r="450" spans="3:7">
      <c r="C450"/>
      <c r="E450" s="298" t="str">
        <f t="shared" si="19"/>
        <v/>
      </c>
      <c r="F450" s="298" t="str">
        <f t="shared" si="20"/>
        <v/>
      </c>
      <c r="G450" t="str">
        <f t="shared" si="18"/>
        <v/>
      </c>
    </row>
    <row r="451" spans="3:7">
      <c r="C451"/>
      <c r="E451" s="298" t="str">
        <f t="shared" si="19"/>
        <v/>
      </c>
      <c r="F451" s="298" t="str">
        <f t="shared" si="20"/>
        <v/>
      </c>
      <c r="G451" t="str">
        <f t="shared" si="18"/>
        <v/>
      </c>
    </row>
    <row r="452" spans="3:7">
      <c r="C452"/>
      <c r="E452" s="298" t="str">
        <f t="shared" si="19"/>
        <v/>
      </c>
      <c r="F452" s="298" t="str">
        <f t="shared" si="20"/>
        <v/>
      </c>
      <c r="G452" t="str">
        <f t="shared" si="18"/>
        <v/>
      </c>
    </row>
    <row r="453" spans="3:7">
      <c r="C453"/>
      <c r="E453" s="298" t="str">
        <f t="shared" si="19"/>
        <v/>
      </c>
      <c r="F453" s="298" t="str">
        <f t="shared" si="20"/>
        <v/>
      </c>
      <c r="G453" t="str">
        <f t="shared" si="18"/>
        <v/>
      </c>
    </row>
    <row r="454" spans="3:7">
      <c r="C454"/>
      <c r="E454" s="298" t="str">
        <f t="shared" si="19"/>
        <v/>
      </c>
      <c r="F454" s="298" t="str">
        <f t="shared" si="20"/>
        <v/>
      </c>
      <c r="G454" t="str">
        <f t="shared" si="18"/>
        <v/>
      </c>
    </row>
    <row r="455" spans="3:7">
      <c r="C455"/>
      <c r="E455" s="298" t="str">
        <f t="shared" si="19"/>
        <v/>
      </c>
      <c r="F455" s="298" t="str">
        <f t="shared" si="20"/>
        <v/>
      </c>
      <c r="G455" t="str">
        <f t="shared" si="18"/>
        <v/>
      </c>
    </row>
    <row r="456" spans="3:7">
      <c r="C456"/>
      <c r="E456" s="298" t="str">
        <f t="shared" si="19"/>
        <v/>
      </c>
      <c r="F456" s="298" t="str">
        <f t="shared" si="20"/>
        <v/>
      </c>
      <c r="G456" t="str">
        <f t="shared" si="18"/>
        <v/>
      </c>
    </row>
    <row r="457" spans="3:7">
      <c r="C457"/>
      <c r="E457" s="298" t="str">
        <f t="shared" si="19"/>
        <v/>
      </c>
      <c r="F457" s="298" t="str">
        <f t="shared" si="20"/>
        <v/>
      </c>
      <c r="G457" t="str">
        <f t="shared" si="18"/>
        <v/>
      </c>
    </row>
    <row r="458" spans="3:7">
      <c r="C458"/>
      <c r="E458" s="298" t="str">
        <f t="shared" si="19"/>
        <v/>
      </c>
      <c r="F458" s="298" t="str">
        <f t="shared" si="20"/>
        <v/>
      </c>
      <c r="G458" t="str">
        <f t="shared" si="18"/>
        <v/>
      </c>
    </row>
    <row r="459" spans="3:7">
      <c r="C459"/>
      <c r="E459" s="298" t="str">
        <f t="shared" si="19"/>
        <v/>
      </c>
      <c r="F459" s="298" t="str">
        <f t="shared" si="20"/>
        <v/>
      </c>
      <c r="G459" t="str">
        <f t="shared" si="18"/>
        <v/>
      </c>
    </row>
    <row r="460" spans="3:7">
      <c r="C460"/>
      <c r="E460" s="298" t="str">
        <f t="shared" si="19"/>
        <v/>
      </c>
      <c r="F460" s="298" t="str">
        <f t="shared" si="20"/>
        <v/>
      </c>
      <c r="G460" t="str">
        <f t="shared" si="18"/>
        <v/>
      </c>
    </row>
    <row r="461" spans="3:7">
      <c r="C461"/>
      <c r="E461" s="298" t="str">
        <f t="shared" si="19"/>
        <v/>
      </c>
      <c r="F461" s="298" t="str">
        <f t="shared" si="20"/>
        <v/>
      </c>
      <c r="G461" t="str">
        <f t="shared" si="18"/>
        <v/>
      </c>
    </row>
    <row r="462" spans="3:7">
      <c r="C462"/>
      <c r="E462" s="298" t="str">
        <f t="shared" si="19"/>
        <v/>
      </c>
      <c r="F462" s="298" t="str">
        <f t="shared" si="20"/>
        <v/>
      </c>
      <c r="G462" t="str">
        <f t="shared" ref="G462:G525" si="21">IF(F462&lt;&gt;"","INSERIR COMENTÁRIO PMO","")</f>
        <v/>
      </c>
    </row>
    <row r="463" spans="3:7">
      <c r="C463"/>
      <c r="E463" s="298" t="str">
        <f t="shared" ref="E463:E526" si="22">IF(D463&lt;&gt;0,"INSERIR JUSTIFICATIVA","")</f>
        <v/>
      </c>
      <c r="F463" s="298" t="str">
        <f t="shared" ref="F463:F526" si="23">IF(E463&lt;&gt;"","INSERIR HORA PMO","")</f>
        <v/>
      </c>
      <c r="G463" t="str">
        <f t="shared" si="21"/>
        <v/>
      </c>
    </row>
    <row r="464" spans="3:7">
      <c r="C464"/>
      <c r="E464" s="298" t="str">
        <f t="shared" si="22"/>
        <v/>
      </c>
      <c r="F464" s="298" t="str">
        <f t="shared" si="23"/>
        <v/>
      </c>
      <c r="G464" t="str">
        <f t="shared" si="21"/>
        <v/>
      </c>
    </row>
    <row r="465" spans="3:7">
      <c r="C465"/>
      <c r="E465" s="298" t="str">
        <f t="shared" si="22"/>
        <v/>
      </c>
      <c r="F465" s="298" t="str">
        <f t="shared" si="23"/>
        <v/>
      </c>
      <c r="G465" t="str">
        <f t="shared" si="21"/>
        <v/>
      </c>
    </row>
    <row r="466" spans="3:7">
      <c r="C466"/>
      <c r="E466" s="298" t="str">
        <f t="shared" si="22"/>
        <v/>
      </c>
      <c r="F466" s="298" t="str">
        <f t="shared" si="23"/>
        <v/>
      </c>
      <c r="G466" t="str">
        <f t="shared" si="21"/>
        <v/>
      </c>
    </row>
    <row r="467" spans="3:7">
      <c r="C467"/>
      <c r="E467" s="298" t="str">
        <f t="shared" si="22"/>
        <v/>
      </c>
      <c r="F467" s="298" t="str">
        <f t="shared" si="23"/>
        <v/>
      </c>
      <c r="G467" t="str">
        <f t="shared" si="21"/>
        <v/>
      </c>
    </row>
    <row r="468" spans="3:7">
      <c r="C468"/>
      <c r="E468" s="298" t="str">
        <f t="shared" si="22"/>
        <v/>
      </c>
      <c r="F468" s="298" t="str">
        <f t="shared" si="23"/>
        <v/>
      </c>
      <c r="G468" t="str">
        <f t="shared" si="21"/>
        <v/>
      </c>
    </row>
    <row r="469" spans="3:7">
      <c r="C469"/>
      <c r="E469" s="298" t="str">
        <f t="shared" si="22"/>
        <v/>
      </c>
      <c r="F469" s="298" t="str">
        <f t="shared" si="23"/>
        <v/>
      </c>
      <c r="G469" t="str">
        <f t="shared" si="21"/>
        <v/>
      </c>
    </row>
    <row r="470" spans="3:7">
      <c r="C470"/>
      <c r="E470" s="298" t="str">
        <f t="shared" si="22"/>
        <v/>
      </c>
      <c r="F470" s="298" t="str">
        <f t="shared" si="23"/>
        <v/>
      </c>
      <c r="G470" t="str">
        <f t="shared" si="21"/>
        <v/>
      </c>
    </row>
    <row r="471" spans="3:7">
      <c r="C471"/>
      <c r="E471" s="298" t="str">
        <f t="shared" si="22"/>
        <v/>
      </c>
      <c r="F471" s="298" t="str">
        <f t="shared" si="23"/>
        <v/>
      </c>
      <c r="G471" t="str">
        <f t="shared" si="21"/>
        <v/>
      </c>
    </row>
    <row r="472" spans="3:7">
      <c r="C472"/>
      <c r="E472" s="298" t="str">
        <f t="shared" si="22"/>
        <v/>
      </c>
      <c r="F472" s="298" t="str">
        <f t="shared" si="23"/>
        <v/>
      </c>
      <c r="G472" t="str">
        <f t="shared" si="21"/>
        <v/>
      </c>
    </row>
    <row r="473" spans="3:7">
      <c r="C473"/>
      <c r="E473" s="298" t="str">
        <f t="shared" si="22"/>
        <v/>
      </c>
      <c r="F473" s="298" t="str">
        <f t="shared" si="23"/>
        <v/>
      </c>
      <c r="G473" t="str">
        <f t="shared" si="21"/>
        <v/>
      </c>
    </row>
    <row r="474" spans="3:7">
      <c r="C474"/>
      <c r="E474" s="298" t="str">
        <f t="shared" si="22"/>
        <v/>
      </c>
      <c r="F474" s="298" t="str">
        <f t="shared" si="23"/>
        <v/>
      </c>
      <c r="G474" t="str">
        <f t="shared" si="21"/>
        <v/>
      </c>
    </row>
    <row r="475" spans="3:7">
      <c r="C475"/>
      <c r="E475" s="298" t="str">
        <f t="shared" si="22"/>
        <v/>
      </c>
      <c r="F475" s="298" t="str">
        <f t="shared" si="23"/>
        <v/>
      </c>
      <c r="G475" t="str">
        <f t="shared" si="21"/>
        <v/>
      </c>
    </row>
    <row r="476" spans="3:7">
      <c r="C476"/>
      <c r="E476" s="298" t="str">
        <f t="shared" si="22"/>
        <v/>
      </c>
      <c r="F476" s="298" t="str">
        <f t="shared" si="23"/>
        <v/>
      </c>
      <c r="G476" t="str">
        <f t="shared" si="21"/>
        <v/>
      </c>
    </row>
    <row r="477" spans="3:7">
      <c r="C477"/>
      <c r="E477" s="298" t="str">
        <f t="shared" si="22"/>
        <v/>
      </c>
      <c r="F477" s="298" t="str">
        <f t="shared" si="23"/>
        <v/>
      </c>
      <c r="G477" t="str">
        <f t="shared" si="21"/>
        <v/>
      </c>
    </row>
    <row r="478" spans="3:7">
      <c r="C478"/>
      <c r="E478" s="298" t="str">
        <f t="shared" si="22"/>
        <v/>
      </c>
      <c r="F478" s="298" t="str">
        <f t="shared" si="23"/>
        <v/>
      </c>
      <c r="G478" t="str">
        <f t="shared" si="21"/>
        <v/>
      </c>
    </row>
    <row r="479" spans="3:7">
      <c r="C479"/>
      <c r="E479" s="298" t="str">
        <f t="shared" si="22"/>
        <v/>
      </c>
      <c r="F479" s="298" t="str">
        <f t="shared" si="23"/>
        <v/>
      </c>
      <c r="G479" t="str">
        <f t="shared" si="21"/>
        <v/>
      </c>
    </row>
    <row r="480" spans="3:7">
      <c r="C480"/>
      <c r="E480" s="298" t="str">
        <f t="shared" si="22"/>
        <v/>
      </c>
      <c r="F480" s="298" t="str">
        <f t="shared" si="23"/>
        <v/>
      </c>
      <c r="G480" t="str">
        <f t="shared" si="21"/>
        <v/>
      </c>
    </row>
    <row r="481" spans="3:7">
      <c r="C481"/>
      <c r="E481" s="298" t="str">
        <f t="shared" si="22"/>
        <v/>
      </c>
      <c r="F481" s="298" t="str">
        <f t="shared" si="23"/>
        <v/>
      </c>
      <c r="G481" t="str">
        <f t="shared" si="21"/>
        <v/>
      </c>
    </row>
    <row r="482" spans="3:7">
      <c r="C482"/>
      <c r="E482" s="298" t="str">
        <f t="shared" si="22"/>
        <v/>
      </c>
      <c r="F482" s="298" t="str">
        <f t="shared" si="23"/>
        <v/>
      </c>
      <c r="G482" t="str">
        <f t="shared" si="21"/>
        <v/>
      </c>
    </row>
    <row r="483" spans="3:7">
      <c r="C483"/>
      <c r="E483" s="298" t="str">
        <f t="shared" si="22"/>
        <v/>
      </c>
      <c r="F483" s="298" t="str">
        <f t="shared" si="23"/>
        <v/>
      </c>
      <c r="G483" t="str">
        <f t="shared" si="21"/>
        <v/>
      </c>
    </row>
    <row r="484" spans="3:7">
      <c r="C484"/>
      <c r="E484" s="298" t="str">
        <f t="shared" si="22"/>
        <v/>
      </c>
      <c r="F484" s="298" t="str">
        <f t="shared" si="23"/>
        <v/>
      </c>
      <c r="G484" t="str">
        <f t="shared" si="21"/>
        <v/>
      </c>
    </row>
    <row r="485" spans="3:7">
      <c r="C485"/>
      <c r="E485" s="298" t="str">
        <f t="shared" si="22"/>
        <v/>
      </c>
      <c r="F485" s="298" t="str">
        <f t="shared" si="23"/>
        <v/>
      </c>
      <c r="G485" t="str">
        <f t="shared" si="21"/>
        <v/>
      </c>
    </row>
    <row r="486" spans="3:7">
      <c r="C486"/>
      <c r="E486" s="298" t="str">
        <f t="shared" si="22"/>
        <v/>
      </c>
      <c r="F486" s="298" t="str">
        <f t="shared" si="23"/>
        <v/>
      </c>
      <c r="G486" t="str">
        <f t="shared" si="21"/>
        <v/>
      </c>
    </row>
    <row r="487" spans="3:7">
      <c r="C487"/>
      <c r="E487" s="298" t="str">
        <f t="shared" si="22"/>
        <v/>
      </c>
      <c r="F487" s="298" t="str">
        <f t="shared" si="23"/>
        <v/>
      </c>
      <c r="G487" t="str">
        <f t="shared" si="21"/>
        <v/>
      </c>
    </row>
    <row r="488" spans="3:7">
      <c r="C488"/>
      <c r="E488" s="298" t="str">
        <f t="shared" si="22"/>
        <v/>
      </c>
      <c r="F488" s="298" t="str">
        <f t="shared" si="23"/>
        <v/>
      </c>
      <c r="G488" t="str">
        <f t="shared" si="21"/>
        <v/>
      </c>
    </row>
    <row r="489" spans="3:7">
      <c r="C489"/>
      <c r="E489" s="298" t="str">
        <f t="shared" si="22"/>
        <v/>
      </c>
      <c r="F489" s="298" t="str">
        <f t="shared" si="23"/>
        <v/>
      </c>
      <c r="G489" t="str">
        <f t="shared" si="21"/>
        <v/>
      </c>
    </row>
    <row r="490" spans="3:7">
      <c r="C490"/>
      <c r="E490" s="298" t="str">
        <f t="shared" si="22"/>
        <v/>
      </c>
      <c r="F490" s="298" t="str">
        <f t="shared" si="23"/>
        <v/>
      </c>
      <c r="G490" t="str">
        <f t="shared" si="21"/>
        <v/>
      </c>
    </row>
    <row r="491" spans="3:7">
      <c r="C491"/>
      <c r="E491" s="298" t="str">
        <f t="shared" si="22"/>
        <v/>
      </c>
      <c r="F491" s="298" t="str">
        <f t="shared" si="23"/>
        <v/>
      </c>
      <c r="G491" t="str">
        <f t="shared" si="21"/>
        <v/>
      </c>
    </row>
    <row r="492" spans="3:7">
      <c r="C492"/>
      <c r="E492" s="298" t="str">
        <f t="shared" si="22"/>
        <v/>
      </c>
      <c r="F492" s="298" t="str">
        <f t="shared" si="23"/>
        <v/>
      </c>
      <c r="G492" t="str">
        <f t="shared" si="21"/>
        <v/>
      </c>
    </row>
    <row r="493" spans="3:7">
      <c r="C493"/>
      <c r="E493" s="298" t="str">
        <f t="shared" si="22"/>
        <v/>
      </c>
      <c r="F493" s="298" t="str">
        <f t="shared" si="23"/>
        <v/>
      </c>
      <c r="G493" t="str">
        <f t="shared" si="21"/>
        <v/>
      </c>
    </row>
    <row r="494" spans="3:7">
      <c r="C494"/>
      <c r="E494" s="298" t="str">
        <f t="shared" si="22"/>
        <v/>
      </c>
      <c r="F494" s="298" t="str">
        <f t="shared" si="23"/>
        <v/>
      </c>
      <c r="G494" t="str">
        <f t="shared" si="21"/>
        <v/>
      </c>
    </row>
    <row r="495" spans="3:7">
      <c r="C495"/>
      <c r="E495" s="298" t="str">
        <f t="shared" si="22"/>
        <v/>
      </c>
      <c r="F495" s="298" t="str">
        <f t="shared" si="23"/>
        <v/>
      </c>
      <c r="G495" t="str">
        <f t="shared" si="21"/>
        <v/>
      </c>
    </row>
    <row r="496" spans="3:7">
      <c r="C496"/>
      <c r="E496" s="298" t="str">
        <f t="shared" si="22"/>
        <v/>
      </c>
      <c r="F496" s="298" t="str">
        <f t="shared" si="23"/>
        <v/>
      </c>
      <c r="G496" t="str">
        <f t="shared" si="21"/>
        <v/>
      </c>
    </row>
    <row r="497" spans="3:7">
      <c r="C497"/>
      <c r="E497" s="298" t="str">
        <f t="shared" si="22"/>
        <v/>
      </c>
      <c r="F497" s="298" t="str">
        <f t="shared" si="23"/>
        <v/>
      </c>
      <c r="G497" t="str">
        <f t="shared" si="21"/>
        <v/>
      </c>
    </row>
    <row r="498" spans="3:7">
      <c r="C498"/>
      <c r="E498" s="298" t="str">
        <f t="shared" si="22"/>
        <v/>
      </c>
      <c r="F498" s="298" t="str">
        <f t="shared" si="23"/>
        <v/>
      </c>
      <c r="G498" t="str">
        <f t="shared" si="21"/>
        <v/>
      </c>
    </row>
    <row r="499" spans="3:7">
      <c r="C499"/>
      <c r="E499" s="298" t="str">
        <f t="shared" si="22"/>
        <v/>
      </c>
      <c r="F499" s="298" t="str">
        <f t="shared" si="23"/>
        <v/>
      </c>
      <c r="G499" t="str">
        <f t="shared" si="21"/>
        <v/>
      </c>
    </row>
    <row r="500" spans="3:7">
      <c r="C500"/>
      <c r="E500" s="298" t="str">
        <f t="shared" si="22"/>
        <v/>
      </c>
      <c r="F500" s="298" t="str">
        <f t="shared" si="23"/>
        <v/>
      </c>
      <c r="G500" t="str">
        <f t="shared" si="21"/>
        <v/>
      </c>
    </row>
    <row r="501" spans="3:7">
      <c r="C501"/>
      <c r="E501" s="298" t="str">
        <f t="shared" si="22"/>
        <v/>
      </c>
      <c r="F501" s="298" t="str">
        <f t="shared" si="23"/>
        <v/>
      </c>
      <c r="G501" t="str">
        <f t="shared" si="21"/>
        <v/>
      </c>
    </row>
    <row r="502" spans="3:7">
      <c r="C502"/>
      <c r="E502" s="298" t="str">
        <f t="shared" si="22"/>
        <v/>
      </c>
      <c r="F502" s="298" t="str">
        <f t="shared" si="23"/>
        <v/>
      </c>
      <c r="G502" t="str">
        <f t="shared" si="21"/>
        <v/>
      </c>
    </row>
    <row r="503" spans="3:7">
      <c r="C503"/>
      <c r="E503" s="298" t="str">
        <f t="shared" si="22"/>
        <v/>
      </c>
      <c r="F503" s="298" t="str">
        <f t="shared" si="23"/>
        <v/>
      </c>
      <c r="G503" t="str">
        <f t="shared" si="21"/>
        <v/>
      </c>
    </row>
    <row r="504" spans="3:7">
      <c r="C504"/>
      <c r="E504" s="298" t="str">
        <f t="shared" si="22"/>
        <v/>
      </c>
      <c r="F504" s="298" t="str">
        <f t="shared" si="23"/>
        <v/>
      </c>
      <c r="G504" t="str">
        <f t="shared" si="21"/>
        <v/>
      </c>
    </row>
    <row r="505" spans="3:7">
      <c r="C505"/>
      <c r="E505" s="298" t="str">
        <f t="shared" si="22"/>
        <v/>
      </c>
      <c r="F505" s="298" t="str">
        <f t="shared" si="23"/>
        <v/>
      </c>
      <c r="G505" t="str">
        <f t="shared" si="21"/>
        <v/>
      </c>
    </row>
    <row r="506" spans="3:7">
      <c r="C506"/>
      <c r="E506" s="298" t="str">
        <f t="shared" si="22"/>
        <v/>
      </c>
      <c r="F506" s="298" t="str">
        <f t="shared" si="23"/>
        <v/>
      </c>
      <c r="G506" t="str">
        <f t="shared" si="21"/>
        <v/>
      </c>
    </row>
    <row r="507" spans="3:7">
      <c r="C507"/>
      <c r="E507" s="298" t="str">
        <f t="shared" si="22"/>
        <v/>
      </c>
      <c r="F507" s="298" t="str">
        <f t="shared" si="23"/>
        <v/>
      </c>
      <c r="G507" t="str">
        <f t="shared" si="21"/>
        <v/>
      </c>
    </row>
    <row r="508" spans="3:7">
      <c r="C508"/>
      <c r="E508" s="298" t="str">
        <f t="shared" si="22"/>
        <v/>
      </c>
      <c r="F508" s="298" t="str">
        <f t="shared" si="23"/>
        <v/>
      </c>
      <c r="G508" t="str">
        <f t="shared" si="21"/>
        <v/>
      </c>
    </row>
    <row r="509" spans="3:7">
      <c r="C509"/>
      <c r="E509" s="298" t="str">
        <f t="shared" si="22"/>
        <v/>
      </c>
      <c r="F509" s="298" t="str">
        <f t="shared" si="23"/>
        <v/>
      </c>
      <c r="G509" t="str">
        <f t="shared" si="21"/>
        <v/>
      </c>
    </row>
    <row r="510" spans="3:7">
      <c r="C510"/>
      <c r="E510" s="298" t="str">
        <f t="shared" si="22"/>
        <v/>
      </c>
      <c r="F510" s="298" t="str">
        <f t="shared" si="23"/>
        <v/>
      </c>
      <c r="G510" t="str">
        <f t="shared" si="21"/>
        <v/>
      </c>
    </row>
    <row r="511" spans="3:7">
      <c r="C511"/>
      <c r="E511" s="298" t="str">
        <f t="shared" si="22"/>
        <v/>
      </c>
      <c r="F511" s="298" t="str">
        <f t="shared" si="23"/>
        <v/>
      </c>
      <c r="G511" t="str">
        <f t="shared" si="21"/>
        <v/>
      </c>
    </row>
    <row r="512" spans="3:7">
      <c r="C512"/>
      <c r="E512" s="298" t="str">
        <f t="shared" si="22"/>
        <v/>
      </c>
      <c r="F512" s="298" t="str">
        <f t="shared" si="23"/>
        <v/>
      </c>
      <c r="G512" t="str">
        <f t="shared" si="21"/>
        <v/>
      </c>
    </row>
    <row r="513" spans="3:7">
      <c r="C513"/>
      <c r="E513" s="298" t="str">
        <f t="shared" si="22"/>
        <v/>
      </c>
      <c r="F513" s="298" t="str">
        <f t="shared" si="23"/>
        <v/>
      </c>
      <c r="G513" t="str">
        <f t="shared" si="21"/>
        <v/>
      </c>
    </row>
    <row r="514" spans="3:7">
      <c r="C514"/>
      <c r="E514" s="298" t="str">
        <f t="shared" si="22"/>
        <v/>
      </c>
      <c r="F514" s="298" t="str">
        <f t="shared" si="23"/>
        <v/>
      </c>
      <c r="G514" t="str">
        <f t="shared" si="21"/>
        <v/>
      </c>
    </row>
    <row r="515" spans="3:7">
      <c r="C515"/>
      <c r="E515" s="298" t="str">
        <f t="shared" si="22"/>
        <v/>
      </c>
      <c r="F515" s="298" t="str">
        <f t="shared" si="23"/>
        <v/>
      </c>
      <c r="G515" t="str">
        <f t="shared" si="21"/>
        <v/>
      </c>
    </row>
    <row r="516" spans="3:7">
      <c r="C516"/>
      <c r="E516" s="298" t="str">
        <f t="shared" si="22"/>
        <v/>
      </c>
      <c r="F516" s="298" t="str">
        <f t="shared" si="23"/>
        <v/>
      </c>
      <c r="G516" t="str">
        <f t="shared" si="21"/>
        <v/>
      </c>
    </row>
    <row r="517" spans="3:7">
      <c r="C517"/>
      <c r="E517" s="298" t="str">
        <f t="shared" si="22"/>
        <v/>
      </c>
      <c r="F517" s="298" t="str">
        <f t="shared" si="23"/>
        <v/>
      </c>
      <c r="G517" t="str">
        <f t="shared" si="21"/>
        <v/>
      </c>
    </row>
    <row r="518" spans="3:7">
      <c r="C518"/>
      <c r="E518" s="298" t="str">
        <f t="shared" si="22"/>
        <v/>
      </c>
      <c r="F518" s="298" t="str">
        <f t="shared" si="23"/>
        <v/>
      </c>
      <c r="G518" t="str">
        <f t="shared" si="21"/>
        <v/>
      </c>
    </row>
    <row r="519" spans="3:7">
      <c r="C519"/>
      <c r="E519" s="298" t="str">
        <f t="shared" si="22"/>
        <v/>
      </c>
      <c r="F519" s="298" t="str">
        <f t="shared" si="23"/>
        <v/>
      </c>
      <c r="G519" t="str">
        <f t="shared" si="21"/>
        <v/>
      </c>
    </row>
    <row r="520" spans="3:7">
      <c r="C520"/>
      <c r="E520" s="298" t="str">
        <f t="shared" si="22"/>
        <v/>
      </c>
      <c r="F520" s="298" t="str">
        <f t="shared" si="23"/>
        <v/>
      </c>
      <c r="G520" t="str">
        <f t="shared" si="21"/>
        <v/>
      </c>
    </row>
    <row r="521" spans="3:7">
      <c r="C521"/>
      <c r="E521" s="298" t="str">
        <f t="shared" si="22"/>
        <v/>
      </c>
      <c r="F521" s="298" t="str">
        <f t="shared" si="23"/>
        <v/>
      </c>
      <c r="G521" t="str">
        <f t="shared" si="21"/>
        <v/>
      </c>
    </row>
    <row r="522" spans="3:7">
      <c r="C522"/>
      <c r="E522" s="298" t="str">
        <f t="shared" si="22"/>
        <v/>
      </c>
      <c r="F522" s="298" t="str">
        <f t="shared" si="23"/>
        <v/>
      </c>
      <c r="G522" t="str">
        <f t="shared" si="21"/>
        <v/>
      </c>
    </row>
    <row r="523" spans="3:7">
      <c r="C523"/>
      <c r="E523" s="298" t="str">
        <f t="shared" si="22"/>
        <v/>
      </c>
      <c r="F523" s="298" t="str">
        <f t="shared" si="23"/>
        <v/>
      </c>
      <c r="G523" t="str">
        <f t="shared" si="21"/>
        <v/>
      </c>
    </row>
    <row r="524" spans="3:7">
      <c r="C524"/>
      <c r="E524" s="298" t="str">
        <f t="shared" si="22"/>
        <v/>
      </c>
      <c r="F524" s="298" t="str">
        <f t="shared" si="23"/>
        <v/>
      </c>
      <c r="G524" t="str">
        <f t="shared" si="21"/>
        <v/>
      </c>
    </row>
    <row r="525" spans="3:7">
      <c r="C525"/>
      <c r="E525" s="298" t="str">
        <f t="shared" si="22"/>
        <v/>
      </c>
      <c r="F525" s="298" t="str">
        <f t="shared" si="23"/>
        <v/>
      </c>
      <c r="G525" t="str">
        <f t="shared" si="21"/>
        <v/>
      </c>
    </row>
    <row r="526" spans="3:7">
      <c r="C526"/>
      <c r="E526" s="298" t="str">
        <f t="shared" si="22"/>
        <v/>
      </c>
      <c r="F526" s="298" t="str">
        <f t="shared" si="23"/>
        <v/>
      </c>
      <c r="G526" t="str">
        <f t="shared" ref="G526:G550" si="24">IF(F526&lt;&gt;"","INSERIR COMENTÁRIO PMO","")</f>
        <v/>
      </c>
    </row>
    <row r="527" spans="3:7">
      <c r="C527"/>
      <c r="E527" s="298" t="str">
        <f t="shared" ref="E527:E550" si="25">IF(D527&lt;&gt;0,"INSERIR JUSTIFICATIVA","")</f>
        <v/>
      </c>
      <c r="F527" s="298" t="str">
        <f t="shared" ref="F527:F550" si="26">IF(E527&lt;&gt;"","INSERIR HORA PMO","")</f>
        <v/>
      </c>
      <c r="G527" t="str">
        <f t="shared" si="24"/>
        <v/>
      </c>
    </row>
    <row r="528" spans="3:7">
      <c r="C528"/>
      <c r="E528" s="298" t="str">
        <f t="shared" si="25"/>
        <v/>
      </c>
      <c r="F528" s="298" t="str">
        <f t="shared" si="26"/>
        <v/>
      </c>
      <c r="G528" t="str">
        <f t="shared" si="24"/>
        <v/>
      </c>
    </row>
    <row r="529" spans="3:7">
      <c r="C529"/>
      <c r="E529" s="298" t="str">
        <f t="shared" si="25"/>
        <v/>
      </c>
      <c r="F529" s="298" t="str">
        <f t="shared" si="26"/>
        <v/>
      </c>
      <c r="G529" t="str">
        <f t="shared" si="24"/>
        <v/>
      </c>
    </row>
    <row r="530" spans="3:7">
      <c r="C530"/>
      <c r="E530" s="298" t="str">
        <f t="shared" si="25"/>
        <v/>
      </c>
      <c r="F530" s="298" t="str">
        <f t="shared" si="26"/>
        <v/>
      </c>
      <c r="G530" t="str">
        <f t="shared" si="24"/>
        <v/>
      </c>
    </row>
    <row r="531" spans="3:7">
      <c r="C531"/>
      <c r="E531" s="298" t="str">
        <f t="shared" si="25"/>
        <v/>
      </c>
      <c r="F531" s="298" t="str">
        <f t="shared" si="26"/>
        <v/>
      </c>
      <c r="G531" t="str">
        <f t="shared" si="24"/>
        <v/>
      </c>
    </row>
    <row r="532" spans="3:7">
      <c r="C532"/>
      <c r="E532" s="298" t="str">
        <f t="shared" si="25"/>
        <v/>
      </c>
      <c r="F532" s="298" t="str">
        <f t="shared" si="26"/>
        <v/>
      </c>
      <c r="G532" t="str">
        <f t="shared" si="24"/>
        <v/>
      </c>
    </row>
    <row r="533" spans="3:7">
      <c r="C533"/>
      <c r="E533" s="298" t="str">
        <f t="shared" si="25"/>
        <v/>
      </c>
      <c r="F533" s="298" t="str">
        <f t="shared" si="26"/>
        <v/>
      </c>
      <c r="G533" t="str">
        <f t="shared" si="24"/>
        <v/>
      </c>
    </row>
    <row r="534" spans="3:7">
      <c r="C534"/>
      <c r="E534" s="298" t="str">
        <f t="shared" si="25"/>
        <v/>
      </c>
      <c r="F534" s="298" t="str">
        <f t="shared" si="26"/>
        <v/>
      </c>
      <c r="G534" t="str">
        <f t="shared" si="24"/>
        <v/>
      </c>
    </row>
    <row r="535" spans="3:7">
      <c r="C535"/>
      <c r="E535" s="298" t="str">
        <f t="shared" si="25"/>
        <v/>
      </c>
      <c r="F535" s="298" t="str">
        <f t="shared" si="26"/>
        <v/>
      </c>
      <c r="G535" t="str">
        <f t="shared" si="24"/>
        <v/>
      </c>
    </row>
    <row r="536" spans="3:7">
      <c r="C536"/>
      <c r="E536" s="298" t="str">
        <f t="shared" si="25"/>
        <v/>
      </c>
      <c r="F536" s="298" t="str">
        <f t="shared" si="26"/>
        <v/>
      </c>
      <c r="G536" t="str">
        <f t="shared" si="24"/>
        <v/>
      </c>
    </row>
    <row r="537" spans="3:7">
      <c r="C537"/>
      <c r="E537" s="298" t="str">
        <f t="shared" si="25"/>
        <v/>
      </c>
      <c r="F537" s="298" t="str">
        <f t="shared" si="26"/>
        <v/>
      </c>
      <c r="G537" t="str">
        <f t="shared" si="24"/>
        <v/>
      </c>
    </row>
    <row r="538" spans="3:7">
      <c r="C538"/>
      <c r="E538" s="298" t="str">
        <f t="shared" si="25"/>
        <v/>
      </c>
      <c r="F538" s="298" t="str">
        <f t="shared" si="26"/>
        <v/>
      </c>
      <c r="G538" t="str">
        <f t="shared" si="24"/>
        <v/>
      </c>
    </row>
    <row r="539" spans="3:7">
      <c r="C539"/>
      <c r="E539" s="298" t="str">
        <f t="shared" si="25"/>
        <v/>
      </c>
      <c r="F539" s="298" t="str">
        <f t="shared" si="26"/>
        <v/>
      </c>
      <c r="G539" t="str">
        <f t="shared" si="24"/>
        <v/>
      </c>
    </row>
    <row r="540" spans="3:7">
      <c r="C540"/>
      <c r="E540" s="298" t="str">
        <f t="shared" si="25"/>
        <v/>
      </c>
      <c r="F540" s="298" t="str">
        <f t="shared" si="26"/>
        <v/>
      </c>
      <c r="G540" t="str">
        <f t="shared" si="24"/>
        <v/>
      </c>
    </row>
    <row r="541" spans="3:7">
      <c r="C541"/>
      <c r="E541" s="298" t="str">
        <f t="shared" si="25"/>
        <v/>
      </c>
      <c r="F541" s="298" t="str">
        <f t="shared" si="26"/>
        <v/>
      </c>
      <c r="G541" t="str">
        <f t="shared" si="24"/>
        <v/>
      </c>
    </row>
    <row r="542" spans="3:7">
      <c r="C542"/>
      <c r="E542" s="298" t="str">
        <f t="shared" si="25"/>
        <v/>
      </c>
      <c r="F542" s="298" t="str">
        <f t="shared" si="26"/>
        <v/>
      </c>
      <c r="G542" t="str">
        <f t="shared" si="24"/>
        <v/>
      </c>
    </row>
    <row r="543" spans="3:7">
      <c r="C543"/>
      <c r="E543" s="298" t="str">
        <f t="shared" si="25"/>
        <v/>
      </c>
      <c r="F543" s="298" t="str">
        <f t="shared" si="26"/>
        <v/>
      </c>
      <c r="G543" t="str">
        <f t="shared" si="24"/>
        <v/>
      </c>
    </row>
    <row r="544" spans="3:7">
      <c r="C544"/>
      <c r="E544" s="298" t="str">
        <f t="shared" si="25"/>
        <v/>
      </c>
      <c r="F544" s="298" t="str">
        <f t="shared" si="26"/>
        <v/>
      </c>
      <c r="G544" t="str">
        <f t="shared" si="24"/>
        <v/>
      </c>
    </row>
    <row r="545" spans="3:7">
      <c r="C545"/>
      <c r="E545" s="298" t="str">
        <f t="shared" si="25"/>
        <v/>
      </c>
      <c r="F545" s="298" t="str">
        <f t="shared" si="26"/>
        <v/>
      </c>
      <c r="G545" t="str">
        <f t="shared" si="24"/>
        <v/>
      </c>
    </row>
    <row r="546" spans="3:7">
      <c r="C546"/>
      <c r="E546" s="298" t="str">
        <f t="shared" si="25"/>
        <v/>
      </c>
      <c r="F546" s="298" t="str">
        <f t="shared" si="26"/>
        <v/>
      </c>
      <c r="G546" t="str">
        <f t="shared" si="24"/>
        <v/>
      </c>
    </row>
    <row r="547" spans="3:7">
      <c r="C547"/>
      <c r="E547" s="298" t="str">
        <f t="shared" si="25"/>
        <v/>
      </c>
      <c r="F547" s="298" t="str">
        <f t="shared" si="26"/>
        <v/>
      </c>
      <c r="G547" t="str">
        <f t="shared" si="24"/>
        <v/>
      </c>
    </row>
    <row r="548" spans="3:7">
      <c r="C548"/>
      <c r="E548" s="298" t="str">
        <f t="shared" si="25"/>
        <v/>
      </c>
      <c r="F548" s="298" t="str">
        <f t="shared" si="26"/>
        <v/>
      </c>
      <c r="G548" t="str">
        <f t="shared" si="24"/>
        <v/>
      </c>
    </row>
    <row r="549" spans="3:7">
      <c r="C549"/>
      <c r="E549" s="298" t="str">
        <f t="shared" si="25"/>
        <v/>
      </c>
      <c r="F549" s="298" t="str">
        <f t="shared" si="26"/>
        <v/>
      </c>
      <c r="G549" t="str">
        <f t="shared" si="24"/>
        <v/>
      </c>
    </row>
    <row r="550" spans="3:7">
      <c r="C550"/>
      <c r="D550">
        <f>1</f>
        <v>1</v>
      </c>
      <c r="E550" s="298" t="str">
        <f t="shared" si="25"/>
        <v>INSERIR JUSTIFICATIVA</v>
      </c>
      <c r="F550" s="298" t="str">
        <f t="shared" si="26"/>
        <v>INSERIR HORA PMO</v>
      </c>
      <c r="G550" t="str">
        <f t="shared" si="24"/>
        <v>INSERIR COMENTÁRIO PMO</v>
      </c>
    </row>
    <row r="551" spans="3:7">
      <c r="C551"/>
    </row>
    <row r="552" spans="3:7">
      <c r="C552"/>
    </row>
    <row r="553" spans="3:7">
      <c r="C553"/>
    </row>
    <row r="554" spans="3:7">
      <c r="C554"/>
    </row>
    <row r="555" spans="3:7">
      <c r="C555"/>
    </row>
    <row r="556" spans="3:7">
      <c r="C556"/>
    </row>
    <row r="557" spans="3:7">
      <c r="C557"/>
    </row>
    <row r="558" spans="3:7">
      <c r="C558"/>
    </row>
    <row r="559" spans="3:7">
      <c r="C559"/>
    </row>
    <row r="560" spans="3:7">
      <c r="C560"/>
    </row>
    <row r="561" spans="3:3">
      <c r="C561"/>
    </row>
    <row r="562" spans="3:3">
      <c r="C562"/>
    </row>
    <row r="563" spans="3:3">
      <c r="C563"/>
    </row>
    <row r="564" spans="3:3">
      <c r="C564"/>
    </row>
    <row r="565" spans="3:3">
      <c r="C565"/>
    </row>
    <row r="566" spans="3:3">
      <c r="C566"/>
    </row>
    <row r="567" spans="3:3">
      <c r="C567"/>
    </row>
    <row r="568" spans="3:3">
      <c r="C568"/>
    </row>
    <row r="569" spans="3:3">
      <c r="C569"/>
    </row>
    <row r="570" spans="3:3">
      <c r="C570"/>
    </row>
    <row r="571" spans="3:3">
      <c r="C571"/>
    </row>
    <row r="572" spans="3:3">
      <c r="C572"/>
    </row>
    <row r="573" spans="3:3">
      <c r="C573"/>
    </row>
    <row r="574" spans="3:3">
      <c r="C574"/>
    </row>
    <row r="575" spans="3:3">
      <c r="C575"/>
    </row>
    <row r="576" spans="3:3">
      <c r="C576"/>
    </row>
    <row r="577" spans="3:3">
      <c r="C577"/>
    </row>
    <row r="578" spans="3:3">
      <c r="C578"/>
    </row>
    <row r="579" spans="3:3">
      <c r="C579"/>
    </row>
    <row r="580" spans="3:3">
      <c r="C580"/>
    </row>
    <row r="581" spans="3:3">
      <c r="C581"/>
    </row>
    <row r="582" spans="3:3">
      <c r="C582"/>
    </row>
    <row r="583" spans="3:3">
      <c r="C583"/>
    </row>
    <row r="584" spans="3:3">
      <c r="C584"/>
    </row>
    <row r="585" spans="3:3">
      <c r="C585"/>
    </row>
    <row r="586" spans="3:3">
      <c r="C586"/>
    </row>
    <row r="587" spans="3:3">
      <c r="C587"/>
    </row>
    <row r="588" spans="3:3">
      <c r="C588"/>
    </row>
    <row r="589" spans="3:3">
      <c r="C589"/>
    </row>
    <row r="590" spans="3:3">
      <c r="C590"/>
    </row>
    <row r="591" spans="3:3">
      <c r="C591"/>
    </row>
    <row r="592" spans="3:3">
      <c r="C592"/>
    </row>
    <row r="593" spans="3:3">
      <c r="C593"/>
    </row>
    <row r="594" spans="3:3">
      <c r="C594"/>
    </row>
    <row r="595" spans="3:3">
      <c r="C595"/>
    </row>
    <row r="596" spans="3:3">
      <c r="C596"/>
    </row>
    <row r="597" spans="3:3">
      <c r="C597"/>
    </row>
    <row r="598" spans="3:3">
      <c r="C598"/>
    </row>
    <row r="599" spans="3:3">
      <c r="C599"/>
    </row>
    <row r="600" spans="3:3">
      <c r="C600"/>
    </row>
    <row r="601" spans="3:3">
      <c r="C601"/>
    </row>
    <row r="602" spans="3:3">
      <c r="C602"/>
    </row>
    <row r="603" spans="3:3">
      <c r="C603"/>
    </row>
    <row r="604" spans="3:3">
      <c r="C604"/>
    </row>
    <row r="605" spans="3:3">
      <c r="C605"/>
    </row>
    <row r="606" spans="3:3">
      <c r="C606"/>
    </row>
    <row r="607" spans="3:3">
      <c r="C607"/>
    </row>
    <row r="608" spans="3:3">
      <c r="C608"/>
    </row>
    <row r="609" spans="3:3">
      <c r="C609"/>
    </row>
    <row r="610" spans="3:3">
      <c r="C610"/>
    </row>
    <row r="611" spans="3:3">
      <c r="C611"/>
    </row>
    <row r="612" spans="3:3">
      <c r="C612"/>
    </row>
    <row r="613" spans="3:3">
      <c r="C613"/>
    </row>
    <row r="614" spans="3:3">
      <c r="C614"/>
    </row>
    <row r="615" spans="3:3">
      <c r="C615"/>
    </row>
    <row r="616" spans="3:3">
      <c r="C616"/>
    </row>
    <row r="617" spans="3:3">
      <c r="C617"/>
    </row>
    <row r="618" spans="3:3">
      <c r="C618"/>
    </row>
    <row r="619" spans="3:3">
      <c r="C619"/>
    </row>
    <row r="620" spans="3:3">
      <c r="C620"/>
    </row>
    <row r="621" spans="3:3">
      <c r="C621"/>
    </row>
    <row r="622" spans="3:3">
      <c r="C622"/>
    </row>
    <row r="623" spans="3:3">
      <c r="C623"/>
    </row>
    <row r="624" spans="3:3">
      <c r="C624"/>
    </row>
    <row r="625" spans="3:3">
      <c r="C625"/>
    </row>
    <row r="626" spans="3:3">
      <c r="C626"/>
    </row>
    <row r="627" spans="3:3">
      <c r="C627"/>
    </row>
    <row r="628" spans="3:3">
      <c r="C628"/>
    </row>
    <row r="629" spans="3:3">
      <c r="C629"/>
    </row>
    <row r="630" spans="3:3">
      <c r="C630"/>
    </row>
    <row r="631" spans="3:3">
      <c r="C631"/>
    </row>
    <row r="632" spans="3:3">
      <c r="C632"/>
    </row>
    <row r="633" spans="3:3">
      <c r="C633"/>
    </row>
    <row r="634" spans="3:3">
      <c r="C634"/>
    </row>
    <row r="635" spans="3:3">
      <c r="C635"/>
    </row>
    <row r="636" spans="3:3">
      <c r="C636"/>
    </row>
    <row r="637" spans="3:3">
      <c r="C637"/>
    </row>
    <row r="638" spans="3:3">
      <c r="C638"/>
    </row>
    <row r="639" spans="3:3">
      <c r="C639"/>
    </row>
    <row r="640" spans="3:3">
      <c r="C640"/>
    </row>
    <row r="641" spans="3:3">
      <c r="C641"/>
    </row>
    <row r="642" spans="3:3">
      <c r="C642"/>
    </row>
    <row r="643" spans="3:3">
      <c r="C643"/>
    </row>
    <row r="644" spans="3:3">
      <c r="C644"/>
    </row>
    <row r="645" spans="3:3">
      <c r="C645"/>
    </row>
    <row r="646" spans="3:3">
      <c r="C646"/>
    </row>
    <row r="647" spans="3:3">
      <c r="C647"/>
    </row>
    <row r="648" spans="3:3">
      <c r="C648"/>
    </row>
    <row r="649" spans="3:3">
      <c r="C649"/>
    </row>
    <row r="650" spans="3:3">
      <c r="C650"/>
    </row>
    <row r="651" spans="3:3">
      <c r="C651"/>
    </row>
    <row r="652" spans="3:3">
      <c r="C652"/>
    </row>
    <row r="653" spans="3:3">
      <c r="C653"/>
    </row>
    <row r="654" spans="3:3">
      <c r="C654"/>
    </row>
    <row r="655" spans="3:3">
      <c r="C655"/>
    </row>
    <row r="656" spans="3:3">
      <c r="C656"/>
    </row>
    <row r="657" spans="3:3">
      <c r="C657"/>
    </row>
    <row r="658" spans="3:3">
      <c r="C658"/>
    </row>
    <row r="659" spans="3:3">
      <c r="C659"/>
    </row>
    <row r="660" spans="3:3">
      <c r="C660"/>
    </row>
    <row r="661" spans="3:3">
      <c r="C661"/>
    </row>
    <row r="662" spans="3:3">
      <c r="C662"/>
    </row>
    <row r="663" spans="3:3">
      <c r="C663"/>
    </row>
    <row r="664" spans="3:3">
      <c r="C664"/>
    </row>
    <row r="665" spans="3:3">
      <c r="C665"/>
    </row>
    <row r="666" spans="3:3">
      <c r="C666"/>
    </row>
    <row r="667" spans="3:3">
      <c r="C667"/>
    </row>
    <row r="668" spans="3:3">
      <c r="C668"/>
    </row>
    <row r="669" spans="3:3">
      <c r="C669"/>
    </row>
    <row r="670" spans="3:3">
      <c r="C670"/>
    </row>
    <row r="671" spans="3:3">
      <c r="C671"/>
    </row>
    <row r="672" spans="3:3">
      <c r="C672"/>
    </row>
    <row r="673" spans="3:3">
      <c r="C673"/>
    </row>
    <row r="674" spans="3:3">
      <c r="C674"/>
    </row>
    <row r="675" spans="3:3">
      <c r="C675"/>
    </row>
    <row r="676" spans="3:3">
      <c r="C676"/>
    </row>
    <row r="677" spans="3:3">
      <c r="C677"/>
    </row>
    <row r="678" spans="3:3">
      <c r="C678"/>
    </row>
    <row r="679" spans="3:3">
      <c r="C679"/>
    </row>
    <row r="680" spans="3:3">
      <c r="C680"/>
    </row>
    <row r="681" spans="3:3">
      <c r="C681"/>
    </row>
    <row r="682" spans="3:3">
      <c r="C682"/>
    </row>
    <row r="683" spans="3:3">
      <c r="C683"/>
    </row>
    <row r="684" spans="3:3">
      <c r="C684"/>
    </row>
    <row r="685" spans="3:3">
      <c r="C685"/>
    </row>
    <row r="686" spans="3:3">
      <c r="C686"/>
    </row>
    <row r="687" spans="3:3">
      <c r="C687"/>
    </row>
    <row r="688" spans="3:3">
      <c r="C688"/>
    </row>
    <row r="689" spans="3:3">
      <c r="C689"/>
    </row>
    <row r="690" spans="3:3">
      <c r="C690"/>
    </row>
    <row r="691" spans="3:3">
      <c r="C691"/>
    </row>
    <row r="692" spans="3:3">
      <c r="C692"/>
    </row>
    <row r="693" spans="3:3">
      <c r="C693"/>
    </row>
    <row r="694" spans="3:3">
      <c r="C694"/>
    </row>
    <row r="695" spans="3:3">
      <c r="C695"/>
    </row>
    <row r="696" spans="3:3">
      <c r="C696"/>
    </row>
    <row r="697" spans="3:3">
      <c r="C697"/>
    </row>
    <row r="698" spans="3:3">
      <c r="C698"/>
    </row>
    <row r="699" spans="3:3">
      <c r="C699"/>
    </row>
    <row r="700" spans="3:3">
      <c r="C700"/>
    </row>
    <row r="701" spans="3:3">
      <c r="C701"/>
    </row>
    <row r="702" spans="3:3">
      <c r="C702"/>
    </row>
    <row r="703" spans="3:3">
      <c r="C703"/>
    </row>
    <row r="704" spans="3:3">
      <c r="C704"/>
    </row>
    <row r="705" spans="3:3">
      <c r="C705"/>
    </row>
    <row r="706" spans="3:3">
      <c r="C706"/>
    </row>
    <row r="707" spans="3:3">
      <c r="C707"/>
    </row>
    <row r="708" spans="3:3">
      <c r="C708"/>
    </row>
    <row r="709" spans="3:3">
      <c r="C709"/>
    </row>
    <row r="710" spans="3:3">
      <c r="C710"/>
    </row>
    <row r="711" spans="3:3">
      <c r="C711"/>
    </row>
    <row r="712" spans="3:3">
      <c r="C712"/>
    </row>
    <row r="713" spans="3:3">
      <c r="C713"/>
    </row>
    <row r="714" spans="3:3">
      <c r="C714"/>
    </row>
    <row r="715" spans="3:3">
      <c r="C715"/>
    </row>
    <row r="716" spans="3:3">
      <c r="C716"/>
    </row>
    <row r="717" spans="3:3">
      <c r="C717"/>
    </row>
    <row r="718" spans="3:3">
      <c r="C718"/>
    </row>
    <row r="719" spans="3:3">
      <c r="C719"/>
    </row>
    <row r="720" spans="3:3">
      <c r="C720"/>
    </row>
    <row r="721" spans="3:3">
      <c r="C721"/>
    </row>
    <row r="722" spans="3:3">
      <c r="C722"/>
    </row>
    <row r="723" spans="3:3">
      <c r="C723"/>
    </row>
    <row r="724" spans="3:3">
      <c r="C724"/>
    </row>
    <row r="725" spans="3:3">
      <c r="C725"/>
    </row>
    <row r="726" spans="3:3">
      <c r="C726"/>
    </row>
    <row r="727" spans="3:3">
      <c r="C727"/>
    </row>
    <row r="728" spans="3:3">
      <c r="C728"/>
    </row>
    <row r="729" spans="3:3">
      <c r="C729"/>
    </row>
    <row r="730" spans="3:3">
      <c r="C730"/>
    </row>
    <row r="731" spans="3:3">
      <c r="C731"/>
    </row>
    <row r="732" spans="3:3">
      <c r="C732"/>
    </row>
    <row r="733" spans="3:3">
      <c r="C733"/>
    </row>
    <row r="734" spans="3:3">
      <c r="C734"/>
    </row>
    <row r="735" spans="3:3">
      <c r="C735"/>
    </row>
    <row r="736" spans="3:3">
      <c r="C736"/>
    </row>
    <row r="737" spans="3:3">
      <c r="C737"/>
    </row>
    <row r="738" spans="3:3">
      <c r="C738"/>
    </row>
    <row r="739" spans="3:3">
      <c r="C739"/>
    </row>
    <row r="740" spans="3:3">
      <c r="C740"/>
    </row>
    <row r="741" spans="3:3">
      <c r="C741"/>
    </row>
    <row r="742" spans="3:3">
      <c r="C742"/>
    </row>
    <row r="743" spans="3:3">
      <c r="C743"/>
    </row>
    <row r="744" spans="3:3">
      <c r="C744"/>
    </row>
    <row r="745" spans="3:3">
      <c r="C745"/>
    </row>
    <row r="746" spans="3:3">
      <c r="C746"/>
    </row>
    <row r="747" spans="3:3">
      <c r="C747"/>
    </row>
    <row r="748" spans="3:3">
      <c r="C748"/>
    </row>
    <row r="749" spans="3:3">
      <c r="C749"/>
    </row>
    <row r="750" spans="3:3">
      <c r="C750"/>
    </row>
    <row r="751" spans="3:3">
      <c r="C751"/>
    </row>
    <row r="752" spans="3:3">
      <c r="C752"/>
    </row>
    <row r="753" spans="3:3">
      <c r="C753"/>
    </row>
    <row r="754" spans="3:3">
      <c r="C754"/>
    </row>
    <row r="755" spans="3:3">
      <c r="C755"/>
    </row>
    <row r="756" spans="3:3">
      <c r="C756"/>
    </row>
    <row r="757" spans="3:3">
      <c r="C757"/>
    </row>
    <row r="758" spans="3:3">
      <c r="C758"/>
    </row>
    <row r="759" spans="3:3">
      <c r="C759"/>
    </row>
    <row r="760" spans="3:3">
      <c r="C760"/>
    </row>
    <row r="761" spans="3:3">
      <c r="C761"/>
    </row>
    <row r="762" spans="3:3">
      <c r="C762"/>
    </row>
    <row r="763" spans="3:3">
      <c r="C763"/>
    </row>
  </sheetData>
  <sheetProtection pivotTables="0"/>
  <mergeCells count="8">
    <mergeCell ref="O24:P24"/>
    <mergeCell ref="B1:Q1"/>
    <mergeCell ref="B3:R3"/>
    <mergeCell ref="O23:P23"/>
    <mergeCell ref="O7:P11"/>
    <mergeCell ref="D4:N4"/>
    <mergeCell ref="D5:N11"/>
    <mergeCell ref="O18:P22"/>
  </mergeCells>
  <conditionalFormatting sqref="D14:D550">
    <cfRule type="expression" dxfId="83" priority="31">
      <formula>D14&lt;&gt;""</formula>
    </cfRule>
  </conditionalFormatting>
  <conditionalFormatting sqref="E14:E550">
    <cfRule type="expression" dxfId="82" priority="17">
      <formula>D14&lt;&gt;0</formula>
    </cfRule>
  </conditionalFormatting>
  <conditionalFormatting sqref="E15:E404">
    <cfRule type="expression" dxfId="81" priority="19">
      <formula>D15&lt;&gt;0</formula>
    </cfRule>
  </conditionalFormatting>
  <conditionalFormatting sqref="F14:F550">
    <cfRule type="expression" dxfId="80" priority="44">
      <formula>F14&lt;&gt;D14</formula>
    </cfRule>
    <cfRule type="expression" dxfId="79" priority="45">
      <formula>F14=D14</formula>
    </cfRule>
    <cfRule type="expression" dxfId="78" priority="43">
      <formula>D14=""</formula>
    </cfRule>
    <cfRule type="expression" dxfId="77" priority="71">
      <formula>D14=""</formula>
    </cfRule>
    <cfRule type="expression" dxfId="76" priority="72">
      <formula>F14&lt;&gt;D14</formula>
    </cfRule>
    <cfRule type="expression" dxfId="75" priority="73">
      <formula>F14=D14</formula>
    </cfRule>
  </conditionalFormatting>
  <conditionalFormatting sqref="G14:G550">
    <cfRule type="expression" dxfId="74" priority="24">
      <formula>D14=""</formula>
    </cfRule>
    <cfRule type="expression" dxfId="73" priority="23">
      <formula>F14&lt;C14</formula>
    </cfRule>
    <cfRule type="expression" dxfId="72" priority="25">
      <formula>F14=D14</formula>
    </cfRule>
    <cfRule type="expression" dxfId="71" priority="26">
      <formula>F14&lt;&gt;D14</formula>
    </cfRule>
    <cfRule type="expression" dxfId="70" priority="51">
      <formula>F14&lt;C14</formula>
    </cfRule>
    <cfRule type="expression" dxfId="69" priority="52">
      <formula>D14=""</formula>
    </cfRule>
    <cfRule type="expression" dxfId="68" priority="53">
      <formula>F14=D14</formula>
    </cfRule>
    <cfRule type="expression" dxfId="67" priority="54">
      <formula>F14&lt;&gt;D14</formula>
    </cfRule>
  </conditionalFormatting>
  <pageMargins left="0.7" right="0.7" top="0.75" bottom="0.75" header="0.3" footer="0.3"/>
  <pageSetup paperSize="9" orientation="portrait"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8F355-B9F1-4B40-A6B7-0E9ECDC4E80B}">
  <dimension ref="A1:W763"/>
  <sheetViews>
    <sheetView topLeftCell="A7" workbookViewId="0">
      <selection activeCell="B318" sqref="B318"/>
    </sheetView>
  </sheetViews>
  <sheetFormatPr defaultColWidth="9.1796875" defaultRowHeight="14.5"/>
  <cols>
    <col min="1" max="1" width="3.81640625" style="198" customWidth="1"/>
    <col min="2" max="2" width="66.453125" bestFit="1" customWidth="1"/>
    <col min="3" max="3" width="10.26953125" style="328" bestFit="1" customWidth="1"/>
    <col min="4" max="4" width="26.54296875" bestFit="1" customWidth="1"/>
    <col min="5" max="5" width="20.7265625" bestFit="1" customWidth="1"/>
    <col min="6" max="6" width="28.7265625" customWidth="1"/>
    <col min="7" max="7" width="27.1796875" bestFit="1" customWidth="1"/>
    <col min="8" max="14" width="11.26953125" customWidth="1"/>
    <col min="15" max="15" width="62.1796875" customWidth="1"/>
    <col min="16" max="16" width="10.7265625" customWidth="1"/>
    <col min="17" max="17" width="15.453125" customWidth="1"/>
    <col min="18" max="18" width="21.26953125" customWidth="1"/>
    <col min="19" max="19" width="14.81640625" bestFit="1" customWidth="1"/>
    <col min="20" max="21" width="10.7265625" customWidth="1"/>
    <col min="22" max="22" width="14.81640625" bestFit="1" customWidth="1"/>
    <col min="23" max="54" width="10.7265625" customWidth="1"/>
  </cols>
  <sheetData>
    <row r="1" spans="1:23" ht="46.5" customHeight="1">
      <c r="B1" s="552" t="str">
        <f>HLOOKUP('General Information'!$C$6,'IDIOMA (hide)'!$A$1:$D$5016,A2,0)</f>
        <v>LTEP - Levantamento Técnico de Estimativa de Projeto TASY EMR
Código do documento: 0060 - Rev 024</v>
      </c>
      <c r="C1" s="552"/>
      <c r="D1" s="552"/>
      <c r="E1" s="552"/>
      <c r="F1" s="552"/>
      <c r="G1" s="552"/>
      <c r="H1" s="552"/>
      <c r="I1" s="552"/>
      <c r="J1" s="552"/>
      <c r="K1" s="552"/>
      <c r="L1" s="552"/>
      <c r="M1" s="552"/>
      <c r="N1" s="552"/>
      <c r="O1" s="552"/>
      <c r="P1" s="552"/>
      <c r="Q1" s="552"/>
    </row>
    <row r="2" spans="1:23">
      <c r="A2" s="198">
        <v>2</v>
      </c>
    </row>
    <row r="3" spans="1:23" ht="21.5" thickBot="1">
      <c r="A3" s="198">
        <v>350</v>
      </c>
      <c r="B3" s="593" t="str">
        <f>HLOOKUP('General Information'!$C$6,'IDIOMA (hide)'!$A$1:$D$5016,A3,0)</f>
        <v>Resumo de Horas</v>
      </c>
      <c r="C3" s="593"/>
      <c r="D3" s="593"/>
      <c r="E3" s="593"/>
      <c r="F3" s="593"/>
      <c r="G3" s="593"/>
      <c r="H3" s="593"/>
      <c r="I3" s="593"/>
      <c r="J3" s="593"/>
      <c r="K3" s="593"/>
      <c r="L3" s="593"/>
      <c r="M3" s="593"/>
      <c r="N3" s="593"/>
      <c r="O3" s="593"/>
      <c r="P3" s="593"/>
      <c r="Q3" s="593"/>
      <c r="R3" s="593"/>
    </row>
    <row r="4" spans="1:23" ht="21">
      <c r="B4" s="98"/>
      <c r="C4" s="414">
        <v>483</v>
      </c>
      <c r="D4" s="634" t="str">
        <f>HLOOKUP('General Information'!$C$6,'IDIOMA (hide)'!$A$1:$D$5016,C4,0)</f>
        <v>ESTRATÉGIA DE IMPLANTAÇÃO</v>
      </c>
      <c r="E4" s="634"/>
      <c r="F4" s="634"/>
      <c r="G4" s="634"/>
      <c r="H4" s="634"/>
      <c r="I4" s="634"/>
      <c r="J4" s="634"/>
      <c r="K4" s="634"/>
      <c r="L4" s="634"/>
      <c r="M4" s="634"/>
      <c r="N4" s="634"/>
      <c r="O4" s="98"/>
      <c r="P4" s="98"/>
      <c r="Q4" s="98"/>
      <c r="R4" s="98"/>
    </row>
    <row r="5" spans="1:23" ht="21">
      <c r="B5" s="98"/>
      <c r="C5" s="414">
        <v>482</v>
      </c>
      <c r="D5" s="635" t="str">
        <f>HLOOKUP('General Information'!$C$6,'IDIOMA (hide)'!$A$1:$D$5016,C5,0)</f>
        <v>Descreva, detalhadamente, a estratégia de implantação para este projeto. Ela irá influenciar na análise do PMO
&gt;&gt;&gt;&gt;&gt;PREENCHIMENTO OBRIGATÓRIO PARA RECEBIMENTO DA PROPOSTA.&lt;&lt;&lt;&lt;&lt;</v>
      </c>
      <c r="E5" s="636"/>
      <c r="F5" s="636"/>
      <c r="G5" s="636"/>
      <c r="H5" s="636"/>
      <c r="I5" s="636"/>
      <c r="J5" s="636"/>
      <c r="K5" s="636"/>
      <c r="L5" s="636"/>
      <c r="M5" s="636"/>
      <c r="N5" s="636"/>
      <c r="O5" s="98"/>
      <c r="P5" s="98"/>
      <c r="Q5" s="98"/>
      <c r="R5" s="98"/>
    </row>
    <row r="6" spans="1:23" ht="21">
      <c r="B6" s="98"/>
      <c r="C6" s="98"/>
      <c r="D6" s="636"/>
      <c r="E6" s="636"/>
      <c r="F6" s="636"/>
      <c r="G6" s="636"/>
      <c r="H6" s="636"/>
      <c r="I6" s="636"/>
      <c r="J6" s="636"/>
      <c r="K6" s="636"/>
      <c r="L6" s="636"/>
      <c r="M6" s="636"/>
      <c r="N6" s="636"/>
      <c r="O6" s="98"/>
      <c r="P6" s="98"/>
      <c r="Q6" s="98"/>
      <c r="R6" s="98"/>
    </row>
    <row r="7" spans="1:23" ht="21">
      <c r="B7" s="98"/>
      <c r="C7" s="98"/>
      <c r="D7" s="636"/>
      <c r="E7" s="636"/>
      <c r="F7" s="636"/>
      <c r="G7" s="636"/>
      <c r="H7" s="636"/>
      <c r="I7" s="636"/>
      <c r="J7" s="636"/>
      <c r="K7" s="636"/>
      <c r="L7" s="636"/>
      <c r="M7" s="636"/>
      <c r="N7" s="636"/>
      <c r="O7" s="633" t="str">
        <f>HLOOKUP('General Information'!$C$6,'IDIOMA (hide)'!$A$1:$D$5016,Q10,0)</f>
        <v>Após preenchimento das informações prévias, atualizar o resumo com o botão direito sobre a tabela da estimativa observando os requisitos mínimos para gerar estimativa de implantação (tab General Information: "Funções sugeridas pelo porte do cliente" e "Plataforma"; tab Modules: selecionar os módulos a serem implantados; tab Questions: "Quantidade de Consultores para Implantação")</v>
      </c>
      <c r="P7" s="633"/>
      <c r="Q7" s="98"/>
      <c r="R7" s="98"/>
    </row>
    <row r="8" spans="1:23" ht="21" customHeight="1">
      <c r="B8" s="98"/>
      <c r="C8" s="98"/>
      <c r="D8" s="636"/>
      <c r="E8" s="636"/>
      <c r="F8" s="636"/>
      <c r="G8" s="636"/>
      <c r="H8" s="636"/>
      <c r="I8" s="636"/>
      <c r="J8" s="636"/>
      <c r="K8" s="636"/>
      <c r="L8" s="636"/>
      <c r="M8" s="636"/>
      <c r="N8" s="636"/>
      <c r="O8" s="633"/>
      <c r="P8" s="633"/>
      <c r="Q8" s="98"/>
      <c r="R8" s="98"/>
    </row>
    <row r="9" spans="1:23" ht="19.899999999999999" customHeight="1">
      <c r="C9"/>
      <c r="D9" s="636"/>
      <c r="E9" s="636"/>
      <c r="F9" s="636"/>
      <c r="G9" s="636"/>
      <c r="H9" s="636"/>
      <c r="I9" s="636"/>
      <c r="J9" s="636"/>
      <c r="K9" s="636"/>
      <c r="L9" s="636"/>
      <c r="M9" s="636"/>
      <c r="N9" s="636"/>
      <c r="O9" s="633"/>
      <c r="P9" s="633"/>
    </row>
    <row r="10" spans="1:23" ht="20.5" customHeight="1">
      <c r="B10" s="327" t="s">
        <v>2479</v>
      </c>
      <c r="C10" t="s">
        <v>2890</v>
      </c>
      <c r="D10" s="636"/>
      <c r="E10" s="636"/>
      <c r="F10" s="636"/>
      <c r="G10" s="636"/>
      <c r="H10" s="636"/>
      <c r="I10" s="636"/>
      <c r="J10" s="636"/>
      <c r="K10" s="636"/>
      <c r="L10" s="636"/>
      <c r="M10" s="636"/>
      <c r="N10" s="636"/>
      <c r="O10" s="633"/>
      <c r="P10" s="633"/>
      <c r="Q10" s="198">
        <v>359</v>
      </c>
    </row>
    <row r="11" spans="1:23" ht="20.5" customHeight="1">
      <c r="A11" s="198">
        <v>348</v>
      </c>
      <c r="B11" s="327" t="s">
        <v>2489</v>
      </c>
      <c r="C11" t="s">
        <v>2377</v>
      </c>
      <c r="D11" s="636"/>
      <c r="E11" s="636"/>
      <c r="F11" s="636"/>
      <c r="G11" s="636"/>
      <c r="H11" s="636"/>
      <c r="I11" s="636"/>
      <c r="J11" s="636"/>
      <c r="K11" s="636"/>
      <c r="L11" s="636"/>
      <c r="M11" s="636"/>
      <c r="N11" s="636"/>
      <c r="O11" s="633"/>
      <c r="P11" s="633"/>
    </row>
    <row r="12" spans="1:23" ht="13.15" customHeight="1">
      <c r="A12" s="198">
        <v>349</v>
      </c>
      <c r="D12" s="198">
        <v>484</v>
      </c>
      <c r="E12" s="198">
        <v>485</v>
      </c>
      <c r="F12" s="198">
        <v>486</v>
      </c>
      <c r="G12" s="198">
        <v>487</v>
      </c>
    </row>
    <row r="13" spans="1:23">
      <c r="C13" s="328" t="s">
        <v>3232</v>
      </c>
      <c r="D13" s="474" t="str">
        <f>HLOOKUP('General Information'!$C$6,'IDIOMA (hide)'!$A$1:$D$5016,D12,0)</f>
        <v>Sugestão de Horas (Vendas)</v>
      </c>
      <c r="E13" s="474" t="str">
        <f>HLOOKUP('General Information'!$C$6,'IDIOMA (hide)'!$A$1:$D$5016,E12,0)</f>
        <v>Justificativa (Sales)</v>
      </c>
      <c r="F13" s="474" t="str">
        <f>HLOOKUP('General Information'!$C$6,'IDIOMA (hide)'!$A$1:$D$5016,F12,0)</f>
        <v>Sugestão de Horas (PMO)</v>
      </c>
      <c r="G13" s="474" t="str">
        <f>HLOOKUP('General Information'!$C$6,'IDIOMA (hide)'!$A$1:$D$5016,G12,0)</f>
        <v>Comentários (PMO)</v>
      </c>
      <c r="H13" s="327"/>
      <c r="I13" s="327"/>
      <c r="J13" s="327"/>
      <c r="K13" s="327"/>
      <c r="L13" s="327"/>
      <c r="M13" s="327"/>
      <c r="N13" s="327"/>
      <c r="O13" s="475" t="s">
        <v>2888</v>
      </c>
      <c r="P13" s="474" t="s">
        <v>2887</v>
      </c>
      <c r="Q13" s="474" t="s">
        <v>3241</v>
      </c>
      <c r="R13" s="474" t="s">
        <v>2646</v>
      </c>
      <c r="S13" s="476"/>
      <c r="T13" s="476"/>
      <c r="U13" s="476"/>
      <c r="V13" s="476"/>
      <c r="W13" s="476"/>
    </row>
    <row r="14" spans="1:23">
      <c r="B14" s="19" t="s">
        <v>5888</v>
      </c>
      <c r="E14" s="298" t="str">
        <f>IF(D14&lt;&gt;0,"INSERIR JUSTIFICATIVA","")</f>
        <v/>
      </c>
      <c r="F14" s="298" t="str">
        <f>IF(E14&lt;&gt;"","INSERIR HORA PMO","")</f>
        <v/>
      </c>
      <c r="G14" t="str">
        <f t="shared" ref="G14:G77" si="0">IF(F14&lt;&gt;"","INSERIR COMENTÁRIO PMO","")</f>
        <v/>
      </c>
      <c r="H14" s="328"/>
      <c r="I14" s="328"/>
      <c r="J14" s="328"/>
      <c r="K14" s="328"/>
      <c r="L14" s="328"/>
      <c r="M14" s="328"/>
      <c r="N14" s="198">
        <v>357</v>
      </c>
      <c r="O14" s="349" t="str">
        <f>HLOOKUP('General Information'!$C$6,'IDIOMA (hide)'!$A$1:$D$5016,N14,0)</f>
        <v>Horas de Consultoria</v>
      </c>
      <c r="P14" s="200" t="e">
        <f>GETPIVOTDATA("TOTAL HOURS (STANDARD HOURS + ADDITIONAL HOURS)",$B$13)</f>
        <v>#N/A</v>
      </c>
      <c r="Q14" s="397">
        <f>Proposal!C32</f>
        <v>0</v>
      </c>
      <c r="R14" s="397" t="e">
        <f>Q14*P14</f>
        <v>#N/A</v>
      </c>
      <c r="S14" s="109"/>
      <c r="T14" s="399"/>
      <c r="U14" s="399"/>
      <c r="V14" s="400"/>
      <c r="W14" s="109"/>
    </row>
    <row r="15" spans="1:23">
      <c r="B15" s="329" t="s">
        <v>300</v>
      </c>
      <c r="E15" s="298" t="str">
        <f t="shared" ref="E15:E78" si="1">IF(D15&lt;&gt;0,"INSERIR JUSTIFICATIVA","")</f>
        <v/>
      </c>
      <c r="F15" s="298" t="str">
        <f t="shared" ref="F15:F78" si="2">IF(E15&lt;&gt;"","INSERIR HORA PMO","")</f>
        <v/>
      </c>
      <c r="G15" t="str">
        <f t="shared" si="0"/>
        <v/>
      </c>
      <c r="H15" s="328"/>
      <c r="I15" s="328"/>
      <c r="J15" s="328"/>
      <c r="K15" s="328"/>
      <c r="L15" s="328"/>
      <c r="M15" s="328"/>
      <c r="N15" s="198">
        <v>351</v>
      </c>
      <c r="O15" s="349" t="str">
        <f>HLOOKUP('General Information'!$C$6,'IDIOMA (hide)'!$A$1:$D$5016,N15,0)</f>
        <v>Gerenciamento de Projetos</v>
      </c>
      <c r="P15" s="402" t="e">
        <f>P14*Questions!D146</f>
        <v>#N/A</v>
      </c>
      <c r="Q15" s="397">
        <f>Proposal!C33</f>
        <v>0</v>
      </c>
      <c r="R15" s="397" t="e">
        <f>Q15*P15</f>
        <v>#N/A</v>
      </c>
      <c r="S15" s="109"/>
      <c r="T15" s="399"/>
      <c r="U15" s="399"/>
      <c r="V15" s="400"/>
      <c r="W15" s="109"/>
    </row>
    <row r="16" spans="1:23">
      <c r="B16" s="330" t="s">
        <v>300</v>
      </c>
      <c r="C16" s="328">
        <v>40</v>
      </c>
      <c r="E16" s="298" t="str">
        <f t="shared" si="1"/>
        <v/>
      </c>
      <c r="F16" s="298" t="str">
        <f t="shared" si="2"/>
        <v/>
      </c>
      <c r="G16" t="str">
        <f t="shared" si="0"/>
        <v/>
      </c>
      <c r="H16" s="328"/>
      <c r="I16" s="328"/>
      <c r="J16" s="328"/>
      <c r="K16" s="328"/>
      <c r="L16" s="328"/>
      <c r="M16" s="328"/>
      <c r="O16" s="350" t="str">
        <f>HLOOKUP('General Information'!$C$6,'IDIOMA (hide)'!$A$1:$D$5016,A11,0)</f>
        <v>Total de Horas do projeto</v>
      </c>
      <c r="P16" s="203" t="e">
        <f>P15+P14</f>
        <v>#N/A</v>
      </c>
      <c r="Q16" s="393" t="s">
        <v>3242</v>
      </c>
      <c r="R16" s="398" t="e">
        <f>R15+R14</f>
        <v>#N/A</v>
      </c>
      <c r="S16" s="109"/>
      <c r="T16" s="399"/>
      <c r="U16" s="109"/>
      <c r="V16" s="400"/>
      <c r="W16" s="109"/>
    </row>
    <row r="17" spans="2:23" ht="16.149999999999999" customHeight="1">
      <c r="B17" s="329" t="s">
        <v>420</v>
      </c>
      <c r="E17" s="298" t="str">
        <f t="shared" si="1"/>
        <v/>
      </c>
      <c r="F17" s="298" t="str">
        <f t="shared" si="2"/>
        <v/>
      </c>
      <c r="G17" t="str">
        <f t="shared" si="0"/>
        <v/>
      </c>
      <c r="H17" s="328"/>
      <c r="I17" s="328"/>
      <c r="J17" s="328"/>
      <c r="K17" s="328"/>
      <c r="L17" s="328"/>
      <c r="M17" s="328"/>
      <c r="N17" s="328"/>
      <c r="O17" s="639" t="str">
        <f>HLOOKUP('General Information'!$C$6,'IDIOMA (hide)'!$A$1:$D$5016,A12,0)</f>
        <v>Caso seja necessária Estimativa personalizada, com número de horas diferentes dos padrões definidos pela área de Projetos, é necessária a abertura de uma Task no Sales Force, direcionada para o Suporte a Vendas, conforme PlayBook disponibilizado para a equipe comercial.</v>
      </c>
      <c r="P17" s="639"/>
      <c r="Q17" s="109"/>
      <c r="R17" s="109"/>
      <c r="S17" s="109"/>
      <c r="T17" s="109"/>
      <c r="U17" s="109"/>
      <c r="V17" s="109"/>
      <c r="W17" s="109"/>
    </row>
    <row r="18" spans="2:23">
      <c r="B18" s="330" t="s">
        <v>421</v>
      </c>
      <c r="C18" s="328">
        <v>32</v>
      </c>
      <c r="E18" s="298" t="str">
        <f t="shared" si="1"/>
        <v/>
      </c>
      <c r="F18" s="298" t="str">
        <f t="shared" si="2"/>
        <v/>
      </c>
      <c r="G18" t="str">
        <f t="shared" si="0"/>
        <v/>
      </c>
      <c r="H18" s="328"/>
      <c r="I18" s="328"/>
      <c r="J18" s="328"/>
      <c r="K18" s="328"/>
      <c r="L18" s="328"/>
      <c r="M18" s="328"/>
      <c r="N18" s="328"/>
      <c r="O18" s="639"/>
      <c r="P18" s="639"/>
      <c r="Q18" s="109"/>
      <c r="R18" s="109"/>
      <c r="S18" s="109"/>
      <c r="T18" s="109"/>
      <c r="U18" s="109"/>
      <c r="V18" s="109"/>
      <c r="W18" s="109"/>
    </row>
    <row r="19" spans="2:23">
      <c r="B19" s="329" t="s">
        <v>297</v>
      </c>
      <c r="E19" s="298" t="str">
        <f t="shared" si="1"/>
        <v/>
      </c>
      <c r="F19" s="298" t="str">
        <f t="shared" si="2"/>
        <v/>
      </c>
      <c r="G19" t="str">
        <f t="shared" si="0"/>
        <v/>
      </c>
      <c r="H19" s="328"/>
      <c r="I19" s="328"/>
      <c r="J19" s="328"/>
      <c r="K19" s="328"/>
      <c r="L19" s="328"/>
      <c r="M19" s="328"/>
      <c r="N19" s="328"/>
      <c r="O19" s="639"/>
      <c r="P19" s="639"/>
      <c r="Q19" s="109"/>
      <c r="R19" s="109"/>
      <c r="S19" s="109"/>
      <c r="T19" s="109"/>
      <c r="U19" s="109"/>
      <c r="V19" s="109"/>
      <c r="W19" s="109"/>
    </row>
    <row r="20" spans="2:23">
      <c r="B20" s="330" t="s">
        <v>299</v>
      </c>
      <c r="C20" s="328">
        <v>40</v>
      </c>
      <c r="E20" s="298" t="str">
        <f t="shared" si="1"/>
        <v/>
      </c>
      <c r="F20" s="298" t="str">
        <f t="shared" si="2"/>
        <v/>
      </c>
      <c r="G20" t="str">
        <f t="shared" si="0"/>
        <v/>
      </c>
      <c r="H20" s="328"/>
      <c r="I20" s="328"/>
      <c r="J20" s="328"/>
      <c r="K20" s="328"/>
      <c r="L20" s="328"/>
      <c r="M20" s="328"/>
      <c r="N20" s="328"/>
      <c r="O20" s="351"/>
      <c r="P20" s="351"/>
    </row>
    <row r="21" spans="2:23">
      <c r="B21" s="329" t="s">
        <v>262</v>
      </c>
      <c r="E21" s="298" t="str">
        <f t="shared" si="1"/>
        <v/>
      </c>
      <c r="F21" s="298" t="str">
        <f t="shared" si="2"/>
        <v/>
      </c>
      <c r="G21" t="str">
        <f t="shared" si="0"/>
        <v/>
      </c>
      <c r="H21" s="328"/>
      <c r="I21" s="328"/>
      <c r="J21" s="328"/>
      <c r="K21" s="328"/>
      <c r="L21" s="328"/>
      <c r="M21" s="328"/>
      <c r="N21" s="328"/>
      <c r="O21" s="639" t="s">
        <v>5900</v>
      </c>
      <c r="P21" s="639"/>
      <c r="S21" s="411"/>
    </row>
    <row r="22" spans="2:23">
      <c r="B22" s="330" t="s">
        <v>262</v>
      </c>
      <c r="C22" s="328">
        <v>24</v>
      </c>
      <c r="E22" s="298" t="str">
        <f t="shared" si="1"/>
        <v/>
      </c>
      <c r="F22" s="298" t="str">
        <f t="shared" si="2"/>
        <v/>
      </c>
      <c r="G22" t="str">
        <f t="shared" si="0"/>
        <v/>
      </c>
      <c r="H22" s="328"/>
      <c r="I22" s="328"/>
      <c r="J22" s="328"/>
      <c r="K22" s="328"/>
      <c r="L22" s="328"/>
      <c r="M22" s="328"/>
      <c r="N22" s="328"/>
      <c r="O22" s="639"/>
      <c r="P22" s="639"/>
      <c r="S22" s="411"/>
    </row>
    <row r="23" spans="2:23">
      <c r="B23" s="329" t="s">
        <v>2042</v>
      </c>
      <c r="E23" s="298" t="str">
        <f t="shared" si="1"/>
        <v/>
      </c>
      <c r="F23" s="298" t="str">
        <f t="shared" si="2"/>
        <v/>
      </c>
      <c r="G23" t="str">
        <f t="shared" si="0"/>
        <v/>
      </c>
      <c r="H23" s="328"/>
      <c r="I23" s="328"/>
      <c r="J23" s="328"/>
      <c r="K23" s="328"/>
      <c r="L23" s="328"/>
      <c r="M23" s="328"/>
      <c r="N23" s="328"/>
      <c r="O23" s="640" t="s">
        <v>5901</v>
      </c>
      <c r="P23" s="640"/>
      <c r="S23" s="411"/>
    </row>
    <row r="24" spans="2:23">
      <c r="B24" s="330" t="s">
        <v>2043</v>
      </c>
      <c r="C24" s="328">
        <v>40</v>
      </c>
      <c r="E24" s="298" t="str">
        <f t="shared" si="1"/>
        <v/>
      </c>
      <c r="F24" s="298" t="str">
        <f t="shared" si="2"/>
        <v/>
      </c>
      <c r="G24" t="str">
        <f t="shared" si="0"/>
        <v/>
      </c>
      <c r="H24" s="328"/>
      <c r="I24" s="328"/>
      <c r="J24" s="328"/>
      <c r="K24" s="328"/>
      <c r="L24" s="328"/>
      <c r="M24" s="328"/>
      <c r="N24" s="328"/>
      <c r="O24" s="640" t="s">
        <v>5899</v>
      </c>
      <c r="P24" s="640"/>
    </row>
    <row r="25" spans="2:23">
      <c r="B25" s="330" t="s">
        <v>2044</v>
      </c>
      <c r="C25" s="328">
        <v>40</v>
      </c>
      <c r="E25" s="298" t="str">
        <f t="shared" si="1"/>
        <v/>
      </c>
      <c r="F25" s="298" t="str">
        <f t="shared" si="2"/>
        <v/>
      </c>
      <c r="G25" t="str">
        <f t="shared" si="0"/>
        <v/>
      </c>
      <c r="H25" s="328"/>
      <c r="I25" s="328"/>
      <c r="J25" s="328"/>
      <c r="K25" s="328"/>
      <c r="L25" s="328"/>
      <c r="M25" s="328"/>
      <c r="N25" s="328"/>
    </row>
    <row r="26" spans="2:23">
      <c r="B26" s="330" t="s">
        <v>3700</v>
      </c>
      <c r="C26" s="328" t="e">
        <v>#N/A</v>
      </c>
      <c r="E26" s="298" t="str">
        <f t="shared" si="1"/>
        <v/>
      </c>
      <c r="F26" s="298" t="str">
        <f t="shared" si="2"/>
        <v/>
      </c>
      <c r="G26" t="str">
        <f t="shared" si="0"/>
        <v/>
      </c>
    </row>
    <row r="27" spans="2:23">
      <c r="B27" s="330" t="s">
        <v>4674</v>
      </c>
      <c r="C27" s="328">
        <v>80</v>
      </c>
      <c r="E27" s="298" t="str">
        <f t="shared" si="1"/>
        <v/>
      </c>
      <c r="F27" s="298" t="str">
        <f t="shared" si="2"/>
        <v/>
      </c>
      <c r="G27" t="str">
        <f t="shared" si="0"/>
        <v/>
      </c>
    </row>
    <row r="28" spans="2:23">
      <c r="B28" s="330" t="s">
        <v>5031</v>
      </c>
      <c r="C28" s="328">
        <v>56</v>
      </c>
      <c r="E28" s="298" t="str">
        <f t="shared" si="1"/>
        <v/>
      </c>
      <c r="F28" s="298" t="str">
        <f t="shared" si="2"/>
        <v/>
      </c>
      <c r="G28" t="str">
        <f t="shared" si="0"/>
        <v/>
      </c>
    </row>
    <row r="29" spans="2:23">
      <c r="B29" s="329" t="s">
        <v>1</v>
      </c>
      <c r="E29" s="298" t="str">
        <f t="shared" si="1"/>
        <v/>
      </c>
      <c r="F29" s="298" t="str">
        <f t="shared" si="2"/>
        <v/>
      </c>
      <c r="G29" t="str">
        <f t="shared" si="0"/>
        <v/>
      </c>
    </row>
    <row r="30" spans="2:23">
      <c r="B30" s="330" t="s">
        <v>264</v>
      </c>
      <c r="C30" s="328">
        <v>16</v>
      </c>
      <c r="E30" s="298" t="str">
        <f t="shared" si="1"/>
        <v/>
      </c>
      <c r="F30" s="298" t="str">
        <f t="shared" si="2"/>
        <v/>
      </c>
      <c r="G30" t="str">
        <f t="shared" si="0"/>
        <v/>
      </c>
    </row>
    <row r="31" spans="2:23">
      <c r="B31" s="330" t="s">
        <v>26</v>
      </c>
      <c r="C31" s="328">
        <v>24</v>
      </c>
      <c r="E31" s="298" t="str">
        <f t="shared" si="1"/>
        <v/>
      </c>
      <c r="F31" s="298" t="str">
        <f t="shared" si="2"/>
        <v/>
      </c>
      <c r="G31" t="str">
        <f t="shared" si="0"/>
        <v/>
      </c>
    </row>
    <row r="32" spans="2:23">
      <c r="B32" s="330" t="s">
        <v>265</v>
      </c>
      <c r="C32" s="328">
        <v>16</v>
      </c>
      <c r="E32" s="298" t="str">
        <f t="shared" si="1"/>
        <v/>
      </c>
      <c r="F32" s="298" t="str">
        <f t="shared" si="2"/>
        <v/>
      </c>
      <c r="G32" t="str">
        <f t="shared" si="0"/>
        <v/>
      </c>
    </row>
    <row r="33" spans="2:7">
      <c r="B33" s="330" t="s">
        <v>266</v>
      </c>
      <c r="C33" s="328">
        <v>16</v>
      </c>
      <c r="E33" s="298" t="str">
        <f t="shared" si="1"/>
        <v/>
      </c>
      <c r="F33" s="298" t="str">
        <f t="shared" si="2"/>
        <v/>
      </c>
      <c r="G33" t="str">
        <f t="shared" si="0"/>
        <v/>
      </c>
    </row>
    <row r="34" spans="2:7">
      <c r="B34" s="330" t="s">
        <v>270</v>
      </c>
      <c r="C34" s="328">
        <v>32</v>
      </c>
      <c r="E34" s="298" t="str">
        <f t="shared" si="1"/>
        <v/>
      </c>
      <c r="F34" s="298" t="str">
        <f t="shared" si="2"/>
        <v/>
      </c>
      <c r="G34" t="str">
        <f t="shared" si="0"/>
        <v/>
      </c>
    </row>
    <row r="35" spans="2:7">
      <c r="B35" s="330" t="s">
        <v>271</v>
      </c>
      <c r="C35" s="328">
        <v>16</v>
      </c>
      <c r="E35" s="298" t="str">
        <f t="shared" si="1"/>
        <v/>
      </c>
      <c r="F35" s="298" t="str">
        <f t="shared" si="2"/>
        <v/>
      </c>
      <c r="G35" t="str">
        <f t="shared" si="0"/>
        <v/>
      </c>
    </row>
    <row r="36" spans="2:7">
      <c r="B36" s="330" t="s">
        <v>273</v>
      </c>
      <c r="C36" s="328">
        <v>4</v>
      </c>
      <c r="E36" s="298" t="str">
        <f t="shared" si="1"/>
        <v/>
      </c>
      <c r="F36" s="298" t="str">
        <f t="shared" si="2"/>
        <v/>
      </c>
      <c r="G36" t="str">
        <f t="shared" si="0"/>
        <v/>
      </c>
    </row>
    <row r="37" spans="2:7">
      <c r="B37" s="329" t="s">
        <v>8</v>
      </c>
      <c r="E37" s="298" t="str">
        <f t="shared" si="1"/>
        <v/>
      </c>
      <c r="F37" s="298" t="str">
        <f t="shared" si="2"/>
        <v/>
      </c>
      <c r="G37" t="str">
        <f t="shared" si="0"/>
        <v/>
      </c>
    </row>
    <row r="38" spans="2:7">
      <c r="B38" s="330" t="s">
        <v>49</v>
      </c>
      <c r="C38" s="328">
        <v>16</v>
      </c>
      <c r="E38" s="298" t="str">
        <f t="shared" si="1"/>
        <v/>
      </c>
      <c r="F38" s="298" t="str">
        <f t="shared" si="2"/>
        <v/>
      </c>
      <c r="G38" t="str">
        <f t="shared" si="0"/>
        <v/>
      </c>
    </row>
    <row r="39" spans="2:7">
      <c r="B39" s="330" t="s">
        <v>50</v>
      </c>
      <c r="C39" s="328">
        <v>8</v>
      </c>
      <c r="E39" s="298" t="str">
        <f t="shared" si="1"/>
        <v/>
      </c>
      <c r="F39" s="298" t="str">
        <f t="shared" si="2"/>
        <v/>
      </c>
      <c r="G39" t="str">
        <f t="shared" si="0"/>
        <v/>
      </c>
    </row>
    <row r="40" spans="2:7">
      <c r="B40" s="329" t="s">
        <v>426</v>
      </c>
      <c r="E40" s="298" t="str">
        <f t="shared" si="1"/>
        <v/>
      </c>
      <c r="F40" s="298" t="str">
        <f t="shared" si="2"/>
        <v/>
      </c>
      <c r="G40" t="str">
        <f t="shared" si="0"/>
        <v/>
      </c>
    </row>
    <row r="41" spans="2:7">
      <c r="B41" s="330" t="s">
        <v>427</v>
      </c>
      <c r="C41" s="328">
        <v>24</v>
      </c>
      <c r="E41" s="298" t="str">
        <f t="shared" si="1"/>
        <v/>
      </c>
      <c r="F41" s="298" t="str">
        <f t="shared" si="2"/>
        <v/>
      </c>
      <c r="G41" t="str">
        <f t="shared" si="0"/>
        <v/>
      </c>
    </row>
    <row r="42" spans="2:7">
      <c r="B42" s="329" t="s">
        <v>287</v>
      </c>
      <c r="E42" s="298" t="str">
        <f t="shared" si="1"/>
        <v/>
      </c>
      <c r="F42" s="298" t="str">
        <f t="shared" si="2"/>
        <v/>
      </c>
      <c r="G42" t="str">
        <f t="shared" si="0"/>
        <v/>
      </c>
    </row>
    <row r="43" spans="2:7">
      <c r="B43" s="330" t="s">
        <v>288</v>
      </c>
      <c r="C43" s="328">
        <v>24</v>
      </c>
      <c r="E43" s="298" t="str">
        <f t="shared" si="1"/>
        <v/>
      </c>
      <c r="F43" s="298" t="str">
        <f t="shared" si="2"/>
        <v/>
      </c>
      <c r="G43" t="str">
        <f t="shared" si="0"/>
        <v/>
      </c>
    </row>
    <row r="44" spans="2:7">
      <c r="B44" s="330" t="s">
        <v>287</v>
      </c>
      <c r="C44" s="328">
        <v>40</v>
      </c>
      <c r="E44" s="298" t="str">
        <f t="shared" si="1"/>
        <v/>
      </c>
      <c r="F44" s="298" t="str">
        <f t="shared" si="2"/>
        <v/>
      </c>
      <c r="G44" t="str">
        <f t="shared" si="0"/>
        <v/>
      </c>
    </row>
    <row r="45" spans="2:7">
      <c r="B45" s="330" t="s">
        <v>289</v>
      </c>
      <c r="C45" s="328">
        <v>8</v>
      </c>
      <c r="E45" s="298" t="str">
        <f t="shared" si="1"/>
        <v/>
      </c>
      <c r="F45" s="298" t="str">
        <f t="shared" si="2"/>
        <v/>
      </c>
      <c r="G45" t="str">
        <f t="shared" si="0"/>
        <v/>
      </c>
    </row>
    <row r="46" spans="2:7">
      <c r="B46" s="330" t="s">
        <v>403</v>
      </c>
      <c r="C46" s="328">
        <v>8</v>
      </c>
      <c r="E46" s="298" t="str">
        <f t="shared" si="1"/>
        <v/>
      </c>
      <c r="F46" s="298" t="str">
        <f t="shared" si="2"/>
        <v/>
      </c>
      <c r="G46" t="str">
        <f t="shared" si="0"/>
        <v/>
      </c>
    </row>
    <row r="47" spans="2:7">
      <c r="B47" s="330" t="s">
        <v>407</v>
      </c>
      <c r="C47" s="328">
        <v>8</v>
      </c>
      <c r="E47" s="298" t="str">
        <f t="shared" si="1"/>
        <v/>
      </c>
      <c r="F47" s="298" t="str">
        <f t="shared" si="2"/>
        <v/>
      </c>
      <c r="G47" t="str">
        <f t="shared" si="0"/>
        <v/>
      </c>
    </row>
    <row r="48" spans="2:7">
      <c r="B48" s="330" t="s">
        <v>5586</v>
      </c>
      <c r="C48" s="328">
        <v>16</v>
      </c>
      <c r="E48" s="298" t="str">
        <f t="shared" si="1"/>
        <v/>
      </c>
      <c r="F48" s="298" t="str">
        <f t="shared" si="2"/>
        <v/>
      </c>
      <c r="G48" t="str">
        <f t="shared" si="0"/>
        <v/>
      </c>
    </row>
    <row r="49" spans="2:19">
      <c r="B49" s="329" t="s">
        <v>387</v>
      </c>
      <c r="E49" s="298" t="str">
        <f t="shared" si="1"/>
        <v/>
      </c>
      <c r="F49" s="298" t="str">
        <f t="shared" si="2"/>
        <v/>
      </c>
      <c r="G49" t="str">
        <f t="shared" si="0"/>
        <v/>
      </c>
    </row>
    <row r="50" spans="2:19">
      <c r="B50" s="330" t="s">
        <v>422</v>
      </c>
      <c r="C50" s="328">
        <v>40</v>
      </c>
      <c r="E50" s="298" t="str">
        <f t="shared" si="1"/>
        <v/>
      </c>
      <c r="F50" s="298" t="str">
        <f t="shared" si="2"/>
        <v/>
      </c>
      <c r="G50" t="str">
        <f t="shared" si="0"/>
        <v/>
      </c>
    </row>
    <row r="51" spans="2:19">
      <c r="B51" s="330" t="s">
        <v>388</v>
      </c>
      <c r="C51" s="328">
        <v>2</v>
      </c>
      <c r="E51" s="298" t="str">
        <f t="shared" si="1"/>
        <v/>
      </c>
      <c r="F51" s="298" t="str">
        <f t="shared" si="2"/>
        <v/>
      </c>
      <c r="G51" t="str">
        <f t="shared" si="0"/>
        <v/>
      </c>
    </row>
    <row r="52" spans="2:19">
      <c r="B52" s="329" t="s">
        <v>2294</v>
      </c>
      <c r="E52" s="298" t="str">
        <f t="shared" si="1"/>
        <v/>
      </c>
      <c r="F52" s="298" t="str">
        <f t="shared" si="2"/>
        <v/>
      </c>
      <c r="G52" t="str">
        <f t="shared" si="0"/>
        <v/>
      </c>
    </row>
    <row r="53" spans="2:19">
      <c r="B53" s="330" t="s">
        <v>1877</v>
      </c>
      <c r="C53" s="328">
        <v>16</v>
      </c>
      <c r="E53" s="298" t="str">
        <f t="shared" si="1"/>
        <v/>
      </c>
      <c r="F53" s="298" t="str">
        <f t="shared" si="2"/>
        <v/>
      </c>
      <c r="G53" t="str">
        <f t="shared" si="0"/>
        <v/>
      </c>
    </row>
    <row r="54" spans="2:19">
      <c r="B54" s="330" t="s">
        <v>1898</v>
      </c>
      <c r="C54" s="328">
        <v>16</v>
      </c>
      <c r="E54" s="298" t="str">
        <f t="shared" si="1"/>
        <v/>
      </c>
      <c r="F54" s="298" t="str">
        <f t="shared" si="2"/>
        <v/>
      </c>
      <c r="G54" t="str">
        <f t="shared" si="0"/>
        <v/>
      </c>
    </row>
    <row r="55" spans="2:19">
      <c r="B55" s="330" t="s">
        <v>1880</v>
      </c>
      <c r="C55" s="328">
        <v>12</v>
      </c>
      <c r="E55" s="298" t="str">
        <f t="shared" si="1"/>
        <v/>
      </c>
      <c r="F55" s="298" t="str">
        <f t="shared" si="2"/>
        <v/>
      </c>
      <c r="G55" t="str">
        <f t="shared" si="0"/>
        <v/>
      </c>
    </row>
    <row r="56" spans="2:19">
      <c r="B56" s="330" t="s">
        <v>1912</v>
      </c>
      <c r="C56" s="328">
        <v>16</v>
      </c>
      <c r="E56" s="298" t="str">
        <f t="shared" si="1"/>
        <v/>
      </c>
      <c r="F56" s="298" t="str">
        <f t="shared" si="2"/>
        <v/>
      </c>
      <c r="G56" t="str">
        <f t="shared" si="0"/>
        <v/>
      </c>
    </row>
    <row r="57" spans="2:19">
      <c r="B57" s="330" t="s">
        <v>1903</v>
      </c>
      <c r="C57" s="328">
        <v>12</v>
      </c>
      <c r="E57" s="298" t="str">
        <f t="shared" si="1"/>
        <v/>
      </c>
      <c r="F57" s="298" t="str">
        <f t="shared" si="2"/>
        <v/>
      </c>
      <c r="G57" t="str">
        <f t="shared" si="0"/>
        <v/>
      </c>
    </row>
    <row r="58" spans="2:19">
      <c r="B58" s="330" t="s">
        <v>1889</v>
      </c>
      <c r="C58" s="328">
        <v>16</v>
      </c>
      <c r="E58" s="298" t="str">
        <f t="shared" si="1"/>
        <v/>
      </c>
      <c r="F58" s="298" t="str">
        <f t="shared" si="2"/>
        <v/>
      </c>
      <c r="G58" t="str">
        <f t="shared" si="0"/>
        <v/>
      </c>
    </row>
    <row r="59" spans="2:19" ht="14.5" customHeight="1">
      <c r="B59" s="330" t="s">
        <v>1906</v>
      </c>
      <c r="C59" s="328">
        <v>12</v>
      </c>
      <c r="E59" s="298" t="str">
        <f t="shared" si="1"/>
        <v/>
      </c>
      <c r="F59" s="298" t="str">
        <f t="shared" si="2"/>
        <v/>
      </c>
      <c r="G59" t="str">
        <f t="shared" si="0"/>
        <v/>
      </c>
      <c r="O59" s="352"/>
      <c r="P59" s="353"/>
      <c r="Q59" s="353"/>
      <c r="R59" s="353"/>
      <c r="S59" s="353"/>
    </row>
    <row r="60" spans="2:19">
      <c r="B60" s="330" t="s">
        <v>1900</v>
      </c>
      <c r="C60" s="328">
        <v>16</v>
      </c>
      <c r="E60" s="298" t="str">
        <f t="shared" si="1"/>
        <v/>
      </c>
      <c r="F60" s="298" t="str">
        <f t="shared" si="2"/>
        <v/>
      </c>
      <c r="G60" t="str">
        <f t="shared" si="0"/>
        <v/>
      </c>
      <c r="O60" s="353"/>
      <c r="P60" s="353"/>
      <c r="Q60" s="353"/>
      <c r="R60" s="353"/>
      <c r="S60" s="353"/>
    </row>
    <row r="61" spans="2:19">
      <c r="B61" s="330" t="s">
        <v>1895</v>
      </c>
      <c r="C61" s="328">
        <v>12</v>
      </c>
      <c r="E61" s="298" t="str">
        <f t="shared" si="1"/>
        <v/>
      </c>
      <c r="F61" s="298" t="str">
        <f t="shared" si="2"/>
        <v/>
      </c>
      <c r="G61" t="str">
        <f t="shared" si="0"/>
        <v/>
      </c>
    </row>
    <row r="62" spans="2:19">
      <c r="B62" s="330" t="s">
        <v>1883</v>
      </c>
      <c r="C62" s="328">
        <v>12</v>
      </c>
      <c r="E62" s="298" t="str">
        <f t="shared" si="1"/>
        <v/>
      </c>
      <c r="F62" s="298" t="str">
        <f t="shared" si="2"/>
        <v/>
      </c>
      <c r="G62" t="str">
        <f t="shared" si="0"/>
        <v/>
      </c>
    </row>
    <row r="63" spans="2:19">
      <c r="B63" s="330" t="s">
        <v>1892</v>
      </c>
      <c r="C63" s="328">
        <v>12</v>
      </c>
      <c r="E63" s="298" t="str">
        <f t="shared" si="1"/>
        <v/>
      </c>
      <c r="F63" s="298" t="str">
        <f t="shared" si="2"/>
        <v/>
      </c>
      <c r="G63" t="str">
        <f t="shared" si="0"/>
        <v/>
      </c>
    </row>
    <row r="64" spans="2:19">
      <c r="B64" s="330" t="s">
        <v>1886</v>
      </c>
      <c r="C64" s="328">
        <v>16</v>
      </c>
      <c r="E64" s="298" t="str">
        <f t="shared" si="1"/>
        <v/>
      </c>
      <c r="F64" s="298" t="str">
        <f t="shared" si="2"/>
        <v/>
      </c>
      <c r="G64" t="str">
        <f t="shared" si="0"/>
        <v/>
      </c>
    </row>
    <row r="65" spans="2:7">
      <c r="B65" s="330" t="s">
        <v>1909</v>
      </c>
      <c r="C65" s="328">
        <v>12</v>
      </c>
      <c r="E65" s="298" t="str">
        <f t="shared" si="1"/>
        <v/>
      </c>
      <c r="F65" s="298" t="str">
        <f t="shared" si="2"/>
        <v/>
      </c>
      <c r="G65" t="str">
        <f t="shared" si="0"/>
        <v/>
      </c>
    </row>
    <row r="66" spans="2:7">
      <c r="B66" s="329" t="s">
        <v>290</v>
      </c>
      <c r="E66" s="298" t="str">
        <f t="shared" si="1"/>
        <v/>
      </c>
      <c r="F66" s="298" t="str">
        <f t="shared" si="2"/>
        <v/>
      </c>
      <c r="G66" t="str">
        <f t="shared" si="0"/>
        <v/>
      </c>
    </row>
    <row r="67" spans="2:7">
      <c r="B67" s="330" t="s">
        <v>291</v>
      </c>
      <c r="C67" s="328">
        <v>4</v>
      </c>
      <c r="E67" s="298" t="str">
        <f t="shared" si="1"/>
        <v/>
      </c>
      <c r="F67" s="298" t="str">
        <f t="shared" si="2"/>
        <v/>
      </c>
      <c r="G67" t="str">
        <f t="shared" si="0"/>
        <v/>
      </c>
    </row>
    <row r="68" spans="2:7">
      <c r="B68" s="330" t="s">
        <v>292</v>
      </c>
      <c r="C68" s="328">
        <v>40</v>
      </c>
      <c r="E68" s="298" t="str">
        <f t="shared" si="1"/>
        <v/>
      </c>
      <c r="F68" s="298" t="str">
        <f t="shared" si="2"/>
        <v/>
      </c>
      <c r="G68" t="str">
        <f t="shared" si="0"/>
        <v/>
      </c>
    </row>
    <row r="69" spans="2:7">
      <c r="B69" s="330" t="s">
        <v>293</v>
      </c>
      <c r="C69" s="328">
        <v>4</v>
      </c>
      <c r="E69" s="298" t="str">
        <f t="shared" si="1"/>
        <v/>
      </c>
      <c r="F69" s="298" t="str">
        <f t="shared" si="2"/>
        <v/>
      </c>
      <c r="G69" t="str">
        <f t="shared" si="0"/>
        <v/>
      </c>
    </row>
    <row r="70" spans="2:7">
      <c r="B70" s="329" t="s">
        <v>15</v>
      </c>
      <c r="E70" s="298" t="str">
        <f t="shared" si="1"/>
        <v/>
      </c>
      <c r="F70" s="298" t="str">
        <f t="shared" si="2"/>
        <v/>
      </c>
      <c r="G70" t="str">
        <f t="shared" si="0"/>
        <v/>
      </c>
    </row>
    <row r="71" spans="2:7">
      <c r="B71" s="330" t="s">
        <v>111</v>
      </c>
      <c r="C71" s="328">
        <v>12</v>
      </c>
      <c r="E71" s="298" t="str">
        <f t="shared" si="1"/>
        <v/>
      </c>
      <c r="F71" s="298" t="str">
        <f t="shared" si="2"/>
        <v/>
      </c>
      <c r="G71" t="str">
        <f t="shared" si="0"/>
        <v/>
      </c>
    </row>
    <row r="72" spans="2:7">
      <c r="B72" s="330" t="s">
        <v>112</v>
      </c>
      <c r="C72" s="328">
        <v>16</v>
      </c>
      <c r="E72" s="298" t="str">
        <f t="shared" si="1"/>
        <v/>
      </c>
      <c r="F72" s="298" t="str">
        <f t="shared" si="2"/>
        <v/>
      </c>
      <c r="G72" t="str">
        <f t="shared" si="0"/>
        <v/>
      </c>
    </row>
    <row r="73" spans="2:7">
      <c r="B73" s="330" t="s">
        <v>113</v>
      </c>
      <c r="C73" s="328">
        <v>12</v>
      </c>
      <c r="E73" s="298" t="str">
        <f t="shared" si="1"/>
        <v/>
      </c>
      <c r="F73" s="298" t="str">
        <f t="shared" si="2"/>
        <v/>
      </c>
      <c r="G73" t="str">
        <f t="shared" si="0"/>
        <v/>
      </c>
    </row>
    <row r="74" spans="2:7">
      <c r="B74" s="330" t="s">
        <v>114</v>
      </c>
      <c r="C74" s="328">
        <v>1</v>
      </c>
      <c r="E74" s="298" t="str">
        <f t="shared" si="1"/>
        <v/>
      </c>
      <c r="F74" s="298" t="str">
        <f t="shared" si="2"/>
        <v/>
      </c>
      <c r="G74" t="str">
        <f t="shared" si="0"/>
        <v/>
      </c>
    </row>
    <row r="75" spans="2:7">
      <c r="B75" s="330" t="s">
        <v>115</v>
      </c>
      <c r="C75" s="328">
        <v>1</v>
      </c>
      <c r="E75" s="298" t="str">
        <f t="shared" si="1"/>
        <v/>
      </c>
      <c r="F75" s="298" t="str">
        <f t="shared" si="2"/>
        <v/>
      </c>
      <c r="G75" t="str">
        <f t="shared" si="0"/>
        <v/>
      </c>
    </row>
    <row r="76" spans="2:7">
      <c r="B76" s="330" t="s">
        <v>116</v>
      </c>
      <c r="C76" s="328">
        <v>4</v>
      </c>
      <c r="E76" s="298" t="str">
        <f t="shared" si="1"/>
        <v/>
      </c>
      <c r="F76" s="298" t="str">
        <f t="shared" si="2"/>
        <v/>
      </c>
      <c r="G76" t="str">
        <f t="shared" si="0"/>
        <v/>
      </c>
    </row>
    <row r="77" spans="2:7">
      <c r="B77" s="330" t="s">
        <v>117</v>
      </c>
      <c r="C77" s="328">
        <v>4</v>
      </c>
      <c r="E77" s="298" t="str">
        <f t="shared" si="1"/>
        <v/>
      </c>
      <c r="F77" s="298" t="str">
        <f t="shared" si="2"/>
        <v/>
      </c>
      <c r="G77" t="str">
        <f t="shared" si="0"/>
        <v/>
      </c>
    </row>
    <row r="78" spans="2:7">
      <c r="B78" s="330" t="s">
        <v>618</v>
      </c>
      <c r="C78" s="328">
        <v>12</v>
      </c>
      <c r="E78" s="298" t="str">
        <f t="shared" si="1"/>
        <v/>
      </c>
      <c r="F78" s="298" t="str">
        <f t="shared" si="2"/>
        <v/>
      </c>
      <c r="G78" t="str">
        <f t="shared" ref="G78:G141" si="3">IF(F78&lt;&gt;"","INSERIR COMENTÁRIO PMO","")</f>
        <v/>
      </c>
    </row>
    <row r="79" spans="2:7">
      <c r="B79" s="330" t="s">
        <v>120</v>
      </c>
      <c r="C79" s="328">
        <v>12</v>
      </c>
      <c r="E79" s="298" t="str">
        <f t="shared" ref="E79:E142" si="4">IF(D79&lt;&gt;0,"INSERIR JUSTIFICATIVA","")</f>
        <v/>
      </c>
      <c r="F79" s="298" t="str">
        <f t="shared" ref="F79:F142" si="5">IF(E79&lt;&gt;"","INSERIR HORA PMO","")</f>
        <v/>
      </c>
      <c r="G79" t="str">
        <f t="shared" si="3"/>
        <v/>
      </c>
    </row>
    <row r="80" spans="2:7">
      <c r="B80" s="329" t="s">
        <v>245</v>
      </c>
      <c r="E80" s="298" t="str">
        <f t="shared" si="4"/>
        <v/>
      </c>
      <c r="F80" s="298" t="str">
        <f t="shared" si="5"/>
        <v/>
      </c>
      <c r="G80" t="str">
        <f t="shared" si="3"/>
        <v/>
      </c>
    </row>
    <row r="81" spans="2:7">
      <c r="B81" s="330" t="s">
        <v>245</v>
      </c>
      <c r="C81" s="328">
        <v>40</v>
      </c>
      <c r="E81" s="298" t="str">
        <f t="shared" si="4"/>
        <v/>
      </c>
      <c r="F81" s="298" t="str">
        <f t="shared" si="5"/>
        <v/>
      </c>
      <c r="G81" t="str">
        <f t="shared" si="3"/>
        <v/>
      </c>
    </row>
    <row r="82" spans="2:7">
      <c r="B82" s="330" t="s">
        <v>247</v>
      </c>
      <c r="C82" s="328">
        <v>16</v>
      </c>
      <c r="E82" s="298" t="str">
        <f t="shared" si="4"/>
        <v/>
      </c>
      <c r="F82" s="298" t="str">
        <f t="shared" si="5"/>
        <v/>
      </c>
      <c r="G82" t="str">
        <f t="shared" si="3"/>
        <v/>
      </c>
    </row>
    <row r="83" spans="2:7">
      <c r="B83" s="329" t="s">
        <v>248</v>
      </c>
      <c r="E83" s="298" t="str">
        <f t="shared" si="4"/>
        <v/>
      </c>
      <c r="F83" s="298" t="str">
        <f t="shared" si="5"/>
        <v/>
      </c>
      <c r="G83" t="str">
        <f t="shared" si="3"/>
        <v/>
      </c>
    </row>
    <row r="84" spans="2:7">
      <c r="B84" s="330" t="s">
        <v>248</v>
      </c>
      <c r="C84" s="328">
        <v>16</v>
      </c>
      <c r="E84" s="298" t="str">
        <f t="shared" si="4"/>
        <v/>
      </c>
      <c r="F84" s="298" t="str">
        <f t="shared" si="5"/>
        <v/>
      </c>
      <c r="G84" t="str">
        <f t="shared" si="3"/>
        <v/>
      </c>
    </row>
    <row r="85" spans="2:7">
      <c r="B85" s="330" t="s">
        <v>249</v>
      </c>
      <c r="C85" s="328">
        <v>8</v>
      </c>
      <c r="E85" s="298" t="str">
        <f t="shared" si="4"/>
        <v/>
      </c>
      <c r="F85" s="298" t="str">
        <f t="shared" si="5"/>
        <v/>
      </c>
      <c r="G85" t="str">
        <f t="shared" si="3"/>
        <v/>
      </c>
    </row>
    <row r="86" spans="2:7">
      <c r="B86" s="329" t="s">
        <v>12</v>
      </c>
      <c r="E86" s="298" t="str">
        <f t="shared" si="4"/>
        <v/>
      </c>
      <c r="F86" s="298" t="str">
        <f t="shared" si="5"/>
        <v/>
      </c>
      <c r="G86" t="str">
        <f t="shared" si="3"/>
        <v/>
      </c>
    </row>
    <row r="87" spans="2:7">
      <c r="B87" s="330" t="s">
        <v>1395</v>
      </c>
      <c r="C87" s="328">
        <v>40</v>
      </c>
      <c r="E87" s="298" t="str">
        <f t="shared" si="4"/>
        <v/>
      </c>
      <c r="F87" s="298" t="str">
        <f t="shared" si="5"/>
        <v/>
      </c>
      <c r="G87" t="str">
        <f t="shared" si="3"/>
        <v/>
      </c>
    </row>
    <row r="88" spans="2:7">
      <c r="B88" s="330" t="s">
        <v>135</v>
      </c>
      <c r="C88" s="328">
        <v>32</v>
      </c>
      <c r="E88" s="298" t="str">
        <f t="shared" si="4"/>
        <v/>
      </c>
      <c r="F88" s="298" t="str">
        <f t="shared" si="5"/>
        <v/>
      </c>
      <c r="G88" t="str">
        <f t="shared" si="3"/>
        <v/>
      </c>
    </row>
    <row r="89" spans="2:7">
      <c r="B89" s="330" t="s">
        <v>137</v>
      </c>
      <c r="C89" s="328">
        <v>4</v>
      </c>
      <c r="E89" s="298" t="str">
        <f t="shared" si="4"/>
        <v/>
      </c>
      <c r="F89" s="298" t="str">
        <f t="shared" si="5"/>
        <v/>
      </c>
      <c r="G89" t="str">
        <f t="shared" si="3"/>
        <v/>
      </c>
    </row>
    <row r="90" spans="2:7">
      <c r="B90" s="330" t="s">
        <v>140</v>
      </c>
      <c r="C90" s="328">
        <v>40</v>
      </c>
      <c r="E90" s="298" t="str">
        <f t="shared" si="4"/>
        <v/>
      </c>
      <c r="F90" s="298" t="str">
        <f t="shared" si="5"/>
        <v/>
      </c>
      <c r="G90" t="str">
        <f t="shared" si="3"/>
        <v/>
      </c>
    </row>
    <row r="91" spans="2:7">
      <c r="B91" s="329" t="s">
        <v>423</v>
      </c>
      <c r="E91" s="298" t="str">
        <f t="shared" si="4"/>
        <v/>
      </c>
      <c r="F91" s="298" t="str">
        <f t="shared" si="5"/>
        <v/>
      </c>
      <c r="G91" t="str">
        <f t="shared" si="3"/>
        <v/>
      </c>
    </row>
    <row r="92" spans="2:7">
      <c r="B92" s="330" t="s">
        <v>424</v>
      </c>
      <c r="C92" s="328">
        <v>40</v>
      </c>
      <c r="E92" s="298" t="str">
        <f t="shared" si="4"/>
        <v/>
      </c>
      <c r="F92" s="298" t="str">
        <f t="shared" si="5"/>
        <v/>
      </c>
      <c r="G92" t="str">
        <f t="shared" si="3"/>
        <v/>
      </c>
    </row>
    <row r="93" spans="2:7">
      <c r="B93" s="329" t="s">
        <v>149</v>
      </c>
      <c r="E93" s="298" t="str">
        <f t="shared" si="4"/>
        <v/>
      </c>
      <c r="F93" s="298" t="str">
        <f t="shared" si="5"/>
        <v/>
      </c>
      <c r="G93" t="str">
        <f t="shared" si="3"/>
        <v/>
      </c>
    </row>
    <row r="94" spans="2:7">
      <c r="B94" s="330" t="s">
        <v>159</v>
      </c>
      <c r="C94" s="328">
        <v>12</v>
      </c>
      <c r="E94" s="298" t="str">
        <f t="shared" si="4"/>
        <v/>
      </c>
      <c r="F94" s="298" t="str">
        <f t="shared" si="5"/>
        <v/>
      </c>
      <c r="G94" t="str">
        <f t="shared" si="3"/>
        <v/>
      </c>
    </row>
    <row r="95" spans="2:7">
      <c r="B95" s="330" t="s">
        <v>171</v>
      </c>
      <c r="C95" s="328">
        <v>4</v>
      </c>
      <c r="E95" s="298" t="str">
        <f t="shared" si="4"/>
        <v/>
      </c>
      <c r="F95" s="298" t="str">
        <f t="shared" si="5"/>
        <v/>
      </c>
      <c r="G95" t="str">
        <f t="shared" si="3"/>
        <v/>
      </c>
    </row>
    <row r="96" spans="2:7">
      <c r="B96" s="330" t="s">
        <v>157</v>
      </c>
      <c r="C96" s="328">
        <v>8</v>
      </c>
      <c r="E96" s="298" t="str">
        <f t="shared" si="4"/>
        <v/>
      </c>
      <c r="F96" s="298" t="str">
        <f t="shared" si="5"/>
        <v/>
      </c>
      <c r="G96" t="str">
        <f t="shared" si="3"/>
        <v/>
      </c>
    </row>
    <row r="97" spans="2:7">
      <c r="B97" s="330" t="s">
        <v>151</v>
      </c>
      <c r="C97" s="328">
        <v>4</v>
      </c>
      <c r="E97" s="298" t="str">
        <f t="shared" si="4"/>
        <v/>
      </c>
      <c r="F97" s="298" t="str">
        <f t="shared" si="5"/>
        <v/>
      </c>
      <c r="G97" t="str">
        <f t="shared" si="3"/>
        <v/>
      </c>
    </row>
    <row r="98" spans="2:7">
      <c r="B98" s="330" t="s">
        <v>155</v>
      </c>
      <c r="C98" s="328">
        <v>32</v>
      </c>
      <c r="E98" s="298" t="str">
        <f t="shared" si="4"/>
        <v/>
      </c>
      <c r="F98" s="298" t="str">
        <f t="shared" si="5"/>
        <v/>
      </c>
      <c r="G98" t="str">
        <f t="shared" si="3"/>
        <v/>
      </c>
    </row>
    <row r="99" spans="2:7">
      <c r="B99" s="330" t="s">
        <v>162</v>
      </c>
      <c r="C99" s="328">
        <v>24</v>
      </c>
      <c r="E99" s="298" t="str">
        <f t="shared" si="4"/>
        <v/>
      </c>
      <c r="F99" s="298" t="str">
        <f t="shared" si="5"/>
        <v/>
      </c>
      <c r="G99" t="str">
        <f t="shared" si="3"/>
        <v/>
      </c>
    </row>
    <row r="100" spans="2:7">
      <c r="B100" s="330" t="s">
        <v>163</v>
      </c>
      <c r="C100" s="328">
        <v>8</v>
      </c>
      <c r="E100" s="298" t="str">
        <f t="shared" si="4"/>
        <v/>
      </c>
      <c r="F100" s="298" t="str">
        <f t="shared" si="5"/>
        <v/>
      </c>
      <c r="G100" t="str">
        <f t="shared" si="3"/>
        <v/>
      </c>
    </row>
    <row r="101" spans="2:7">
      <c r="B101" s="330" t="s">
        <v>165</v>
      </c>
      <c r="C101" s="328">
        <v>16</v>
      </c>
      <c r="E101" s="298" t="str">
        <f t="shared" si="4"/>
        <v/>
      </c>
      <c r="F101" s="298" t="str">
        <f t="shared" si="5"/>
        <v/>
      </c>
      <c r="G101" t="str">
        <f t="shared" si="3"/>
        <v/>
      </c>
    </row>
    <row r="102" spans="2:7">
      <c r="B102" s="330" t="s">
        <v>170</v>
      </c>
      <c r="C102" s="328">
        <v>12</v>
      </c>
      <c r="E102" s="298" t="str">
        <f t="shared" si="4"/>
        <v/>
      </c>
      <c r="F102" s="298" t="str">
        <f t="shared" si="5"/>
        <v/>
      </c>
      <c r="G102" t="str">
        <f t="shared" si="3"/>
        <v/>
      </c>
    </row>
    <row r="103" spans="2:7">
      <c r="B103" s="330" t="s">
        <v>47</v>
      </c>
      <c r="C103" s="328">
        <v>10</v>
      </c>
      <c r="E103" s="298" t="str">
        <f t="shared" si="4"/>
        <v/>
      </c>
      <c r="F103" s="298" t="str">
        <f t="shared" si="5"/>
        <v/>
      </c>
      <c r="G103" t="str">
        <f t="shared" si="3"/>
        <v/>
      </c>
    </row>
    <row r="104" spans="2:7">
      <c r="B104" s="330" t="s">
        <v>173</v>
      </c>
      <c r="C104" s="328">
        <v>2</v>
      </c>
      <c r="E104" s="298" t="str">
        <f t="shared" si="4"/>
        <v/>
      </c>
      <c r="F104" s="298" t="str">
        <f t="shared" si="5"/>
        <v/>
      </c>
      <c r="G104" t="str">
        <f t="shared" si="3"/>
        <v/>
      </c>
    </row>
    <row r="105" spans="2:7">
      <c r="B105" s="330" t="s">
        <v>154</v>
      </c>
      <c r="C105" s="328">
        <v>4</v>
      </c>
      <c r="E105" s="298" t="str">
        <f t="shared" si="4"/>
        <v/>
      </c>
      <c r="F105" s="298" t="str">
        <f t="shared" si="5"/>
        <v/>
      </c>
      <c r="G105" t="str">
        <f t="shared" si="3"/>
        <v/>
      </c>
    </row>
    <row r="106" spans="2:7">
      <c r="B106" s="330" t="s">
        <v>172</v>
      </c>
      <c r="C106" s="328">
        <v>4</v>
      </c>
      <c r="E106" s="298" t="str">
        <f t="shared" si="4"/>
        <v/>
      </c>
      <c r="F106" s="298" t="str">
        <f t="shared" si="5"/>
        <v/>
      </c>
      <c r="G106" t="str">
        <f t="shared" si="3"/>
        <v/>
      </c>
    </row>
    <row r="107" spans="2:7">
      <c r="B107" s="330" t="s">
        <v>1744</v>
      </c>
      <c r="C107" s="328">
        <v>2</v>
      </c>
      <c r="E107" s="298" t="str">
        <f t="shared" si="4"/>
        <v/>
      </c>
      <c r="F107" s="298" t="str">
        <f t="shared" si="5"/>
        <v/>
      </c>
      <c r="G107" t="str">
        <f t="shared" si="3"/>
        <v/>
      </c>
    </row>
    <row r="108" spans="2:7">
      <c r="B108" s="330" t="s">
        <v>150</v>
      </c>
      <c r="C108" s="328">
        <v>8</v>
      </c>
      <c r="E108" s="298" t="str">
        <f t="shared" si="4"/>
        <v/>
      </c>
      <c r="F108" s="298" t="str">
        <f t="shared" si="5"/>
        <v/>
      </c>
      <c r="G108" t="str">
        <f t="shared" si="3"/>
        <v/>
      </c>
    </row>
    <row r="109" spans="2:7">
      <c r="B109" s="330" t="s">
        <v>152</v>
      </c>
      <c r="C109" s="328">
        <v>8</v>
      </c>
      <c r="E109" s="298" t="str">
        <f t="shared" si="4"/>
        <v/>
      </c>
      <c r="F109" s="298" t="str">
        <f t="shared" si="5"/>
        <v/>
      </c>
      <c r="G109" t="str">
        <f t="shared" si="3"/>
        <v/>
      </c>
    </row>
    <row r="110" spans="2:7">
      <c r="B110" s="330" t="s">
        <v>153</v>
      </c>
      <c r="C110" s="328">
        <v>2</v>
      </c>
      <c r="E110" s="298" t="str">
        <f t="shared" si="4"/>
        <v/>
      </c>
      <c r="F110" s="298" t="str">
        <f t="shared" si="5"/>
        <v/>
      </c>
      <c r="G110" t="str">
        <f t="shared" si="3"/>
        <v/>
      </c>
    </row>
    <row r="111" spans="2:7">
      <c r="B111" s="330" t="s">
        <v>156</v>
      </c>
      <c r="C111" s="328">
        <v>24</v>
      </c>
      <c r="E111" s="298" t="str">
        <f t="shared" si="4"/>
        <v/>
      </c>
      <c r="F111" s="298" t="str">
        <f t="shared" si="5"/>
        <v/>
      </c>
      <c r="G111" t="str">
        <f t="shared" si="3"/>
        <v/>
      </c>
    </row>
    <row r="112" spans="2:7">
      <c r="B112" s="330" t="s">
        <v>158</v>
      </c>
      <c r="C112" s="328">
        <v>4</v>
      </c>
      <c r="E112" s="298" t="str">
        <f t="shared" si="4"/>
        <v/>
      </c>
      <c r="F112" s="298" t="str">
        <f t="shared" si="5"/>
        <v/>
      </c>
      <c r="G112" t="str">
        <f t="shared" si="3"/>
        <v/>
      </c>
    </row>
    <row r="113" spans="2:7">
      <c r="B113" s="329" t="s">
        <v>250</v>
      </c>
      <c r="E113" s="298" t="str">
        <f t="shared" si="4"/>
        <v/>
      </c>
      <c r="F113" s="298" t="str">
        <f t="shared" si="5"/>
        <v/>
      </c>
      <c r="G113" t="str">
        <f t="shared" si="3"/>
        <v/>
      </c>
    </row>
    <row r="114" spans="2:7">
      <c r="B114" s="330" t="s">
        <v>2038</v>
      </c>
      <c r="C114" s="328">
        <v>40</v>
      </c>
      <c r="E114" s="298" t="str">
        <f t="shared" si="4"/>
        <v/>
      </c>
      <c r="F114" s="298" t="str">
        <f t="shared" si="5"/>
        <v/>
      </c>
      <c r="G114" t="str">
        <f t="shared" si="3"/>
        <v/>
      </c>
    </row>
    <row r="115" spans="2:7">
      <c r="B115" s="330" t="s">
        <v>2040</v>
      </c>
      <c r="C115" s="328">
        <v>4</v>
      </c>
      <c r="E115" s="298" t="str">
        <f t="shared" si="4"/>
        <v/>
      </c>
      <c r="F115" s="298" t="str">
        <f t="shared" si="5"/>
        <v/>
      </c>
      <c r="G115" t="str">
        <f t="shared" si="3"/>
        <v/>
      </c>
    </row>
    <row r="116" spans="2:7">
      <c r="B116" s="330" t="s">
        <v>2041</v>
      </c>
      <c r="C116" s="328">
        <v>40</v>
      </c>
      <c r="E116" s="298" t="str">
        <f t="shared" si="4"/>
        <v/>
      </c>
      <c r="F116" s="298" t="str">
        <f t="shared" si="5"/>
        <v/>
      </c>
      <c r="G116" t="str">
        <f t="shared" si="3"/>
        <v/>
      </c>
    </row>
    <row r="117" spans="2:7">
      <c r="B117" s="330" t="s">
        <v>2039</v>
      </c>
      <c r="C117" s="328">
        <v>40</v>
      </c>
      <c r="E117" s="298" t="str">
        <f t="shared" si="4"/>
        <v/>
      </c>
      <c r="F117" s="298" t="str">
        <f t="shared" si="5"/>
        <v/>
      </c>
      <c r="G117" t="str">
        <f t="shared" si="3"/>
        <v/>
      </c>
    </row>
    <row r="118" spans="2:7">
      <c r="B118" s="330" t="s">
        <v>251</v>
      </c>
      <c r="C118" s="328">
        <v>35</v>
      </c>
      <c r="E118" s="298" t="str">
        <f t="shared" si="4"/>
        <v/>
      </c>
      <c r="F118" s="298" t="str">
        <f t="shared" si="5"/>
        <v/>
      </c>
      <c r="G118" t="str">
        <f t="shared" si="3"/>
        <v/>
      </c>
    </row>
    <row r="119" spans="2:7">
      <c r="B119" s="330" t="s">
        <v>1461</v>
      </c>
      <c r="C119" s="328">
        <v>8</v>
      </c>
      <c r="E119" s="298" t="str">
        <f t="shared" si="4"/>
        <v/>
      </c>
      <c r="F119" s="298" t="str">
        <f t="shared" si="5"/>
        <v/>
      </c>
      <c r="G119" t="str">
        <f t="shared" si="3"/>
        <v/>
      </c>
    </row>
    <row r="120" spans="2:7">
      <c r="B120" s="330" t="s">
        <v>1440</v>
      </c>
      <c r="C120" s="328">
        <v>8</v>
      </c>
      <c r="E120" s="298" t="str">
        <f t="shared" si="4"/>
        <v/>
      </c>
      <c r="F120" s="298" t="str">
        <f t="shared" si="5"/>
        <v/>
      </c>
      <c r="G120" t="str">
        <f t="shared" si="3"/>
        <v/>
      </c>
    </row>
    <row r="121" spans="2:7">
      <c r="B121" s="330" t="s">
        <v>2130</v>
      </c>
      <c r="C121" s="328">
        <v>0</v>
      </c>
      <c r="E121" s="298" t="str">
        <f t="shared" si="4"/>
        <v/>
      </c>
      <c r="F121" s="298" t="str">
        <f t="shared" si="5"/>
        <v/>
      </c>
      <c r="G121" t="str">
        <f t="shared" si="3"/>
        <v/>
      </c>
    </row>
    <row r="122" spans="2:7">
      <c r="B122" s="329" t="s">
        <v>396</v>
      </c>
      <c r="E122" s="298" t="str">
        <f t="shared" si="4"/>
        <v/>
      </c>
      <c r="F122" s="298" t="str">
        <f t="shared" si="5"/>
        <v/>
      </c>
      <c r="G122" t="str">
        <f t="shared" si="3"/>
        <v/>
      </c>
    </row>
    <row r="123" spans="2:7">
      <c r="B123" s="330" t="s">
        <v>439</v>
      </c>
      <c r="C123" s="328">
        <v>32</v>
      </c>
      <c r="E123" s="298" t="str">
        <f t="shared" si="4"/>
        <v/>
      </c>
      <c r="F123" s="298" t="str">
        <f t="shared" si="5"/>
        <v/>
      </c>
      <c r="G123" t="str">
        <f t="shared" si="3"/>
        <v/>
      </c>
    </row>
    <row r="124" spans="2:7">
      <c r="B124" s="329" t="s">
        <v>177</v>
      </c>
      <c r="E124" s="298" t="str">
        <f t="shared" si="4"/>
        <v/>
      </c>
      <c r="F124" s="298" t="str">
        <f t="shared" si="5"/>
        <v/>
      </c>
      <c r="G124" t="str">
        <f t="shared" si="3"/>
        <v/>
      </c>
    </row>
    <row r="125" spans="2:7">
      <c r="B125" s="330" t="s">
        <v>178</v>
      </c>
      <c r="C125" s="328">
        <v>24</v>
      </c>
      <c r="E125" s="298" t="str">
        <f t="shared" si="4"/>
        <v/>
      </c>
      <c r="F125" s="298" t="str">
        <f t="shared" si="5"/>
        <v/>
      </c>
      <c r="G125" t="str">
        <f t="shared" si="3"/>
        <v/>
      </c>
    </row>
    <row r="126" spans="2:7">
      <c r="B126" s="330" t="s">
        <v>27</v>
      </c>
      <c r="C126" s="328">
        <v>4</v>
      </c>
      <c r="E126" s="298" t="str">
        <f t="shared" si="4"/>
        <v/>
      </c>
      <c r="F126" s="298" t="str">
        <f t="shared" si="5"/>
        <v/>
      </c>
      <c r="G126" t="str">
        <f t="shared" si="3"/>
        <v/>
      </c>
    </row>
    <row r="127" spans="2:7">
      <c r="B127" s="330" t="s">
        <v>339</v>
      </c>
      <c r="C127" s="328">
        <v>2</v>
      </c>
      <c r="E127" s="298" t="str">
        <f t="shared" si="4"/>
        <v/>
      </c>
      <c r="F127" s="298" t="str">
        <f t="shared" si="5"/>
        <v/>
      </c>
      <c r="G127" t="str">
        <f t="shared" si="3"/>
        <v/>
      </c>
    </row>
    <row r="128" spans="2:7">
      <c r="B128" s="330" t="s">
        <v>2952</v>
      </c>
      <c r="C128" s="328">
        <v>2</v>
      </c>
      <c r="E128" s="298" t="str">
        <f t="shared" si="4"/>
        <v/>
      </c>
      <c r="F128" s="298" t="str">
        <f t="shared" si="5"/>
        <v/>
      </c>
      <c r="G128" t="str">
        <f t="shared" si="3"/>
        <v/>
      </c>
    </row>
    <row r="129" spans="2:7">
      <c r="B129" s="330" t="s">
        <v>179</v>
      </c>
      <c r="C129" s="328">
        <v>8</v>
      </c>
      <c r="E129" s="298" t="str">
        <f t="shared" si="4"/>
        <v/>
      </c>
      <c r="F129" s="298" t="str">
        <f t="shared" si="5"/>
        <v/>
      </c>
      <c r="G129" t="str">
        <f t="shared" si="3"/>
        <v/>
      </c>
    </row>
    <row r="130" spans="2:7">
      <c r="B130" s="330" t="s">
        <v>543</v>
      </c>
      <c r="C130" s="328">
        <v>8</v>
      </c>
      <c r="E130" s="298" t="str">
        <f t="shared" si="4"/>
        <v/>
      </c>
      <c r="F130" s="298" t="str">
        <f t="shared" si="5"/>
        <v/>
      </c>
      <c r="G130" t="str">
        <f t="shared" si="3"/>
        <v/>
      </c>
    </row>
    <row r="131" spans="2:7">
      <c r="B131" s="330" t="s">
        <v>28</v>
      </c>
      <c r="C131" s="328">
        <v>16</v>
      </c>
      <c r="E131" s="298" t="str">
        <f t="shared" si="4"/>
        <v/>
      </c>
      <c r="F131" s="298" t="str">
        <f t="shared" si="5"/>
        <v/>
      </c>
      <c r="G131" t="str">
        <f t="shared" si="3"/>
        <v/>
      </c>
    </row>
    <row r="132" spans="2:7">
      <c r="B132" s="330" t="s">
        <v>181</v>
      </c>
      <c r="C132" s="328">
        <v>4</v>
      </c>
      <c r="E132" s="298" t="str">
        <f t="shared" si="4"/>
        <v/>
      </c>
      <c r="F132" s="298" t="str">
        <f t="shared" si="5"/>
        <v/>
      </c>
      <c r="G132" t="str">
        <f t="shared" si="3"/>
        <v/>
      </c>
    </row>
    <row r="133" spans="2:7">
      <c r="B133" s="330" t="s">
        <v>180</v>
      </c>
      <c r="C133" s="328">
        <v>8</v>
      </c>
      <c r="E133" s="298" t="str">
        <f t="shared" si="4"/>
        <v/>
      </c>
      <c r="F133" s="298" t="str">
        <f t="shared" si="5"/>
        <v/>
      </c>
      <c r="G133" t="str">
        <f t="shared" si="3"/>
        <v/>
      </c>
    </row>
    <row r="134" spans="2:7">
      <c r="B134" s="330" t="s">
        <v>182</v>
      </c>
      <c r="C134" s="328">
        <v>8</v>
      </c>
      <c r="E134" s="298" t="str">
        <f t="shared" si="4"/>
        <v/>
      </c>
      <c r="F134" s="298" t="str">
        <f t="shared" si="5"/>
        <v/>
      </c>
      <c r="G134" t="str">
        <f t="shared" si="3"/>
        <v/>
      </c>
    </row>
    <row r="135" spans="2:7">
      <c r="B135" s="330" t="s">
        <v>183</v>
      </c>
      <c r="C135" s="328">
        <v>4</v>
      </c>
      <c r="E135" s="298" t="str">
        <f t="shared" si="4"/>
        <v/>
      </c>
      <c r="F135" s="298" t="str">
        <f t="shared" si="5"/>
        <v/>
      </c>
      <c r="G135" t="str">
        <f t="shared" si="3"/>
        <v/>
      </c>
    </row>
    <row r="136" spans="2:7">
      <c r="B136" s="330" t="s">
        <v>399</v>
      </c>
      <c r="C136" s="328">
        <v>16</v>
      </c>
      <c r="E136" s="298" t="str">
        <f t="shared" si="4"/>
        <v/>
      </c>
      <c r="F136" s="298" t="str">
        <f t="shared" si="5"/>
        <v/>
      </c>
      <c r="G136" t="str">
        <f t="shared" si="3"/>
        <v/>
      </c>
    </row>
    <row r="137" spans="2:7">
      <c r="B137" s="330" t="s">
        <v>29</v>
      </c>
      <c r="C137" s="328">
        <v>8</v>
      </c>
      <c r="E137" s="298" t="str">
        <f t="shared" si="4"/>
        <v/>
      </c>
      <c r="F137" s="298" t="str">
        <f t="shared" si="5"/>
        <v/>
      </c>
      <c r="G137" t="str">
        <f t="shared" si="3"/>
        <v/>
      </c>
    </row>
    <row r="138" spans="2:7">
      <c r="B138" s="329" t="s">
        <v>3</v>
      </c>
      <c r="E138" s="298" t="str">
        <f t="shared" si="4"/>
        <v/>
      </c>
      <c r="F138" s="298" t="str">
        <f t="shared" si="5"/>
        <v/>
      </c>
      <c r="G138" t="str">
        <f t="shared" si="3"/>
        <v/>
      </c>
    </row>
    <row r="139" spans="2:7">
      <c r="B139" s="330" t="s">
        <v>807</v>
      </c>
      <c r="C139" s="328">
        <v>40</v>
      </c>
      <c r="E139" s="298" t="str">
        <f t="shared" si="4"/>
        <v/>
      </c>
      <c r="F139" s="298" t="str">
        <f t="shared" si="5"/>
        <v/>
      </c>
      <c r="G139" t="str">
        <f t="shared" si="3"/>
        <v/>
      </c>
    </row>
    <row r="140" spans="2:7">
      <c r="B140" s="330" t="s">
        <v>55</v>
      </c>
      <c r="C140" s="328">
        <v>4</v>
      </c>
      <c r="E140" s="298" t="str">
        <f t="shared" si="4"/>
        <v/>
      </c>
      <c r="F140" s="298" t="str">
        <f t="shared" si="5"/>
        <v/>
      </c>
      <c r="G140" t="str">
        <f t="shared" si="3"/>
        <v/>
      </c>
    </row>
    <row r="141" spans="2:7">
      <c r="B141" s="330" t="s">
        <v>2955</v>
      </c>
      <c r="C141" s="328">
        <v>6</v>
      </c>
      <c r="E141" s="298" t="str">
        <f t="shared" si="4"/>
        <v/>
      </c>
      <c r="F141" s="298" t="str">
        <f t="shared" si="5"/>
        <v/>
      </c>
      <c r="G141" t="str">
        <f t="shared" si="3"/>
        <v/>
      </c>
    </row>
    <row r="142" spans="2:7">
      <c r="B142" s="330" t="s">
        <v>56</v>
      </c>
      <c r="C142" s="328">
        <v>8</v>
      </c>
      <c r="E142" s="298" t="str">
        <f t="shared" si="4"/>
        <v/>
      </c>
      <c r="F142" s="298" t="str">
        <f t="shared" si="5"/>
        <v/>
      </c>
      <c r="G142" t="str">
        <f t="shared" ref="G142:G205" si="6">IF(F142&lt;&gt;"","INSERIR COMENTÁRIO PMO","")</f>
        <v/>
      </c>
    </row>
    <row r="143" spans="2:7">
      <c r="B143" s="330" t="s">
        <v>57</v>
      </c>
      <c r="C143" s="328">
        <v>8</v>
      </c>
      <c r="E143" s="298" t="str">
        <f t="shared" ref="E143:E206" si="7">IF(D143&lt;&gt;0,"INSERIR JUSTIFICATIVA","")</f>
        <v/>
      </c>
      <c r="F143" s="298" t="str">
        <f t="shared" ref="F143:F206" si="8">IF(E143&lt;&gt;"","INSERIR HORA PMO","")</f>
        <v/>
      </c>
      <c r="G143" t="str">
        <f t="shared" si="6"/>
        <v/>
      </c>
    </row>
    <row r="144" spans="2:7">
      <c r="B144" s="329" t="s">
        <v>58</v>
      </c>
      <c r="E144" s="298" t="str">
        <f t="shared" si="7"/>
        <v/>
      </c>
      <c r="F144" s="298" t="str">
        <f t="shared" si="8"/>
        <v/>
      </c>
      <c r="G144" t="str">
        <f t="shared" si="6"/>
        <v/>
      </c>
    </row>
    <row r="145" spans="2:7">
      <c r="B145" s="330" t="s">
        <v>147</v>
      </c>
      <c r="C145" s="328">
        <v>24</v>
      </c>
      <c r="E145" s="298" t="str">
        <f t="shared" si="7"/>
        <v/>
      </c>
      <c r="F145" s="298" t="str">
        <f t="shared" si="8"/>
        <v/>
      </c>
      <c r="G145" t="str">
        <f t="shared" si="6"/>
        <v/>
      </c>
    </row>
    <row r="146" spans="2:7">
      <c r="B146" s="330" t="s">
        <v>61</v>
      </c>
      <c r="C146" s="328">
        <v>4</v>
      </c>
      <c r="E146" s="298" t="str">
        <f t="shared" si="7"/>
        <v/>
      </c>
      <c r="F146" s="298" t="str">
        <f t="shared" si="8"/>
        <v/>
      </c>
      <c r="G146" t="str">
        <f t="shared" si="6"/>
        <v/>
      </c>
    </row>
    <row r="147" spans="2:7">
      <c r="B147" s="330" t="s">
        <v>74</v>
      </c>
      <c r="C147" s="328">
        <v>18</v>
      </c>
      <c r="E147" s="298" t="str">
        <f t="shared" si="7"/>
        <v/>
      </c>
      <c r="F147" s="298" t="str">
        <f t="shared" si="8"/>
        <v/>
      </c>
      <c r="G147" t="str">
        <f t="shared" si="6"/>
        <v/>
      </c>
    </row>
    <row r="148" spans="2:7">
      <c r="B148" s="330" t="s">
        <v>148</v>
      </c>
      <c r="C148" s="328">
        <v>8</v>
      </c>
      <c r="E148" s="298" t="str">
        <f t="shared" si="7"/>
        <v/>
      </c>
      <c r="F148" s="298" t="str">
        <f t="shared" si="8"/>
        <v/>
      </c>
      <c r="G148" t="str">
        <f t="shared" si="6"/>
        <v/>
      </c>
    </row>
    <row r="149" spans="2:7">
      <c r="B149" s="330" t="s">
        <v>1785</v>
      </c>
      <c r="C149" s="328">
        <v>2</v>
      </c>
      <c r="E149" s="298" t="str">
        <f t="shared" si="7"/>
        <v/>
      </c>
      <c r="F149" s="298" t="str">
        <f t="shared" si="8"/>
        <v/>
      </c>
      <c r="G149" t="str">
        <f t="shared" si="6"/>
        <v/>
      </c>
    </row>
    <row r="150" spans="2:7">
      <c r="B150" s="330" t="s">
        <v>68</v>
      </c>
      <c r="C150" s="328">
        <v>8</v>
      </c>
      <c r="E150" s="298" t="str">
        <f t="shared" si="7"/>
        <v/>
      </c>
      <c r="F150" s="298" t="str">
        <f t="shared" si="8"/>
        <v/>
      </c>
      <c r="G150" t="str">
        <f t="shared" si="6"/>
        <v/>
      </c>
    </row>
    <row r="151" spans="2:7">
      <c r="B151" s="330" t="s">
        <v>71</v>
      </c>
      <c r="C151" s="328">
        <v>8</v>
      </c>
      <c r="E151" s="298" t="str">
        <f t="shared" si="7"/>
        <v/>
      </c>
      <c r="F151" s="298" t="str">
        <f t="shared" si="8"/>
        <v/>
      </c>
      <c r="G151" t="str">
        <f t="shared" si="6"/>
        <v/>
      </c>
    </row>
    <row r="152" spans="2:7">
      <c r="B152" s="330" t="s">
        <v>72</v>
      </c>
      <c r="C152" s="328">
        <v>6</v>
      </c>
      <c r="E152" s="298" t="str">
        <f t="shared" si="7"/>
        <v/>
      </c>
      <c r="F152" s="298" t="str">
        <f t="shared" si="8"/>
        <v/>
      </c>
      <c r="G152" t="str">
        <f t="shared" si="6"/>
        <v/>
      </c>
    </row>
    <row r="153" spans="2:7">
      <c r="B153" s="330" t="s">
        <v>75</v>
      </c>
      <c r="C153" s="328">
        <v>2</v>
      </c>
      <c r="E153" s="298" t="str">
        <f t="shared" si="7"/>
        <v/>
      </c>
      <c r="F153" s="298" t="str">
        <f t="shared" si="8"/>
        <v/>
      </c>
      <c r="G153" t="str">
        <f t="shared" si="6"/>
        <v/>
      </c>
    </row>
    <row r="154" spans="2:7">
      <c r="B154" s="329" t="s">
        <v>5</v>
      </c>
      <c r="E154" s="298" t="str">
        <f t="shared" si="7"/>
        <v/>
      </c>
      <c r="F154" s="298" t="str">
        <f t="shared" si="8"/>
        <v/>
      </c>
      <c r="G154" t="str">
        <f t="shared" si="6"/>
        <v/>
      </c>
    </row>
    <row r="155" spans="2:7">
      <c r="B155" s="330" t="s">
        <v>108</v>
      </c>
      <c r="C155" s="328">
        <v>8</v>
      </c>
      <c r="E155" s="298" t="str">
        <f t="shared" si="7"/>
        <v/>
      </c>
      <c r="F155" s="298" t="str">
        <f t="shared" si="8"/>
        <v/>
      </c>
      <c r="G155" t="str">
        <f t="shared" si="6"/>
        <v/>
      </c>
    </row>
    <row r="156" spans="2:7">
      <c r="B156" s="330" t="s">
        <v>109</v>
      </c>
      <c r="C156" s="328">
        <v>8</v>
      </c>
      <c r="E156" s="298" t="str">
        <f t="shared" si="7"/>
        <v/>
      </c>
      <c r="F156" s="298" t="str">
        <f t="shared" si="8"/>
        <v/>
      </c>
      <c r="G156" t="str">
        <f t="shared" si="6"/>
        <v/>
      </c>
    </row>
    <row r="157" spans="2:7">
      <c r="B157" s="330" t="s">
        <v>1739</v>
      </c>
      <c r="C157" s="328">
        <v>24</v>
      </c>
      <c r="E157" s="298" t="str">
        <f t="shared" si="7"/>
        <v/>
      </c>
      <c r="F157" s="298" t="str">
        <f t="shared" si="8"/>
        <v/>
      </c>
      <c r="G157" t="str">
        <f t="shared" si="6"/>
        <v/>
      </c>
    </row>
    <row r="158" spans="2:7">
      <c r="B158" s="330" t="s">
        <v>110</v>
      </c>
      <c r="C158" s="328">
        <v>8</v>
      </c>
      <c r="E158" s="298" t="str">
        <f t="shared" si="7"/>
        <v/>
      </c>
      <c r="F158" s="298" t="str">
        <f t="shared" si="8"/>
        <v/>
      </c>
      <c r="G158" t="str">
        <f t="shared" si="6"/>
        <v/>
      </c>
    </row>
    <row r="159" spans="2:7">
      <c r="B159" s="329" t="s">
        <v>10</v>
      </c>
      <c r="E159" s="298" t="str">
        <f t="shared" si="7"/>
        <v/>
      </c>
      <c r="F159" s="298" t="str">
        <f t="shared" si="8"/>
        <v/>
      </c>
      <c r="G159" t="str">
        <f t="shared" si="6"/>
        <v/>
      </c>
    </row>
    <row r="160" spans="2:7">
      <c r="B160" s="330" t="s">
        <v>121</v>
      </c>
      <c r="C160" s="328">
        <v>24</v>
      </c>
      <c r="E160" s="298" t="str">
        <f t="shared" si="7"/>
        <v/>
      </c>
      <c r="F160" s="298" t="str">
        <f t="shared" si="8"/>
        <v/>
      </c>
      <c r="G160" t="str">
        <f t="shared" si="6"/>
        <v/>
      </c>
    </row>
    <row r="161" spans="2:7">
      <c r="B161" s="330" t="s">
        <v>122</v>
      </c>
      <c r="C161" s="328">
        <v>12</v>
      </c>
      <c r="E161" s="298" t="str">
        <f t="shared" si="7"/>
        <v/>
      </c>
      <c r="F161" s="298" t="str">
        <f t="shared" si="8"/>
        <v/>
      </c>
      <c r="G161" t="str">
        <f t="shared" si="6"/>
        <v/>
      </c>
    </row>
    <row r="162" spans="2:7">
      <c r="B162" s="330" t="s">
        <v>174</v>
      </c>
      <c r="C162" s="328">
        <v>16</v>
      </c>
      <c r="E162" s="298" t="str">
        <f t="shared" si="7"/>
        <v/>
      </c>
      <c r="F162" s="298" t="str">
        <f t="shared" si="8"/>
        <v/>
      </c>
      <c r="G162" t="str">
        <f t="shared" si="6"/>
        <v/>
      </c>
    </row>
    <row r="163" spans="2:7">
      <c r="B163" s="330" t="s">
        <v>175</v>
      </c>
      <c r="C163" s="328">
        <v>4</v>
      </c>
      <c r="E163" s="298" t="str">
        <f t="shared" si="7"/>
        <v/>
      </c>
      <c r="F163" s="298" t="str">
        <f t="shared" si="8"/>
        <v/>
      </c>
      <c r="G163" t="str">
        <f t="shared" si="6"/>
        <v/>
      </c>
    </row>
    <row r="164" spans="2:7">
      <c r="B164" s="330" t="s">
        <v>176</v>
      </c>
      <c r="C164" s="328">
        <v>40</v>
      </c>
      <c r="E164" s="298" t="str">
        <f t="shared" si="7"/>
        <v/>
      </c>
      <c r="F164" s="298" t="str">
        <f t="shared" si="8"/>
        <v/>
      </c>
      <c r="G164" t="str">
        <f t="shared" si="6"/>
        <v/>
      </c>
    </row>
    <row r="165" spans="2:7">
      <c r="B165" s="329" t="s">
        <v>16</v>
      </c>
      <c r="E165" s="298" t="str">
        <f t="shared" si="7"/>
        <v/>
      </c>
      <c r="F165" s="298" t="str">
        <f t="shared" si="8"/>
        <v/>
      </c>
      <c r="G165" t="str">
        <f t="shared" si="6"/>
        <v/>
      </c>
    </row>
    <row r="166" spans="2:7">
      <c r="B166" s="330" t="s">
        <v>274</v>
      </c>
      <c r="C166" s="328">
        <v>1</v>
      </c>
      <c r="E166" s="298" t="str">
        <f t="shared" si="7"/>
        <v/>
      </c>
      <c r="F166" s="298" t="str">
        <f t="shared" si="8"/>
        <v/>
      </c>
      <c r="G166" t="str">
        <f t="shared" si="6"/>
        <v/>
      </c>
    </row>
    <row r="167" spans="2:7">
      <c r="B167" s="330" t="s">
        <v>1407</v>
      </c>
      <c r="C167" s="328">
        <v>1</v>
      </c>
      <c r="E167" s="298" t="str">
        <f t="shared" si="7"/>
        <v/>
      </c>
      <c r="F167" s="298" t="str">
        <f t="shared" si="8"/>
        <v/>
      </c>
      <c r="G167" t="str">
        <f t="shared" si="6"/>
        <v/>
      </c>
    </row>
    <row r="168" spans="2:7">
      <c r="B168" s="330" t="s">
        <v>280</v>
      </c>
      <c r="C168" s="328">
        <v>120</v>
      </c>
      <c r="E168" s="298" t="str">
        <f t="shared" si="7"/>
        <v/>
      </c>
      <c r="F168" s="298" t="str">
        <f t="shared" si="8"/>
        <v/>
      </c>
      <c r="G168" t="str">
        <f t="shared" si="6"/>
        <v/>
      </c>
    </row>
    <row r="169" spans="2:7">
      <c r="B169" s="330" t="s">
        <v>276</v>
      </c>
      <c r="C169" s="328">
        <v>1</v>
      </c>
      <c r="E169" s="298" t="str">
        <f t="shared" si="7"/>
        <v/>
      </c>
      <c r="F169" s="298" t="str">
        <f t="shared" si="8"/>
        <v/>
      </c>
      <c r="G169" t="str">
        <f t="shared" si="6"/>
        <v/>
      </c>
    </row>
    <row r="170" spans="2:7">
      <c r="B170" s="330" t="s">
        <v>1076</v>
      </c>
      <c r="C170" s="328">
        <v>8</v>
      </c>
      <c r="E170" s="298" t="str">
        <f t="shared" si="7"/>
        <v/>
      </c>
      <c r="F170" s="298" t="str">
        <f t="shared" si="8"/>
        <v/>
      </c>
      <c r="G170" t="str">
        <f t="shared" si="6"/>
        <v/>
      </c>
    </row>
    <row r="171" spans="2:7">
      <c r="B171" s="330" t="s">
        <v>1071</v>
      </c>
      <c r="C171" s="328">
        <v>1</v>
      </c>
      <c r="E171" s="298" t="str">
        <f t="shared" si="7"/>
        <v/>
      </c>
      <c r="F171" s="298" t="str">
        <f t="shared" si="8"/>
        <v/>
      </c>
      <c r="G171" t="str">
        <f t="shared" si="6"/>
        <v/>
      </c>
    </row>
    <row r="172" spans="2:7">
      <c r="B172" s="330" t="s">
        <v>279</v>
      </c>
      <c r="C172" s="328">
        <v>40</v>
      </c>
      <c r="E172" s="298" t="str">
        <f t="shared" si="7"/>
        <v/>
      </c>
      <c r="F172" s="298" t="str">
        <f t="shared" si="8"/>
        <v/>
      </c>
      <c r="G172" t="str">
        <f t="shared" si="6"/>
        <v/>
      </c>
    </row>
    <row r="173" spans="2:7">
      <c r="B173" s="330" t="s">
        <v>277</v>
      </c>
      <c r="C173" s="328">
        <v>6</v>
      </c>
      <c r="E173" s="298" t="str">
        <f t="shared" si="7"/>
        <v/>
      </c>
      <c r="F173" s="298" t="str">
        <f t="shared" si="8"/>
        <v/>
      </c>
      <c r="G173" t="str">
        <f t="shared" si="6"/>
        <v/>
      </c>
    </row>
    <row r="174" spans="2:7">
      <c r="B174" s="330" t="s">
        <v>2799</v>
      </c>
      <c r="C174" s="328">
        <v>120</v>
      </c>
      <c r="E174" s="298" t="str">
        <f t="shared" si="7"/>
        <v/>
      </c>
      <c r="F174" s="298" t="str">
        <f t="shared" si="8"/>
        <v/>
      </c>
      <c r="G174" t="str">
        <f t="shared" si="6"/>
        <v/>
      </c>
    </row>
    <row r="175" spans="2:7">
      <c r="B175" s="330" t="s">
        <v>278</v>
      </c>
      <c r="C175" s="328">
        <v>24</v>
      </c>
      <c r="E175" s="298" t="str">
        <f t="shared" si="7"/>
        <v/>
      </c>
      <c r="F175" s="298" t="str">
        <f t="shared" si="8"/>
        <v/>
      </c>
      <c r="G175" t="str">
        <f t="shared" si="6"/>
        <v/>
      </c>
    </row>
    <row r="176" spans="2:7">
      <c r="B176" s="330" t="s">
        <v>1414</v>
      </c>
      <c r="C176" s="328">
        <v>32</v>
      </c>
      <c r="E176" s="298" t="str">
        <f t="shared" si="7"/>
        <v/>
      </c>
      <c r="F176" s="298" t="str">
        <f t="shared" si="8"/>
        <v/>
      </c>
      <c r="G176" t="str">
        <f t="shared" si="6"/>
        <v/>
      </c>
    </row>
    <row r="177" spans="2:7">
      <c r="B177" s="330" t="s">
        <v>1446</v>
      </c>
      <c r="C177" s="328">
        <v>80</v>
      </c>
      <c r="E177" s="298" t="str">
        <f t="shared" si="7"/>
        <v/>
      </c>
      <c r="F177" s="298" t="str">
        <f t="shared" si="8"/>
        <v/>
      </c>
      <c r="G177" t="str">
        <f t="shared" si="6"/>
        <v/>
      </c>
    </row>
    <row r="178" spans="2:7">
      <c r="B178" s="330" t="s">
        <v>5292</v>
      </c>
      <c r="C178" s="328">
        <v>20</v>
      </c>
      <c r="E178" s="298" t="str">
        <f t="shared" si="7"/>
        <v/>
      </c>
      <c r="F178" s="298" t="str">
        <f t="shared" si="8"/>
        <v/>
      </c>
      <c r="G178" t="str">
        <f t="shared" si="6"/>
        <v/>
      </c>
    </row>
    <row r="179" spans="2:7">
      <c r="B179" s="330" t="s">
        <v>5083</v>
      </c>
      <c r="C179" s="328">
        <v>40</v>
      </c>
      <c r="E179" s="298" t="str">
        <f t="shared" si="7"/>
        <v/>
      </c>
      <c r="F179" s="298" t="str">
        <f t="shared" si="8"/>
        <v/>
      </c>
      <c r="G179" t="str">
        <f t="shared" si="6"/>
        <v/>
      </c>
    </row>
    <row r="180" spans="2:7">
      <c r="B180" s="329" t="s">
        <v>213</v>
      </c>
      <c r="E180" s="298" t="str">
        <f t="shared" si="7"/>
        <v/>
      </c>
      <c r="F180" s="298" t="str">
        <f t="shared" si="8"/>
        <v/>
      </c>
      <c r="G180" t="str">
        <f t="shared" si="6"/>
        <v/>
      </c>
    </row>
    <row r="181" spans="2:7">
      <c r="B181" s="330" t="s">
        <v>216</v>
      </c>
      <c r="C181" s="328">
        <v>160</v>
      </c>
      <c r="E181" s="298" t="str">
        <f t="shared" si="7"/>
        <v/>
      </c>
      <c r="F181" s="298" t="str">
        <f t="shared" si="8"/>
        <v/>
      </c>
      <c r="G181" t="str">
        <f t="shared" si="6"/>
        <v/>
      </c>
    </row>
    <row r="182" spans="2:7">
      <c r="B182" s="330" t="s">
        <v>700</v>
      </c>
      <c r="C182" s="328">
        <v>40</v>
      </c>
      <c r="E182" s="298" t="str">
        <f t="shared" si="7"/>
        <v/>
      </c>
      <c r="F182" s="298" t="str">
        <f t="shared" si="8"/>
        <v/>
      </c>
      <c r="G182" t="str">
        <f t="shared" si="6"/>
        <v/>
      </c>
    </row>
    <row r="183" spans="2:7">
      <c r="B183" s="329" t="s">
        <v>1573</v>
      </c>
      <c r="E183" s="298" t="str">
        <f t="shared" si="7"/>
        <v/>
      </c>
      <c r="F183" s="298" t="str">
        <f t="shared" si="8"/>
        <v/>
      </c>
      <c r="G183" t="str">
        <f t="shared" si="6"/>
        <v/>
      </c>
    </row>
    <row r="184" spans="2:7">
      <c r="B184" s="330" t="s">
        <v>380</v>
      </c>
      <c r="C184" s="328">
        <v>40</v>
      </c>
      <c r="E184" s="298" t="str">
        <f t="shared" si="7"/>
        <v/>
      </c>
      <c r="F184" s="298" t="str">
        <f t="shared" si="8"/>
        <v/>
      </c>
      <c r="G184" t="str">
        <f t="shared" si="6"/>
        <v/>
      </c>
    </row>
    <row r="185" spans="2:7">
      <c r="B185" s="330" t="s">
        <v>405</v>
      </c>
      <c r="C185" s="328">
        <v>40</v>
      </c>
      <c r="E185" s="298" t="str">
        <f t="shared" si="7"/>
        <v/>
      </c>
      <c r="F185" s="298" t="str">
        <f t="shared" si="8"/>
        <v/>
      </c>
      <c r="G185" t="str">
        <f t="shared" si="6"/>
        <v/>
      </c>
    </row>
    <row r="186" spans="2:7">
      <c r="B186" s="329" t="s">
        <v>42</v>
      </c>
      <c r="E186" s="298" t="str">
        <f t="shared" si="7"/>
        <v/>
      </c>
      <c r="F186" s="298" t="str">
        <f t="shared" si="8"/>
        <v/>
      </c>
      <c r="G186" t="str">
        <f t="shared" si="6"/>
        <v/>
      </c>
    </row>
    <row r="187" spans="2:7">
      <c r="B187" s="330" t="s">
        <v>1016</v>
      </c>
      <c r="C187" s="328">
        <v>40</v>
      </c>
      <c r="E187" s="298" t="str">
        <f t="shared" si="7"/>
        <v/>
      </c>
      <c r="F187" s="298" t="str">
        <f t="shared" si="8"/>
        <v/>
      </c>
      <c r="G187" t="str">
        <f t="shared" si="6"/>
        <v/>
      </c>
    </row>
    <row r="188" spans="2:7">
      <c r="B188" s="330" t="s">
        <v>254</v>
      </c>
      <c r="C188" s="328">
        <v>8</v>
      </c>
      <c r="E188" s="298" t="str">
        <f t="shared" si="7"/>
        <v/>
      </c>
      <c r="F188" s="298" t="str">
        <f t="shared" si="8"/>
        <v/>
      </c>
      <c r="G188" t="str">
        <f t="shared" si="6"/>
        <v/>
      </c>
    </row>
    <row r="189" spans="2:7">
      <c r="B189" s="330" t="s">
        <v>255</v>
      </c>
      <c r="C189" s="328">
        <v>16</v>
      </c>
      <c r="E189" s="298" t="str">
        <f t="shared" si="7"/>
        <v/>
      </c>
      <c r="F189" s="298" t="str">
        <f t="shared" si="8"/>
        <v/>
      </c>
      <c r="G189" t="str">
        <f t="shared" si="6"/>
        <v/>
      </c>
    </row>
    <row r="190" spans="2:7">
      <c r="B190" s="330" t="s">
        <v>256</v>
      </c>
      <c r="C190" s="328">
        <v>4</v>
      </c>
      <c r="E190" s="298" t="str">
        <f t="shared" si="7"/>
        <v/>
      </c>
      <c r="F190" s="298" t="str">
        <f t="shared" si="8"/>
        <v/>
      </c>
      <c r="G190" t="str">
        <f t="shared" si="6"/>
        <v/>
      </c>
    </row>
    <row r="191" spans="2:7">
      <c r="B191" s="330" t="s">
        <v>1007</v>
      </c>
      <c r="C191" s="328">
        <v>24</v>
      </c>
      <c r="E191" s="298" t="str">
        <f t="shared" si="7"/>
        <v/>
      </c>
      <c r="F191" s="298" t="str">
        <f t="shared" si="8"/>
        <v/>
      </c>
      <c r="G191" t="str">
        <f t="shared" si="6"/>
        <v/>
      </c>
    </row>
    <row r="192" spans="2:7">
      <c r="B192" s="329" t="s">
        <v>282</v>
      </c>
      <c r="E192" s="298" t="str">
        <f t="shared" si="7"/>
        <v/>
      </c>
      <c r="F192" s="298" t="str">
        <f t="shared" si="8"/>
        <v/>
      </c>
      <c r="G192" t="str">
        <f t="shared" si="6"/>
        <v/>
      </c>
    </row>
    <row r="193" spans="2:7">
      <c r="B193" s="330" t="s">
        <v>2029</v>
      </c>
      <c r="C193" s="328">
        <v>40</v>
      </c>
      <c r="E193" s="298" t="str">
        <f t="shared" si="7"/>
        <v/>
      </c>
      <c r="F193" s="298" t="str">
        <f t="shared" si="8"/>
        <v/>
      </c>
      <c r="G193" t="str">
        <f t="shared" si="6"/>
        <v/>
      </c>
    </row>
    <row r="194" spans="2:7">
      <c r="B194" s="330" t="s">
        <v>352</v>
      </c>
      <c r="C194" s="328">
        <v>6</v>
      </c>
      <c r="E194" s="298" t="str">
        <f t="shared" si="7"/>
        <v/>
      </c>
      <c r="F194" s="298" t="str">
        <f t="shared" si="8"/>
        <v/>
      </c>
      <c r="G194" t="str">
        <f t="shared" si="6"/>
        <v/>
      </c>
    </row>
    <row r="195" spans="2:7">
      <c r="B195" s="330" t="s">
        <v>284</v>
      </c>
      <c r="C195" s="328">
        <v>4</v>
      </c>
      <c r="E195" s="298" t="str">
        <f t="shared" si="7"/>
        <v/>
      </c>
      <c r="F195" s="298" t="str">
        <f t="shared" si="8"/>
        <v/>
      </c>
      <c r="G195" t="str">
        <f t="shared" si="6"/>
        <v/>
      </c>
    </row>
    <row r="196" spans="2:7">
      <c r="B196" s="330" t="s">
        <v>285</v>
      </c>
      <c r="C196" s="328">
        <v>40</v>
      </c>
      <c r="E196" s="298" t="str">
        <f t="shared" si="7"/>
        <v/>
      </c>
      <c r="F196" s="298" t="str">
        <f t="shared" si="8"/>
        <v/>
      </c>
      <c r="G196" t="str">
        <f t="shared" si="6"/>
        <v/>
      </c>
    </row>
    <row r="197" spans="2:7">
      <c r="B197" s="329" t="s">
        <v>2783</v>
      </c>
      <c r="E197" s="298" t="str">
        <f t="shared" si="7"/>
        <v/>
      </c>
      <c r="F197" s="298" t="str">
        <f t="shared" si="8"/>
        <v/>
      </c>
      <c r="G197" t="str">
        <f t="shared" si="6"/>
        <v/>
      </c>
    </row>
    <row r="198" spans="2:7">
      <c r="B198" s="330" t="s">
        <v>2786</v>
      </c>
      <c r="C198" s="328">
        <v>80</v>
      </c>
      <c r="E198" s="298" t="str">
        <f t="shared" si="7"/>
        <v/>
      </c>
      <c r="F198" s="298" t="str">
        <f t="shared" si="8"/>
        <v/>
      </c>
      <c r="G198" t="str">
        <f t="shared" si="6"/>
        <v/>
      </c>
    </row>
    <row r="199" spans="2:7">
      <c r="B199" s="330" t="s">
        <v>4994</v>
      </c>
      <c r="C199" s="328">
        <v>40</v>
      </c>
      <c r="E199" s="298" t="str">
        <f t="shared" si="7"/>
        <v/>
      </c>
      <c r="F199" s="298" t="str">
        <f t="shared" si="8"/>
        <v/>
      </c>
      <c r="G199" t="str">
        <f t="shared" si="6"/>
        <v/>
      </c>
    </row>
    <row r="200" spans="2:7">
      <c r="B200" s="329" t="s">
        <v>237</v>
      </c>
      <c r="E200" s="298" t="str">
        <f t="shared" si="7"/>
        <v/>
      </c>
      <c r="F200" s="298" t="str">
        <f t="shared" si="8"/>
        <v/>
      </c>
      <c r="G200" t="str">
        <f t="shared" si="6"/>
        <v/>
      </c>
    </row>
    <row r="201" spans="2:7">
      <c r="B201" s="330" t="s">
        <v>238</v>
      </c>
      <c r="C201" s="328">
        <v>12</v>
      </c>
      <c r="E201" s="298" t="str">
        <f t="shared" si="7"/>
        <v/>
      </c>
      <c r="F201" s="298" t="str">
        <f t="shared" si="8"/>
        <v/>
      </c>
      <c r="G201" t="str">
        <f t="shared" si="6"/>
        <v/>
      </c>
    </row>
    <row r="202" spans="2:7">
      <c r="B202" s="330" t="s">
        <v>239</v>
      </c>
      <c r="C202" s="328">
        <v>12</v>
      </c>
      <c r="E202" s="298" t="str">
        <f t="shared" si="7"/>
        <v/>
      </c>
      <c r="F202" s="298" t="str">
        <f t="shared" si="8"/>
        <v/>
      </c>
      <c r="G202" t="str">
        <f t="shared" si="6"/>
        <v/>
      </c>
    </row>
    <row r="203" spans="2:7">
      <c r="B203" s="330" t="s">
        <v>241</v>
      </c>
      <c r="C203" s="328">
        <v>12</v>
      </c>
      <c r="E203" s="298" t="str">
        <f t="shared" si="7"/>
        <v/>
      </c>
      <c r="F203" s="298" t="str">
        <f t="shared" si="8"/>
        <v/>
      </c>
      <c r="G203" t="str">
        <f t="shared" si="6"/>
        <v/>
      </c>
    </row>
    <row r="204" spans="2:7">
      <c r="B204" s="330" t="s">
        <v>242</v>
      </c>
      <c r="C204" s="328">
        <v>8</v>
      </c>
      <c r="E204" s="298" t="str">
        <f t="shared" si="7"/>
        <v/>
      </c>
      <c r="F204" s="298" t="str">
        <f t="shared" si="8"/>
        <v/>
      </c>
      <c r="G204" t="str">
        <f t="shared" si="6"/>
        <v/>
      </c>
    </row>
    <row r="205" spans="2:7">
      <c r="B205" s="330" t="s">
        <v>243</v>
      </c>
      <c r="C205" s="328">
        <v>24</v>
      </c>
      <c r="E205" s="298" t="str">
        <f t="shared" si="7"/>
        <v/>
      </c>
      <c r="F205" s="298" t="str">
        <f t="shared" si="8"/>
        <v/>
      </c>
      <c r="G205" t="str">
        <f t="shared" si="6"/>
        <v/>
      </c>
    </row>
    <row r="206" spans="2:7">
      <c r="B206" s="330" t="s">
        <v>244</v>
      </c>
      <c r="C206" s="328">
        <v>40</v>
      </c>
      <c r="E206" s="298" t="str">
        <f t="shared" si="7"/>
        <v/>
      </c>
      <c r="F206" s="298" t="str">
        <f t="shared" si="8"/>
        <v/>
      </c>
      <c r="G206" t="str">
        <f t="shared" ref="G206:G269" si="9">IF(F206&lt;&gt;"","INSERIR COMENTÁRIO PMO","")</f>
        <v/>
      </c>
    </row>
    <row r="207" spans="2:7">
      <c r="B207" s="329" t="s">
        <v>2834</v>
      </c>
      <c r="E207" s="298" t="str">
        <f t="shared" ref="E207:E270" si="10">IF(D207&lt;&gt;0,"INSERIR JUSTIFICATIVA","")</f>
        <v/>
      </c>
      <c r="F207" s="298" t="str">
        <f t="shared" ref="F207:F270" si="11">IF(E207&lt;&gt;"","INSERIR HORA PMO","")</f>
        <v/>
      </c>
      <c r="G207" t="str">
        <f t="shared" si="9"/>
        <v/>
      </c>
    </row>
    <row r="208" spans="2:7">
      <c r="B208" s="330" t="s">
        <v>1427</v>
      </c>
      <c r="C208" s="328">
        <v>40</v>
      </c>
      <c r="E208" s="298" t="str">
        <f t="shared" si="10"/>
        <v/>
      </c>
      <c r="F208" s="298" t="str">
        <f t="shared" si="11"/>
        <v/>
      </c>
      <c r="G208" t="str">
        <f t="shared" si="9"/>
        <v/>
      </c>
    </row>
    <row r="209" spans="2:7">
      <c r="B209" s="329" t="s">
        <v>7</v>
      </c>
      <c r="E209" s="298" t="str">
        <f t="shared" si="10"/>
        <v/>
      </c>
      <c r="F209" s="298" t="str">
        <f t="shared" si="11"/>
        <v/>
      </c>
      <c r="G209" t="str">
        <f t="shared" si="9"/>
        <v/>
      </c>
    </row>
    <row r="210" spans="2:7">
      <c r="B210" s="330" t="s">
        <v>35</v>
      </c>
      <c r="C210" s="328">
        <v>2</v>
      </c>
      <c r="E210" s="298" t="str">
        <f t="shared" si="10"/>
        <v/>
      </c>
      <c r="F210" s="298" t="str">
        <f t="shared" si="11"/>
        <v/>
      </c>
      <c r="G210" t="str">
        <f t="shared" si="9"/>
        <v/>
      </c>
    </row>
    <row r="211" spans="2:7">
      <c r="B211" s="330" t="s">
        <v>233</v>
      </c>
      <c r="C211" s="328">
        <v>2</v>
      </c>
      <c r="E211" s="298" t="str">
        <f t="shared" si="10"/>
        <v/>
      </c>
      <c r="F211" s="298" t="str">
        <f t="shared" si="11"/>
        <v/>
      </c>
      <c r="G211" t="str">
        <f t="shared" si="9"/>
        <v/>
      </c>
    </row>
    <row r="212" spans="2:7">
      <c r="B212" s="330" t="s">
        <v>334</v>
      </c>
      <c r="C212" s="328">
        <v>2</v>
      </c>
      <c r="E212" s="298" t="str">
        <f t="shared" si="10"/>
        <v/>
      </c>
      <c r="F212" s="298" t="str">
        <f t="shared" si="11"/>
        <v/>
      </c>
      <c r="G212" t="str">
        <f t="shared" si="9"/>
        <v/>
      </c>
    </row>
    <row r="213" spans="2:7">
      <c r="B213" s="330" t="s">
        <v>912</v>
      </c>
      <c r="C213" s="328">
        <v>4</v>
      </c>
      <c r="E213" s="298" t="str">
        <f t="shared" si="10"/>
        <v/>
      </c>
      <c r="F213" s="298" t="str">
        <f t="shared" si="11"/>
        <v/>
      </c>
      <c r="G213" t="str">
        <f t="shared" si="9"/>
        <v/>
      </c>
    </row>
    <row r="214" spans="2:7">
      <c r="B214" s="330" t="s">
        <v>234</v>
      </c>
      <c r="C214" s="328">
        <v>2</v>
      </c>
      <c r="E214" s="298" t="str">
        <f t="shared" si="10"/>
        <v/>
      </c>
      <c r="F214" s="298" t="str">
        <f t="shared" si="11"/>
        <v/>
      </c>
      <c r="G214" t="str">
        <f t="shared" si="9"/>
        <v/>
      </c>
    </row>
    <row r="215" spans="2:7">
      <c r="B215" s="330" t="s">
        <v>36</v>
      </c>
      <c r="C215" s="328">
        <v>24</v>
      </c>
      <c r="E215" s="298" t="str">
        <f t="shared" si="10"/>
        <v/>
      </c>
      <c r="F215" s="298" t="str">
        <f t="shared" si="11"/>
        <v/>
      </c>
      <c r="G215" t="str">
        <f t="shared" si="9"/>
        <v/>
      </c>
    </row>
    <row r="216" spans="2:7">
      <c r="B216" s="330" t="s">
        <v>37</v>
      </c>
      <c r="C216" s="328">
        <v>24</v>
      </c>
      <c r="E216" s="298" t="str">
        <f t="shared" si="10"/>
        <v/>
      </c>
      <c r="F216" s="298" t="str">
        <f t="shared" si="11"/>
        <v/>
      </c>
      <c r="G216" t="str">
        <f t="shared" si="9"/>
        <v/>
      </c>
    </row>
    <row r="217" spans="2:7">
      <c r="B217" s="330" t="s">
        <v>30</v>
      </c>
      <c r="C217" s="328">
        <v>12</v>
      </c>
      <c r="E217" s="298" t="str">
        <f t="shared" si="10"/>
        <v/>
      </c>
      <c r="F217" s="298" t="str">
        <f t="shared" si="11"/>
        <v/>
      </c>
      <c r="G217" t="str">
        <f t="shared" si="9"/>
        <v/>
      </c>
    </row>
    <row r="218" spans="2:7">
      <c r="B218" s="330" t="s">
        <v>374</v>
      </c>
      <c r="C218" s="328">
        <v>8</v>
      </c>
      <c r="E218" s="298" t="str">
        <f t="shared" si="10"/>
        <v/>
      </c>
      <c r="F218" s="298" t="str">
        <f t="shared" si="11"/>
        <v/>
      </c>
      <c r="G218" t="str">
        <f t="shared" si="9"/>
        <v/>
      </c>
    </row>
    <row r="219" spans="2:7">
      <c r="B219" s="330" t="s">
        <v>39</v>
      </c>
      <c r="C219" s="328">
        <v>4</v>
      </c>
      <c r="E219" s="298" t="str">
        <f t="shared" si="10"/>
        <v/>
      </c>
      <c r="F219" s="298" t="str">
        <f t="shared" si="11"/>
        <v/>
      </c>
      <c r="G219" t="str">
        <f t="shared" si="9"/>
        <v/>
      </c>
    </row>
    <row r="220" spans="2:7">
      <c r="B220" s="330" t="s">
        <v>40</v>
      </c>
      <c r="C220" s="328">
        <v>4</v>
      </c>
      <c r="E220" s="298" t="str">
        <f t="shared" si="10"/>
        <v/>
      </c>
      <c r="F220" s="298" t="str">
        <f t="shared" si="11"/>
        <v/>
      </c>
      <c r="G220" t="str">
        <f t="shared" si="9"/>
        <v/>
      </c>
    </row>
    <row r="221" spans="2:7">
      <c r="B221" s="330" t="s">
        <v>41</v>
      </c>
      <c r="C221" s="328">
        <v>2</v>
      </c>
      <c r="E221" s="298" t="str">
        <f t="shared" si="10"/>
        <v/>
      </c>
      <c r="F221" s="298" t="str">
        <f t="shared" si="11"/>
        <v/>
      </c>
      <c r="G221" t="str">
        <f t="shared" si="9"/>
        <v/>
      </c>
    </row>
    <row r="222" spans="2:7">
      <c r="B222" s="330" t="s">
        <v>389</v>
      </c>
      <c r="C222" s="328">
        <v>2</v>
      </c>
      <c r="E222" s="298" t="str">
        <f t="shared" si="10"/>
        <v/>
      </c>
      <c r="F222" s="298" t="str">
        <f t="shared" si="11"/>
        <v/>
      </c>
      <c r="G222" t="str">
        <f t="shared" si="9"/>
        <v/>
      </c>
    </row>
    <row r="223" spans="2:7">
      <c r="B223" s="329" t="s">
        <v>0</v>
      </c>
      <c r="E223" s="298" t="str">
        <f t="shared" si="10"/>
        <v/>
      </c>
      <c r="F223" s="298" t="str">
        <f t="shared" si="11"/>
        <v/>
      </c>
      <c r="G223" t="str">
        <f t="shared" si="9"/>
        <v/>
      </c>
    </row>
    <row r="224" spans="2:7">
      <c r="B224" s="330" t="s">
        <v>207</v>
      </c>
      <c r="C224" s="328">
        <v>2</v>
      </c>
      <c r="E224" s="298" t="str">
        <f t="shared" si="10"/>
        <v/>
      </c>
      <c r="F224" s="298" t="str">
        <f t="shared" si="11"/>
        <v/>
      </c>
      <c r="G224" t="str">
        <f t="shared" si="9"/>
        <v/>
      </c>
    </row>
    <row r="225" spans="2:7">
      <c r="B225" s="330" t="s">
        <v>33</v>
      </c>
      <c r="C225" s="328">
        <v>24</v>
      </c>
      <c r="E225" s="298" t="str">
        <f t="shared" si="10"/>
        <v/>
      </c>
      <c r="F225" s="298" t="str">
        <f t="shared" si="11"/>
        <v/>
      </c>
      <c r="G225" t="str">
        <f t="shared" si="9"/>
        <v/>
      </c>
    </row>
    <row r="226" spans="2:7">
      <c r="B226" s="330" t="s">
        <v>208</v>
      </c>
      <c r="C226" s="328">
        <v>8</v>
      </c>
      <c r="E226" s="298" t="str">
        <f t="shared" si="10"/>
        <v/>
      </c>
      <c r="F226" s="298" t="str">
        <f t="shared" si="11"/>
        <v/>
      </c>
      <c r="G226" t="str">
        <f t="shared" si="9"/>
        <v/>
      </c>
    </row>
    <row r="227" spans="2:7">
      <c r="B227" s="330" t="s">
        <v>32</v>
      </c>
      <c r="C227" s="328">
        <v>8</v>
      </c>
      <c r="E227" s="298" t="str">
        <f t="shared" si="10"/>
        <v/>
      </c>
      <c r="F227" s="298" t="str">
        <f t="shared" si="11"/>
        <v/>
      </c>
      <c r="G227" t="str">
        <f t="shared" si="9"/>
        <v/>
      </c>
    </row>
    <row r="228" spans="2:7">
      <c r="B228" s="330" t="s">
        <v>209</v>
      </c>
      <c r="C228" s="328">
        <v>12</v>
      </c>
      <c r="E228" s="298" t="str">
        <f t="shared" si="10"/>
        <v/>
      </c>
      <c r="F228" s="298" t="str">
        <f t="shared" si="11"/>
        <v/>
      </c>
      <c r="G228" t="str">
        <f t="shared" si="9"/>
        <v/>
      </c>
    </row>
    <row r="229" spans="2:7">
      <c r="B229" s="330" t="s">
        <v>210</v>
      </c>
      <c r="C229" s="328">
        <v>2</v>
      </c>
      <c r="E229" s="298" t="str">
        <f t="shared" si="10"/>
        <v/>
      </c>
      <c r="F229" s="298" t="str">
        <f t="shared" si="11"/>
        <v/>
      </c>
      <c r="G229" t="str">
        <f t="shared" si="9"/>
        <v/>
      </c>
    </row>
    <row r="230" spans="2:7">
      <c r="B230" s="330" t="s">
        <v>211</v>
      </c>
      <c r="C230" s="328">
        <v>2</v>
      </c>
      <c r="E230" s="298" t="str">
        <f t="shared" si="10"/>
        <v/>
      </c>
      <c r="F230" s="298" t="str">
        <f t="shared" si="11"/>
        <v/>
      </c>
      <c r="G230" t="str">
        <f t="shared" si="9"/>
        <v/>
      </c>
    </row>
    <row r="231" spans="2:7">
      <c r="B231" s="330" t="s">
        <v>212</v>
      </c>
      <c r="C231" s="328">
        <v>2</v>
      </c>
      <c r="E231" s="298" t="str">
        <f t="shared" si="10"/>
        <v/>
      </c>
      <c r="F231" s="298" t="str">
        <f t="shared" si="11"/>
        <v/>
      </c>
      <c r="G231" t="str">
        <f t="shared" si="9"/>
        <v/>
      </c>
    </row>
    <row r="232" spans="2:7">
      <c r="B232" s="330" t="s">
        <v>2900</v>
      </c>
      <c r="C232" s="328">
        <v>2</v>
      </c>
      <c r="E232" s="298" t="str">
        <f t="shared" si="10"/>
        <v/>
      </c>
      <c r="F232" s="298" t="str">
        <f t="shared" si="11"/>
        <v/>
      </c>
      <c r="G232" t="str">
        <f t="shared" si="9"/>
        <v/>
      </c>
    </row>
    <row r="233" spans="2:7">
      <c r="B233" s="330" t="s">
        <v>48</v>
      </c>
      <c r="C233" s="328">
        <v>12</v>
      </c>
      <c r="E233" s="298" t="str">
        <f t="shared" si="10"/>
        <v/>
      </c>
      <c r="F233" s="298" t="str">
        <f t="shared" si="11"/>
        <v/>
      </c>
      <c r="G233" t="str">
        <f t="shared" si="9"/>
        <v/>
      </c>
    </row>
    <row r="234" spans="2:7">
      <c r="B234" s="329" t="s">
        <v>301</v>
      </c>
      <c r="E234" s="298" t="str">
        <f t="shared" si="10"/>
        <v/>
      </c>
      <c r="F234" s="298" t="str">
        <f t="shared" si="11"/>
        <v/>
      </c>
      <c r="G234" t="str">
        <f t="shared" si="9"/>
        <v/>
      </c>
    </row>
    <row r="235" spans="2:7">
      <c r="B235" s="330" t="s">
        <v>302</v>
      </c>
      <c r="C235" s="328">
        <v>16</v>
      </c>
      <c r="E235" s="298" t="str">
        <f t="shared" si="10"/>
        <v/>
      </c>
      <c r="F235" s="298" t="str">
        <f t="shared" si="11"/>
        <v/>
      </c>
      <c r="G235" t="str">
        <f t="shared" si="9"/>
        <v/>
      </c>
    </row>
    <row r="236" spans="2:7">
      <c r="B236" s="329" t="s">
        <v>235</v>
      </c>
      <c r="E236" s="298" t="str">
        <f t="shared" si="10"/>
        <v/>
      </c>
      <c r="F236" s="298" t="str">
        <f t="shared" si="11"/>
        <v/>
      </c>
      <c r="G236" t="str">
        <f t="shared" si="9"/>
        <v/>
      </c>
    </row>
    <row r="237" spans="2:7">
      <c r="B237" s="330" t="s">
        <v>236</v>
      </c>
      <c r="C237" s="328">
        <v>24</v>
      </c>
      <c r="E237" s="298" t="str">
        <f t="shared" si="10"/>
        <v/>
      </c>
      <c r="F237" s="298" t="str">
        <f t="shared" si="11"/>
        <v/>
      </c>
      <c r="G237" t="str">
        <f t="shared" si="9"/>
        <v/>
      </c>
    </row>
    <row r="238" spans="2:7">
      <c r="B238" s="329" t="s">
        <v>2035</v>
      </c>
      <c r="E238" s="298" t="str">
        <f t="shared" si="10"/>
        <v/>
      </c>
      <c r="F238" s="298" t="str">
        <f t="shared" si="11"/>
        <v/>
      </c>
      <c r="G238" t="str">
        <f t="shared" si="9"/>
        <v/>
      </c>
    </row>
    <row r="239" spans="2:7">
      <c r="B239" s="330" t="s">
        <v>2031</v>
      </c>
      <c r="C239" s="328">
        <v>40</v>
      </c>
      <c r="E239" s="298" t="str">
        <f t="shared" si="10"/>
        <v/>
      </c>
      <c r="F239" s="298" t="str">
        <f t="shared" si="11"/>
        <v/>
      </c>
      <c r="G239" t="str">
        <f t="shared" si="9"/>
        <v/>
      </c>
    </row>
    <row r="240" spans="2:7">
      <c r="B240" s="329" t="s">
        <v>323</v>
      </c>
      <c r="E240" s="298" t="str">
        <f t="shared" si="10"/>
        <v/>
      </c>
      <c r="F240" s="298" t="str">
        <f t="shared" si="11"/>
        <v/>
      </c>
      <c r="G240" t="str">
        <f t="shared" si="9"/>
        <v/>
      </c>
    </row>
    <row r="241" spans="2:7">
      <c r="B241" s="330" t="s">
        <v>340</v>
      </c>
      <c r="C241" s="328">
        <v>4</v>
      </c>
      <c r="E241" s="298" t="str">
        <f t="shared" si="10"/>
        <v/>
      </c>
      <c r="F241" s="298" t="str">
        <f t="shared" si="11"/>
        <v/>
      </c>
      <c r="G241" t="str">
        <f t="shared" si="9"/>
        <v/>
      </c>
    </row>
    <row r="242" spans="2:7">
      <c r="B242" s="330" t="s">
        <v>324</v>
      </c>
      <c r="C242" s="328">
        <v>40</v>
      </c>
      <c r="E242" s="298" t="str">
        <f t="shared" si="10"/>
        <v/>
      </c>
      <c r="F242" s="298" t="str">
        <f t="shared" si="11"/>
        <v/>
      </c>
      <c r="G242" t="str">
        <f t="shared" si="9"/>
        <v/>
      </c>
    </row>
    <row r="243" spans="2:7">
      <c r="B243" s="329" t="s">
        <v>440</v>
      </c>
      <c r="E243" s="298" t="str">
        <f t="shared" si="10"/>
        <v/>
      </c>
      <c r="F243" s="298" t="str">
        <f t="shared" si="11"/>
        <v/>
      </c>
      <c r="G243" t="str">
        <f t="shared" si="9"/>
        <v/>
      </c>
    </row>
    <row r="244" spans="2:7">
      <c r="B244" s="330" t="s">
        <v>441</v>
      </c>
      <c r="C244" s="328">
        <v>40</v>
      </c>
      <c r="E244" s="298" t="str">
        <f t="shared" si="10"/>
        <v/>
      </c>
      <c r="F244" s="298" t="str">
        <f t="shared" si="11"/>
        <v/>
      </c>
      <c r="G244" t="str">
        <f t="shared" si="9"/>
        <v/>
      </c>
    </row>
    <row r="245" spans="2:7">
      <c r="B245" s="329" t="s">
        <v>2843</v>
      </c>
      <c r="E245" s="298" t="str">
        <f t="shared" si="10"/>
        <v/>
      </c>
      <c r="F245" s="298" t="str">
        <f t="shared" si="11"/>
        <v/>
      </c>
      <c r="G245" t="str">
        <f t="shared" si="9"/>
        <v/>
      </c>
    </row>
    <row r="246" spans="2:7">
      <c r="B246" s="330" t="s">
        <v>31</v>
      </c>
      <c r="C246" s="328">
        <v>16</v>
      </c>
      <c r="E246" s="298" t="str">
        <f t="shared" si="10"/>
        <v/>
      </c>
      <c r="F246" s="298" t="str">
        <f t="shared" si="11"/>
        <v/>
      </c>
      <c r="G246" t="str">
        <f t="shared" si="9"/>
        <v/>
      </c>
    </row>
    <row r="247" spans="2:7">
      <c r="B247" s="329" t="s">
        <v>257</v>
      </c>
      <c r="E247" s="298" t="str">
        <f t="shared" si="10"/>
        <v/>
      </c>
      <c r="F247" s="298" t="str">
        <f t="shared" si="11"/>
        <v/>
      </c>
      <c r="G247" t="str">
        <f t="shared" si="9"/>
        <v/>
      </c>
    </row>
    <row r="248" spans="2:7">
      <c r="B248" s="330" t="s">
        <v>258</v>
      </c>
      <c r="C248" s="328">
        <v>16</v>
      </c>
      <c r="E248" s="298" t="str">
        <f t="shared" si="10"/>
        <v/>
      </c>
      <c r="F248" s="298" t="str">
        <f t="shared" si="11"/>
        <v/>
      </c>
      <c r="G248" t="str">
        <f t="shared" si="9"/>
        <v/>
      </c>
    </row>
    <row r="249" spans="2:7">
      <c r="B249" s="330" t="s">
        <v>259</v>
      </c>
      <c r="C249" s="328">
        <v>40</v>
      </c>
      <c r="E249" s="298" t="str">
        <f t="shared" si="10"/>
        <v/>
      </c>
      <c r="F249" s="298" t="str">
        <f t="shared" si="11"/>
        <v/>
      </c>
      <c r="G249" t="str">
        <f t="shared" si="9"/>
        <v/>
      </c>
    </row>
    <row r="250" spans="2:7">
      <c r="B250" s="330" t="s">
        <v>260</v>
      </c>
      <c r="C250" s="328">
        <v>4</v>
      </c>
      <c r="E250" s="298" t="str">
        <f t="shared" si="10"/>
        <v/>
      </c>
      <c r="F250" s="298" t="str">
        <f t="shared" si="11"/>
        <v/>
      </c>
      <c r="G250" t="str">
        <f t="shared" si="9"/>
        <v/>
      </c>
    </row>
    <row r="251" spans="2:7">
      <c r="B251" s="330" t="s">
        <v>2032</v>
      </c>
      <c r="C251" s="328">
        <v>40</v>
      </c>
      <c r="E251" s="298" t="str">
        <f t="shared" si="10"/>
        <v/>
      </c>
      <c r="F251" s="298" t="str">
        <f t="shared" si="11"/>
        <v/>
      </c>
      <c r="G251" t="str">
        <f t="shared" si="9"/>
        <v/>
      </c>
    </row>
    <row r="252" spans="2:7">
      <c r="B252" s="329" t="s">
        <v>294</v>
      </c>
      <c r="E252" s="298" t="str">
        <f t="shared" si="10"/>
        <v/>
      </c>
      <c r="F252" s="298" t="str">
        <f t="shared" si="11"/>
        <v/>
      </c>
      <c r="G252" t="str">
        <f t="shared" si="9"/>
        <v/>
      </c>
    </row>
    <row r="253" spans="2:7">
      <c r="B253" s="330" t="s">
        <v>295</v>
      </c>
      <c r="C253" s="328">
        <v>8</v>
      </c>
      <c r="E253" s="298" t="str">
        <f t="shared" si="10"/>
        <v/>
      </c>
      <c r="F253" s="298" t="str">
        <f t="shared" si="11"/>
        <v/>
      </c>
      <c r="G253" t="str">
        <f t="shared" si="9"/>
        <v/>
      </c>
    </row>
    <row r="254" spans="2:7">
      <c r="B254" s="330" t="s">
        <v>296</v>
      </c>
      <c r="C254" s="328">
        <v>24</v>
      </c>
      <c r="E254" s="298" t="str">
        <f t="shared" si="10"/>
        <v/>
      </c>
      <c r="F254" s="298" t="str">
        <f t="shared" si="11"/>
        <v/>
      </c>
      <c r="G254" t="str">
        <f t="shared" si="9"/>
        <v/>
      </c>
    </row>
    <row r="255" spans="2:7">
      <c r="B255" s="329" t="s">
        <v>414</v>
      </c>
      <c r="E255" s="298" t="str">
        <f t="shared" si="10"/>
        <v/>
      </c>
      <c r="F255" s="298" t="str">
        <f t="shared" si="11"/>
        <v/>
      </c>
      <c r="G255" t="str">
        <f t="shared" si="9"/>
        <v/>
      </c>
    </row>
    <row r="256" spans="2:7">
      <c r="B256" s="330" t="s">
        <v>414</v>
      </c>
      <c r="C256" s="328">
        <v>24</v>
      </c>
      <c r="E256" s="298" t="str">
        <f t="shared" si="10"/>
        <v/>
      </c>
      <c r="F256" s="298" t="str">
        <f t="shared" si="11"/>
        <v/>
      </c>
      <c r="G256" t="str">
        <f t="shared" si="9"/>
        <v/>
      </c>
    </row>
    <row r="257" spans="2:7">
      <c r="B257" s="329" t="s">
        <v>303</v>
      </c>
      <c r="E257" s="298" t="str">
        <f t="shared" si="10"/>
        <v/>
      </c>
      <c r="F257" s="298" t="str">
        <f t="shared" si="11"/>
        <v/>
      </c>
      <c r="G257" t="str">
        <f t="shared" si="9"/>
        <v/>
      </c>
    </row>
    <row r="258" spans="2:7">
      <c r="B258" s="330" t="s">
        <v>304</v>
      </c>
      <c r="C258" s="328">
        <v>16</v>
      </c>
      <c r="E258" s="298" t="str">
        <f t="shared" si="10"/>
        <v/>
      </c>
      <c r="F258" s="298" t="str">
        <f t="shared" si="11"/>
        <v/>
      </c>
      <c r="G258" t="str">
        <f t="shared" si="9"/>
        <v/>
      </c>
    </row>
    <row r="259" spans="2:7">
      <c r="B259" s="330" t="s">
        <v>307</v>
      </c>
      <c r="C259" s="328">
        <v>32</v>
      </c>
      <c r="E259" s="298" t="str">
        <f t="shared" si="10"/>
        <v/>
      </c>
      <c r="F259" s="298" t="str">
        <f t="shared" si="11"/>
        <v/>
      </c>
      <c r="G259" t="str">
        <f t="shared" si="9"/>
        <v/>
      </c>
    </row>
    <row r="260" spans="2:7">
      <c r="B260" s="329" t="s">
        <v>768</v>
      </c>
      <c r="E260" s="298" t="str">
        <f t="shared" si="10"/>
        <v/>
      </c>
      <c r="F260" s="298" t="str">
        <f t="shared" si="11"/>
        <v/>
      </c>
      <c r="G260" t="str">
        <f t="shared" si="9"/>
        <v/>
      </c>
    </row>
    <row r="261" spans="2:7">
      <c r="B261" s="330" t="s">
        <v>217</v>
      </c>
      <c r="C261" s="328">
        <v>6</v>
      </c>
      <c r="E261" s="298" t="str">
        <f t="shared" si="10"/>
        <v/>
      </c>
      <c r="F261" s="298" t="str">
        <f t="shared" si="11"/>
        <v/>
      </c>
      <c r="G261" t="str">
        <f t="shared" si="9"/>
        <v/>
      </c>
    </row>
    <row r="262" spans="2:7">
      <c r="B262" s="330" t="s">
        <v>222</v>
      </c>
      <c r="C262" s="328">
        <v>16</v>
      </c>
      <c r="E262" s="298" t="str">
        <f t="shared" si="10"/>
        <v/>
      </c>
      <c r="F262" s="298" t="str">
        <f t="shared" si="11"/>
        <v/>
      </c>
      <c r="G262" t="str">
        <f t="shared" si="9"/>
        <v/>
      </c>
    </row>
    <row r="263" spans="2:7">
      <c r="B263" s="330" t="s">
        <v>223</v>
      </c>
      <c r="C263" s="328">
        <v>12</v>
      </c>
      <c r="E263" s="298" t="str">
        <f t="shared" si="10"/>
        <v/>
      </c>
      <c r="F263" s="298" t="str">
        <f t="shared" si="11"/>
        <v/>
      </c>
      <c r="G263" t="str">
        <f t="shared" si="9"/>
        <v/>
      </c>
    </row>
    <row r="264" spans="2:7">
      <c r="B264" s="330" t="s">
        <v>224</v>
      </c>
      <c r="C264" s="328">
        <v>12</v>
      </c>
      <c r="E264" s="298" t="str">
        <f t="shared" si="10"/>
        <v/>
      </c>
      <c r="F264" s="298" t="str">
        <f t="shared" si="11"/>
        <v/>
      </c>
      <c r="G264" t="str">
        <f t="shared" si="9"/>
        <v/>
      </c>
    </row>
    <row r="265" spans="2:7">
      <c r="B265" s="330" t="s">
        <v>225</v>
      </c>
      <c r="C265" s="328">
        <v>8</v>
      </c>
      <c r="E265" s="298" t="str">
        <f t="shared" si="10"/>
        <v/>
      </c>
      <c r="F265" s="298" t="str">
        <f t="shared" si="11"/>
        <v/>
      </c>
      <c r="G265" t="str">
        <f t="shared" si="9"/>
        <v/>
      </c>
    </row>
    <row r="266" spans="2:7">
      <c r="B266" s="330" t="s">
        <v>226</v>
      </c>
      <c r="C266" s="328">
        <v>4</v>
      </c>
      <c r="E266" s="298" t="str">
        <f t="shared" si="10"/>
        <v/>
      </c>
      <c r="F266" s="298" t="str">
        <f t="shared" si="11"/>
        <v/>
      </c>
      <c r="G266" t="str">
        <f t="shared" si="9"/>
        <v/>
      </c>
    </row>
    <row r="267" spans="2:7">
      <c r="B267" s="330" t="s">
        <v>228</v>
      </c>
      <c r="C267" s="328">
        <v>4</v>
      </c>
      <c r="E267" s="298" t="str">
        <f t="shared" si="10"/>
        <v/>
      </c>
      <c r="F267" s="298" t="str">
        <f t="shared" si="11"/>
        <v/>
      </c>
      <c r="G267" t="str">
        <f t="shared" si="9"/>
        <v/>
      </c>
    </row>
    <row r="268" spans="2:7">
      <c r="B268" s="329" t="s">
        <v>313</v>
      </c>
      <c r="E268" s="298" t="str">
        <f t="shared" si="10"/>
        <v/>
      </c>
      <c r="F268" s="298" t="str">
        <f t="shared" si="11"/>
        <v/>
      </c>
      <c r="G268" t="str">
        <f t="shared" si="9"/>
        <v/>
      </c>
    </row>
    <row r="269" spans="2:7">
      <c r="B269" s="330" t="s">
        <v>314</v>
      </c>
      <c r="C269" s="328">
        <v>8</v>
      </c>
      <c r="E269" s="298" t="str">
        <f t="shared" si="10"/>
        <v/>
      </c>
      <c r="F269" s="298" t="str">
        <f t="shared" si="11"/>
        <v/>
      </c>
      <c r="G269" t="str">
        <f t="shared" si="9"/>
        <v/>
      </c>
    </row>
    <row r="270" spans="2:7">
      <c r="B270" s="330" t="s">
        <v>316</v>
      </c>
      <c r="C270" s="328">
        <v>40</v>
      </c>
      <c r="E270" s="298" t="str">
        <f t="shared" si="10"/>
        <v/>
      </c>
      <c r="F270" s="298" t="str">
        <f t="shared" si="11"/>
        <v/>
      </c>
      <c r="G270" t="str">
        <f t="shared" ref="G270:G333" si="12">IF(F270&lt;&gt;"","INSERIR COMENTÁRIO PMO","")</f>
        <v/>
      </c>
    </row>
    <row r="271" spans="2:7">
      <c r="B271" s="330" t="s">
        <v>317</v>
      </c>
      <c r="C271" s="328">
        <v>32</v>
      </c>
      <c r="E271" s="298" t="str">
        <f t="shared" ref="E271:E334" si="13">IF(D271&lt;&gt;0,"INSERIR JUSTIFICATIVA","")</f>
        <v/>
      </c>
      <c r="F271" s="298" t="str">
        <f t="shared" ref="F271:F334" si="14">IF(E271&lt;&gt;"","INSERIR HORA PMO","")</f>
        <v/>
      </c>
      <c r="G271" t="str">
        <f t="shared" si="12"/>
        <v/>
      </c>
    </row>
    <row r="272" spans="2:7">
      <c r="B272" s="330" t="s">
        <v>318</v>
      </c>
      <c r="C272" s="328">
        <v>8</v>
      </c>
      <c r="E272" s="298" t="str">
        <f t="shared" si="13"/>
        <v/>
      </c>
      <c r="F272" s="298" t="str">
        <f t="shared" si="14"/>
        <v/>
      </c>
      <c r="G272" t="str">
        <f t="shared" si="12"/>
        <v/>
      </c>
    </row>
    <row r="273" spans="2:7">
      <c r="B273" s="330" t="s">
        <v>315</v>
      </c>
      <c r="C273" s="328">
        <v>0</v>
      </c>
      <c r="E273" s="298" t="str">
        <f t="shared" si="13"/>
        <v/>
      </c>
      <c r="F273" s="298" t="str">
        <f t="shared" si="14"/>
        <v/>
      </c>
      <c r="G273" t="str">
        <f t="shared" si="12"/>
        <v/>
      </c>
    </row>
    <row r="274" spans="2:7">
      <c r="B274" s="329" t="s">
        <v>415</v>
      </c>
      <c r="E274" s="298" t="str">
        <f t="shared" si="13"/>
        <v/>
      </c>
      <c r="F274" s="298" t="str">
        <f t="shared" si="14"/>
        <v/>
      </c>
      <c r="G274" t="str">
        <f t="shared" si="12"/>
        <v/>
      </c>
    </row>
    <row r="275" spans="2:7">
      <c r="B275" s="330" t="s">
        <v>416</v>
      </c>
      <c r="C275" s="328">
        <v>12</v>
      </c>
      <c r="E275" s="298" t="str">
        <f t="shared" si="13"/>
        <v/>
      </c>
      <c r="F275" s="298" t="str">
        <f t="shared" si="14"/>
        <v/>
      </c>
      <c r="G275" t="str">
        <f t="shared" si="12"/>
        <v/>
      </c>
    </row>
    <row r="276" spans="2:7">
      <c r="B276" s="330" t="s">
        <v>417</v>
      </c>
      <c r="C276" s="328">
        <v>12</v>
      </c>
      <c r="E276" s="298" t="str">
        <f t="shared" si="13"/>
        <v/>
      </c>
      <c r="F276" s="298" t="str">
        <f t="shared" si="14"/>
        <v/>
      </c>
      <c r="G276" t="str">
        <f t="shared" si="12"/>
        <v/>
      </c>
    </row>
    <row r="277" spans="2:7">
      <c r="B277" s="329" t="s">
        <v>13</v>
      </c>
      <c r="E277" s="298" t="str">
        <f t="shared" si="13"/>
        <v/>
      </c>
      <c r="F277" s="298" t="str">
        <f t="shared" si="14"/>
        <v/>
      </c>
      <c r="G277" t="str">
        <f t="shared" si="12"/>
        <v/>
      </c>
    </row>
    <row r="278" spans="2:7">
      <c r="B278" s="330" t="s">
        <v>43</v>
      </c>
      <c r="C278" s="328">
        <v>8</v>
      </c>
      <c r="E278" s="298" t="str">
        <f t="shared" si="13"/>
        <v/>
      </c>
      <c r="F278" s="298" t="str">
        <f t="shared" si="14"/>
        <v/>
      </c>
      <c r="G278" t="str">
        <f t="shared" si="12"/>
        <v/>
      </c>
    </row>
    <row r="279" spans="2:7">
      <c r="B279" s="330" t="s">
        <v>44</v>
      </c>
      <c r="C279" s="328">
        <v>12</v>
      </c>
      <c r="E279" s="298" t="str">
        <f t="shared" si="13"/>
        <v/>
      </c>
      <c r="F279" s="298" t="str">
        <f t="shared" si="14"/>
        <v/>
      </c>
      <c r="G279" t="str">
        <f t="shared" si="12"/>
        <v/>
      </c>
    </row>
    <row r="280" spans="2:7">
      <c r="B280" s="330" t="s">
        <v>230</v>
      </c>
      <c r="C280" s="328">
        <v>4</v>
      </c>
      <c r="E280" s="298" t="str">
        <f t="shared" si="13"/>
        <v/>
      </c>
      <c r="F280" s="298" t="str">
        <f t="shared" si="14"/>
        <v/>
      </c>
      <c r="G280" t="str">
        <f t="shared" si="12"/>
        <v/>
      </c>
    </row>
    <row r="281" spans="2:7">
      <c r="B281" s="330" t="s">
        <v>368</v>
      </c>
      <c r="C281" s="328">
        <v>4</v>
      </c>
      <c r="E281" s="298" t="str">
        <f t="shared" si="13"/>
        <v/>
      </c>
      <c r="F281" s="298" t="str">
        <f t="shared" si="14"/>
        <v/>
      </c>
      <c r="G281" t="str">
        <f t="shared" si="12"/>
        <v/>
      </c>
    </row>
    <row r="282" spans="2:7">
      <c r="B282" s="330" t="s">
        <v>46</v>
      </c>
      <c r="C282" s="328">
        <v>24</v>
      </c>
      <c r="E282" s="298" t="str">
        <f t="shared" si="13"/>
        <v/>
      </c>
      <c r="F282" s="298" t="str">
        <f t="shared" si="14"/>
        <v/>
      </c>
      <c r="G282" t="str">
        <f t="shared" si="12"/>
        <v/>
      </c>
    </row>
    <row r="283" spans="2:7">
      <c r="B283" s="330" t="s">
        <v>45</v>
      </c>
      <c r="C283" s="328">
        <v>16</v>
      </c>
      <c r="E283" s="298" t="str">
        <f t="shared" si="13"/>
        <v/>
      </c>
      <c r="F283" s="298" t="str">
        <f t="shared" si="14"/>
        <v/>
      </c>
      <c r="G283" t="str">
        <f t="shared" si="12"/>
        <v/>
      </c>
    </row>
    <row r="284" spans="2:7">
      <c r="B284" s="329" t="s">
        <v>2</v>
      </c>
      <c r="E284" s="298" t="str">
        <f t="shared" si="13"/>
        <v/>
      </c>
      <c r="F284" s="298" t="str">
        <f t="shared" si="14"/>
        <v/>
      </c>
      <c r="G284" t="str">
        <f t="shared" si="12"/>
        <v/>
      </c>
    </row>
    <row r="285" spans="2:7">
      <c r="B285" s="330" t="s">
        <v>322</v>
      </c>
      <c r="C285" s="328">
        <v>4</v>
      </c>
      <c r="E285" s="298" t="str">
        <f t="shared" si="13"/>
        <v/>
      </c>
      <c r="F285" s="298" t="str">
        <f t="shared" si="14"/>
        <v/>
      </c>
      <c r="G285" t="str">
        <f t="shared" si="12"/>
        <v/>
      </c>
    </row>
    <row r="286" spans="2:7">
      <c r="B286" s="330" t="s">
        <v>1737</v>
      </c>
      <c r="C286" s="328">
        <v>2</v>
      </c>
      <c r="E286" s="298" t="str">
        <f t="shared" si="13"/>
        <v/>
      </c>
      <c r="F286" s="298" t="str">
        <f t="shared" si="14"/>
        <v/>
      </c>
      <c r="G286" t="str">
        <f t="shared" si="12"/>
        <v/>
      </c>
    </row>
    <row r="287" spans="2:7">
      <c r="B287" s="329" t="s">
        <v>308</v>
      </c>
      <c r="E287" s="298" t="str">
        <f t="shared" si="13"/>
        <v/>
      </c>
      <c r="F287" s="298" t="str">
        <f t="shared" si="14"/>
        <v/>
      </c>
      <c r="G287" t="str">
        <f t="shared" si="12"/>
        <v/>
      </c>
    </row>
    <row r="288" spans="2:7">
      <c r="B288" s="330" t="s">
        <v>309</v>
      </c>
      <c r="C288" s="328">
        <v>40</v>
      </c>
      <c r="E288" s="298" t="str">
        <f t="shared" si="13"/>
        <v/>
      </c>
      <c r="F288" s="298" t="str">
        <f t="shared" si="14"/>
        <v/>
      </c>
      <c r="G288" t="str">
        <f t="shared" si="12"/>
        <v/>
      </c>
    </row>
    <row r="289" spans="2:7">
      <c r="B289" s="329" t="s">
        <v>188</v>
      </c>
      <c r="E289" s="298" t="str">
        <f t="shared" si="13"/>
        <v/>
      </c>
      <c r="F289" s="298" t="str">
        <f t="shared" si="14"/>
        <v/>
      </c>
      <c r="G289" t="str">
        <f t="shared" si="12"/>
        <v/>
      </c>
    </row>
    <row r="290" spans="2:7">
      <c r="B290" s="330" t="s">
        <v>189</v>
      </c>
      <c r="C290" s="328">
        <v>8</v>
      </c>
      <c r="E290" s="298" t="str">
        <f t="shared" si="13"/>
        <v/>
      </c>
      <c r="F290" s="298" t="str">
        <f t="shared" si="14"/>
        <v/>
      </c>
      <c r="G290" t="str">
        <f t="shared" si="12"/>
        <v/>
      </c>
    </row>
    <row r="291" spans="2:7">
      <c r="B291" s="330" t="s">
        <v>190</v>
      </c>
      <c r="C291" s="328">
        <v>24</v>
      </c>
      <c r="E291" s="298" t="str">
        <f t="shared" si="13"/>
        <v/>
      </c>
      <c r="F291" s="298" t="str">
        <f t="shared" si="14"/>
        <v/>
      </c>
      <c r="G291" t="str">
        <f t="shared" si="12"/>
        <v/>
      </c>
    </row>
    <row r="292" spans="2:7">
      <c r="B292" s="330" t="s">
        <v>193</v>
      </c>
      <c r="C292" s="328">
        <v>8</v>
      </c>
      <c r="E292" s="298" t="str">
        <f t="shared" si="13"/>
        <v/>
      </c>
      <c r="F292" s="298" t="str">
        <f t="shared" si="14"/>
        <v/>
      </c>
      <c r="G292" t="str">
        <f t="shared" si="12"/>
        <v/>
      </c>
    </row>
    <row r="293" spans="2:7">
      <c r="B293" s="330" t="s">
        <v>196</v>
      </c>
      <c r="C293" s="328">
        <v>2</v>
      </c>
      <c r="E293" s="298" t="str">
        <f t="shared" si="13"/>
        <v/>
      </c>
      <c r="F293" s="298" t="str">
        <f t="shared" si="14"/>
        <v/>
      </c>
      <c r="G293" t="str">
        <f t="shared" si="12"/>
        <v/>
      </c>
    </row>
    <row r="294" spans="2:7">
      <c r="B294" s="330" t="s">
        <v>197</v>
      </c>
      <c r="C294" s="328">
        <v>1</v>
      </c>
      <c r="E294" s="298" t="str">
        <f t="shared" si="13"/>
        <v/>
      </c>
      <c r="F294" s="298" t="str">
        <f t="shared" si="14"/>
        <v/>
      </c>
      <c r="G294" t="str">
        <f t="shared" si="12"/>
        <v/>
      </c>
    </row>
    <row r="295" spans="2:7">
      <c r="B295" s="330" t="s">
        <v>199</v>
      </c>
      <c r="C295" s="328">
        <v>8</v>
      </c>
      <c r="E295" s="298" t="str">
        <f t="shared" si="13"/>
        <v/>
      </c>
      <c r="F295" s="298" t="str">
        <f t="shared" si="14"/>
        <v/>
      </c>
      <c r="G295" t="str">
        <f t="shared" si="12"/>
        <v/>
      </c>
    </row>
    <row r="296" spans="2:7">
      <c r="B296" s="330" t="s">
        <v>200</v>
      </c>
      <c r="C296" s="328">
        <v>24</v>
      </c>
      <c r="E296" s="298" t="str">
        <f t="shared" si="13"/>
        <v/>
      </c>
      <c r="F296" s="298" t="str">
        <f t="shared" si="14"/>
        <v/>
      </c>
      <c r="G296" t="str">
        <f t="shared" si="12"/>
        <v/>
      </c>
    </row>
    <row r="297" spans="2:7">
      <c r="B297" s="330" t="s">
        <v>201</v>
      </c>
      <c r="C297" s="328">
        <v>16</v>
      </c>
      <c r="E297" s="298" t="str">
        <f t="shared" si="13"/>
        <v/>
      </c>
      <c r="F297" s="298" t="str">
        <f t="shared" si="14"/>
        <v/>
      </c>
      <c r="G297" t="str">
        <f t="shared" si="12"/>
        <v/>
      </c>
    </row>
    <row r="298" spans="2:7">
      <c r="B298" s="330" t="s">
        <v>653</v>
      </c>
      <c r="C298" s="328">
        <v>16</v>
      </c>
      <c r="E298" s="298" t="str">
        <f t="shared" si="13"/>
        <v/>
      </c>
      <c r="F298" s="298" t="str">
        <f t="shared" si="14"/>
        <v/>
      </c>
      <c r="G298" t="str">
        <f t="shared" si="12"/>
        <v/>
      </c>
    </row>
    <row r="299" spans="2:7">
      <c r="B299" s="330" t="s">
        <v>203</v>
      </c>
      <c r="C299" s="328">
        <v>8</v>
      </c>
      <c r="E299" s="298" t="str">
        <f t="shared" si="13"/>
        <v/>
      </c>
      <c r="F299" s="298" t="str">
        <f t="shared" si="14"/>
        <v/>
      </c>
      <c r="G299" t="str">
        <f t="shared" si="12"/>
        <v/>
      </c>
    </row>
    <row r="300" spans="2:7">
      <c r="B300" s="330" t="s">
        <v>206</v>
      </c>
      <c r="C300" s="328">
        <v>6</v>
      </c>
      <c r="E300" s="298" t="str">
        <f t="shared" si="13"/>
        <v/>
      </c>
      <c r="F300" s="298" t="str">
        <f t="shared" si="14"/>
        <v/>
      </c>
      <c r="G300" t="str">
        <f t="shared" si="12"/>
        <v/>
      </c>
    </row>
    <row r="301" spans="2:7">
      <c r="B301" s="330" t="s">
        <v>393</v>
      </c>
      <c r="C301" s="328">
        <v>4</v>
      </c>
      <c r="E301" s="298" t="str">
        <f t="shared" si="13"/>
        <v/>
      </c>
      <c r="F301" s="298" t="str">
        <f t="shared" si="14"/>
        <v/>
      </c>
      <c r="G301" t="str">
        <f t="shared" si="12"/>
        <v/>
      </c>
    </row>
    <row r="302" spans="2:7">
      <c r="B302" s="330" t="s">
        <v>2899</v>
      </c>
      <c r="C302" s="328">
        <v>2</v>
      </c>
      <c r="E302" s="298" t="str">
        <f t="shared" si="13"/>
        <v/>
      </c>
      <c r="F302" s="298" t="str">
        <f t="shared" si="14"/>
        <v/>
      </c>
      <c r="G302" t="str">
        <f t="shared" si="12"/>
        <v/>
      </c>
    </row>
    <row r="303" spans="2:7">
      <c r="B303" s="329" t="s">
        <v>19</v>
      </c>
      <c r="E303" s="298" t="str">
        <f t="shared" si="13"/>
        <v/>
      </c>
      <c r="F303" s="298" t="str">
        <f t="shared" si="14"/>
        <v/>
      </c>
      <c r="G303" t="str">
        <f t="shared" si="12"/>
        <v/>
      </c>
    </row>
    <row r="304" spans="2:7">
      <c r="B304" s="330" t="s">
        <v>310</v>
      </c>
      <c r="C304" s="328">
        <v>32</v>
      </c>
      <c r="E304" s="298" t="str">
        <f t="shared" si="13"/>
        <v/>
      </c>
      <c r="F304" s="298" t="str">
        <f t="shared" si="14"/>
        <v/>
      </c>
      <c r="G304" t="str">
        <f t="shared" si="12"/>
        <v/>
      </c>
    </row>
    <row r="305" spans="2:7">
      <c r="B305" s="329" t="s">
        <v>21</v>
      </c>
      <c r="E305" s="298" t="str">
        <f t="shared" si="13"/>
        <v/>
      </c>
      <c r="F305" s="298" t="str">
        <f t="shared" si="14"/>
        <v/>
      </c>
      <c r="G305" t="str">
        <f t="shared" si="12"/>
        <v/>
      </c>
    </row>
    <row r="306" spans="2:7">
      <c r="B306" s="330" t="s">
        <v>76</v>
      </c>
      <c r="C306" s="328">
        <v>16</v>
      </c>
      <c r="E306" s="298" t="str">
        <f t="shared" si="13"/>
        <v/>
      </c>
      <c r="F306" s="298" t="str">
        <f t="shared" si="14"/>
        <v/>
      </c>
      <c r="G306" t="str">
        <f t="shared" si="12"/>
        <v/>
      </c>
    </row>
    <row r="307" spans="2:7">
      <c r="B307" s="330" t="s">
        <v>311</v>
      </c>
      <c r="C307" s="328">
        <v>16</v>
      </c>
      <c r="E307" s="298" t="str">
        <f t="shared" si="13"/>
        <v/>
      </c>
      <c r="F307" s="298" t="str">
        <f t="shared" si="14"/>
        <v/>
      </c>
      <c r="G307" t="str">
        <f t="shared" si="12"/>
        <v/>
      </c>
    </row>
    <row r="308" spans="2:7">
      <c r="B308" s="330" t="s">
        <v>77</v>
      </c>
      <c r="C308" s="328">
        <v>8</v>
      </c>
      <c r="E308" s="298" t="str">
        <f t="shared" si="13"/>
        <v/>
      </c>
      <c r="F308" s="298" t="str">
        <f t="shared" si="14"/>
        <v/>
      </c>
      <c r="G308" t="str">
        <f t="shared" si="12"/>
        <v/>
      </c>
    </row>
    <row r="309" spans="2:7">
      <c r="B309" s="330" t="s">
        <v>78</v>
      </c>
      <c r="C309" s="328">
        <v>8</v>
      </c>
      <c r="E309" s="298" t="str">
        <f t="shared" si="13"/>
        <v/>
      </c>
      <c r="F309" s="298" t="str">
        <f t="shared" si="14"/>
        <v/>
      </c>
      <c r="G309" t="str">
        <f t="shared" si="12"/>
        <v/>
      </c>
    </row>
    <row r="310" spans="2:7">
      <c r="B310" s="329" t="s">
        <v>4</v>
      </c>
      <c r="E310" s="298" t="str">
        <f t="shared" si="13"/>
        <v/>
      </c>
      <c r="F310" s="298" t="str">
        <f t="shared" si="14"/>
        <v/>
      </c>
      <c r="G310" t="str">
        <f t="shared" si="12"/>
        <v/>
      </c>
    </row>
    <row r="311" spans="2:7">
      <c r="B311" s="330" t="s">
        <v>79</v>
      </c>
      <c r="C311" s="328">
        <v>8</v>
      </c>
      <c r="E311" s="298" t="str">
        <f t="shared" si="13"/>
        <v/>
      </c>
      <c r="F311" s="298" t="str">
        <f t="shared" si="14"/>
        <v/>
      </c>
      <c r="G311" t="str">
        <f t="shared" si="12"/>
        <v/>
      </c>
    </row>
    <row r="312" spans="2:7">
      <c r="B312" s="330" t="s">
        <v>741</v>
      </c>
      <c r="C312" s="328">
        <v>8</v>
      </c>
      <c r="E312" s="298" t="str">
        <f t="shared" si="13"/>
        <v/>
      </c>
      <c r="F312" s="298" t="str">
        <f t="shared" si="14"/>
        <v/>
      </c>
      <c r="G312" t="str">
        <f t="shared" si="12"/>
        <v/>
      </c>
    </row>
    <row r="313" spans="2:7">
      <c r="B313" s="330" t="s">
        <v>81</v>
      </c>
      <c r="C313" s="328">
        <v>8</v>
      </c>
      <c r="E313" s="298" t="str">
        <f t="shared" si="13"/>
        <v/>
      </c>
      <c r="F313" s="298" t="str">
        <f t="shared" si="14"/>
        <v/>
      </c>
      <c r="G313" t="str">
        <f t="shared" si="12"/>
        <v/>
      </c>
    </row>
    <row r="314" spans="2:7">
      <c r="B314" s="330" t="s">
        <v>83</v>
      </c>
      <c r="C314" s="328">
        <v>4</v>
      </c>
      <c r="E314" s="298" t="str">
        <f t="shared" si="13"/>
        <v/>
      </c>
      <c r="F314" s="298" t="str">
        <f t="shared" si="14"/>
        <v/>
      </c>
      <c r="G314" t="str">
        <f t="shared" si="12"/>
        <v/>
      </c>
    </row>
    <row r="315" spans="2:7">
      <c r="B315" s="330" t="s">
        <v>84</v>
      </c>
      <c r="C315" s="328">
        <v>4</v>
      </c>
      <c r="E315" s="298" t="str">
        <f t="shared" si="13"/>
        <v/>
      </c>
      <c r="F315" s="298" t="str">
        <f t="shared" si="14"/>
        <v/>
      </c>
      <c r="G315" t="str">
        <f t="shared" si="12"/>
        <v/>
      </c>
    </row>
    <row r="316" spans="2:7">
      <c r="B316" s="330" t="s">
        <v>89</v>
      </c>
      <c r="C316" s="328">
        <v>24</v>
      </c>
      <c r="E316" s="298" t="str">
        <f t="shared" si="13"/>
        <v/>
      </c>
      <c r="F316" s="298" t="str">
        <f t="shared" si="14"/>
        <v/>
      </c>
      <c r="G316" t="str">
        <f t="shared" si="12"/>
        <v/>
      </c>
    </row>
    <row r="317" spans="2:7">
      <c r="B317" s="330" t="s">
        <v>90</v>
      </c>
      <c r="C317" s="328">
        <v>16</v>
      </c>
      <c r="E317" s="298" t="str">
        <f t="shared" si="13"/>
        <v/>
      </c>
      <c r="F317" s="298" t="str">
        <f t="shared" si="14"/>
        <v/>
      </c>
      <c r="G317" t="str">
        <f t="shared" si="12"/>
        <v/>
      </c>
    </row>
    <row r="318" spans="2:7">
      <c r="B318" s="330" t="s">
        <v>4132</v>
      </c>
      <c r="C318" s="328">
        <v>4</v>
      </c>
      <c r="E318" s="298" t="str">
        <f t="shared" si="13"/>
        <v/>
      </c>
      <c r="F318" s="298" t="str">
        <f t="shared" si="14"/>
        <v/>
      </c>
      <c r="G318" t="str">
        <f t="shared" si="12"/>
        <v/>
      </c>
    </row>
    <row r="319" spans="2:7">
      <c r="B319" s="329" t="s">
        <v>9</v>
      </c>
      <c r="E319" s="298" t="str">
        <f t="shared" si="13"/>
        <v/>
      </c>
      <c r="F319" s="298" t="str">
        <f t="shared" si="14"/>
        <v/>
      </c>
      <c r="G319" t="str">
        <f t="shared" si="12"/>
        <v/>
      </c>
    </row>
    <row r="320" spans="2:7">
      <c r="B320" s="330" t="s">
        <v>91</v>
      </c>
      <c r="C320" s="328">
        <v>8</v>
      </c>
      <c r="E320" s="298" t="str">
        <f t="shared" si="13"/>
        <v/>
      </c>
      <c r="F320" s="298" t="str">
        <f t="shared" si="14"/>
        <v/>
      </c>
      <c r="G320" t="str">
        <f t="shared" si="12"/>
        <v/>
      </c>
    </row>
    <row r="321" spans="2:7">
      <c r="B321" s="330" t="s">
        <v>974</v>
      </c>
      <c r="C321" s="328">
        <v>4</v>
      </c>
      <c r="E321" s="298" t="str">
        <f t="shared" si="13"/>
        <v/>
      </c>
      <c r="F321" s="298" t="str">
        <f t="shared" si="14"/>
        <v/>
      </c>
      <c r="G321" t="str">
        <f t="shared" si="12"/>
        <v/>
      </c>
    </row>
    <row r="322" spans="2:7">
      <c r="B322" s="330" t="s">
        <v>92</v>
      </c>
      <c r="C322" s="328">
        <v>16</v>
      </c>
      <c r="E322" s="298" t="str">
        <f t="shared" si="13"/>
        <v/>
      </c>
      <c r="F322" s="298" t="str">
        <f t="shared" si="14"/>
        <v/>
      </c>
      <c r="G322" t="str">
        <f t="shared" si="12"/>
        <v/>
      </c>
    </row>
    <row r="323" spans="2:7">
      <c r="B323" s="330" t="s">
        <v>93</v>
      </c>
      <c r="C323" s="328">
        <v>24</v>
      </c>
      <c r="E323" s="298" t="str">
        <f t="shared" si="13"/>
        <v/>
      </c>
      <c r="F323" s="298" t="str">
        <f t="shared" si="14"/>
        <v/>
      </c>
      <c r="G323" t="str">
        <f t="shared" si="12"/>
        <v/>
      </c>
    </row>
    <row r="324" spans="2:7">
      <c r="B324" s="330" t="s">
        <v>332</v>
      </c>
      <c r="C324" s="328">
        <v>4</v>
      </c>
      <c r="E324" s="298" t="str">
        <f t="shared" si="13"/>
        <v/>
      </c>
      <c r="F324" s="298" t="str">
        <f t="shared" si="14"/>
        <v/>
      </c>
      <c r="G324" t="str">
        <f t="shared" si="12"/>
        <v/>
      </c>
    </row>
    <row r="325" spans="2:7">
      <c r="B325" s="330" t="s">
        <v>341</v>
      </c>
      <c r="C325" s="328">
        <v>4</v>
      </c>
      <c r="E325" s="298" t="str">
        <f t="shared" si="13"/>
        <v/>
      </c>
      <c r="F325" s="298" t="str">
        <f t="shared" si="14"/>
        <v/>
      </c>
      <c r="G325" t="str">
        <f t="shared" si="12"/>
        <v/>
      </c>
    </row>
    <row r="326" spans="2:7">
      <c r="B326" s="330" t="s">
        <v>97</v>
      </c>
      <c r="C326" s="328">
        <v>8</v>
      </c>
      <c r="E326" s="298" t="str">
        <f t="shared" si="13"/>
        <v/>
      </c>
      <c r="F326" s="298" t="str">
        <f t="shared" si="14"/>
        <v/>
      </c>
      <c r="G326" t="str">
        <f t="shared" si="12"/>
        <v/>
      </c>
    </row>
    <row r="327" spans="2:7">
      <c r="B327" s="330" t="s">
        <v>98</v>
      </c>
      <c r="C327" s="328">
        <v>4</v>
      </c>
      <c r="E327" s="298" t="str">
        <f t="shared" si="13"/>
        <v/>
      </c>
      <c r="F327" s="298" t="str">
        <f t="shared" si="14"/>
        <v/>
      </c>
      <c r="G327" t="str">
        <f t="shared" si="12"/>
        <v/>
      </c>
    </row>
    <row r="328" spans="2:7">
      <c r="B328" s="330" t="s">
        <v>1360</v>
      </c>
      <c r="C328" s="328">
        <v>4</v>
      </c>
      <c r="E328" s="298" t="str">
        <f t="shared" si="13"/>
        <v/>
      </c>
      <c r="F328" s="298" t="str">
        <f t="shared" si="14"/>
        <v/>
      </c>
      <c r="G328" t="str">
        <f t="shared" si="12"/>
        <v/>
      </c>
    </row>
    <row r="329" spans="2:7">
      <c r="B329" s="330" t="s">
        <v>1224</v>
      </c>
      <c r="C329" s="328">
        <v>4</v>
      </c>
      <c r="E329" s="298" t="str">
        <f t="shared" si="13"/>
        <v/>
      </c>
      <c r="F329" s="298" t="str">
        <f t="shared" si="14"/>
        <v/>
      </c>
      <c r="G329" t="str">
        <f t="shared" si="12"/>
        <v/>
      </c>
    </row>
    <row r="330" spans="2:7">
      <c r="B330" s="330" t="s">
        <v>99</v>
      </c>
      <c r="C330" s="328">
        <v>16</v>
      </c>
      <c r="E330" s="298" t="str">
        <f t="shared" si="13"/>
        <v/>
      </c>
      <c r="F330" s="298" t="str">
        <f t="shared" si="14"/>
        <v/>
      </c>
      <c r="G330" t="str">
        <f t="shared" si="12"/>
        <v/>
      </c>
    </row>
    <row r="331" spans="2:7">
      <c r="B331" s="330" t="s">
        <v>382</v>
      </c>
      <c r="C331" s="328">
        <v>4</v>
      </c>
      <c r="E331" s="298" t="str">
        <f t="shared" si="13"/>
        <v/>
      </c>
      <c r="F331" s="298" t="str">
        <f t="shared" si="14"/>
        <v/>
      </c>
      <c r="G331" t="str">
        <f t="shared" si="12"/>
        <v/>
      </c>
    </row>
    <row r="332" spans="2:7">
      <c r="B332" s="330" t="s">
        <v>100</v>
      </c>
      <c r="C332" s="328">
        <v>4</v>
      </c>
      <c r="E332" s="298" t="str">
        <f t="shared" si="13"/>
        <v/>
      </c>
      <c r="F332" s="298" t="str">
        <f t="shared" si="14"/>
        <v/>
      </c>
      <c r="G332" t="str">
        <f t="shared" si="12"/>
        <v/>
      </c>
    </row>
    <row r="333" spans="2:7">
      <c r="B333" s="330" t="s">
        <v>400</v>
      </c>
      <c r="C333" s="328">
        <v>4</v>
      </c>
      <c r="E333" s="298" t="str">
        <f t="shared" si="13"/>
        <v/>
      </c>
      <c r="F333" s="298" t="str">
        <f t="shared" si="14"/>
        <v/>
      </c>
      <c r="G333" t="str">
        <f t="shared" si="12"/>
        <v/>
      </c>
    </row>
    <row r="334" spans="2:7">
      <c r="B334" s="329" t="s">
        <v>20</v>
      </c>
      <c r="E334" s="298" t="str">
        <f t="shared" si="13"/>
        <v/>
      </c>
      <c r="F334" s="298" t="str">
        <f t="shared" si="14"/>
        <v/>
      </c>
      <c r="G334" t="str">
        <f t="shared" ref="G334:G397" si="15">IF(F334&lt;&gt;"","INSERIR COMENTÁRIO PMO","")</f>
        <v/>
      </c>
    </row>
    <row r="335" spans="2:7">
      <c r="B335" s="330" t="s">
        <v>20</v>
      </c>
      <c r="C335" s="328">
        <v>40</v>
      </c>
      <c r="E335" s="298" t="str">
        <f t="shared" ref="E335:E398" si="16">IF(D335&lt;&gt;0,"INSERIR JUSTIFICATIVA","")</f>
        <v/>
      </c>
      <c r="F335" s="298" t="str">
        <f t="shared" ref="F335:F398" si="17">IF(E335&lt;&gt;"","INSERIR HORA PMO","")</f>
        <v/>
      </c>
      <c r="G335" t="str">
        <f t="shared" si="15"/>
        <v/>
      </c>
    </row>
    <row r="336" spans="2:7">
      <c r="B336" s="330" t="s">
        <v>1042</v>
      </c>
      <c r="C336" s="328">
        <v>4</v>
      </c>
      <c r="E336" s="298" t="str">
        <f t="shared" si="16"/>
        <v/>
      </c>
      <c r="F336" s="298" t="str">
        <f t="shared" si="17"/>
        <v/>
      </c>
      <c r="G336" t="str">
        <f t="shared" si="15"/>
        <v/>
      </c>
    </row>
    <row r="337" spans="2:7">
      <c r="B337" s="330" t="s">
        <v>2897</v>
      </c>
      <c r="C337" s="328">
        <v>4</v>
      </c>
      <c r="E337" s="298" t="str">
        <f t="shared" si="16"/>
        <v/>
      </c>
      <c r="F337" s="298" t="str">
        <f t="shared" si="17"/>
        <v/>
      </c>
      <c r="G337" t="str">
        <f t="shared" si="15"/>
        <v/>
      </c>
    </row>
    <row r="338" spans="2:7">
      <c r="B338" s="329" t="s">
        <v>14</v>
      </c>
      <c r="E338" s="298" t="str">
        <f t="shared" si="16"/>
        <v/>
      </c>
      <c r="F338" s="298" t="str">
        <f t="shared" si="17"/>
        <v/>
      </c>
      <c r="G338" t="str">
        <f t="shared" si="15"/>
        <v/>
      </c>
    </row>
    <row r="339" spans="2:7">
      <c r="B339" s="330" t="s">
        <v>107</v>
      </c>
      <c r="C339" s="328">
        <v>16</v>
      </c>
      <c r="E339" s="298" t="str">
        <f t="shared" si="16"/>
        <v/>
      </c>
      <c r="F339" s="298" t="str">
        <f t="shared" si="17"/>
        <v/>
      </c>
      <c r="G339" t="str">
        <f t="shared" si="15"/>
        <v/>
      </c>
    </row>
    <row r="340" spans="2:7">
      <c r="B340" s="330" t="s">
        <v>14</v>
      </c>
      <c r="C340" s="328">
        <v>24</v>
      </c>
      <c r="E340" s="298" t="str">
        <f t="shared" si="16"/>
        <v/>
      </c>
      <c r="F340" s="298" t="str">
        <f t="shared" si="17"/>
        <v/>
      </c>
      <c r="G340" t="str">
        <f t="shared" si="15"/>
        <v/>
      </c>
    </row>
    <row r="341" spans="2:7">
      <c r="B341" s="329" t="s">
        <v>17</v>
      </c>
      <c r="E341" s="298" t="str">
        <f t="shared" si="16"/>
        <v/>
      </c>
      <c r="F341" s="298" t="str">
        <f t="shared" si="17"/>
        <v/>
      </c>
      <c r="G341" t="str">
        <f t="shared" si="15"/>
        <v/>
      </c>
    </row>
    <row r="342" spans="2:7">
      <c r="B342" s="330" t="s">
        <v>17</v>
      </c>
      <c r="C342" s="328">
        <v>40</v>
      </c>
      <c r="E342" s="298" t="str">
        <f t="shared" si="16"/>
        <v/>
      </c>
      <c r="F342" s="298" t="str">
        <f t="shared" si="17"/>
        <v/>
      </c>
      <c r="G342" t="str">
        <f t="shared" si="15"/>
        <v/>
      </c>
    </row>
    <row r="343" spans="2:7">
      <c r="B343" s="329" t="s">
        <v>22</v>
      </c>
      <c r="E343" s="298" t="str">
        <f t="shared" si="16"/>
        <v/>
      </c>
      <c r="F343" s="298" t="str">
        <f t="shared" si="17"/>
        <v/>
      </c>
      <c r="G343" t="str">
        <f t="shared" si="15"/>
        <v/>
      </c>
    </row>
    <row r="344" spans="2:7">
      <c r="B344" s="330" t="s">
        <v>105</v>
      </c>
      <c r="C344" s="328">
        <v>24</v>
      </c>
      <c r="E344" s="298" t="str">
        <f t="shared" si="16"/>
        <v/>
      </c>
      <c r="F344" s="298" t="str">
        <f t="shared" si="17"/>
        <v/>
      </c>
      <c r="G344" t="str">
        <f t="shared" si="15"/>
        <v/>
      </c>
    </row>
    <row r="345" spans="2:7">
      <c r="B345" s="330" t="s">
        <v>106</v>
      </c>
      <c r="C345" s="328">
        <v>24</v>
      </c>
      <c r="E345" s="298" t="str">
        <f t="shared" si="16"/>
        <v/>
      </c>
      <c r="F345" s="298" t="str">
        <f t="shared" si="17"/>
        <v/>
      </c>
      <c r="G345" t="str">
        <f t="shared" si="15"/>
        <v/>
      </c>
    </row>
    <row r="346" spans="2:7">
      <c r="B346" s="329" t="s">
        <v>23</v>
      </c>
      <c r="E346" s="298" t="str">
        <f t="shared" si="16"/>
        <v/>
      </c>
      <c r="F346" s="298" t="str">
        <f t="shared" si="17"/>
        <v/>
      </c>
      <c r="G346" t="str">
        <f t="shared" si="15"/>
        <v/>
      </c>
    </row>
    <row r="347" spans="2:7">
      <c r="B347" s="330" t="s">
        <v>312</v>
      </c>
      <c r="C347" s="328">
        <v>8</v>
      </c>
      <c r="E347" s="298" t="str">
        <f t="shared" si="16"/>
        <v/>
      </c>
      <c r="F347" s="298" t="str">
        <f t="shared" si="17"/>
        <v/>
      </c>
      <c r="G347" t="str">
        <f t="shared" si="15"/>
        <v/>
      </c>
    </row>
    <row r="348" spans="2:7">
      <c r="B348" s="330" t="s">
        <v>102</v>
      </c>
      <c r="C348" s="328">
        <v>8</v>
      </c>
      <c r="E348" s="298" t="str">
        <f t="shared" si="16"/>
        <v/>
      </c>
      <c r="F348" s="298" t="str">
        <f t="shared" si="17"/>
        <v/>
      </c>
      <c r="G348" t="str">
        <f t="shared" si="15"/>
        <v/>
      </c>
    </row>
    <row r="349" spans="2:7">
      <c r="B349" s="330" t="s">
        <v>394</v>
      </c>
      <c r="C349" s="328">
        <v>6</v>
      </c>
      <c r="E349" s="298" t="str">
        <f t="shared" si="16"/>
        <v/>
      </c>
      <c r="F349" s="298" t="str">
        <f t="shared" si="17"/>
        <v/>
      </c>
      <c r="G349" t="str">
        <f t="shared" si="15"/>
        <v/>
      </c>
    </row>
    <row r="350" spans="2:7">
      <c r="B350" s="330" t="s">
        <v>103</v>
      </c>
      <c r="C350" s="328">
        <v>24</v>
      </c>
      <c r="E350" s="298" t="str">
        <f t="shared" si="16"/>
        <v/>
      </c>
      <c r="F350" s="298" t="str">
        <f t="shared" si="17"/>
        <v/>
      </c>
      <c r="G350" t="str">
        <f t="shared" si="15"/>
        <v/>
      </c>
    </row>
    <row r="351" spans="2:7">
      <c r="B351" s="330" t="s">
        <v>104</v>
      </c>
      <c r="C351" s="328">
        <v>24</v>
      </c>
      <c r="E351" s="298" t="str">
        <f t="shared" si="16"/>
        <v/>
      </c>
      <c r="F351" s="298" t="str">
        <f t="shared" si="17"/>
        <v/>
      </c>
      <c r="G351" t="str">
        <f t="shared" si="15"/>
        <v/>
      </c>
    </row>
    <row r="352" spans="2:7">
      <c r="B352" s="329" t="s">
        <v>133</v>
      </c>
      <c r="E352" s="298" t="str">
        <f t="shared" si="16"/>
        <v/>
      </c>
      <c r="F352" s="298" t="str">
        <f t="shared" si="17"/>
        <v/>
      </c>
      <c r="G352" t="str">
        <f t="shared" si="15"/>
        <v/>
      </c>
    </row>
    <row r="353" spans="2:7">
      <c r="B353" s="330" t="s">
        <v>133</v>
      </c>
      <c r="C353" s="328">
        <v>40</v>
      </c>
      <c r="E353" s="298" t="str">
        <f t="shared" si="16"/>
        <v/>
      </c>
      <c r="F353" s="298" t="str">
        <f t="shared" si="17"/>
        <v/>
      </c>
      <c r="G353" t="str">
        <f t="shared" si="15"/>
        <v/>
      </c>
    </row>
    <row r="354" spans="2:7">
      <c r="B354" s="330" t="s">
        <v>6257</v>
      </c>
      <c r="C354" s="328">
        <v>4</v>
      </c>
      <c r="E354" s="298" t="str">
        <f t="shared" si="16"/>
        <v/>
      </c>
      <c r="F354" s="298" t="str">
        <f t="shared" si="17"/>
        <v/>
      </c>
      <c r="G354" t="str">
        <f t="shared" si="15"/>
        <v/>
      </c>
    </row>
    <row r="355" spans="2:7">
      <c r="B355" s="329" t="s">
        <v>18</v>
      </c>
      <c r="E355" s="298" t="str">
        <f t="shared" si="16"/>
        <v/>
      </c>
      <c r="F355" s="298" t="str">
        <f t="shared" si="17"/>
        <v/>
      </c>
      <c r="G355" t="str">
        <f t="shared" si="15"/>
        <v/>
      </c>
    </row>
    <row r="356" spans="2:7">
      <c r="B356" s="330" t="s">
        <v>134</v>
      </c>
      <c r="C356" s="328">
        <v>40</v>
      </c>
      <c r="E356" s="298" t="str">
        <f t="shared" si="16"/>
        <v/>
      </c>
      <c r="F356" s="298" t="str">
        <f t="shared" si="17"/>
        <v/>
      </c>
      <c r="G356" t="str">
        <f t="shared" si="15"/>
        <v/>
      </c>
    </row>
    <row r="357" spans="2:7">
      <c r="B357" s="329" t="s">
        <v>442</v>
      </c>
      <c r="E357" s="298" t="str">
        <f t="shared" si="16"/>
        <v/>
      </c>
      <c r="F357" s="298" t="str">
        <f t="shared" si="17"/>
        <v/>
      </c>
      <c r="G357" t="str">
        <f t="shared" si="15"/>
        <v/>
      </c>
    </row>
    <row r="358" spans="2:7">
      <c r="B358" s="330" t="s">
        <v>442</v>
      </c>
      <c r="C358" s="328">
        <v>24</v>
      </c>
      <c r="E358" s="298" t="str">
        <f t="shared" si="16"/>
        <v/>
      </c>
      <c r="F358" s="298" t="str">
        <f t="shared" si="17"/>
        <v/>
      </c>
      <c r="G358" t="str">
        <f t="shared" si="15"/>
        <v/>
      </c>
    </row>
    <row r="359" spans="2:7">
      <c r="B359" s="330" t="s">
        <v>443</v>
      </c>
      <c r="C359" s="328">
        <v>24</v>
      </c>
      <c r="E359" s="298" t="str">
        <f t="shared" si="16"/>
        <v/>
      </c>
      <c r="F359" s="298" t="str">
        <f t="shared" si="17"/>
        <v/>
      </c>
      <c r="G359" t="str">
        <f t="shared" si="15"/>
        <v/>
      </c>
    </row>
    <row r="360" spans="2:7">
      <c r="B360" s="330" t="s">
        <v>123</v>
      </c>
      <c r="C360" s="328">
        <v>12</v>
      </c>
      <c r="E360" s="298" t="str">
        <f t="shared" si="16"/>
        <v/>
      </c>
      <c r="F360" s="298" t="str">
        <f t="shared" si="17"/>
        <v/>
      </c>
      <c r="G360" t="str">
        <f t="shared" si="15"/>
        <v/>
      </c>
    </row>
    <row r="361" spans="2:7">
      <c r="B361" s="330" t="s">
        <v>444</v>
      </c>
      <c r="C361" s="328">
        <v>40</v>
      </c>
      <c r="E361" s="298" t="str">
        <f t="shared" si="16"/>
        <v/>
      </c>
      <c r="F361" s="298" t="str">
        <f t="shared" si="17"/>
        <v/>
      </c>
      <c r="G361" t="str">
        <f t="shared" si="15"/>
        <v/>
      </c>
    </row>
    <row r="362" spans="2:7">
      <c r="B362" s="330" t="s">
        <v>3516</v>
      </c>
      <c r="C362" s="328">
        <v>48</v>
      </c>
      <c r="E362" s="298" t="str">
        <f t="shared" si="16"/>
        <v/>
      </c>
      <c r="F362" s="298" t="str">
        <f t="shared" si="17"/>
        <v/>
      </c>
      <c r="G362" t="str">
        <f t="shared" si="15"/>
        <v/>
      </c>
    </row>
    <row r="363" spans="2:7">
      <c r="B363" s="329" t="s">
        <v>6</v>
      </c>
      <c r="E363" s="298" t="str">
        <f t="shared" si="16"/>
        <v/>
      </c>
      <c r="F363" s="298" t="str">
        <f t="shared" si="17"/>
        <v/>
      </c>
      <c r="G363" t="str">
        <f t="shared" si="15"/>
        <v/>
      </c>
    </row>
    <row r="364" spans="2:7">
      <c r="B364" s="330" t="s">
        <v>6</v>
      </c>
      <c r="C364" s="328">
        <v>80</v>
      </c>
      <c r="E364" s="298" t="str">
        <f t="shared" si="16"/>
        <v/>
      </c>
      <c r="F364" s="298" t="str">
        <f t="shared" si="17"/>
        <v/>
      </c>
      <c r="G364" t="str">
        <f t="shared" si="15"/>
        <v/>
      </c>
    </row>
    <row r="365" spans="2:7">
      <c r="B365" s="330" t="s">
        <v>351</v>
      </c>
      <c r="C365" s="328">
        <v>8</v>
      </c>
      <c r="E365" s="298" t="str">
        <f t="shared" si="16"/>
        <v/>
      </c>
      <c r="F365" s="298" t="str">
        <f t="shared" si="17"/>
        <v/>
      </c>
      <c r="G365" t="str">
        <f t="shared" si="15"/>
        <v/>
      </c>
    </row>
    <row r="366" spans="2:7">
      <c r="B366" s="330" t="s">
        <v>127</v>
      </c>
      <c r="C366" s="328">
        <v>24</v>
      </c>
      <c r="E366" s="298" t="str">
        <f t="shared" si="16"/>
        <v/>
      </c>
      <c r="F366" s="298" t="str">
        <f t="shared" si="17"/>
        <v/>
      </c>
      <c r="G366" t="str">
        <f t="shared" si="15"/>
        <v/>
      </c>
    </row>
    <row r="367" spans="2:7">
      <c r="B367" s="330" t="s">
        <v>128</v>
      </c>
      <c r="C367" s="328">
        <v>16</v>
      </c>
      <c r="E367" s="298" t="str">
        <f t="shared" si="16"/>
        <v/>
      </c>
      <c r="F367" s="298" t="str">
        <f t="shared" si="17"/>
        <v/>
      </c>
      <c r="G367" t="str">
        <f t="shared" si="15"/>
        <v/>
      </c>
    </row>
    <row r="368" spans="2:7">
      <c r="B368" s="330" t="s">
        <v>4136</v>
      </c>
      <c r="C368" s="328">
        <v>40</v>
      </c>
      <c r="E368" s="298" t="str">
        <f t="shared" si="16"/>
        <v/>
      </c>
      <c r="F368" s="298" t="str">
        <f t="shared" si="17"/>
        <v/>
      </c>
      <c r="G368" t="str">
        <f t="shared" si="15"/>
        <v/>
      </c>
    </row>
    <row r="369" spans="2:7">
      <c r="B369" s="330" t="s">
        <v>4145</v>
      </c>
      <c r="C369" s="328">
        <v>12</v>
      </c>
      <c r="E369" s="298" t="str">
        <f t="shared" si="16"/>
        <v/>
      </c>
      <c r="F369" s="298" t="str">
        <f t="shared" si="17"/>
        <v/>
      </c>
      <c r="G369" t="str">
        <f t="shared" si="15"/>
        <v/>
      </c>
    </row>
    <row r="370" spans="2:7">
      <c r="B370" s="330" t="s">
        <v>4142</v>
      </c>
      <c r="C370" s="328">
        <v>8</v>
      </c>
      <c r="E370" s="298" t="str">
        <f t="shared" si="16"/>
        <v/>
      </c>
      <c r="F370" s="298" t="str">
        <f t="shared" si="17"/>
        <v/>
      </c>
      <c r="G370" t="str">
        <f t="shared" si="15"/>
        <v/>
      </c>
    </row>
    <row r="371" spans="2:7">
      <c r="B371" s="329" t="s">
        <v>11</v>
      </c>
      <c r="E371" s="298" t="str">
        <f t="shared" si="16"/>
        <v/>
      </c>
      <c r="F371" s="298" t="str">
        <f t="shared" si="17"/>
        <v/>
      </c>
      <c r="G371" t="str">
        <f t="shared" si="15"/>
        <v/>
      </c>
    </row>
    <row r="372" spans="2:7">
      <c r="B372" s="330" t="s">
        <v>131</v>
      </c>
      <c r="C372" s="328">
        <v>60</v>
      </c>
      <c r="E372" s="298" t="str">
        <f t="shared" si="16"/>
        <v/>
      </c>
      <c r="F372" s="298" t="str">
        <f t="shared" si="17"/>
        <v/>
      </c>
      <c r="G372" t="str">
        <f t="shared" si="15"/>
        <v/>
      </c>
    </row>
    <row r="373" spans="2:7">
      <c r="B373" s="330" t="s">
        <v>132</v>
      </c>
      <c r="C373" s="328">
        <v>24</v>
      </c>
      <c r="E373" s="298" t="str">
        <f t="shared" si="16"/>
        <v/>
      </c>
      <c r="F373" s="298" t="str">
        <f t="shared" si="17"/>
        <v/>
      </c>
      <c r="G373" t="str">
        <f t="shared" si="15"/>
        <v/>
      </c>
    </row>
    <row r="374" spans="2:7">
      <c r="B374" s="329" t="s">
        <v>342</v>
      </c>
      <c r="E374" s="298" t="str">
        <f t="shared" si="16"/>
        <v/>
      </c>
      <c r="F374" s="298" t="str">
        <f t="shared" si="17"/>
        <v/>
      </c>
      <c r="G374" t="str">
        <f t="shared" si="15"/>
        <v/>
      </c>
    </row>
    <row r="375" spans="2:7">
      <c r="B375" s="330" t="s">
        <v>125</v>
      </c>
      <c r="C375" s="328">
        <v>40</v>
      </c>
      <c r="E375" s="298" t="str">
        <f t="shared" si="16"/>
        <v/>
      </c>
      <c r="F375" s="298" t="str">
        <f t="shared" si="17"/>
        <v/>
      </c>
      <c r="G375" t="str">
        <f t="shared" si="15"/>
        <v/>
      </c>
    </row>
    <row r="376" spans="2:7">
      <c r="B376" s="330" t="s">
        <v>428</v>
      </c>
      <c r="C376" s="328">
        <v>40</v>
      </c>
      <c r="E376" s="298" t="str">
        <f t="shared" si="16"/>
        <v/>
      </c>
      <c r="F376" s="298" t="str">
        <f t="shared" si="17"/>
        <v/>
      </c>
      <c r="G376" t="str">
        <f t="shared" si="15"/>
        <v/>
      </c>
    </row>
    <row r="377" spans="2:7">
      <c r="B377" s="329" t="s">
        <v>3084</v>
      </c>
      <c r="E377" s="298" t="str">
        <f t="shared" si="16"/>
        <v/>
      </c>
      <c r="F377" s="298" t="str">
        <f t="shared" si="17"/>
        <v/>
      </c>
      <c r="G377" t="str">
        <f t="shared" si="15"/>
        <v/>
      </c>
    </row>
    <row r="378" spans="2:7">
      <c r="B378" s="330" t="s">
        <v>419</v>
      </c>
      <c r="C378" s="328">
        <v>12</v>
      </c>
      <c r="E378" s="298" t="str">
        <f t="shared" si="16"/>
        <v/>
      </c>
      <c r="F378" s="298" t="str">
        <f t="shared" si="17"/>
        <v/>
      </c>
      <c r="G378" t="str">
        <f t="shared" si="15"/>
        <v/>
      </c>
    </row>
    <row r="379" spans="2:7">
      <c r="B379" s="330" t="s">
        <v>325</v>
      </c>
      <c r="C379" s="328">
        <v>12</v>
      </c>
      <c r="E379" s="298" t="str">
        <f t="shared" si="16"/>
        <v/>
      </c>
      <c r="F379" s="298" t="str">
        <f t="shared" si="17"/>
        <v/>
      </c>
      <c r="G379" t="str">
        <f t="shared" si="15"/>
        <v/>
      </c>
    </row>
    <row r="380" spans="2:7">
      <c r="B380" s="330" t="s">
        <v>326</v>
      </c>
      <c r="C380" s="328">
        <v>12</v>
      </c>
      <c r="E380" s="298" t="str">
        <f t="shared" si="16"/>
        <v/>
      </c>
      <c r="F380" s="298" t="str">
        <f t="shared" si="17"/>
        <v/>
      </c>
      <c r="G380" t="str">
        <f t="shared" si="15"/>
        <v/>
      </c>
    </row>
    <row r="381" spans="2:7">
      <c r="B381" s="330" t="s">
        <v>1507</v>
      </c>
      <c r="C381" s="328">
        <v>12</v>
      </c>
      <c r="E381" s="298" t="str">
        <f t="shared" si="16"/>
        <v/>
      </c>
      <c r="F381" s="298" t="str">
        <f t="shared" si="17"/>
        <v/>
      </c>
      <c r="G381" t="str">
        <f t="shared" si="15"/>
        <v/>
      </c>
    </row>
    <row r="382" spans="2:7">
      <c r="B382" s="330" t="s">
        <v>379</v>
      </c>
      <c r="C382" s="328">
        <v>8</v>
      </c>
      <c r="E382" s="298" t="str">
        <f t="shared" si="16"/>
        <v/>
      </c>
      <c r="F382" s="298" t="str">
        <f t="shared" si="17"/>
        <v/>
      </c>
      <c r="G382" t="str">
        <f t="shared" si="15"/>
        <v/>
      </c>
    </row>
    <row r="383" spans="2:7">
      <c r="B383" s="329" t="s">
        <v>3085</v>
      </c>
      <c r="E383" s="298" t="str">
        <f t="shared" si="16"/>
        <v/>
      </c>
      <c r="F383" s="298" t="str">
        <f t="shared" si="17"/>
        <v/>
      </c>
      <c r="G383" t="str">
        <f t="shared" si="15"/>
        <v/>
      </c>
    </row>
    <row r="384" spans="2:7">
      <c r="B384" s="330" t="s">
        <v>1504</v>
      </c>
      <c r="C384" s="328">
        <v>12</v>
      </c>
      <c r="E384" s="298" t="str">
        <f t="shared" si="16"/>
        <v/>
      </c>
      <c r="F384" s="298" t="str">
        <f t="shared" si="17"/>
        <v/>
      </c>
      <c r="G384" t="str">
        <f t="shared" si="15"/>
        <v/>
      </c>
    </row>
    <row r="385" spans="2:7">
      <c r="B385" s="329" t="s">
        <v>3086</v>
      </c>
      <c r="E385" s="298" t="str">
        <f t="shared" si="16"/>
        <v/>
      </c>
      <c r="F385" s="298" t="str">
        <f t="shared" si="17"/>
        <v/>
      </c>
      <c r="G385" t="str">
        <f t="shared" si="15"/>
        <v/>
      </c>
    </row>
    <row r="386" spans="2:7">
      <c r="B386" s="330" t="s">
        <v>1335</v>
      </c>
      <c r="C386" s="328">
        <v>4</v>
      </c>
      <c r="E386" s="298" t="str">
        <f t="shared" si="16"/>
        <v/>
      </c>
      <c r="F386" s="298" t="str">
        <f t="shared" si="17"/>
        <v/>
      </c>
      <c r="G386" t="str">
        <f t="shared" si="15"/>
        <v/>
      </c>
    </row>
    <row r="387" spans="2:7">
      <c r="B387" s="330" t="s">
        <v>1309</v>
      </c>
      <c r="C387" s="328">
        <v>4</v>
      </c>
      <c r="E387" s="298" t="str">
        <f t="shared" si="16"/>
        <v/>
      </c>
      <c r="F387" s="298" t="str">
        <f t="shared" si="17"/>
        <v/>
      </c>
      <c r="G387" t="str">
        <f t="shared" si="15"/>
        <v/>
      </c>
    </row>
    <row r="388" spans="2:7">
      <c r="B388" s="330" t="s">
        <v>1321</v>
      </c>
      <c r="C388" s="328">
        <v>4</v>
      </c>
      <c r="E388" s="298" t="str">
        <f t="shared" si="16"/>
        <v/>
      </c>
      <c r="F388" s="298" t="str">
        <f t="shared" si="17"/>
        <v/>
      </c>
      <c r="G388" t="str">
        <f t="shared" si="15"/>
        <v/>
      </c>
    </row>
    <row r="389" spans="2:7">
      <c r="B389" s="330" t="s">
        <v>1318</v>
      </c>
      <c r="C389" s="328">
        <v>4</v>
      </c>
      <c r="E389" s="298" t="str">
        <f t="shared" si="16"/>
        <v/>
      </c>
      <c r="F389" s="298" t="str">
        <f t="shared" si="17"/>
        <v/>
      </c>
      <c r="G389" t="str">
        <f t="shared" si="15"/>
        <v/>
      </c>
    </row>
    <row r="390" spans="2:7">
      <c r="B390" s="330" t="s">
        <v>1341</v>
      </c>
      <c r="C390" s="328">
        <v>4</v>
      </c>
      <c r="E390" s="298" t="str">
        <f t="shared" si="16"/>
        <v/>
      </c>
      <c r="F390" s="298" t="str">
        <f t="shared" si="17"/>
        <v/>
      </c>
      <c r="G390" t="str">
        <f t="shared" si="15"/>
        <v/>
      </c>
    </row>
    <row r="391" spans="2:7">
      <c r="B391" s="330" t="s">
        <v>2896</v>
      </c>
      <c r="C391" s="328">
        <v>4</v>
      </c>
      <c r="E391" s="298" t="str">
        <f t="shared" si="16"/>
        <v/>
      </c>
      <c r="F391" s="298" t="str">
        <f t="shared" si="17"/>
        <v/>
      </c>
      <c r="G391" t="str">
        <f t="shared" si="15"/>
        <v/>
      </c>
    </row>
    <row r="392" spans="2:7">
      <c r="B392" s="329" t="s">
        <v>4299</v>
      </c>
      <c r="E392" s="298" t="str">
        <f t="shared" si="16"/>
        <v/>
      </c>
      <c r="F392" s="298" t="str">
        <f t="shared" si="17"/>
        <v/>
      </c>
      <c r="G392" t="str">
        <f t="shared" si="15"/>
        <v/>
      </c>
    </row>
    <row r="393" spans="2:7">
      <c r="B393" s="330" t="s">
        <v>4300</v>
      </c>
      <c r="C393" s="328">
        <v>24</v>
      </c>
      <c r="E393" s="298" t="str">
        <f t="shared" si="16"/>
        <v/>
      </c>
      <c r="F393" s="298" t="str">
        <f t="shared" si="17"/>
        <v/>
      </c>
      <c r="G393" t="str">
        <f t="shared" si="15"/>
        <v/>
      </c>
    </row>
    <row r="394" spans="2:7">
      <c r="B394" s="329" t="s">
        <v>4684</v>
      </c>
      <c r="E394" s="298" t="str">
        <f t="shared" si="16"/>
        <v/>
      </c>
      <c r="F394" s="298" t="str">
        <f t="shared" si="17"/>
        <v/>
      </c>
      <c r="G394" t="str">
        <f t="shared" si="15"/>
        <v/>
      </c>
    </row>
    <row r="395" spans="2:7">
      <c r="B395" s="330" t="s">
        <v>4693</v>
      </c>
      <c r="C395" s="328">
        <v>24</v>
      </c>
      <c r="E395" s="298" t="str">
        <f t="shared" si="16"/>
        <v/>
      </c>
      <c r="F395" s="298" t="str">
        <f t="shared" si="17"/>
        <v/>
      </c>
      <c r="G395" t="str">
        <f t="shared" si="15"/>
        <v/>
      </c>
    </row>
    <row r="396" spans="2:7">
      <c r="B396" s="330" t="s">
        <v>4690</v>
      </c>
      <c r="C396" s="328">
        <v>16</v>
      </c>
      <c r="E396" s="298" t="str">
        <f t="shared" si="16"/>
        <v/>
      </c>
      <c r="F396" s="298" t="str">
        <f t="shared" si="17"/>
        <v/>
      </c>
      <c r="G396" t="str">
        <f t="shared" si="15"/>
        <v/>
      </c>
    </row>
    <row r="397" spans="2:7">
      <c r="B397" s="330" t="s">
        <v>4687</v>
      </c>
      <c r="C397" s="328">
        <v>12</v>
      </c>
      <c r="E397" s="298" t="str">
        <f t="shared" si="16"/>
        <v/>
      </c>
      <c r="F397" s="298" t="str">
        <f t="shared" si="17"/>
        <v/>
      </c>
      <c r="G397" t="str">
        <f t="shared" si="15"/>
        <v/>
      </c>
    </row>
    <row r="398" spans="2:7">
      <c r="B398" s="330" t="s">
        <v>4699</v>
      </c>
      <c r="C398" s="328">
        <v>0</v>
      </c>
      <c r="E398" s="298" t="str">
        <f t="shared" si="16"/>
        <v/>
      </c>
      <c r="F398" s="298" t="str">
        <f t="shared" si="17"/>
        <v/>
      </c>
      <c r="G398" t="str">
        <f t="shared" ref="G398:G461" si="18">IF(F398&lt;&gt;"","INSERIR COMENTÁRIO PMO","")</f>
        <v/>
      </c>
    </row>
    <row r="399" spans="2:7">
      <c r="B399" s="330" t="s">
        <v>4696</v>
      </c>
      <c r="C399" s="328">
        <v>0</v>
      </c>
      <c r="E399" s="298" t="str">
        <f t="shared" ref="E399:E462" si="19">IF(D399&lt;&gt;0,"INSERIR JUSTIFICATIVA","")</f>
        <v/>
      </c>
      <c r="F399" s="298" t="str">
        <f t="shared" ref="F399:F462" si="20">IF(E399&lt;&gt;"","INSERIR HORA PMO","")</f>
        <v/>
      </c>
      <c r="G399" t="str">
        <f t="shared" si="18"/>
        <v/>
      </c>
    </row>
    <row r="400" spans="2:7">
      <c r="B400" s="330" t="s">
        <v>4702</v>
      </c>
      <c r="C400" s="328">
        <v>0</v>
      </c>
      <c r="E400" s="298" t="str">
        <f t="shared" si="19"/>
        <v/>
      </c>
      <c r="F400" s="298" t="str">
        <f t="shared" si="20"/>
        <v/>
      </c>
      <c r="G400" t="str">
        <f t="shared" si="18"/>
        <v/>
      </c>
    </row>
    <row r="401" spans="2:7">
      <c r="B401" s="329" t="s">
        <v>4648</v>
      </c>
      <c r="E401" s="298" t="str">
        <f t="shared" si="19"/>
        <v/>
      </c>
      <c r="F401" s="298" t="str">
        <f t="shared" si="20"/>
        <v/>
      </c>
      <c r="G401" t="str">
        <f t="shared" si="18"/>
        <v/>
      </c>
    </row>
    <row r="402" spans="2:7">
      <c r="B402" s="330" t="s">
        <v>4672</v>
      </c>
      <c r="C402" s="328">
        <v>16</v>
      </c>
      <c r="E402" s="298" t="str">
        <f t="shared" si="19"/>
        <v/>
      </c>
      <c r="F402" s="298" t="str">
        <f t="shared" si="20"/>
        <v/>
      </c>
      <c r="G402" t="str">
        <f t="shared" si="18"/>
        <v/>
      </c>
    </row>
    <row r="403" spans="2:7">
      <c r="B403" s="330" t="s">
        <v>4666</v>
      </c>
      <c r="C403" s="328">
        <v>40</v>
      </c>
      <c r="E403" s="298" t="str">
        <f t="shared" si="19"/>
        <v/>
      </c>
      <c r="F403" s="298" t="str">
        <f t="shared" si="20"/>
        <v/>
      </c>
      <c r="G403" t="str">
        <f t="shared" si="18"/>
        <v/>
      </c>
    </row>
    <row r="404" spans="2:7">
      <c r="B404" s="330" t="s">
        <v>4663</v>
      </c>
      <c r="C404" s="328">
        <v>4</v>
      </c>
      <c r="E404" s="298" t="str">
        <f t="shared" si="19"/>
        <v/>
      </c>
      <c r="F404" s="298" t="str">
        <f t="shared" si="20"/>
        <v/>
      </c>
      <c r="G404" t="str">
        <f t="shared" si="18"/>
        <v/>
      </c>
    </row>
    <row r="405" spans="2:7">
      <c r="B405" s="330" t="s">
        <v>4669</v>
      </c>
      <c r="C405" s="328">
        <v>4</v>
      </c>
      <c r="E405" s="298" t="str">
        <f t="shared" si="19"/>
        <v/>
      </c>
      <c r="F405" s="298" t="str">
        <f t="shared" si="20"/>
        <v/>
      </c>
      <c r="G405" t="str">
        <f t="shared" si="18"/>
        <v/>
      </c>
    </row>
    <row r="406" spans="2:7">
      <c r="B406" s="330" t="s">
        <v>4660</v>
      </c>
      <c r="C406" s="328">
        <v>4</v>
      </c>
      <c r="E406" s="298" t="str">
        <f t="shared" si="19"/>
        <v/>
      </c>
      <c r="F406" s="298" t="str">
        <f t="shared" si="20"/>
        <v/>
      </c>
      <c r="G406" t="str">
        <f t="shared" si="18"/>
        <v/>
      </c>
    </row>
    <row r="407" spans="2:7">
      <c r="B407" s="330" t="s">
        <v>4657</v>
      </c>
      <c r="C407" s="328">
        <v>6</v>
      </c>
      <c r="E407" s="298" t="str">
        <f t="shared" si="19"/>
        <v/>
      </c>
      <c r="F407" s="298" t="str">
        <f t="shared" si="20"/>
        <v/>
      </c>
      <c r="G407" t="str">
        <f t="shared" si="18"/>
        <v/>
      </c>
    </row>
    <row r="408" spans="2:7">
      <c r="B408" s="330" t="s">
        <v>4654</v>
      </c>
      <c r="C408" s="328">
        <v>24</v>
      </c>
      <c r="E408" s="298" t="str">
        <f t="shared" si="19"/>
        <v/>
      </c>
      <c r="F408" s="298" t="str">
        <f t="shared" si="20"/>
        <v/>
      </c>
      <c r="G408" t="str">
        <f t="shared" si="18"/>
        <v/>
      </c>
    </row>
    <row r="409" spans="2:7">
      <c r="B409" s="330" t="s">
        <v>4651</v>
      </c>
      <c r="C409" s="328">
        <v>4</v>
      </c>
      <c r="E409" s="298" t="str">
        <f t="shared" si="19"/>
        <v/>
      </c>
      <c r="F409" s="298" t="str">
        <f t="shared" si="20"/>
        <v/>
      </c>
      <c r="G409" t="str">
        <f t="shared" si="18"/>
        <v/>
      </c>
    </row>
    <row r="410" spans="2:7">
      <c r="B410" s="330" t="s">
        <v>4677</v>
      </c>
      <c r="C410" s="328">
        <v>4</v>
      </c>
      <c r="E410" s="298" t="str">
        <f t="shared" si="19"/>
        <v/>
      </c>
      <c r="F410" s="298" t="str">
        <f t="shared" si="20"/>
        <v/>
      </c>
      <c r="G410" t="str">
        <f t="shared" si="18"/>
        <v/>
      </c>
    </row>
    <row r="411" spans="2:7">
      <c r="B411" s="330" t="s">
        <v>4683</v>
      </c>
      <c r="C411" s="328">
        <v>4</v>
      </c>
      <c r="E411" s="298" t="str">
        <f t="shared" si="19"/>
        <v/>
      </c>
      <c r="F411" s="298" t="str">
        <f t="shared" si="20"/>
        <v/>
      </c>
      <c r="G411" t="str">
        <f t="shared" si="18"/>
        <v/>
      </c>
    </row>
    <row r="412" spans="2:7">
      <c r="B412" s="330" t="s">
        <v>4680</v>
      </c>
      <c r="C412" s="328">
        <v>8</v>
      </c>
      <c r="E412" s="298" t="str">
        <f t="shared" si="19"/>
        <v/>
      </c>
      <c r="F412" s="298" t="str">
        <f t="shared" si="20"/>
        <v/>
      </c>
      <c r="G412" t="str">
        <f t="shared" si="18"/>
        <v/>
      </c>
    </row>
    <row r="413" spans="2:7">
      <c r="B413" s="329" t="s">
        <v>4588</v>
      </c>
      <c r="E413" s="298" t="str">
        <f t="shared" si="19"/>
        <v/>
      </c>
      <c r="F413" s="298" t="str">
        <f t="shared" si="20"/>
        <v/>
      </c>
      <c r="G413" t="str">
        <f t="shared" si="18"/>
        <v/>
      </c>
    </row>
    <row r="414" spans="2:7">
      <c r="B414" s="330" t="s">
        <v>4629</v>
      </c>
      <c r="C414" s="328">
        <v>32</v>
      </c>
      <c r="E414" s="298" t="str">
        <f t="shared" si="19"/>
        <v/>
      </c>
      <c r="F414" s="298" t="str">
        <f t="shared" si="20"/>
        <v/>
      </c>
      <c r="G414" t="str">
        <f t="shared" si="18"/>
        <v/>
      </c>
    </row>
    <row r="415" spans="2:7">
      <c r="B415" s="330" t="s">
        <v>4624</v>
      </c>
      <c r="C415" s="328">
        <v>16</v>
      </c>
      <c r="E415" s="298" t="str">
        <f t="shared" si="19"/>
        <v/>
      </c>
      <c r="F415" s="298" t="str">
        <f t="shared" si="20"/>
        <v/>
      </c>
      <c r="G415" t="str">
        <f t="shared" si="18"/>
        <v/>
      </c>
    </row>
    <row r="416" spans="2:7">
      <c r="B416" s="330" t="s">
        <v>4626</v>
      </c>
      <c r="C416" s="328">
        <v>8</v>
      </c>
      <c r="E416" s="298" t="str">
        <f t="shared" si="19"/>
        <v/>
      </c>
      <c r="F416" s="298" t="str">
        <f t="shared" si="20"/>
        <v/>
      </c>
      <c r="G416" t="str">
        <f t="shared" si="18"/>
        <v/>
      </c>
    </row>
    <row r="417" spans="2:7">
      <c r="B417" s="330" t="s">
        <v>4615</v>
      </c>
      <c r="C417" s="328">
        <v>40</v>
      </c>
      <c r="E417" s="298" t="str">
        <f t="shared" si="19"/>
        <v/>
      </c>
      <c r="F417" s="298" t="str">
        <f t="shared" si="20"/>
        <v/>
      </c>
      <c r="G417" t="str">
        <f t="shared" si="18"/>
        <v/>
      </c>
    </row>
    <row r="418" spans="2:7">
      <c r="B418" s="330" t="s">
        <v>4618</v>
      </c>
      <c r="C418" s="328">
        <v>4</v>
      </c>
      <c r="E418" s="298" t="str">
        <f t="shared" si="19"/>
        <v/>
      </c>
      <c r="F418" s="298" t="str">
        <f t="shared" si="20"/>
        <v/>
      </c>
      <c r="G418" t="str">
        <f t="shared" si="18"/>
        <v/>
      </c>
    </row>
    <row r="419" spans="2:7">
      <c r="B419" s="330" t="s">
        <v>4612</v>
      </c>
      <c r="C419" s="328">
        <v>8</v>
      </c>
      <c r="E419" s="298" t="str">
        <f t="shared" si="19"/>
        <v/>
      </c>
      <c r="F419" s="298" t="str">
        <f t="shared" si="20"/>
        <v/>
      </c>
      <c r="G419" t="str">
        <f t="shared" si="18"/>
        <v/>
      </c>
    </row>
    <row r="420" spans="2:7">
      <c r="B420" s="330" t="s">
        <v>4606</v>
      </c>
      <c r="C420" s="328">
        <v>12</v>
      </c>
      <c r="E420" s="298" t="str">
        <f t="shared" si="19"/>
        <v/>
      </c>
      <c r="F420" s="298" t="str">
        <f t="shared" si="20"/>
        <v/>
      </c>
      <c r="G420" t="str">
        <f t="shared" si="18"/>
        <v/>
      </c>
    </row>
    <row r="421" spans="2:7">
      <c r="B421" s="330" t="s">
        <v>4603</v>
      </c>
      <c r="C421" s="328">
        <v>6</v>
      </c>
      <c r="E421" s="298" t="str">
        <f t="shared" si="19"/>
        <v/>
      </c>
      <c r="F421" s="298" t="str">
        <f t="shared" si="20"/>
        <v/>
      </c>
      <c r="G421" t="str">
        <f t="shared" si="18"/>
        <v/>
      </c>
    </row>
    <row r="422" spans="2:7">
      <c r="B422" s="330" t="s">
        <v>4594</v>
      </c>
      <c r="C422" s="328">
        <v>4</v>
      </c>
      <c r="E422" s="298" t="str">
        <f t="shared" si="19"/>
        <v/>
      </c>
      <c r="F422" s="298" t="str">
        <f t="shared" si="20"/>
        <v/>
      </c>
      <c r="G422" t="str">
        <f t="shared" si="18"/>
        <v/>
      </c>
    </row>
    <row r="423" spans="2:7">
      <c r="B423" s="330" t="s">
        <v>4600</v>
      </c>
      <c r="C423" s="328">
        <v>6</v>
      </c>
      <c r="E423" s="298" t="str">
        <f t="shared" si="19"/>
        <v/>
      </c>
      <c r="F423" s="298" t="str">
        <f t="shared" si="20"/>
        <v/>
      </c>
      <c r="G423" t="str">
        <f t="shared" si="18"/>
        <v/>
      </c>
    </row>
    <row r="424" spans="2:7">
      <c r="B424" s="330" t="s">
        <v>4641</v>
      </c>
      <c r="C424" s="328">
        <v>4</v>
      </c>
      <c r="E424" s="298" t="str">
        <f t="shared" si="19"/>
        <v/>
      </c>
      <c r="F424" s="298" t="str">
        <f t="shared" si="20"/>
        <v/>
      </c>
      <c r="G424" t="str">
        <f t="shared" si="18"/>
        <v/>
      </c>
    </row>
    <row r="425" spans="2:7">
      <c r="B425" s="330" t="s">
        <v>4597</v>
      </c>
      <c r="C425" s="328">
        <v>24</v>
      </c>
      <c r="E425" s="298" t="str">
        <f t="shared" si="19"/>
        <v/>
      </c>
      <c r="F425" s="298" t="str">
        <f t="shared" si="20"/>
        <v/>
      </c>
      <c r="G425" t="str">
        <f t="shared" si="18"/>
        <v/>
      </c>
    </row>
    <row r="426" spans="2:7">
      <c r="B426" s="330" t="s">
        <v>4632</v>
      </c>
      <c r="C426" s="328">
        <v>0</v>
      </c>
      <c r="E426" s="298" t="str">
        <f t="shared" si="19"/>
        <v/>
      </c>
      <c r="F426" s="298" t="str">
        <f t="shared" si="20"/>
        <v/>
      </c>
      <c r="G426" t="str">
        <f t="shared" si="18"/>
        <v/>
      </c>
    </row>
    <row r="427" spans="2:7">
      <c r="B427" s="330" t="s">
        <v>4636</v>
      </c>
      <c r="C427" s="328">
        <v>12</v>
      </c>
      <c r="E427" s="298" t="str">
        <f t="shared" si="19"/>
        <v/>
      </c>
      <c r="F427" s="298" t="str">
        <f t="shared" si="20"/>
        <v/>
      </c>
      <c r="G427" t="str">
        <f t="shared" si="18"/>
        <v/>
      </c>
    </row>
    <row r="428" spans="2:7">
      <c r="B428" s="330" t="s">
        <v>4644</v>
      </c>
      <c r="C428" s="328">
        <v>16</v>
      </c>
      <c r="E428" s="298" t="str">
        <f t="shared" si="19"/>
        <v/>
      </c>
      <c r="F428" s="298" t="str">
        <f t="shared" si="20"/>
        <v/>
      </c>
      <c r="G428" t="str">
        <f t="shared" si="18"/>
        <v/>
      </c>
    </row>
    <row r="429" spans="2:7">
      <c r="B429" s="330" t="s">
        <v>4609</v>
      </c>
      <c r="C429" s="328">
        <v>0</v>
      </c>
      <c r="E429" s="298" t="str">
        <f t="shared" si="19"/>
        <v/>
      </c>
      <c r="F429" s="298" t="str">
        <f t="shared" si="20"/>
        <v/>
      </c>
      <c r="G429" t="str">
        <f t="shared" si="18"/>
        <v/>
      </c>
    </row>
    <row r="430" spans="2:7">
      <c r="B430" s="330" t="s">
        <v>4591</v>
      </c>
      <c r="C430" s="328">
        <v>0</v>
      </c>
      <c r="E430" s="298" t="str">
        <f t="shared" si="19"/>
        <v/>
      </c>
      <c r="F430" s="298" t="str">
        <f t="shared" si="20"/>
        <v/>
      </c>
      <c r="G430" t="str">
        <f t="shared" si="18"/>
        <v/>
      </c>
    </row>
    <row r="431" spans="2:7">
      <c r="B431" s="330" t="s">
        <v>4635</v>
      </c>
      <c r="C431" s="328">
        <v>0</v>
      </c>
      <c r="E431" s="298" t="str">
        <f t="shared" si="19"/>
        <v/>
      </c>
      <c r="F431" s="298" t="str">
        <f t="shared" si="20"/>
        <v/>
      </c>
      <c r="G431" t="str">
        <f t="shared" si="18"/>
        <v/>
      </c>
    </row>
    <row r="432" spans="2:7">
      <c r="B432" s="330" t="s">
        <v>4647</v>
      </c>
      <c r="C432" s="328">
        <v>0</v>
      </c>
      <c r="E432" s="298" t="str">
        <f t="shared" si="19"/>
        <v/>
      </c>
      <c r="F432" s="298" t="str">
        <f t="shared" si="20"/>
        <v/>
      </c>
      <c r="G432" t="str">
        <f t="shared" si="18"/>
        <v/>
      </c>
    </row>
    <row r="433" spans="2:7">
      <c r="B433" s="330" t="s">
        <v>4639</v>
      </c>
      <c r="C433" s="328">
        <v>0</v>
      </c>
      <c r="E433" s="298" t="str">
        <f t="shared" si="19"/>
        <v/>
      </c>
      <c r="F433" s="298" t="str">
        <f t="shared" si="20"/>
        <v/>
      </c>
      <c r="G433" t="str">
        <f t="shared" si="18"/>
        <v/>
      </c>
    </row>
    <row r="434" spans="2:7">
      <c r="B434" s="329" t="s">
        <v>4538</v>
      </c>
      <c r="E434" s="298" t="str">
        <f t="shared" si="19"/>
        <v/>
      </c>
      <c r="F434" s="298" t="str">
        <f t="shared" si="20"/>
        <v/>
      </c>
      <c r="G434" t="str">
        <f t="shared" si="18"/>
        <v/>
      </c>
    </row>
    <row r="435" spans="2:7">
      <c r="B435" s="330" t="s">
        <v>4558</v>
      </c>
      <c r="C435" s="328">
        <v>40</v>
      </c>
      <c r="E435" s="298" t="str">
        <f t="shared" si="19"/>
        <v/>
      </c>
      <c r="F435" s="298" t="str">
        <f t="shared" si="20"/>
        <v/>
      </c>
      <c r="G435" t="str">
        <f t="shared" si="18"/>
        <v/>
      </c>
    </row>
    <row r="436" spans="2:7">
      <c r="B436" s="330" t="s">
        <v>4541</v>
      </c>
      <c r="C436" s="328">
        <v>16</v>
      </c>
      <c r="E436" s="298" t="str">
        <f t="shared" si="19"/>
        <v/>
      </c>
      <c r="F436" s="298" t="str">
        <f t="shared" si="20"/>
        <v/>
      </c>
      <c r="G436" t="str">
        <f t="shared" si="18"/>
        <v/>
      </c>
    </row>
    <row r="437" spans="2:7">
      <c r="B437" s="330" t="s">
        <v>4553</v>
      </c>
      <c r="C437" s="328">
        <v>16</v>
      </c>
      <c r="E437" s="298" t="str">
        <f t="shared" si="19"/>
        <v/>
      </c>
      <c r="F437" s="298" t="str">
        <f t="shared" si="20"/>
        <v/>
      </c>
      <c r="G437" t="str">
        <f t="shared" si="18"/>
        <v/>
      </c>
    </row>
    <row r="438" spans="2:7">
      <c r="B438" s="330" t="s">
        <v>4556</v>
      </c>
      <c r="C438" s="328">
        <v>16</v>
      </c>
      <c r="E438" s="298" t="str">
        <f t="shared" si="19"/>
        <v/>
      </c>
      <c r="F438" s="298" t="str">
        <f t="shared" si="20"/>
        <v/>
      </c>
      <c r="G438" t="str">
        <f t="shared" si="18"/>
        <v/>
      </c>
    </row>
    <row r="439" spans="2:7">
      <c r="B439" s="330" t="s">
        <v>4574</v>
      </c>
      <c r="C439" s="328">
        <v>16</v>
      </c>
      <c r="E439" s="298" t="str">
        <f t="shared" si="19"/>
        <v/>
      </c>
      <c r="F439" s="298" t="str">
        <f t="shared" si="20"/>
        <v/>
      </c>
      <c r="G439" t="str">
        <f t="shared" si="18"/>
        <v/>
      </c>
    </row>
    <row r="440" spans="2:7">
      <c r="B440" s="330" t="s">
        <v>4550</v>
      </c>
      <c r="C440" s="328">
        <v>4</v>
      </c>
      <c r="E440" s="298" t="str">
        <f t="shared" si="19"/>
        <v/>
      </c>
      <c r="F440" s="298" t="str">
        <f t="shared" si="20"/>
        <v/>
      </c>
      <c r="G440" t="str">
        <f t="shared" si="18"/>
        <v/>
      </c>
    </row>
    <row r="441" spans="2:7">
      <c r="B441" s="330" t="s">
        <v>4547</v>
      </c>
      <c r="C441" s="328">
        <v>4</v>
      </c>
      <c r="E441" s="298" t="str">
        <f t="shared" si="19"/>
        <v/>
      </c>
      <c r="F441" s="298" t="str">
        <f t="shared" si="20"/>
        <v/>
      </c>
      <c r="G441" t="str">
        <f t="shared" si="18"/>
        <v/>
      </c>
    </row>
    <row r="442" spans="2:7">
      <c r="B442" s="330" t="s">
        <v>4544</v>
      </c>
      <c r="C442" s="328">
        <v>4</v>
      </c>
      <c r="E442" s="298" t="str">
        <f t="shared" si="19"/>
        <v/>
      </c>
      <c r="F442" s="298" t="str">
        <f t="shared" si="20"/>
        <v/>
      </c>
      <c r="G442" t="str">
        <f t="shared" si="18"/>
        <v/>
      </c>
    </row>
    <row r="443" spans="2:7">
      <c r="B443" s="330" t="s">
        <v>4587</v>
      </c>
      <c r="C443" s="328">
        <v>24</v>
      </c>
      <c r="E443" s="298" t="str">
        <f t="shared" si="19"/>
        <v/>
      </c>
      <c r="F443" s="298" t="str">
        <f t="shared" si="20"/>
        <v/>
      </c>
      <c r="G443" t="str">
        <f t="shared" si="18"/>
        <v/>
      </c>
    </row>
    <row r="444" spans="2:7">
      <c r="B444" s="330" t="s">
        <v>4577</v>
      </c>
      <c r="C444" s="328">
        <v>8</v>
      </c>
      <c r="E444" s="298" t="str">
        <f t="shared" si="19"/>
        <v/>
      </c>
      <c r="F444" s="298" t="str">
        <f t="shared" si="20"/>
        <v/>
      </c>
      <c r="G444" t="str">
        <f t="shared" si="18"/>
        <v/>
      </c>
    </row>
    <row r="445" spans="2:7">
      <c r="B445" s="330" t="s">
        <v>4568</v>
      </c>
      <c r="C445" s="328">
        <v>24</v>
      </c>
      <c r="E445" s="298" t="str">
        <f t="shared" si="19"/>
        <v/>
      </c>
      <c r="F445" s="298" t="str">
        <f t="shared" si="20"/>
        <v/>
      </c>
      <c r="G445" t="str">
        <f t="shared" si="18"/>
        <v/>
      </c>
    </row>
    <row r="446" spans="2:7">
      <c r="B446" s="330" t="s">
        <v>4560</v>
      </c>
      <c r="C446" s="328">
        <v>16</v>
      </c>
      <c r="E446" s="298" t="str">
        <f t="shared" si="19"/>
        <v/>
      </c>
      <c r="F446" s="298" t="str">
        <f t="shared" si="20"/>
        <v/>
      </c>
      <c r="G446" t="str">
        <f t="shared" si="18"/>
        <v/>
      </c>
    </row>
    <row r="447" spans="2:7">
      <c r="B447" s="330" t="s">
        <v>4564</v>
      </c>
      <c r="C447" s="328">
        <v>40</v>
      </c>
      <c r="E447" s="298" t="str">
        <f t="shared" si="19"/>
        <v/>
      </c>
      <c r="F447" s="298" t="str">
        <f t="shared" si="20"/>
        <v/>
      </c>
      <c r="G447" t="str">
        <f t="shared" si="18"/>
        <v/>
      </c>
    </row>
    <row r="448" spans="2:7">
      <c r="B448" s="330" t="s">
        <v>4580</v>
      </c>
      <c r="C448" s="328">
        <v>8</v>
      </c>
      <c r="E448" s="298" t="str">
        <f t="shared" si="19"/>
        <v/>
      </c>
      <c r="F448" s="298" t="str">
        <f t="shared" si="20"/>
        <v/>
      </c>
      <c r="G448" t="str">
        <f t="shared" si="18"/>
        <v/>
      </c>
    </row>
    <row r="449" spans="2:7">
      <c r="B449" s="330" t="s">
        <v>4584</v>
      </c>
      <c r="C449" s="328">
        <v>32</v>
      </c>
      <c r="E449" s="298" t="str">
        <f t="shared" si="19"/>
        <v/>
      </c>
      <c r="F449" s="298" t="str">
        <f t="shared" si="20"/>
        <v/>
      </c>
      <c r="G449" t="str">
        <f t="shared" si="18"/>
        <v/>
      </c>
    </row>
    <row r="450" spans="2:7">
      <c r="B450" s="329" t="s">
        <v>4502</v>
      </c>
      <c r="E450" s="298" t="str">
        <f t="shared" si="19"/>
        <v/>
      </c>
      <c r="F450" s="298" t="str">
        <f t="shared" si="20"/>
        <v/>
      </c>
      <c r="G450" t="str">
        <f t="shared" si="18"/>
        <v/>
      </c>
    </row>
    <row r="451" spans="2:7">
      <c r="B451" s="330" t="s">
        <v>4522</v>
      </c>
      <c r="C451" s="328">
        <v>8</v>
      </c>
      <c r="E451" s="298" t="str">
        <f t="shared" si="19"/>
        <v/>
      </c>
      <c r="F451" s="298" t="str">
        <f t="shared" si="20"/>
        <v/>
      </c>
      <c r="G451" t="str">
        <f t="shared" si="18"/>
        <v/>
      </c>
    </row>
    <row r="452" spans="2:7">
      <c r="B452" s="330" t="s">
        <v>4520</v>
      </c>
      <c r="C452" s="328">
        <v>40</v>
      </c>
      <c r="E452" s="298" t="str">
        <f t="shared" si="19"/>
        <v/>
      </c>
      <c r="F452" s="298" t="str">
        <f t="shared" si="20"/>
        <v/>
      </c>
      <c r="G452" t="str">
        <f t="shared" si="18"/>
        <v/>
      </c>
    </row>
    <row r="453" spans="2:7">
      <c r="B453" s="330" t="s">
        <v>4514</v>
      </c>
      <c r="C453" s="328">
        <v>12</v>
      </c>
      <c r="E453" s="298" t="str">
        <f t="shared" si="19"/>
        <v/>
      </c>
      <c r="F453" s="298" t="str">
        <f t="shared" si="20"/>
        <v/>
      </c>
      <c r="G453" t="str">
        <f t="shared" si="18"/>
        <v/>
      </c>
    </row>
    <row r="454" spans="2:7">
      <c r="B454" s="330" t="s">
        <v>4511</v>
      </c>
      <c r="C454" s="328">
        <v>4</v>
      </c>
      <c r="E454" s="298" t="str">
        <f t="shared" si="19"/>
        <v/>
      </c>
      <c r="F454" s="298" t="str">
        <f t="shared" si="20"/>
        <v/>
      </c>
      <c r="G454" t="str">
        <f t="shared" si="18"/>
        <v/>
      </c>
    </row>
    <row r="455" spans="2:7">
      <c r="B455" s="330" t="s">
        <v>4508</v>
      </c>
      <c r="C455" s="328">
        <v>4</v>
      </c>
      <c r="E455" s="298" t="str">
        <f t="shared" si="19"/>
        <v/>
      </c>
      <c r="F455" s="298" t="str">
        <f t="shared" si="20"/>
        <v/>
      </c>
      <c r="G455" t="str">
        <f t="shared" si="18"/>
        <v/>
      </c>
    </row>
    <row r="456" spans="2:7">
      <c r="B456" s="330" t="s">
        <v>4534</v>
      </c>
      <c r="C456" s="328">
        <v>4</v>
      </c>
      <c r="E456" s="298" t="str">
        <f t="shared" si="19"/>
        <v/>
      </c>
      <c r="F456" s="298" t="str">
        <f t="shared" si="20"/>
        <v/>
      </c>
      <c r="G456" t="str">
        <f t="shared" si="18"/>
        <v/>
      </c>
    </row>
    <row r="457" spans="2:7">
      <c r="B457" s="330" t="s">
        <v>4528</v>
      </c>
      <c r="C457" s="328">
        <v>0</v>
      </c>
      <c r="E457" s="298" t="str">
        <f t="shared" si="19"/>
        <v/>
      </c>
      <c r="F457" s="298" t="str">
        <f t="shared" si="20"/>
        <v/>
      </c>
      <c r="G457" t="str">
        <f t="shared" si="18"/>
        <v/>
      </c>
    </row>
    <row r="458" spans="2:7">
      <c r="B458" s="330" t="s">
        <v>4525</v>
      </c>
      <c r="C458" s="328">
        <v>24</v>
      </c>
      <c r="E458" s="298" t="str">
        <f t="shared" si="19"/>
        <v/>
      </c>
      <c r="F458" s="298" t="str">
        <f t="shared" si="20"/>
        <v/>
      </c>
      <c r="G458" t="str">
        <f t="shared" si="18"/>
        <v/>
      </c>
    </row>
    <row r="459" spans="2:7">
      <c r="B459" s="330" t="s">
        <v>4505</v>
      </c>
      <c r="C459" s="328">
        <v>0</v>
      </c>
      <c r="E459" s="298" t="str">
        <f t="shared" si="19"/>
        <v/>
      </c>
      <c r="F459" s="298" t="str">
        <f t="shared" si="20"/>
        <v/>
      </c>
      <c r="G459" t="str">
        <f t="shared" si="18"/>
        <v/>
      </c>
    </row>
    <row r="460" spans="2:7">
      <c r="B460" s="329" t="s">
        <v>4474</v>
      </c>
      <c r="E460" s="298" t="str">
        <f t="shared" si="19"/>
        <v/>
      </c>
      <c r="F460" s="298" t="str">
        <f t="shared" si="20"/>
        <v/>
      </c>
      <c r="G460" t="str">
        <f t="shared" si="18"/>
        <v/>
      </c>
    </row>
    <row r="461" spans="2:7">
      <c r="B461" s="330" t="s">
        <v>4490</v>
      </c>
      <c r="C461" s="328">
        <v>40</v>
      </c>
      <c r="E461" s="298" t="str">
        <f t="shared" si="19"/>
        <v/>
      </c>
      <c r="F461" s="298" t="str">
        <f t="shared" si="20"/>
        <v/>
      </c>
      <c r="G461" t="str">
        <f t="shared" si="18"/>
        <v/>
      </c>
    </row>
    <row r="462" spans="2:7">
      <c r="B462" s="330" t="s">
        <v>4483</v>
      </c>
      <c r="C462" s="328">
        <v>48</v>
      </c>
      <c r="E462" s="298" t="str">
        <f t="shared" si="19"/>
        <v/>
      </c>
      <c r="F462" s="298" t="str">
        <f t="shared" si="20"/>
        <v/>
      </c>
      <c r="G462" t="str">
        <f t="shared" ref="G462:G525" si="21">IF(F462&lt;&gt;"","INSERIR COMENTÁRIO PMO","")</f>
        <v/>
      </c>
    </row>
    <row r="463" spans="2:7">
      <c r="B463" s="330" t="s">
        <v>4486</v>
      </c>
      <c r="C463" s="328">
        <v>32</v>
      </c>
      <c r="E463" s="298" t="str">
        <f t="shared" ref="E463:E526" si="22">IF(D463&lt;&gt;0,"INSERIR JUSTIFICATIVA","")</f>
        <v/>
      </c>
      <c r="F463" s="298" t="str">
        <f t="shared" ref="F463:F526" si="23">IF(E463&lt;&gt;"","INSERIR HORA PMO","")</f>
        <v/>
      </c>
      <c r="G463" t="str">
        <f t="shared" si="21"/>
        <v/>
      </c>
    </row>
    <row r="464" spans="2:7">
      <c r="B464" s="330" t="s">
        <v>4480</v>
      </c>
      <c r="C464" s="328">
        <v>8</v>
      </c>
      <c r="E464" s="298" t="str">
        <f t="shared" si="22"/>
        <v/>
      </c>
      <c r="F464" s="298" t="str">
        <f t="shared" si="23"/>
        <v/>
      </c>
      <c r="G464" t="str">
        <f t="shared" si="21"/>
        <v/>
      </c>
    </row>
    <row r="465" spans="2:7">
      <c r="B465" s="330" t="s">
        <v>4477</v>
      </c>
      <c r="C465" s="328">
        <v>24</v>
      </c>
      <c r="E465" s="298" t="str">
        <f t="shared" si="22"/>
        <v/>
      </c>
      <c r="F465" s="298" t="str">
        <f t="shared" si="23"/>
        <v/>
      </c>
      <c r="G465" t="str">
        <f t="shared" si="21"/>
        <v/>
      </c>
    </row>
    <row r="466" spans="2:7">
      <c r="B466" s="330" t="s">
        <v>4501</v>
      </c>
      <c r="C466" s="328">
        <v>0</v>
      </c>
      <c r="E466" s="298" t="str">
        <f t="shared" si="22"/>
        <v/>
      </c>
      <c r="F466" s="298" t="str">
        <f t="shared" si="23"/>
        <v/>
      </c>
      <c r="G466" t="str">
        <f t="shared" si="21"/>
        <v/>
      </c>
    </row>
    <row r="467" spans="2:7">
      <c r="B467" s="330" t="s">
        <v>4498</v>
      </c>
      <c r="C467" s="328">
        <v>16</v>
      </c>
      <c r="E467" s="298" t="str">
        <f t="shared" si="22"/>
        <v/>
      </c>
      <c r="F467" s="298" t="str">
        <f t="shared" si="23"/>
        <v/>
      </c>
      <c r="G467" t="str">
        <f t="shared" si="21"/>
        <v/>
      </c>
    </row>
    <row r="468" spans="2:7">
      <c r="B468" s="330" t="s">
        <v>4493</v>
      </c>
      <c r="C468" s="328">
        <v>32</v>
      </c>
      <c r="E468" s="298" t="str">
        <f t="shared" si="22"/>
        <v/>
      </c>
      <c r="F468" s="298" t="str">
        <f t="shared" si="23"/>
        <v/>
      </c>
      <c r="G468" t="str">
        <f t="shared" si="21"/>
        <v/>
      </c>
    </row>
    <row r="469" spans="2:7">
      <c r="B469" s="330" t="s">
        <v>4494</v>
      </c>
      <c r="C469" s="328">
        <v>0</v>
      </c>
      <c r="E469" s="298" t="str">
        <f t="shared" si="22"/>
        <v/>
      </c>
      <c r="F469" s="298" t="str">
        <f t="shared" si="23"/>
        <v/>
      </c>
      <c r="G469" t="str">
        <f t="shared" si="21"/>
        <v/>
      </c>
    </row>
    <row r="470" spans="2:7">
      <c r="B470" s="329" t="s">
        <v>4377</v>
      </c>
      <c r="E470" s="298" t="str">
        <f t="shared" si="22"/>
        <v/>
      </c>
      <c r="F470" s="298" t="str">
        <f t="shared" si="23"/>
        <v/>
      </c>
      <c r="G470" t="str">
        <f t="shared" si="21"/>
        <v/>
      </c>
    </row>
    <row r="471" spans="2:7">
      <c r="B471" s="330" t="s">
        <v>4436</v>
      </c>
      <c r="C471" s="328">
        <v>4</v>
      </c>
      <c r="E471" s="298" t="str">
        <f t="shared" si="22"/>
        <v/>
      </c>
      <c r="F471" s="298" t="str">
        <f t="shared" si="23"/>
        <v/>
      </c>
      <c r="G471" t="str">
        <f t="shared" si="21"/>
        <v/>
      </c>
    </row>
    <row r="472" spans="2:7">
      <c r="B472" s="329" t="s">
        <v>3753</v>
      </c>
      <c r="E472" s="298" t="str">
        <f t="shared" si="22"/>
        <v/>
      </c>
      <c r="F472" s="298" t="str">
        <f t="shared" si="23"/>
        <v/>
      </c>
      <c r="G472" t="str">
        <f t="shared" si="21"/>
        <v/>
      </c>
    </row>
    <row r="473" spans="2:7">
      <c r="B473" s="330" t="s">
        <v>3756</v>
      </c>
      <c r="C473" s="328">
        <v>16</v>
      </c>
      <c r="E473" s="298" t="str">
        <f t="shared" si="22"/>
        <v/>
      </c>
      <c r="F473" s="298" t="str">
        <f t="shared" si="23"/>
        <v/>
      </c>
      <c r="G473" t="str">
        <f t="shared" si="21"/>
        <v/>
      </c>
    </row>
    <row r="474" spans="2:7">
      <c r="B474" s="329" t="s">
        <v>3746</v>
      </c>
      <c r="E474" s="298" t="str">
        <f t="shared" si="22"/>
        <v/>
      </c>
      <c r="F474" s="298" t="str">
        <f t="shared" si="23"/>
        <v/>
      </c>
      <c r="G474" t="str">
        <f t="shared" si="21"/>
        <v/>
      </c>
    </row>
    <row r="475" spans="2:7">
      <c r="B475" s="330" t="s">
        <v>3749</v>
      </c>
      <c r="C475" s="328">
        <v>16</v>
      </c>
      <c r="E475" s="298" t="str">
        <f t="shared" si="22"/>
        <v/>
      </c>
      <c r="F475" s="298" t="str">
        <f t="shared" si="23"/>
        <v/>
      </c>
      <c r="G475" t="str">
        <f t="shared" si="21"/>
        <v/>
      </c>
    </row>
    <row r="476" spans="2:7">
      <c r="B476" s="330" t="s">
        <v>3752</v>
      </c>
      <c r="C476" s="328">
        <v>12</v>
      </c>
      <c r="E476" s="298" t="str">
        <f t="shared" si="22"/>
        <v/>
      </c>
      <c r="F476" s="298" t="str">
        <f t="shared" si="23"/>
        <v/>
      </c>
      <c r="G476" t="str">
        <f t="shared" si="21"/>
        <v/>
      </c>
    </row>
    <row r="477" spans="2:7">
      <c r="B477" s="329" t="s">
        <v>3854</v>
      </c>
      <c r="E477" s="298" t="str">
        <f t="shared" si="22"/>
        <v/>
      </c>
      <c r="F477" s="298" t="str">
        <f t="shared" si="23"/>
        <v/>
      </c>
      <c r="G477" t="str">
        <f t="shared" si="21"/>
        <v/>
      </c>
    </row>
    <row r="478" spans="2:7">
      <c r="B478" s="330" t="s">
        <v>3875</v>
      </c>
      <c r="C478" s="328">
        <v>40</v>
      </c>
      <c r="E478" s="298" t="str">
        <f t="shared" si="22"/>
        <v/>
      </c>
      <c r="F478" s="298" t="str">
        <f t="shared" si="23"/>
        <v/>
      </c>
      <c r="G478" t="str">
        <f t="shared" si="21"/>
        <v/>
      </c>
    </row>
    <row r="479" spans="2:7">
      <c r="B479" s="330" t="s">
        <v>3857</v>
      </c>
      <c r="C479" s="328">
        <v>2</v>
      </c>
      <c r="E479" s="298" t="str">
        <f t="shared" si="22"/>
        <v/>
      </c>
      <c r="F479" s="298" t="str">
        <f t="shared" si="23"/>
        <v/>
      </c>
      <c r="G479" t="str">
        <f t="shared" si="21"/>
        <v/>
      </c>
    </row>
    <row r="480" spans="2:7">
      <c r="B480" s="330" t="s">
        <v>3874</v>
      </c>
      <c r="C480" s="328">
        <v>32</v>
      </c>
      <c r="E480" s="298" t="str">
        <f t="shared" si="22"/>
        <v/>
      </c>
      <c r="F480" s="298" t="str">
        <f t="shared" si="23"/>
        <v/>
      </c>
      <c r="G480" t="str">
        <f t="shared" si="21"/>
        <v/>
      </c>
    </row>
    <row r="481" spans="2:7">
      <c r="B481" s="330" t="s">
        <v>3879</v>
      </c>
      <c r="C481" s="328">
        <v>16</v>
      </c>
      <c r="E481" s="298" t="str">
        <f t="shared" si="22"/>
        <v/>
      </c>
      <c r="F481" s="298" t="str">
        <f t="shared" si="23"/>
        <v/>
      </c>
      <c r="G481" t="str">
        <f t="shared" si="21"/>
        <v/>
      </c>
    </row>
    <row r="482" spans="2:7">
      <c r="B482" s="330" t="s">
        <v>3868</v>
      </c>
      <c r="C482" s="328">
        <v>16</v>
      </c>
      <c r="E482" s="298" t="str">
        <f t="shared" si="22"/>
        <v/>
      </c>
      <c r="F482" s="298" t="str">
        <f t="shared" si="23"/>
        <v/>
      </c>
      <c r="G482" t="str">
        <f t="shared" si="21"/>
        <v/>
      </c>
    </row>
    <row r="483" spans="2:7">
      <c r="B483" s="330" t="s">
        <v>3896</v>
      </c>
      <c r="C483" s="328">
        <v>8</v>
      </c>
      <c r="E483" s="298" t="str">
        <f t="shared" si="22"/>
        <v/>
      </c>
      <c r="F483" s="298" t="str">
        <f t="shared" si="23"/>
        <v/>
      </c>
      <c r="G483" t="str">
        <f t="shared" si="21"/>
        <v/>
      </c>
    </row>
    <row r="484" spans="2:7">
      <c r="B484" s="330" t="s">
        <v>3891</v>
      </c>
      <c r="C484" s="328">
        <v>32</v>
      </c>
      <c r="E484" s="298" t="str">
        <f t="shared" si="22"/>
        <v/>
      </c>
      <c r="F484" s="298" t="str">
        <f t="shared" si="23"/>
        <v/>
      </c>
      <c r="G484" t="str">
        <f t="shared" si="21"/>
        <v/>
      </c>
    </row>
    <row r="485" spans="2:7">
      <c r="B485" s="330" t="s">
        <v>3863</v>
      </c>
      <c r="C485" s="328">
        <v>48</v>
      </c>
      <c r="E485" s="298" t="str">
        <f t="shared" si="22"/>
        <v/>
      </c>
      <c r="F485" s="298" t="str">
        <f t="shared" si="23"/>
        <v/>
      </c>
      <c r="G485" t="str">
        <f t="shared" si="21"/>
        <v/>
      </c>
    </row>
    <row r="486" spans="2:7">
      <c r="B486" s="330" t="s">
        <v>3894</v>
      </c>
      <c r="C486" s="328">
        <v>4</v>
      </c>
      <c r="E486" s="298" t="str">
        <f t="shared" si="22"/>
        <v/>
      </c>
      <c r="F486" s="298" t="str">
        <f t="shared" si="23"/>
        <v/>
      </c>
      <c r="G486" t="str">
        <f t="shared" si="21"/>
        <v/>
      </c>
    </row>
    <row r="487" spans="2:7">
      <c r="B487" s="330" t="s">
        <v>3885</v>
      </c>
      <c r="C487" s="328">
        <v>8</v>
      </c>
      <c r="E487" s="298" t="str">
        <f t="shared" si="22"/>
        <v/>
      </c>
      <c r="F487" s="298" t="str">
        <f t="shared" si="23"/>
        <v/>
      </c>
      <c r="G487" t="str">
        <f t="shared" si="21"/>
        <v/>
      </c>
    </row>
    <row r="488" spans="2:7">
      <c r="B488" s="330" t="s">
        <v>3871</v>
      </c>
      <c r="C488" s="328">
        <v>0</v>
      </c>
      <c r="E488" s="298" t="str">
        <f t="shared" si="22"/>
        <v/>
      </c>
      <c r="F488" s="298" t="str">
        <f t="shared" si="23"/>
        <v/>
      </c>
      <c r="G488" t="str">
        <f t="shared" si="21"/>
        <v/>
      </c>
    </row>
    <row r="489" spans="2:7">
      <c r="B489" s="330" t="s">
        <v>3860</v>
      </c>
      <c r="C489" s="328">
        <v>0</v>
      </c>
      <c r="E489" s="298" t="str">
        <f t="shared" si="22"/>
        <v/>
      </c>
      <c r="F489" s="298" t="str">
        <f t="shared" si="23"/>
        <v/>
      </c>
      <c r="G489" t="str">
        <f t="shared" si="21"/>
        <v/>
      </c>
    </row>
    <row r="490" spans="2:7">
      <c r="B490" s="330" t="s">
        <v>3899</v>
      </c>
      <c r="C490" s="328">
        <v>0</v>
      </c>
      <c r="E490" s="298" t="str">
        <f t="shared" si="22"/>
        <v/>
      </c>
      <c r="F490" s="298" t="str">
        <f t="shared" si="23"/>
        <v/>
      </c>
      <c r="G490" t="str">
        <f t="shared" si="21"/>
        <v/>
      </c>
    </row>
    <row r="491" spans="2:7">
      <c r="B491" s="330" t="s">
        <v>3888</v>
      </c>
      <c r="C491" s="328">
        <v>0</v>
      </c>
      <c r="E491" s="298" t="str">
        <f t="shared" si="22"/>
        <v/>
      </c>
      <c r="F491" s="298" t="str">
        <f t="shared" si="23"/>
        <v/>
      </c>
      <c r="G491" t="str">
        <f t="shared" si="21"/>
        <v/>
      </c>
    </row>
    <row r="492" spans="2:7">
      <c r="B492" s="330" t="s">
        <v>3864</v>
      </c>
      <c r="C492" s="328">
        <v>0</v>
      </c>
      <c r="E492" s="298" t="str">
        <f t="shared" si="22"/>
        <v/>
      </c>
      <c r="F492" s="298" t="str">
        <f t="shared" si="23"/>
        <v/>
      </c>
      <c r="G492" t="str">
        <f t="shared" si="21"/>
        <v/>
      </c>
    </row>
    <row r="493" spans="2:7">
      <c r="B493" s="329" t="s">
        <v>3799</v>
      </c>
      <c r="E493" s="298" t="str">
        <f t="shared" si="22"/>
        <v/>
      </c>
      <c r="F493" s="298" t="str">
        <f t="shared" si="23"/>
        <v/>
      </c>
      <c r="G493" t="str">
        <f t="shared" si="21"/>
        <v/>
      </c>
    </row>
    <row r="494" spans="2:7">
      <c r="B494" s="330" t="s">
        <v>3820</v>
      </c>
      <c r="C494" s="328">
        <v>40</v>
      </c>
      <c r="E494" s="298" t="str">
        <f t="shared" si="22"/>
        <v/>
      </c>
      <c r="F494" s="298" t="str">
        <f t="shared" si="23"/>
        <v/>
      </c>
      <c r="G494" t="str">
        <f t="shared" si="21"/>
        <v/>
      </c>
    </row>
    <row r="495" spans="2:7">
      <c r="B495" s="330" t="s">
        <v>3814</v>
      </c>
      <c r="C495" s="328">
        <v>4</v>
      </c>
      <c r="E495" s="298" t="str">
        <f t="shared" si="22"/>
        <v/>
      </c>
      <c r="F495" s="298" t="str">
        <f t="shared" si="23"/>
        <v/>
      </c>
      <c r="G495" t="str">
        <f t="shared" si="21"/>
        <v/>
      </c>
    </row>
    <row r="496" spans="2:7">
      <c r="B496" s="330" t="s">
        <v>3811</v>
      </c>
      <c r="C496" s="328">
        <v>4</v>
      </c>
      <c r="E496" s="298" t="str">
        <f t="shared" si="22"/>
        <v/>
      </c>
      <c r="F496" s="298" t="str">
        <f t="shared" si="23"/>
        <v/>
      </c>
      <c r="G496" t="str">
        <f t="shared" si="21"/>
        <v/>
      </c>
    </row>
    <row r="497" spans="2:7">
      <c r="B497" s="330" t="s">
        <v>3802</v>
      </c>
      <c r="C497" s="328">
        <v>24</v>
      </c>
      <c r="E497" s="298" t="str">
        <f t="shared" si="22"/>
        <v/>
      </c>
      <c r="F497" s="298" t="str">
        <f t="shared" si="23"/>
        <v/>
      </c>
      <c r="G497" t="str">
        <f t="shared" si="21"/>
        <v/>
      </c>
    </row>
    <row r="498" spans="2:7">
      <c r="B498" s="330" t="s">
        <v>3847</v>
      </c>
      <c r="C498" s="328">
        <v>40</v>
      </c>
      <c r="E498" s="298" t="str">
        <f t="shared" si="22"/>
        <v/>
      </c>
      <c r="F498" s="298" t="str">
        <f t="shared" si="23"/>
        <v/>
      </c>
      <c r="G498" t="str">
        <f t="shared" si="21"/>
        <v/>
      </c>
    </row>
    <row r="499" spans="2:7">
      <c r="B499" s="330" t="s">
        <v>3844</v>
      </c>
      <c r="C499" s="328">
        <v>40</v>
      </c>
      <c r="E499" s="298" t="str">
        <f t="shared" si="22"/>
        <v/>
      </c>
      <c r="F499" s="298" t="str">
        <f t="shared" si="23"/>
        <v/>
      </c>
      <c r="G499" t="str">
        <f t="shared" si="21"/>
        <v/>
      </c>
    </row>
    <row r="500" spans="2:7">
      <c r="B500" s="330" t="s">
        <v>3808</v>
      </c>
      <c r="C500" s="328">
        <v>4</v>
      </c>
      <c r="E500" s="298" t="str">
        <f t="shared" si="22"/>
        <v/>
      </c>
      <c r="F500" s="298" t="str">
        <f t="shared" si="23"/>
        <v/>
      </c>
      <c r="G500" t="str">
        <f t="shared" si="21"/>
        <v/>
      </c>
    </row>
    <row r="501" spans="2:7">
      <c r="B501" s="330" t="s">
        <v>3805</v>
      </c>
      <c r="C501" s="328">
        <v>4</v>
      </c>
      <c r="E501" s="298" t="str">
        <f t="shared" si="22"/>
        <v/>
      </c>
      <c r="F501" s="298" t="str">
        <f t="shared" si="23"/>
        <v/>
      </c>
      <c r="G501" t="str">
        <f t="shared" si="21"/>
        <v/>
      </c>
    </row>
    <row r="502" spans="2:7">
      <c r="B502" s="330" t="s">
        <v>3853</v>
      </c>
      <c r="C502" s="328">
        <v>24</v>
      </c>
      <c r="E502" s="298" t="str">
        <f t="shared" si="22"/>
        <v/>
      </c>
      <c r="F502" s="298" t="str">
        <f t="shared" si="23"/>
        <v/>
      </c>
      <c r="G502" t="str">
        <f t="shared" si="21"/>
        <v/>
      </c>
    </row>
    <row r="503" spans="2:7">
      <c r="B503" s="330" t="s">
        <v>3850</v>
      </c>
      <c r="C503" s="328">
        <v>4</v>
      </c>
      <c r="E503" s="298" t="str">
        <f t="shared" si="22"/>
        <v/>
      </c>
      <c r="F503" s="298" t="str">
        <f t="shared" si="23"/>
        <v/>
      </c>
      <c r="G503" t="str">
        <f t="shared" si="21"/>
        <v/>
      </c>
    </row>
    <row r="504" spans="2:7">
      <c r="B504" s="330" t="s">
        <v>3835</v>
      </c>
      <c r="C504" s="328">
        <v>8</v>
      </c>
      <c r="E504" s="298" t="str">
        <f t="shared" si="22"/>
        <v/>
      </c>
      <c r="F504" s="298" t="str">
        <f t="shared" si="23"/>
        <v/>
      </c>
      <c r="G504" t="str">
        <f t="shared" si="21"/>
        <v/>
      </c>
    </row>
    <row r="505" spans="2:7">
      <c r="B505" s="330" t="s">
        <v>3832</v>
      </c>
      <c r="C505" s="328">
        <v>4</v>
      </c>
      <c r="E505" s="298" t="str">
        <f t="shared" si="22"/>
        <v/>
      </c>
      <c r="F505" s="298" t="str">
        <f t="shared" si="23"/>
        <v/>
      </c>
      <c r="G505" t="str">
        <f t="shared" si="21"/>
        <v/>
      </c>
    </row>
    <row r="506" spans="2:7">
      <c r="B506" s="330" t="s">
        <v>3829</v>
      </c>
      <c r="C506" s="328">
        <v>4</v>
      </c>
      <c r="E506" s="298" t="str">
        <f t="shared" si="22"/>
        <v/>
      </c>
      <c r="F506" s="298" t="str">
        <f t="shared" si="23"/>
        <v/>
      </c>
      <c r="G506" t="str">
        <f t="shared" si="21"/>
        <v/>
      </c>
    </row>
    <row r="507" spans="2:7">
      <c r="B507" s="330" t="s">
        <v>3826</v>
      </c>
      <c r="C507" s="328">
        <v>4</v>
      </c>
      <c r="E507" s="298" t="str">
        <f t="shared" si="22"/>
        <v/>
      </c>
      <c r="F507" s="298" t="str">
        <f t="shared" si="23"/>
        <v/>
      </c>
      <c r="G507" t="str">
        <f t="shared" si="21"/>
        <v/>
      </c>
    </row>
    <row r="508" spans="2:7">
      <c r="B508" s="330" t="s">
        <v>3823</v>
      </c>
      <c r="C508" s="328">
        <v>8</v>
      </c>
      <c r="E508" s="298" t="str">
        <f t="shared" si="22"/>
        <v/>
      </c>
      <c r="F508" s="298" t="str">
        <f t="shared" si="23"/>
        <v/>
      </c>
      <c r="G508" t="str">
        <f t="shared" si="21"/>
        <v/>
      </c>
    </row>
    <row r="509" spans="2:7">
      <c r="B509" s="330" t="s">
        <v>3838</v>
      </c>
      <c r="C509" s="328">
        <v>0</v>
      </c>
      <c r="E509" s="298" t="str">
        <f t="shared" si="22"/>
        <v/>
      </c>
      <c r="F509" s="298" t="str">
        <f t="shared" si="23"/>
        <v/>
      </c>
      <c r="G509" t="str">
        <f t="shared" si="21"/>
        <v/>
      </c>
    </row>
    <row r="510" spans="2:7">
      <c r="B510" s="329" t="s">
        <v>3780</v>
      </c>
      <c r="E510" s="298" t="str">
        <f t="shared" si="22"/>
        <v/>
      </c>
      <c r="F510" s="298" t="str">
        <f t="shared" si="23"/>
        <v/>
      </c>
      <c r="G510" t="str">
        <f t="shared" si="21"/>
        <v/>
      </c>
    </row>
    <row r="511" spans="2:7">
      <c r="B511" s="330" t="s">
        <v>3783</v>
      </c>
      <c r="C511" s="328">
        <v>8</v>
      </c>
      <c r="E511" s="298" t="str">
        <f t="shared" si="22"/>
        <v/>
      </c>
      <c r="F511" s="298" t="str">
        <f t="shared" si="23"/>
        <v/>
      </c>
      <c r="G511" t="str">
        <f t="shared" si="21"/>
        <v/>
      </c>
    </row>
    <row r="512" spans="2:7">
      <c r="B512" s="330" t="s">
        <v>3792</v>
      </c>
      <c r="C512" s="328">
        <v>40</v>
      </c>
      <c r="E512" s="298" t="str">
        <f t="shared" si="22"/>
        <v/>
      </c>
      <c r="F512" s="298" t="str">
        <f t="shared" si="23"/>
        <v/>
      </c>
      <c r="G512" t="str">
        <f t="shared" si="21"/>
        <v/>
      </c>
    </row>
    <row r="513" spans="2:7">
      <c r="B513" s="330" t="s">
        <v>3795</v>
      </c>
      <c r="C513" s="328">
        <v>16</v>
      </c>
      <c r="E513" s="298" t="str">
        <f t="shared" si="22"/>
        <v/>
      </c>
      <c r="F513" s="298" t="str">
        <f t="shared" si="23"/>
        <v/>
      </c>
      <c r="G513" t="str">
        <f t="shared" si="21"/>
        <v/>
      </c>
    </row>
    <row r="514" spans="2:7">
      <c r="B514" s="330" t="s">
        <v>3789</v>
      </c>
      <c r="C514" s="328">
        <v>4</v>
      </c>
      <c r="E514" s="298" t="str">
        <f t="shared" si="22"/>
        <v/>
      </c>
      <c r="F514" s="298" t="str">
        <f t="shared" si="23"/>
        <v/>
      </c>
      <c r="G514" t="str">
        <f t="shared" si="21"/>
        <v/>
      </c>
    </row>
    <row r="515" spans="2:7">
      <c r="B515" s="330" t="s">
        <v>3786</v>
      </c>
      <c r="C515" s="328">
        <v>8</v>
      </c>
      <c r="E515" s="298" t="str">
        <f t="shared" si="22"/>
        <v/>
      </c>
      <c r="F515" s="298" t="str">
        <f t="shared" si="23"/>
        <v/>
      </c>
      <c r="G515" t="str">
        <f t="shared" si="21"/>
        <v/>
      </c>
    </row>
    <row r="516" spans="2:7">
      <c r="B516" s="330" t="s">
        <v>3798</v>
      </c>
      <c r="C516" s="328">
        <v>0</v>
      </c>
      <c r="E516" s="298" t="str">
        <f t="shared" si="22"/>
        <v/>
      </c>
      <c r="F516" s="298" t="str">
        <f t="shared" si="23"/>
        <v/>
      </c>
      <c r="G516" t="str">
        <f t="shared" si="21"/>
        <v/>
      </c>
    </row>
    <row r="517" spans="2:7">
      <c r="B517" s="329" t="s">
        <v>3759</v>
      </c>
      <c r="E517" s="298" t="str">
        <f t="shared" si="22"/>
        <v/>
      </c>
      <c r="F517" s="298" t="str">
        <f t="shared" si="23"/>
        <v/>
      </c>
      <c r="G517" t="str">
        <f t="shared" si="21"/>
        <v/>
      </c>
    </row>
    <row r="518" spans="2:7">
      <c r="B518" s="330" t="s">
        <v>3768</v>
      </c>
      <c r="C518" s="328">
        <v>32</v>
      </c>
      <c r="E518" s="298" t="str">
        <f t="shared" si="22"/>
        <v/>
      </c>
      <c r="F518" s="298" t="str">
        <f t="shared" si="23"/>
        <v/>
      </c>
      <c r="G518" t="str">
        <f t="shared" si="21"/>
        <v/>
      </c>
    </row>
    <row r="519" spans="2:7">
      <c r="B519" s="330" t="s">
        <v>3765</v>
      </c>
      <c r="C519" s="328">
        <v>16</v>
      </c>
      <c r="E519" s="298" t="str">
        <f t="shared" si="22"/>
        <v/>
      </c>
      <c r="F519" s="298" t="str">
        <f t="shared" si="23"/>
        <v/>
      </c>
      <c r="G519" t="str">
        <f t="shared" si="21"/>
        <v/>
      </c>
    </row>
    <row r="520" spans="2:7">
      <c r="B520" s="330" t="s">
        <v>5886</v>
      </c>
      <c r="C520" s="328">
        <v>32</v>
      </c>
      <c r="E520" s="298" t="str">
        <f t="shared" si="22"/>
        <v/>
      </c>
      <c r="F520" s="298" t="str">
        <f t="shared" si="23"/>
        <v/>
      </c>
      <c r="G520" t="str">
        <f t="shared" si="21"/>
        <v/>
      </c>
    </row>
    <row r="521" spans="2:7">
      <c r="B521" s="330" t="s">
        <v>3762</v>
      </c>
      <c r="C521" s="328">
        <v>32</v>
      </c>
      <c r="E521" s="298" t="str">
        <f t="shared" si="22"/>
        <v/>
      </c>
      <c r="F521" s="298" t="str">
        <f t="shared" si="23"/>
        <v/>
      </c>
      <c r="G521" t="str">
        <f t="shared" si="21"/>
        <v/>
      </c>
    </row>
    <row r="522" spans="2:7">
      <c r="B522" s="329" t="s">
        <v>3686</v>
      </c>
      <c r="E522" s="298" t="str">
        <f t="shared" si="22"/>
        <v/>
      </c>
      <c r="F522" s="298" t="str">
        <f t="shared" si="23"/>
        <v/>
      </c>
      <c r="G522" t="str">
        <f t="shared" si="21"/>
        <v/>
      </c>
    </row>
    <row r="523" spans="2:7">
      <c r="B523" s="330" t="s">
        <v>3696</v>
      </c>
      <c r="C523" s="328">
        <v>24</v>
      </c>
      <c r="E523" s="298" t="str">
        <f t="shared" si="22"/>
        <v/>
      </c>
      <c r="F523" s="298" t="str">
        <f t="shared" si="23"/>
        <v/>
      </c>
      <c r="G523" t="str">
        <f t="shared" si="21"/>
        <v/>
      </c>
    </row>
    <row r="524" spans="2:7">
      <c r="B524" s="330" t="s">
        <v>3693</v>
      </c>
      <c r="C524" s="328">
        <v>24</v>
      </c>
      <c r="E524" s="298" t="str">
        <f t="shared" si="22"/>
        <v/>
      </c>
      <c r="F524" s="298" t="str">
        <f t="shared" si="23"/>
        <v/>
      </c>
      <c r="G524" t="str">
        <f t="shared" si="21"/>
        <v/>
      </c>
    </row>
    <row r="525" spans="2:7">
      <c r="B525" s="330" t="s">
        <v>3689</v>
      </c>
      <c r="C525" s="328">
        <v>16</v>
      </c>
      <c r="E525" s="298" t="str">
        <f t="shared" si="22"/>
        <v/>
      </c>
      <c r="F525" s="298" t="str">
        <f t="shared" si="23"/>
        <v/>
      </c>
      <c r="G525" t="str">
        <f t="shared" si="21"/>
        <v/>
      </c>
    </row>
    <row r="526" spans="2:7">
      <c r="B526" s="330" t="s">
        <v>3699</v>
      </c>
      <c r="C526" s="328">
        <v>4</v>
      </c>
      <c r="E526" s="298" t="str">
        <f t="shared" si="22"/>
        <v/>
      </c>
      <c r="F526" s="298" t="str">
        <f t="shared" si="23"/>
        <v/>
      </c>
      <c r="G526" t="str">
        <f t="shared" ref="G526:G550" si="24">IF(F526&lt;&gt;"","INSERIR COMENTÁRIO PMO","")</f>
        <v/>
      </c>
    </row>
    <row r="527" spans="2:7">
      <c r="B527" s="330" t="s">
        <v>3690</v>
      </c>
      <c r="C527" s="328">
        <v>16</v>
      </c>
      <c r="E527" s="298" t="str">
        <f t="shared" ref="E527:E550" si="25">IF(D527&lt;&gt;0,"INSERIR JUSTIFICATIVA","")</f>
        <v/>
      </c>
      <c r="F527" s="298" t="str">
        <f t="shared" ref="F527:F550" si="26">IF(E527&lt;&gt;"","INSERIR HORA PMO","")</f>
        <v/>
      </c>
      <c r="G527" t="str">
        <f t="shared" si="24"/>
        <v/>
      </c>
    </row>
    <row r="528" spans="2:7">
      <c r="B528" s="329" t="s">
        <v>3670</v>
      </c>
      <c r="E528" s="298" t="str">
        <f t="shared" si="25"/>
        <v/>
      </c>
      <c r="F528" s="298" t="str">
        <f t="shared" si="26"/>
        <v/>
      </c>
      <c r="G528" t="str">
        <f t="shared" si="24"/>
        <v/>
      </c>
    </row>
    <row r="529" spans="2:7">
      <c r="B529" s="330" t="s">
        <v>3679</v>
      </c>
      <c r="C529" s="328">
        <v>32</v>
      </c>
      <c r="E529" s="298" t="str">
        <f t="shared" si="25"/>
        <v/>
      </c>
      <c r="F529" s="298" t="str">
        <f t="shared" si="26"/>
        <v/>
      </c>
      <c r="G529" t="str">
        <f t="shared" si="24"/>
        <v/>
      </c>
    </row>
    <row r="530" spans="2:7">
      <c r="B530" s="330" t="s">
        <v>3676</v>
      </c>
      <c r="C530" s="328">
        <v>16</v>
      </c>
      <c r="E530" s="298" t="str">
        <f t="shared" si="25"/>
        <v/>
      </c>
      <c r="F530" s="298" t="str">
        <f t="shared" si="26"/>
        <v/>
      </c>
      <c r="G530" t="str">
        <f t="shared" si="24"/>
        <v/>
      </c>
    </row>
    <row r="531" spans="2:7">
      <c r="B531" s="330" t="s">
        <v>3682</v>
      </c>
      <c r="C531" s="328">
        <v>24</v>
      </c>
      <c r="E531" s="298" t="str">
        <f t="shared" si="25"/>
        <v/>
      </c>
      <c r="F531" s="298" t="str">
        <f t="shared" si="26"/>
        <v/>
      </c>
      <c r="G531" t="str">
        <f t="shared" si="24"/>
        <v/>
      </c>
    </row>
    <row r="532" spans="2:7">
      <c r="B532" s="330" t="s">
        <v>3673</v>
      </c>
      <c r="C532" s="328">
        <v>40</v>
      </c>
      <c r="E532" s="298" t="str">
        <f t="shared" si="25"/>
        <v/>
      </c>
      <c r="F532" s="298" t="str">
        <f t="shared" si="26"/>
        <v/>
      </c>
      <c r="G532" t="str">
        <f t="shared" si="24"/>
        <v/>
      </c>
    </row>
    <row r="533" spans="2:7">
      <c r="B533" s="329" t="s">
        <v>3714</v>
      </c>
      <c r="E533" s="298" t="str">
        <f t="shared" si="25"/>
        <v/>
      </c>
      <c r="F533" s="298" t="str">
        <f t="shared" si="26"/>
        <v/>
      </c>
      <c r="G533" t="str">
        <f t="shared" si="24"/>
        <v/>
      </c>
    </row>
    <row r="534" spans="2:7">
      <c r="B534" s="330" t="s">
        <v>3720</v>
      </c>
      <c r="C534" s="328">
        <v>12</v>
      </c>
      <c r="E534" s="298" t="str">
        <f t="shared" si="25"/>
        <v/>
      </c>
      <c r="F534" s="298" t="str">
        <f t="shared" si="26"/>
        <v/>
      </c>
      <c r="G534" t="str">
        <f t="shared" si="24"/>
        <v/>
      </c>
    </row>
    <row r="535" spans="2:7">
      <c r="B535" s="330" t="s">
        <v>3745</v>
      </c>
      <c r="C535" s="328">
        <v>32</v>
      </c>
      <c r="E535" s="298" t="str">
        <f t="shared" si="25"/>
        <v/>
      </c>
      <c r="F535" s="298" t="str">
        <f t="shared" si="26"/>
        <v/>
      </c>
      <c r="G535" t="str">
        <f t="shared" si="24"/>
        <v/>
      </c>
    </row>
    <row r="536" spans="2:7">
      <c r="B536" s="330" t="s">
        <v>3730</v>
      </c>
      <c r="C536" s="328">
        <v>24</v>
      </c>
      <c r="E536" s="298" t="str">
        <f t="shared" si="25"/>
        <v/>
      </c>
      <c r="F536" s="298" t="str">
        <f t="shared" si="26"/>
        <v/>
      </c>
      <c r="G536" t="str">
        <f t="shared" si="24"/>
        <v/>
      </c>
    </row>
    <row r="537" spans="2:7">
      <c r="B537" s="330" t="s">
        <v>3729</v>
      </c>
      <c r="C537" s="328">
        <v>24</v>
      </c>
      <c r="E537" s="298" t="str">
        <f t="shared" si="25"/>
        <v/>
      </c>
      <c r="F537" s="298" t="str">
        <f t="shared" si="26"/>
        <v/>
      </c>
      <c r="G537" t="str">
        <f t="shared" si="24"/>
        <v/>
      </c>
    </row>
    <row r="538" spans="2:7">
      <c r="B538" s="330" t="s">
        <v>3718</v>
      </c>
      <c r="C538" s="328">
        <v>24</v>
      </c>
      <c r="E538" s="298" t="str">
        <f t="shared" si="25"/>
        <v/>
      </c>
      <c r="F538" s="298" t="str">
        <f t="shared" si="26"/>
        <v/>
      </c>
      <c r="G538" t="str">
        <f t="shared" si="24"/>
        <v/>
      </c>
    </row>
    <row r="539" spans="2:7">
      <c r="B539" s="330" t="s">
        <v>3736</v>
      </c>
      <c r="C539" s="328">
        <v>4</v>
      </c>
      <c r="E539" s="298" t="str">
        <f t="shared" si="25"/>
        <v/>
      </c>
      <c r="F539" s="298" t="str">
        <f t="shared" si="26"/>
        <v/>
      </c>
      <c r="G539" t="str">
        <f t="shared" si="24"/>
        <v/>
      </c>
    </row>
    <row r="540" spans="2:7">
      <c r="B540" s="330" t="s">
        <v>3733</v>
      </c>
      <c r="C540" s="328">
        <v>32</v>
      </c>
      <c r="E540" s="298" t="str">
        <f t="shared" si="25"/>
        <v/>
      </c>
      <c r="F540" s="298" t="str">
        <f t="shared" si="26"/>
        <v/>
      </c>
      <c r="G540" t="str">
        <f t="shared" si="24"/>
        <v/>
      </c>
    </row>
    <row r="541" spans="2:7">
      <c r="B541" s="330" t="s">
        <v>3742</v>
      </c>
      <c r="C541" s="328">
        <v>16</v>
      </c>
      <c r="E541" s="298" t="str">
        <f t="shared" si="25"/>
        <v/>
      </c>
      <c r="F541" s="298" t="str">
        <f t="shared" si="26"/>
        <v/>
      </c>
      <c r="G541" t="str">
        <f t="shared" si="24"/>
        <v/>
      </c>
    </row>
    <row r="542" spans="2:7">
      <c r="B542" s="330" t="s">
        <v>3739</v>
      </c>
      <c r="C542" s="328">
        <v>16</v>
      </c>
      <c r="E542" s="298" t="str">
        <f t="shared" si="25"/>
        <v/>
      </c>
      <c r="F542" s="298" t="str">
        <f t="shared" si="26"/>
        <v/>
      </c>
      <c r="G542" t="str">
        <f t="shared" si="24"/>
        <v/>
      </c>
    </row>
    <row r="543" spans="2:7">
      <c r="B543" s="330" t="s">
        <v>3726</v>
      </c>
      <c r="C543" s="328">
        <v>12</v>
      </c>
      <c r="E543" s="298" t="str">
        <f t="shared" si="25"/>
        <v/>
      </c>
      <c r="F543" s="298" t="str">
        <f t="shared" si="26"/>
        <v/>
      </c>
      <c r="G543" t="str">
        <f t="shared" si="24"/>
        <v/>
      </c>
    </row>
    <row r="544" spans="2:7">
      <c r="B544" s="330" t="s">
        <v>3723</v>
      </c>
      <c r="C544" s="328">
        <v>24</v>
      </c>
      <c r="E544" s="298" t="str">
        <f t="shared" si="25"/>
        <v/>
      </c>
      <c r="F544" s="298" t="str">
        <f t="shared" si="26"/>
        <v/>
      </c>
      <c r="G544" t="str">
        <f t="shared" si="24"/>
        <v/>
      </c>
    </row>
    <row r="545" spans="2:7">
      <c r="B545" s="330" t="s">
        <v>3717</v>
      </c>
      <c r="C545" s="328">
        <v>24</v>
      </c>
      <c r="E545" s="298" t="str">
        <f t="shared" si="25"/>
        <v/>
      </c>
      <c r="F545" s="298" t="str">
        <f t="shared" si="26"/>
        <v/>
      </c>
      <c r="G545" t="str">
        <f t="shared" si="24"/>
        <v/>
      </c>
    </row>
    <row r="546" spans="2:7">
      <c r="B546" s="329" t="s">
        <v>849</v>
      </c>
      <c r="E546" s="298" t="str">
        <f t="shared" si="25"/>
        <v/>
      </c>
      <c r="F546" s="298" t="str">
        <f t="shared" si="26"/>
        <v/>
      </c>
      <c r="G546" t="str">
        <f t="shared" si="24"/>
        <v/>
      </c>
    </row>
    <row r="547" spans="2:7">
      <c r="B547" s="330" t="s">
        <v>3704</v>
      </c>
      <c r="C547" s="328">
        <v>8</v>
      </c>
      <c r="E547" s="298" t="str">
        <f t="shared" si="25"/>
        <v/>
      </c>
      <c r="F547" s="298" t="str">
        <f t="shared" si="26"/>
        <v/>
      </c>
      <c r="G547" t="str">
        <f t="shared" si="24"/>
        <v/>
      </c>
    </row>
    <row r="548" spans="2:7">
      <c r="B548" s="330" t="s">
        <v>3703</v>
      </c>
      <c r="C548" s="328">
        <v>8</v>
      </c>
      <c r="E548" s="298" t="str">
        <f t="shared" si="25"/>
        <v/>
      </c>
      <c r="F548" s="298" t="str">
        <f t="shared" si="26"/>
        <v/>
      </c>
      <c r="G548" t="str">
        <f t="shared" si="24"/>
        <v/>
      </c>
    </row>
    <row r="549" spans="2:7">
      <c r="B549" s="330" t="s">
        <v>3701</v>
      </c>
      <c r="C549" s="328">
        <v>0</v>
      </c>
      <c r="E549" s="298" t="str">
        <f t="shared" si="25"/>
        <v/>
      </c>
      <c r="F549" s="298" t="str">
        <f t="shared" si="26"/>
        <v/>
      </c>
      <c r="G549" t="str">
        <f t="shared" si="24"/>
        <v/>
      </c>
    </row>
    <row r="550" spans="2:7">
      <c r="B550" s="330" t="s">
        <v>3710</v>
      </c>
      <c r="C550" s="328">
        <v>32</v>
      </c>
      <c r="D550">
        <f>1</f>
        <v>1</v>
      </c>
      <c r="E550" s="298" t="str">
        <f t="shared" si="25"/>
        <v>INSERIR JUSTIFICATIVA</v>
      </c>
      <c r="F550" s="298" t="str">
        <f t="shared" si="26"/>
        <v>INSERIR HORA PMO</v>
      </c>
      <c r="G550" t="str">
        <f t="shared" si="24"/>
        <v>INSERIR COMENTÁRIO PMO</v>
      </c>
    </row>
    <row r="551" spans="2:7">
      <c r="B551" s="330" t="s">
        <v>3713</v>
      </c>
      <c r="C551" s="328">
        <v>16</v>
      </c>
    </row>
    <row r="552" spans="2:7">
      <c r="B552" s="330" t="s">
        <v>3707</v>
      </c>
      <c r="C552" s="328">
        <v>12</v>
      </c>
    </row>
    <row r="553" spans="2:7">
      <c r="B553" s="19" t="s">
        <v>2646</v>
      </c>
      <c r="C553" s="328" t="e">
        <v>#N/A</v>
      </c>
    </row>
    <row r="554" spans="2:7">
      <c r="C554"/>
    </row>
    <row r="555" spans="2:7">
      <c r="C555"/>
    </row>
    <row r="556" spans="2:7">
      <c r="C556"/>
    </row>
    <row r="557" spans="2:7">
      <c r="C557"/>
    </row>
    <row r="558" spans="2:7">
      <c r="C558"/>
    </row>
    <row r="559" spans="2:7">
      <c r="C559"/>
    </row>
    <row r="560" spans="2:7">
      <c r="C560"/>
    </row>
    <row r="561" spans="3:3">
      <c r="C561"/>
    </row>
    <row r="562" spans="3:3">
      <c r="C562"/>
    </row>
    <row r="563" spans="3:3">
      <c r="C563"/>
    </row>
    <row r="564" spans="3:3">
      <c r="C564"/>
    </row>
    <row r="565" spans="3:3">
      <c r="C565"/>
    </row>
    <row r="566" spans="3:3">
      <c r="C566"/>
    </row>
    <row r="567" spans="3:3">
      <c r="C567"/>
    </row>
    <row r="568" spans="3:3">
      <c r="C568"/>
    </row>
    <row r="569" spans="3:3">
      <c r="C569"/>
    </row>
    <row r="570" spans="3:3">
      <c r="C570"/>
    </row>
    <row r="571" spans="3:3">
      <c r="C571"/>
    </row>
    <row r="572" spans="3:3">
      <c r="C572"/>
    </row>
    <row r="573" spans="3:3">
      <c r="C573"/>
    </row>
    <row r="574" spans="3:3">
      <c r="C574"/>
    </row>
    <row r="575" spans="3:3">
      <c r="C575"/>
    </row>
    <row r="576" spans="3:3">
      <c r="C576"/>
    </row>
    <row r="577" spans="3:3">
      <c r="C577"/>
    </row>
    <row r="578" spans="3:3">
      <c r="C578"/>
    </row>
    <row r="579" spans="3:3">
      <c r="C579"/>
    </row>
    <row r="580" spans="3:3">
      <c r="C580"/>
    </row>
    <row r="581" spans="3:3">
      <c r="C581"/>
    </row>
    <row r="582" spans="3:3">
      <c r="C582"/>
    </row>
    <row r="583" spans="3:3">
      <c r="C583"/>
    </row>
    <row r="584" spans="3:3">
      <c r="C584"/>
    </row>
    <row r="585" spans="3:3">
      <c r="C585"/>
    </row>
    <row r="586" spans="3:3">
      <c r="C586"/>
    </row>
    <row r="587" spans="3:3">
      <c r="C587"/>
    </row>
    <row r="588" spans="3:3">
      <c r="C588"/>
    </row>
    <row r="589" spans="3:3">
      <c r="C589"/>
    </row>
    <row r="590" spans="3:3">
      <c r="C590"/>
    </row>
    <row r="591" spans="3:3">
      <c r="C591"/>
    </row>
    <row r="592" spans="3:3">
      <c r="C592"/>
    </row>
    <row r="593" spans="3:3">
      <c r="C593"/>
    </row>
    <row r="594" spans="3:3">
      <c r="C594"/>
    </row>
    <row r="595" spans="3:3">
      <c r="C595"/>
    </row>
    <row r="596" spans="3:3">
      <c r="C596"/>
    </row>
    <row r="597" spans="3:3">
      <c r="C597"/>
    </row>
    <row r="598" spans="3:3">
      <c r="C598"/>
    </row>
    <row r="599" spans="3:3">
      <c r="C599"/>
    </row>
    <row r="600" spans="3:3">
      <c r="C600"/>
    </row>
    <row r="601" spans="3:3">
      <c r="C601"/>
    </row>
    <row r="602" spans="3:3">
      <c r="C602"/>
    </row>
    <row r="603" spans="3:3">
      <c r="C603"/>
    </row>
    <row r="604" spans="3:3">
      <c r="C604"/>
    </row>
    <row r="605" spans="3:3">
      <c r="C605"/>
    </row>
    <row r="606" spans="3:3">
      <c r="C606"/>
    </row>
    <row r="607" spans="3:3">
      <c r="C607"/>
    </row>
    <row r="608" spans="3:3">
      <c r="C608"/>
    </row>
    <row r="609" spans="3:3">
      <c r="C609"/>
    </row>
    <row r="610" spans="3:3">
      <c r="C610"/>
    </row>
    <row r="611" spans="3:3">
      <c r="C611"/>
    </row>
    <row r="612" spans="3:3">
      <c r="C612"/>
    </row>
    <row r="613" spans="3:3">
      <c r="C613"/>
    </row>
    <row r="614" spans="3:3">
      <c r="C614"/>
    </row>
    <row r="615" spans="3:3">
      <c r="C615"/>
    </row>
    <row r="616" spans="3:3">
      <c r="C616"/>
    </row>
    <row r="617" spans="3:3">
      <c r="C617"/>
    </row>
    <row r="618" spans="3:3">
      <c r="C618"/>
    </row>
    <row r="619" spans="3:3">
      <c r="C619"/>
    </row>
    <row r="620" spans="3:3">
      <c r="C620"/>
    </row>
    <row r="621" spans="3:3">
      <c r="C621"/>
    </row>
    <row r="622" spans="3:3">
      <c r="C622"/>
    </row>
    <row r="623" spans="3:3">
      <c r="C623"/>
    </row>
    <row r="624" spans="3:3">
      <c r="C624"/>
    </row>
    <row r="625" spans="3:3">
      <c r="C625"/>
    </row>
    <row r="626" spans="3:3">
      <c r="C626"/>
    </row>
    <row r="627" spans="3:3">
      <c r="C627"/>
    </row>
    <row r="628" spans="3:3">
      <c r="C628"/>
    </row>
    <row r="629" spans="3:3">
      <c r="C629"/>
    </row>
    <row r="630" spans="3:3">
      <c r="C630"/>
    </row>
    <row r="631" spans="3:3">
      <c r="C631"/>
    </row>
    <row r="632" spans="3:3">
      <c r="C632"/>
    </row>
    <row r="633" spans="3:3">
      <c r="C633"/>
    </row>
    <row r="634" spans="3:3">
      <c r="C634"/>
    </row>
    <row r="635" spans="3:3">
      <c r="C635"/>
    </row>
    <row r="636" spans="3:3">
      <c r="C636"/>
    </row>
    <row r="637" spans="3:3">
      <c r="C637"/>
    </row>
    <row r="638" spans="3:3">
      <c r="C638"/>
    </row>
    <row r="639" spans="3:3">
      <c r="C639"/>
    </row>
    <row r="640" spans="3:3">
      <c r="C640"/>
    </row>
    <row r="641" spans="3:3">
      <c r="C641"/>
    </row>
    <row r="642" spans="3:3">
      <c r="C642"/>
    </row>
    <row r="643" spans="3:3">
      <c r="C643"/>
    </row>
    <row r="644" spans="3:3">
      <c r="C644"/>
    </row>
    <row r="645" spans="3:3">
      <c r="C645"/>
    </row>
    <row r="646" spans="3:3">
      <c r="C646"/>
    </row>
    <row r="647" spans="3:3">
      <c r="C647"/>
    </row>
    <row r="648" spans="3:3">
      <c r="C648"/>
    </row>
    <row r="649" spans="3:3">
      <c r="C649"/>
    </row>
    <row r="650" spans="3:3">
      <c r="C650"/>
    </row>
    <row r="651" spans="3:3">
      <c r="C651"/>
    </row>
    <row r="652" spans="3:3">
      <c r="C652"/>
    </row>
    <row r="653" spans="3:3">
      <c r="C653"/>
    </row>
    <row r="654" spans="3:3">
      <c r="C654"/>
    </row>
    <row r="655" spans="3:3">
      <c r="C655"/>
    </row>
    <row r="656" spans="3:3">
      <c r="C656"/>
    </row>
    <row r="657" spans="3:3">
      <c r="C657"/>
    </row>
    <row r="658" spans="3:3">
      <c r="C658"/>
    </row>
    <row r="659" spans="3:3">
      <c r="C659"/>
    </row>
    <row r="660" spans="3:3">
      <c r="C660"/>
    </row>
    <row r="661" spans="3:3">
      <c r="C661"/>
    </row>
    <row r="662" spans="3:3">
      <c r="C662"/>
    </row>
    <row r="663" spans="3:3">
      <c r="C663"/>
    </row>
    <row r="664" spans="3:3">
      <c r="C664"/>
    </row>
    <row r="665" spans="3:3">
      <c r="C665"/>
    </row>
    <row r="666" spans="3:3">
      <c r="C666"/>
    </row>
    <row r="667" spans="3:3">
      <c r="C667"/>
    </row>
    <row r="668" spans="3:3">
      <c r="C668"/>
    </row>
    <row r="669" spans="3:3">
      <c r="C669"/>
    </row>
    <row r="670" spans="3:3">
      <c r="C670"/>
    </row>
    <row r="671" spans="3:3">
      <c r="C671"/>
    </row>
    <row r="672" spans="3:3">
      <c r="C672"/>
    </row>
    <row r="673" spans="3:3">
      <c r="C673"/>
    </row>
    <row r="674" spans="3:3">
      <c r="C674"/>
    </row>
    <row r="675" spans="3:3">
      <c r="C675"/>
    </row>
    <row r="676" spans="3:3">
      <c r="C676"/>
    </row>
    <row r="677" spans="3:3">
      <c r="C677"/>
    </row>
    <row r="678" spans="3:3">
      <c r="C678"/>
    </row>
    <row r="679" spans="3:3">
      <c r="C679"/>
    </row>
    <row r="680" spans="3:3">
      <c r="C680"/>
    </row>
    <row r="681" spans="3:3">
      <c r="C681"/>
    </row>
    <row r="682" spans="3:3">
      <c r="C682"/>
    </row>
    <row r="683" spans="3:3">
      <c r="C683"/>
    </row>
    <row r="684" spans="3:3">
      <c r="C684"/>
    </row>
    <row r="685" spans="3:3">
      <c r="C685"/>
    </row>
    <row r="686" spans="3:3">
      <c r="C686"/>
    </row>
    <row r="687" spans="3:3">
      <c r="C687"/>
    </row>
    <row r="688" spans="3:3">
      <c r="C688"/>
    </row>
    <row r="689" spans="3:3">
      <c r="C689"/>
    </row>
    <row r="690" spans="3:3">
      <c r="C690"/>
    </row>
    <row r="691" spans="3:3">
      <c r="C691"/>
    </row>
    <row r="692" spans="3:3">
      <c r="C692"/>
    </row>
    <row r="693" spans="3:3">
      <c r="C693"/>
    </row>
    <row r="694" spans="3:3">
      <c r="C694"/>
    </row>
    <row r="695" spans="3:3">
      <c r="C695"/>
    </row>
    <row r="696" spans="3:3">
      <c r="C696"/>
    </row>
    <row r="697" spans="3:3">
      <c r="C697"/>
    </row>
    <row r="698" spans="3:3">
      <c r="C698"/>
    </row>
    <row r="699" spans="3:3">
      <c r="C699"/>
    </row>
    <row r="700" spans="3:3">
      <c r="C700"/>
    </row>
    <row r="701" spans="3:3">
      <c r="C701"/>
    </row>
    <row r="702" spans="3:3">
      <c r="C702"/>
    </row>
    <row r="703" spans="3:3">
      <c r="C703"/>
    </row>
    <row r="704" spans="3:3">
      <c r="C704"/>
    </row>
    <row r="705" spans="3:3">
      <c r="C705"/>
    </row>
    <row r="706" spans="3:3">
      <c r="C706"/>
    </row>
    <row r="707" spans="3:3">
      <c r="C707"/>
    </row>
    <row r="708" spans="3:3">
      <c r="C708"/>
    </row>
    <row r="709" spans="3:3">
      <c r="C709"/>
    </row>
    <row r="710" spans="3:3">
      <c r="C710"/>
    </row>
    <row r="711" spans="3:3">
      <c r="C711"/>
    </row>
    <row r="712" spans="3:3">
      <c r="C712"/>
    </row>
    <row r="713" spans="3:3">
      <c r="C713"/>
    </row>
    <row r="714" spans="3:3">
      <c r="C714"/>
    </row>
    <row r="715" spans="3:3">
      <c r="C715"/>
    </row>
    <row r="716" spans="3:3">
      <c r="C716"/>
    </row>
    <row r="717" spans="3:3">
      <c r="C717"/>
    </row>
    <row r="718" spans="3:3">
      <c r="C718"/>
    </row>
    <row r="719" spans="3:3">
      <c r="C719"/>
    </row>
    <row r="720" spans="3:3">
      <c r="C720"/>
    </row>
    <row r="721" spans="3:3">
      <c r="C721"/>
    </row>
    <row r="722" spans="3:3">
      <c r="C722"/>
    </row>
    <row r="723" spans="3:3">
      <c r="C723"/>
    </row>
    <row r="724" spans="3:3">
      <c r="C724"/>
    </row>
    <row r="725" spans="3:3">
      <c r="C725"/>
    </row>
    <row r="726" spans="3:3">
      <c r="C726"/>
    </row>
    <row r="727" spans="3:3">
      <c r="C727"/>
    </row>
    <row r="728" spans="3:3">
      <c r="C728"/>
    </row>
    <row r="729" spans="3:3">
      <c r="C729"/>
    </row>
    <row r="730" spans="3:3">
      <c r="C730"/>
    </row>
    <row r="731" spans="3:3">
      <c r="C731"/>
    </row>
    <row r="732" spans="3:3">
      <c r="C732"/>
    </row>
    <row r="733" spans="3:3">
      <c r="C733"/>
    </row>
    <row r="734" spans="3:3">
      <c r="C734"/>
    </row>
    <row r="735" spans="3:3">
      <c r="C735"/>
    </row>
    <row r="736" spans="3:3">
      <c r="C736"/>
    </row>
    <row r="737" spans="3:3">
      <c r="C737"/>
    </row>
    <row r="738" spans="3:3">
      <c r="C738"/>
    </row>
    <row r="739" spans="3:3">
      <c r="C739"/>
    </row>
    <row r="740" spans="3:3">
      <c r="C740"/>
    </row>
    <row r="741" spans="3:3">
      <c r="C741"/>
    </row>
    <row r="742" spans="3:3">
      <c r="C742"/>
    </row>
    <row r="743" spans="3:3">
      <c r="C743"/>
    </row>
    <row r="744" spans="3:3">
      <c r="C744"/>
    </row>
    <row r="745" spans="3:3">
      <c r="C745"/>
    </row>
    <row r="746" spans="3:3">
      <c r="C746"/>
    </row>
    <row r="747" spans="3:3">
      <c r="C747"/>
    </row>
    <row r="748" spans="3:3">
      <c r="C748"/>
    </row>
    <row r="749" spans="3:3">
      <c r="C749"/>
    </row>
    <row r="750" spans="3:3">
      <c r="C750"/>
    </row>
    <row r="751" spans="3:3">
      <c r="C751"/>
    </row>
    <row r="752" spans="3:3">
      <c r="C752"/>
    </row>
    <row r="753" spans="3:3">
      <c r="C753"/>
    </row>
    <row r="754" spans="3:3">
      <c r="C754"/>
    </row>
    <row r="755" spans="3:3">
      <c r="C755"/>
    </row>
    <row r="756" spans="3:3">
      <c r="C756"/>
    </row>
    <row r="757" spans="3:3">
      <c r="C757"/>
    </row>
    <row r="758" spans="3:3">
      <c r="C758"/>
    </row>
    <row r="759" spans="3:3">
      <c r="C759"/>
    </row>
    <row r="760" spans="3:3">
      <c r="C760"/>
    </row>
    <row r="761" spans="3:3">
      <c r="C761"/>
    </row>
    <row r="762" spans="3:3">
      <c r="C762"/>
    </row>
    <row r="763" spans="3:3">
      <c r="C763"/>
    </row>
  </sheetData>
  <mergeCells count="9">
    <mergeCell ref="O21:P22"/>
    <mergeCell ref="O23:P23"/>
    <mergeCell ref="O24:P24"/>
    <mergeCell ref="B1:Q1"/>
    <mergeCell ref="B3:R3"/>
    <mergeCell ref="D4:N4"/>
    <mergeCell ref="D5:N11"/>
    <mergeCell ref="O7:P11"/>
    <mergeCell ref="O17:P19"/>
  </mergeCells>
  <conditionalFormatting sqref="D14:D550">
    <cfRule type="expression" dxfId="66" priority="15">
      <formula>D14&lt;&gt;""</formula>
    </cfRule>
  </conditionalFormatting>
  <conditionalFormatting sqref="E14:E550">
    <cfRule type="expression" dxfId="65" priority="1">
      <formula>D14&lt;&gt;0</formula>
    </cfRule>
  </conditionalFormatting>
  <conditionalFormatting sqref="E15:E404">
    <cfRule type="expression" dxfId="64" priority="3">
      <formula>D15&lt;&gt;0</formula>
    </cfRule>
  </conditionalFormatting>
  <conditionalFormatting sqref="F14:F550">
    <cfRule type="expression" dxfId="63" priority="28">
      <formula>F14&lt;&gt;D14</formula>
    </cfRule>
    <cfRule type="expression" dxfId="62" priority="29">
      <formula>F14=D14</formula>
    </cfRule>
    <cfRule type="expression" dxfId="61" priority="27">
      <formula>D14=""</formula>
    </cfRule>
    <cfRule type="expression" dxfId="60" priority="54">
      <formula>D14=""</formula>
    </cfRule>
    <cfRule type="expression" dxfId="59" priority="55">
      <formula>F14&lt;&gt;D14</formula>
    </cfRule>
    <cfRule type="expression" dxfId="58" priority="56">
      <formula>F14=D14</formula>
    </cfRule>
  </conditionalFormatting>
  <conditionalFormatting sqref="G14:G550">
    <cfRule type="expression" dxfId="57" priority="8">
      <formula>D14=""</formula>
    </cfRule>
    <cfRule type="expression" dxfId="56" priority="7">
      <formula>F14&lt;C14</formula>
    </cfRule>
    <cfRule type="expression" dxfId="55" priority="9">
      <formula>F14=D14</formula>
    </cfRule>
    <cfRule type="expression" dxfId="54" priority="10">
      <formula>F14&lt;&gt;D14</formula>
    </cfRule>
    <cfRule type="expression" dxfId="53" priority="34">
      <formula>F14&lt;C14</formula>
    </cfRule>
    <cfRule type="expression" dxfId="52" priority="35">
      <formula>D14=""</formula>
    </cfRule>
    <cfRule type="expression" dxfId="51" priority="36">
      <formula>F14=D14</formula>
    </cfRule>
    <cfRule type="expression" dxfId="50" priority="37">
      <formula>F14&lt;&gt;D14</formula>
    </cfRule>
  </conditionalFormatting>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758"/>
  <sheetViews>
    <sheetView showGridLines="0" zoomScale="80" zoomScaleNormal="80" workbookViewId="0">
      <selection activeCell="B15" sqref="B15"/>
    </sheetView>
  </sheetViews>
  <sheetFormatPr defaultColWidth="9.1796875" defaultRowHeight="14.5"/>
  <cols>
    <col min="1" max="1" width="3.81640625" style="109" customWidth="1"/>
    <col min="2" max="2" width="45.26953125" style="109" customWidth="1"/>
    <col min="3" max="3" width="10.54296875" style="132" customWidth="1"/>
    <col min="4" max="4" width="10.7265625" style="109" customWidth="1"/>
    <col min="5" max="5" width="62.1796875" style="109" customWidth="1"/>
    <col min="6" max="44" width="10.7265625" style="109" customWidth="1"/>
    <col min="45" max="16384" width="9.1796875" style="109"/>
  </cols>
  <sheetData>
    <row r="1" spans="1:8" ht="46.5" customHeight="1">
      <c r="A1" s="199">
        <v>2</v>
      </c>
      <c r="B1" s="641" t="str">
        <f>HLOOKUP('General Information'!$C$6,'IDIOMA (hide)'!$A$1:$D$5016,A1,0)</f>
        <v>LTEP - Levantamento Técnico de Estimativa de Projeto TASY EMR
Código do documento: 0060 - Rev 024</v>
      </c>
      <c r="C1" s="641"/>
      <c r="D1" s="641"/>
      <c r="E1" s="641"/>
      <c r="F1" s="641"/>
      <c r="G1" s="641"/>
    </row>
    <row r="3" spans="1:8" ht="21.5" thickBot="1">
      <c r="B3" s="642" t="s">
        <v>2019</v>
      </c>
      <c r="C3" s="642"/>
      <c r="D3" s="642"/>
      <c r="E3" s="642"/>
      <c r="F3" s="642"/>
      <c r="G3" s="642"/>
      <c r="H3" s="642"/>
    </row>
    <row r="5" spans="1:8">
      <c r="B5"/>
      <c r="C5"/>
    </row>
    <row r="6" spans="1:8">
      <c r="B6"/>
      <c r="C6"/>
    </row>
    <row r="8" spans="1:8">
      <c r="B8" s="331"/>
      <c r="C8" s="332"/>
      <c r="D8" s="333"/>
      <c r="E8" s="201" t="s">
        <v>25</v>
      </c>
      <c r="F8" s="202" t="s">
        <v>146</v>
      </c>
    </row>
    <row r="9" spans="1:8">
      <c r="B9" s="334"/>
      <c r="C9" s="335"/>
      <c r="D9" s="336"/>
      <c r="E9" s="133" t="s">
        <v>2024</v>
      </c>
      <c r="F9" s="200" t="e">
        <f>GETPIVOTDATA("Horas",$B$8)*Questions!D146</f>
        <v>#REF!</v>
      </c>
    </row>
    <row r="10" spans="1:8">
      <c r="B10" s="334"/>
      <c r="C10" s="335"/>
      <c r="D10" s="336"/>
      <c r="E10" s="134" t="s">
        <v>2025</v>
      </c>
      <c r="F10" s="203" t="e">
        <f>F9+GETPIVOTDATA("Horas",$B$8)</f>
        <v>#REF!</v>
      </c>
    </row>
    <row r="11" spans="1:8">
      <c r="B11" s="334"/>
      <c r="C11" s="335"/>
      <c r="D11" s="336"/>
    </row>
    <row r="12" spans="1:8" ht="15" customHeight="1">
      <c r="B12" s="334"/>
      <c r="C12" s="335"/>
      <c r="D12" s="336"/>
      <c r="E12" s="643" t="str">
        <f>HLOOKUP('General Information'!$C$6,'IDIOMA (hide)'!$A$1:$D$5016,G12,0)</f>
        <v>Caso seja necessária Estimativa personalizada, com número de horas diferentes dos padrões definidos pela área de Projetos, favor solicitar análise através dos e-mails abaixo e documentar esta aprovação na Ordem de Serviço.</v>
      </c>
      <c r="F12" s="643"/>
      <c r="G12" s="199">
        <v>276</v>
      </c>
    </row>
    <row r="13" spans="1:8">
      <c r="B13" s="334"/>
      <c r="C13" s="335"/>
      <c r="D13" s="336"/>
      <c r="E13" s="643"/>
      <c r="F13" s="643"/>
    </row>
    <row r="14" spans="1:8">
      <c r="B14" s="334"/>
      <c r="C14" s="335"/>
      <c r="D14" s="336"/>
      <c r="E14" s="643"/>
      <c r="F14" s="643"/>
    </row>
    <row r="15" spans="1:8">
      <c r="B15" s="334"/>
      <c r="C15" s="335"/>
      <c r="D15" s="336"/>
      <c r="E15" s="135"/>
      <c r="F15" s="135"/>
    </row>
    <row r="16" spans="1:8">
      <c r="B16" s="334"/>
      <c r="C16" s="335"/>
      <c r="D16" s="336"/>
      <c r="E16" s="644" t="s">
        <v>2821</v>
      </c>
      <c r="F16" s="644"/>
    </row>
    <row r="17" spans="2:6">
      <c r="B17" s="334"/>
      <c r="C17" s="335"/>
      <c r="D17" s="336"/>
      <c r="E17" s="644" t="s">
        <v>2822</v>
      </c>
      <c r="F17" s="644"/>
    </row>
    <row r="18" spans="2:6">
      <c r="B18" s="334"/>
      <c r="C18" s="335"/>
      <c r="D18" s="336"/>
    </row>
    <row r="19" spans="2:6">
      <c r="B19" s="334"/>
      <c r="C19" s="335"/>
      <c r="D19" s="336"/>
    </row>
    <row r="20" spans="2:6">
      <c r="B20" s="334"/>
      <c r="C20" s="335"/>
      <c r="D20" s="336"/>
    </row>
    <row r="21" spans="2:6">
      <c r="B21" s="334"/>
      <c r="C21" s="335"/>
      <c r="D21" s="336"/>
    </row>
    <row r="22" spans="2:6">
      <c r="B22" s="334"/>
      <c r="C22" s="335"/>
      <c r="D22" s="336"/>
    </row>
    <row r="23" spans="2:6">
      <c r="B23" s="334"/>
      <c r="C23" s="335"/>
      <c r="D23" s="336"/>
    </row>
    <row r="24" spans="2:6">
      <c r="B24" s="334"/>
      <c r="C24" s="335"/>
      <c r="D24" s="336"/>
    </row>
    <row r="25" spans="2:6">
      <c r="B25" s="337"/>
      <c r="C25" s="338"/>
      <c r="D25" s="339"/>
    </row>
    <row r="26" spans="2:6">
      <c r="B26"/>
      <c r="C26"/>
    </row>
    <row r="27" spans="2:6">
      <c r="B27"/>
      <c r="C27"/>
    </row>
    <row r="28" spans="2:6">
      <c r="B28"/>
      <c r="C28"/>
    </row>
    <row r="29" spans="2:6">
      <c r="B29"/>
      <c r="C29"/>
    </row>
    <row r="30" spans="2:6">
      <c r="B30"/>
      <c r="C30"/>
    </row>
    <row r="31" spans="2:6">
      <c r="B31"/>
      <c r="C31"/>
    </row>
    <row r="32" spans="2:6">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row r="579" spans="2:3">
      <c r="B579"/>
      <c r="C579"/>
    </row>
    <row r="580" spans="2:3">
      <c r="B580"/>
      <c r="C580"/>
    </row>
    <row r="581" spans="2:3">
      <c r="B581"/>
      <c r="C581"/>
    </row>
    <row r="582" spans="2:3">
      <c r="B582"/>
      <c r="C582"/>
    </row>
    <row r="583" spans="2:3">
      <c r="B583"/>
      <c r="C583"/>
    </row>
    <row r="584" spans="2:3">
      <c r="B584"/>
      <c r="C584"/>
    </row>
    <row r="585" spans="2:3">
      <c r="B585"/>
      <c r="C585"/>
    </row>
    <row r="586" spans="2:3">
      <c r="B586"/>
      <c r="C586"/>
    </row>
    <row r="587" spans="2:3">
      <c r="B587"/>
      <c r="C587"/>
    </row>
    <row r="588" spans="2:3">
      <c r="B588"/>
      <c r="C588"/>
    </row>
    <row r="589" spans="2:3">
      <c r="B589"/>
      <c r="C589"/>
    </row>
    <row r="590" spans="2:3">
      <c r="B590"/>
      <c r="C590"/>
    </row>
    <row r="591" spans="2:3">
      <c r="B591"/>
      <c r="C591"/>
    </row>
    <row r="592" spans="2:3">
      <c r="B592"/>
      <c r="C592"/>
    </row>
    <row r="593" spans="2:3">
      <c r="B593"/>
      <c r="C593"/>
    </row>
    <row r="594" spans="2:3">
      <c r="B594"/>
      <c r="C594"/>
    </row>
    <row r="595" spans="2:3">
      <c r="B595"/>
      <c r="C595"/>
    </row>
    <row r="596" spans="2:3">
      <c r="B596"/>
      <c r="C596"/>
    </row>
    <row r="597" spans="2:3">
      <c r="B597"/>
      <c r="C597"/>
    </row>
    <row r="598" spans="2:3">
      <c r="B598"/>
      <c r="C598"/>
    </row>
    <row r="599" spans="2:3">
      <c r="B599"/>
      <c r="C599"/>
    </row>
    <row r="600" spans="2:3">
      <c r="B600"/>
      <c r="C600"/>
    </row>
    <row r="601" spans="2:3">
      <c r="B601"/>
      <c r="C601"/>
    </row>
    <row r="602" spans="2:3">
      <c r="B602"/>
      <c r="C602"/>
    </row>
    <row r="603" spans="2:3">
      <c r="B603"/>
      <c r="C603"/>
    </row>
    <row r="604" spans="2:3">
      <c r="B604"/>
      <c r="C604"/>
    </row>
    <row r="605" spans="2:3">
      <c r="B605"/>
      <c r="C605"/>
    </row>
    <row r="606" spans="2:3">
      <c r="B606"/>
      <c r="C606"/>
    </row>
    <row r="607" spans="2:3">
      <c r="B607"/>
      <c r="C607"/>
    </row>
    <row r="608" spans="2:3">
      <c r="B608"/>
      <c r="C608"/>
    </row>
    <row r="609" spans="2:3">
      <c r="B609"/>
      <c r="C609"/>
    </row>
    <row r="610" spans="2:3">
      <c r="B610"/>
      <c r="C610"/>
    </row>
    <row r="611" spans="2:3">
      <c r="B611"/>
      <c r="C611"/>
    </row>
    <row r="612" spans="2:3">
      <c r="B612"/>
      <c r="C612"/>
    </row>
    <row r="613" spans="2:3">
      <c r="B613"/>
      <c r="C613"/>
    </row>
    <row r="614" spans="2:3">
      <c r="B614"/>
      <c r="C614"/>
    </row>
    <row r="615" spans="2:3">
      <c r="B615"/>
      <c r="C615"/>
    </row>
    <row r="616" spans="2:3">
      <c r="B616"/>
      <c r="C616"/>
    </row>
    <row r="617" spans="2:3">
      <c r="B617"/>
      <c r="C617"/>
    </row>
    <row r="618" spans="2:3">
      <c r="B618"/>
      <c r="C618"/>
    </row>
    <row r="619" spans="2:3">
      <c r="B619"/>
      <c r="C619"/>
    </row>
    <row r="620" spans="2:3">
      <c r="B620"/>
      <c r="C620"/>
    </row>
    <row r="621" spans="2:3">
      <c r="B621"/>
      <c r="C621"/>
    </row>
    <row r="622" spans="2:3">
      <c r="B622"/>
      <c r="C622"/>
    </row>
    <row r="623" spans="2:3">
      <c r="B623"/>
      <c r="C623"/>
    </row>
    <row r="624" spans="2:3">
      <c r="B624"/>
      <c r="C624"/>
    </row>
    <row r="625" spans="2:3">
      <c r="B625"/>
      <c r="C625"/>
    </row>
    <row r="626" spans="2:3">
      <c r="B626"/>
      <c r="C626"/>
    </row>
    <row r="627" spans="2:3">
      <c r="B627"/>
      <c r="C627"/>
    </row>
    <row r="628" spans="2:3">
      <c r="B628"/>
      <c r="C628"/>
    </row>
    <row r="629" spans="2:3">
      <c r="B629"/>
      <c r="C629"/>
    </row>
    <row r="630" spans="2:3">
      <c r="B630"/>
      <c r="C630"/>
    </row>
    <row r="631" spans="2:3">
      <c r="B631"/>
      <c r="C631"/>
    </row>
    <row r="632" spans="2:3">
      <c r="B632"/>
      <c r="C632"/>
    </row>
    <row r="633" spans="2:3">
      <c r="B633"/>
      <c r="C633"/>
    </row>
    <row r="634" spans="2:3">
      <c r="B634"/>
      <c r="C634"/>
    </row>
    <row r="635" spans="2:3">
      <c r="B635"/>
      <c r="C635"/>
    </row>
    <row r="636" spans="2:3">
      <c r="B636"/>
      <c r="C636"/>
    </row>
    <row r="637" spans="2:3">
      <c r="B637"/>
      <c r="C637"/>
    </row>
    <row r="638" spans="2:3">
      <c r="B638"/>
      <c r="C638"/>
    </row>
    <row r="639" spans="2:3">
      <c r="B639"/>
      <c r="C639"/>
    </row>
    <row r="640" spans="2:3">
      <c r="B640"/>
      <c r="C640"/>
    </row>
    <row r="641" spans="2:3">
      <c r="B641"/>
      <c r="C641"/>
    </row>
    <row r="642" spans="2:3">
      <c r="B642"/>
      <c r="C642"/>
    </row>
    <row r="643" spans="2:3">
      <c r="B643"/>
      <c r="C643"/>
    </row>
    <row r="644" spans="2:3">
      <c r="B644"/>
      <c r="C644"/>
    </row>
    <row r="645" spans="2:3">
      <c r="B645"/>
      <c r="C645"/>
    </row>
    <row r="646" spans="2:3">
      <c r="B646"/>
      <c r="C646"/>
    </row>
    <row r="647" spans="2:3">
      <c r="B647"/>
      <c r="C647"/>
    </row>
    <row r="648" spans="2:3">
      <c r="B648"/>
      <c r="C648"/>
    </row>
    <row r="649" spans="2:3">
      <c r="B649"/>
      <c r="C649"/>
    </row>
    <row r="650" spans="2:3">
      <c r="B650"/>
      <c r="C650"/>
    </row>
    <row r="651" spans="2:3">
      <c r="B651"/>
      <c r="C651"/>
    </row>
    <row r="652" spans="2:3">
      <c r="B652"/>
      <c r="C652"/>
    </row>
    <row r="653" spans="2:3">
      <c r="B653"/>
      <c r="C653"/>
    </row>
    <row r="654" spans="2:3">
      <c r="B654"/>
      <c r="C654"/>
    </row>
    <row r="655" spans="2:3">
      <c r="B655"/>
      <c r="C655"/>
    </row>
    <row r="656" spans="2:3">
      <c r="B656"/>
      <c r="C656"/>
    </row>
    <row r="657" spans="2:3">
      <c r="B657"/>
      <c r="C657"/>
    </row>
    <row r="658" spans="2:3">
      <c r="B658"/>
      <c r="C658"/>
    </row>
    <row r="659" spans="2:3">
      <c r="B659"/>
      <c r="C659"/>
    </row>
    <row r="660" spans="2:3">
      <c r="B660"/>
      <c r="C660"/>
    </row>
    <row r="661" spans="2:3">
      <c r="B661"/>
      <c r="C661"/>
    </row>
    <row r="662" spans="2:3">
      <c r="B662"/>
      <c r="C662"/>
    </row>
    <row r="663" spans="2:3">
      <c r="B663"/>
      <c r="C663"/>
    </row>
    <row r="664" spans="2:3">
      <c r="B664"/>
      <c r="C664"/>
    </row>
    <row r="665" spans="2:3">
      <c r="B665"/>
      <c r="C665"/>
    </row>
    <row r="666" spans="2:3">
      <c r="B666"/>
      <c r="C666"/>
    </row>
    <row r="667" spans="2:3">
      <c r="B667"/>
      <c r="C667"/>
    </row>
    <row r="668" spans="2:3">
      <c r="B668"/>
      <c r="C668"/>
    </row>
    <row r="669" spans="2:3">
      <c r="B669"/>
      <c r="C669"/>
    </row>
    <row r="670" spans="2:3">
      <c r="B670"/>
      <c r="C670"/>
    </row>
    <row r="671" spans="2:3">
      <c r="B671"/>
      <c r="C671"/>
    </row>
    <row r="672" spans="2:3">
      <c r="B672"/>
      <c r="C672"/>
    </row>
    <row r="673" spans="2:3">
      <c r="B673"/>
      <c r="C673"/>
    </row>
    <row r="674" spans="2:3">
      <c r="B674"/>
      <c r="C674"/>
    </row>
    <row r="675" spans="2:3">
      <c r="B675"/>
      <c r="C675"/>
    </row>
    <row r="676" spans="2:3">
      <c r="B676"/>
      <c r="C676"/>
    </row>
    <row r="677" spans="2:3">
      <c r="B677"/>
      <c r="C677"/>
    </row>
    <row r="678" spans="2:3">
      <c r="B678"/>
      <c r="C678"/>
    </row>
    <row r="679" spans="2:3">
      <c r="B679"/>
      <c r="C679"/>
    </row>
    <row r="680" spans="2:3">
      <c r="B680"/>
      <c r="C680"/>
    </row>
    <row r="681" spans="2:3">
      <c r="B681"/>
      <c r="C681"/>
    </row>
    <row r="682" spans="2:3">
      <c r="B682"/>
      <c r="C682"/>
    </row>
    <row r="683" spans="2:3">
      <c r="B683"/>
      <c r="C683"/>
    </row>
    <row r="684" spans="2:3">
      <c r="B684"/>
      <c r="C684"/>
    </row>
    <row r="685" spans="2:3">
      <c r="B685"/>
      <c r="C685"/>
    </row>
    <row r="686" spans="2:3">
      <c r="B686"/>
      <c r="C686"/>
    </row>
    <row r="687" spans="2:3">
      <c r="B687"/>
      <c r="C687"/>
    </row>
    <row r="688" spans="2:3">
      <c r="B688"/>
      <c r="C688"/>
    </row>
    <row r="689" spans="2:3">
      <c r="B689"/>
      <c r="C689"/>
    </row>
    <row r="690" spans="2:3">
      <c r="B690"/>
      <c r="C690"/>
    </row>
    <row r="691" spans="2:3">
      <c r="B691"/>
      <c r="C691"/>
    </row>
    <row r="692" spans="2:3">
      <c r="B692"/>
      <c r="C692"/>
    </row>
    <row r="693" spans="2:3">
      <c r="B693"/>
      <c r="C693"/>
    </row>
    <row r="694" spans="2:3">
      <c r="B694"/>
      <c r="C694"/>
    </row>
    <row r="695" spans="2:3">
      <c r="B695"/>
      <c r="C695"/>
    </row>
    <row r="696" spans="2:3">
      <c r="B696"/>
      <c r="C696"/>
    </row>
    <row r="697" spans="2:3">
      <c r="B697"/>
      <c r="C697"/>
    </row>
    <row r="698" spans="2:3">
      <c r="B698"/>
      <c r="C698"/>
    </row>
    <row r="699" spans="2:3">
      <c r="B699"/>
      <c r="C699"/>
    </row>
    <row r="700" spans="2:3">
      <c r="B700"/>
      <c r="C700"/>
    </row>
    <row r="701" spans="2:3">
      <c r="B701"/>
      <c r="C701"/>
    </row>
    <row r="702" spans="2:3">
      <c r="B702"/>
      <c r="C702"/>
    </row>
    <row r="703" spans="2:3">
      <c r="B703"/>
      <c r="C703"/>
    </row>
    <row r="704" spans="2:3">
      <c r="B704"/>
      <c r="C704"/>
    </row>
    <row r="705" spans="2:3">
      <c r="B705"/>
      <c r="C705"/>
    </row>
    <row r="706" spans="2:3">
      <c r="B706"/>
      <c r="C706"/>
    </row>
    <row r="707" spans="2:3">
      <c r="B707"/>
      <c r="C707"/>
    </row>
    <row r="708" spans="2:3">
      <c r="B708"/>
      <c r="C708"/>
    </row>
    <row r="709" spans="2:3">
      <c r="B709"/>
      <c r="C709"/>
    </row>
    <row r="710" spans="2:3">
      <c r="B710"/>
      <c r="C710"/>
    </row>
    <row r="711" spans="2:3">
      <c r="B711"/>
      <c r="C711"/>
    </row>
    <row r="712" spans="2:3">
      <c r="B712"/>
      <c r="C712"/>
    </row>
    <row r="713" spans="2:3">
      <c r="B713"/>
      <c r="C713"/>
    </row>
    <row r="714" spans="2:3">
      <c r="B714"/>
      <c r="C714"/>
    </row>
    <row r="715" spans="2:3">
      <c r="B715"/>
      <c r="C715"/>
    </row>
    <row r="716" spans="2:3">
      <c r="B716"/>
      <c r="C716"/>
    </row>
    <row r="717" spans="2:3">
      <c r="B717"/>
      <c r="C717"/>
    </row>
    <row r="718" spans="2:3">
      <c r="B718"/>
      <c r="C718"/>
    </row>
    <row r="719" spans="2:3">
      <c r="B719"/>
      <c r="C719"/>
    </row>
    <row r="720" spans="2:3">
      <c r="B720"/>
      <c r="C720"/>
    </row>
    <row r="721" spans="2:3">
      <c r="B721"/>
      <c r="C721"/>
    </row>
    <row r="722" spans="2:3">
      <c r="B722"/>
      <c r="C722"/>
    </row>
    <row r="723" spans="2:3">
      <c r="B723"/>
      <c r="C723"/>
    </row>
    <row r="724" spans="2:3">
      <c r="B724"/>
      <c r="C724"/>
    </row>
    <row r="725" spans="2:3">
      <c r="B725"/>
      <c r="C725"/>
    </row>
    <row r="726" spans="2:3">
      <c r="B726"/>
      <c r="C726"/>
    </row>
    <row r="727" spans="2:3">
      <c r="B727"/>
      <c r="C727"/>
    </row>
    <row r="728" spans="2:3">
      <c r="B728"/>
      <c r="C728"/>
    </row>
    <row r="729" spans="2:3">
      <c r="B729"/>
      <c r="C729"/>
    </row>
    <row r="730" spans="2:3">
      <c r="B730"/>
      <c r="C730"/>
    </row>
    <row r="731" spans="2:3">
      <c r="B731"/>
      <c r="C731"/>
    </row>
    <row r="732" spans="2:3">
      <c r="B732"/>
      <c r="C732"/>
    </row>
    <row r="733" spans="2:3">
      <c r="B733"/>
      <c r="C733"/>
    </row>
    <row r="734" spans="2:3">
      <c r="B734"/>
      <c r="C734"/>
    </row>
    <row r="735" spans="2:3">
      <c r="B735"/>
      <c r="C735"/>
    </row>
    <row r="736" spans="2:3">
      <c r="B736"/>
      <c r="C736"/>
    </row>
    <row r="737" spans="2:3">
      <c r="B737"/>
      <c r="C737"/>
    </row>
    <row r="738" spans="2:3">
      <c r="B738"/>
      <c r="C738"/>
    </row>
    <row r="739" spans="2:3">
      <c r="B739"/>
      <c r="C739"/>
    </row>
    <row r="740" spans="2:3">
      <c r="B740"/>
      <c r="C740"/>
    </row>
    <row r="741" spans="2:3">
      <c r="B741"/>
      <c r="C741"/>
    </row>
    <row r="742" spans="2:3">
      <c r="B742"/>
      <c r="C742"/>
    </row>
    <row r="743" spans="2:3">
      <c r="B743"/>
      <c r="C743"/>
    </row>
    <row r="744" spans="2:3">
      <c r="B744"/>
      <c r="C744"/>
    </row>
    <row r="745" spans="2:3">
      <c r="B745"/>
      <c r="C745"/>
    </row>
    <row r="746" spans="2:3">
      <c r="B746"/>
      <c r="C746"/>
    </row>
    <row r="747" spans="2:3">
      <c r="B747"/>
      <c r="C747"/>
    </row>
    <row r="748" spans="2:3">
      <c r="B748"/>
      <c r="C748"/>
    </row>
    <row r="749" spans="2:3">
      <c r="B749"/>
      <c r="C749"/>
    </row>
    <row r="750" spans="2:3">
      <c r="B750"/>
      <c r="C750"/>
    </row>
    <row r="751" spans="2:3">
      <c r="B751"/>
      <c r="C751"/>
    </row>
    <row r="752" spans="2:3">
      <c r="B752"/>
      <c r="C752"/>
    </row>
    <row r="753" spans="2:3">
      <c r="B753"/>
      <c r="C753"/>
    </row>
    <row r="754" spans="2:3">
      <c r="B754"/>
      <c r="C754"/>
    </row>
    <row r="755" spans="2:3">
      <c r="B755"/>
      <c r="C755"/>
    </row>
    <row r="756" spans="2:3">
      <c r="B756"/>
      <c r="C756"/>
    </row>
    <row r="757" spans="2:3">
      <c r="B757"/>
      <c r="C757"/>
    </row>
    <row r="758" spans="2:3">
      <c r="B758"/>
      <c r="C758"/>
    </row>
  </sheetData>
  <sheetProtection formatCells="0" pivotTables="0"/>
  <mergeCells count="5">
    <mergeCell ref="B1:G1"/>
    <mergeCell ref="B3:H3"/>
    <mergeCell ref="E12:F14"/>
    <mergeCell ref="E16:F16"/>
    <mergeCell ref="E17:F17"/>
  </mergeCells>
  <pageMargins left="0.7" right="0.7" top="0.75" bottom="0.75" header="0.3" footer="0.3"/>
  <pageSetup paperSize="9" orientation="portrait"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C2E5E-D56C-4908-86F0-E5187CE6D1ED}">
  <dimension ref="A1:AG531"/>
  <sheetViews>
    <sheetView showGridLines="0" topLeftCell="A7" zoomScaleNormal="100" workbookViewId="0">
      <selection activeCell="C14" sqref="C14"/>
    </sheetView>
  </sheetViews>
  <sheetFormatPr defaultRowHeight="14.5"/>
  <cols>
    <col min="2" max="2" width="52.1796875" bestFit="1" customWidth="1"/>
    <col min="5" max="5" width="28" customWidth="1"/>
    <col min="7" max="7" width="0" hidden="1" customWidth="1"/>
    <col min="9" max="9" width="28" customWidth="1"/>
    <col min="11" max="11" width="0" hidden="1" customWidth="1"/>
    <col min="13" max="13" width="28" customWidth="1"/>
    <col min="15" max="15" width="0" hidden="1" customWidth="1"/>
    <col min="17" max="17" width="28" customWidth="1"/>
    <col min="19" max="19" width="0" hidden="1" customWidth="1"/>
    <col min="21" max="21" width="28" customWidth="1"/>
    <col min="23" max="23" width="9.1796875" hidden="1" customWidth="1"/>
    <col min="25" max="25" width="53.26953125" bestFit="1" customWidth="1"/>
    <col min="27" max="27" width="7.453125" hidden="1" customWidth="1"/>
    <col min="29" max="29" width="9.1796875" customWidth="1"/>
    <col min="30" max="30" width="62.1796875" customWidth="1"/>
    <col min="31" max="31" width="16.7265625" bestFit="1" customWidth="1"/>
    <col min="32" max="32" width="15.453125" customWidth="1"/>
    <col min="33" max="33" width="21.26953125" customWidth="1"/>
  </cols>
  <sheetData>
    <row r="1" spans="1:33" ht="21" customHeight="1">
      <c r="A1" s="198"/>
      <c r="B1" s="98"/>
      <c r="C1" s="414">
        <v>483</v>
      </c>
      <c r="D1" s="634" t="str">
        <f>HLOOKUP('General Information'!$C$6,'IDIOMA (hide)'!$A$1:$D$5016,C1,0)</f>
        <v>ESTRATÉGIA DE IMPLANTAÇÃO</v>
      </c>
      <c r="E1" s="634"/>
      <c r="F1" s="634"/>
      <c r="G1" s="634"/>
      <c r="H1" s="634"/>
      <c r="I1" s="634"/>
      <c r="J1" s="634"/>
      <c r="K1" s="634"/>
      <c r="L1" s="634"/>
      <c r="M1" s="634"/>
      <c r="N1" s="634"/>
      <c r="O1" s="634"/>
      <c r="P1" s="634"/>
      <c r="Q1" s="634"/>
      <c r="R1" s="648" t="str">
        <f>HLOOKUP('General Information'!$C$6,'IDIOMA (hide)'!$A$1:$D$5016,V1,0)</f>
        <v>Após preenchimento das informações prévias, atualizar o resumo com o botão direito sobre a tabela da estimativa observando os requisitos mínimos para gerar estimativa de implantação (tab General Information: "Funções sugeridas pelo porte do cliente" e "Plataforma"; tab Modules: selecionar os módulos a serem implantados; tab Questions: "Quantidade de Consultores para Implantação")</v>
      </c>
      <c r="S1" s="633"/>
      <c r="T1" s="633"/>
      <c r="U1" s="633"/>
      <c r="V1" s="198">
        <v>359</v>
      </c>
      <c r="W1" s="198"/>
    </row>
    <row r="2" spans="1:33" ht="21" customHeight="1">
      <c r="A2" s="198"/>
      <c r="B2" s="98"/>
      <c r="C2" s="414">
        <v>482</v>
      </c>
      <c r="D2" s="635" t="str">
        <f>HLOOKUP('General Information'!$C$6,'IDIOMA (hide)'!$A$1:$D$5016,C2,0)</f>
        <v>Descreva, detalhadamente, a estratégia de implantação para este projeto. Ela irá influenciar na análise do PMO
&gt;&gt;&gt;&gt;&gt;PREENCHIMENTO OBRIGATÓRIO PARA RECEBIMENTO DA PROPOSTA.&lt;&lt;&lt;&lt;&lt;</v>
      </c>
      <c r="E2" s="636"/>
      <c r="F2" s="636"/>
      <c r="G2" s="636"/>
      <c r="H2" s="636"/>
      <c r="I2" s="636"/>
      <c r="J2" s="636"/>
      <c r="K2" s="636"/>
      <c r="L2" s="636"/>
      <c r="M2" s="636"/>
      <c r="N2" s="636"/>
      <c r="O2" s="636"/>
      <c r="P2" s="636"/>
      <c r="Q2" s="636"/>
      <c r="R2" s="648"/>
      <c r="S2" s="633"/>
      <c r="T2" s="633"/>
      <c r="U2" s="633"/>
      <c r="V2" s="98"/>
      <c r="W2" s="98"/>
    </row>
    <row r="3" spans="1:33" ht="21">
      <c r="A3" s="198"/>
      <c r="B3" s="98"/>
      <c r="C3" s="98"/>
      <c r="D3" s="636"/>
      <c r="E3" s="636"/>
      <c r="F3" s="636"/>
      <c r="G3" s="636"/>
      <c r="H3" s="636"/>
      <c r="I3" s="636"/>
      <c r="J3" s="636"/>
      <c r="K3" s="636"/>
      <c r="L3" s="636"/>
      <c r="M3" s="636"/>
      <c r="N3" s="636"/>
      <c r="O3" s="636"/>
      <c r="P3" s="636"/>
      <c r="Q3" s="636"/>
      <c r="R3" s="648"/>
      <c r="S3" s="633"/>
      <c r="T3" s="633"/>
      <c r="U3" s="633"/>
      <c r="V3" s="98"/>
      <c r="W3" s="98"/>
    </row>
    <row r="4" spans="1:33" ht="21" customHeight="1">
      <c r="A4" s="198"/>
      <c r="B4" s="98"/>
      <c r="C4" s="98"/>
      <c r="D4" s="636"/>
      <c r="E4" s="636"/>
      <c r="F4" s="636"/>
      <c r="G4" s="636"/>
      <c r="H4" s="636"/>
      <c r="I4" s="636"/>
      <c r="J4" s="636"/>
      <c r="K4" s="636"/>
      <c r="L4" s="636"/>
      <c r="M4" s="636"/>
      <c r="N4" s="636"/>
      <c r="O4" s="636"/>
      <c r="P4" s="636"/>
      <c r="Q4" s="636"/>
      <c r="R4" s="648"/>
      <c r="S4" s="633"/>
      <c r="T4" s="633"/>
      <c r="U4" s="633"/>
      <c r="V4" s="98"/>
      <c r="W4" s="98"/>
      <c r="AD4" s="98"/>
      <c r="AE4" s="98"/>
      <c r="AF4" s="98"/>
      <c r="AG4" s="98"/>
    </row>
    <row r="5" spans="1:33" ht="21" customHeight="1">
      <c r="A5" s="198"/>
      <c r="B5" s="98"/>
      <c r="C5" s="98"/>
      <c r="D5" s="636"/>
      <c r="E5" s="636"/>
      <c r="F5" s="636"/>
      <c r="G5" s="636"/>
      <c r="H5" s="636"/>
      <c r="I5" s="636"/>
      <c r="J5" s="636"/>
      <c r="K5" s="636"/>
      <c r="L5" s="636"/>
      <c r="M5" s="636"/>
      <c r="N5" s="636"/>
      <c r="O5" s="636"/>
      <c r="P5" s="636"/>
      <c r="Q5" s="636"/>
      <c r="R5" s="648"/>
      <c r="S5" s="633"/>
      <c r="T5" s="633"/>
      <c r="U5" s="633"/>
      <c r="V5" s="98"/>
      <c r="W5" s="98"/>
      <c r="AD5" s="98"/>
      <c r="AE5" s="98"/>
      <c r="AF5" s="98"/>
      <c r="AG5" s="98"/>
    </row>
    <row r="6" spans="1:33" ht="19.899999999999999" customHeight="1">
      <c r="A6" s="198"/>
      <c r="D6" s="636"/>
      <c r="E6" s="636"/>
      <c r="F6" s="636"/>
      <c r="G6" s="636"/>
      <c r="H6" s="636"/>
      <c r="I6" s="636"/>
      <c r="J6" s="636"/>
      <c r="K6" s="636"/>
      <c r="L6" s="636"/>
      <c r="M6" s="636"/>
      <c r="N6" s="636"/>
      <c r="O6" s="636"/>
      <c r="P6" s="636"/>
      <c r="Q6" s="636"/>
      <c r="R6" s="648"/>
      <c r="S6" s="633"/>
      <c r="T6" s="633"/>
      <c r="U6" s="633"/>
      <c r="AD6" s="98"/>
      <c r="AE6" s="98"/>
      <c r="AF6" s="98"/>
      <c r="AG6" s="98"/>
    </row>
    <row r="7" spans="1:33" ht="20.5" customHeight="1">
      <c r="A7" s="198"/>
      <c r="D7" s="636"/>
      <c r="E7" s="636"/>
      <c r="F7" s="636"/>
      <c r="G7" s="636"/>
      <c r="H7" s="636"/>
      <c r="I7" s="636"/>
      <c r="J7" s="636"/>
      <c r="K7" s="636"/>
      <c r="L7" s="636"/>
      <c r="M7" s="636"/>
      <c r="N7" s="636"/>
      <c r="O7" s="636"/>
      <c r="P7" s="636"/>
      <c r="Q7" s="636"/>
      <c r="R7" s="648"/>
      <c r="S7" s="633"/>
      <c r="T7" s="633"/>
      <c r="U7" s="633"/>
      <c r="AD7" s="98"/>
      <c r="AE7" s="98"/>
      <c r="AF7" s="98"/>
      <c r="AG7" s="98"/>
    </row>
    <row r="8" spans="1:33" ht="20.5" customHeight="1">
      <c r="A8" s="198"/>
      <c r="D8" s="636"/>
      <c r="E8" s="636"/>
      <c r="F8" s="636"/>
      <c r="G8" s="636"/>
      <c r="H8" s="636"/>
      <c r="I8" s="636"/>
      <c r="J8" s="636"/>
      <c r="K8" s="636"/>
      <c r="L8" s="636"/>
      <c r="M8" s="636"/>
      <c r="N8" s="636"/>
      <c r="O8" s="636"/>
      <c r="P8" s="636"/>
      <c r="Q8" s="636"/>
      <c r="R8" s="648"/>
      <c r="S8" s="633"/>
      <c r="T8" s="633"/>
      <c r="U8" s="633"/>
      <c r="AD8" s="98"/>
      <c r="AE8" s="98"/>
      <c r="AF8" s="98"/>
      <c r="AG8" s="98"/>
    </row>
    <row r="9" spans="1:33" ht="13.15" customHeight="1">
      <c r="A9" s="198">
        <v>349</v>
      </c>
      <c r="C9" s="328"/>
      <c r="D9" s="198">
        <v>484</v>
      </c>
      <c r="E9" s="198">
        <v>485</v>
      </c>
      <c r="F9" s="198">
        <v>486</v>
      </c>
      <c r="G9" s="198"/>
      <c r="H9" s="198">
        <v>487</v>
      </c>
      <c r="AD9" s="98"/>
      <c r="AE9" s="98"/>
    </row>
    <row r="10" spans="1:33" ht="15" customHeight="1">
      <c r="AD10" s="98"/>
      <c r="AE10" s="98"/>
      <c r="AF10" s="198">
        <v>359</v>
      </c>
    </row>
    <row r="11" spans="1:33" ht="15" customHeight="1">
      <c r="AD11" s="98"/>
      <c r="AE11" s="98"/>
    </row>
    <row r="13" spans="1:33" ht="15" customHeight="1">
      <c r="A13" s="198">
        <v>500</v>
      </c>
      <c r="B13" s="86" t="str">
        <f>HLOOKUP('General Information'!$C$6,'IDIOMA (hide)'!$A$1:$D$5016,A13,0)</f>
        <v>Será uma implantação Rollout?</v>
      </c>
      <c r="C13" s="22"/>
      <c r="H13" s="198">
        <v>503</v>
      </c>
      <c r="I13" s="649" t="str">
        <f>HLOOKUP('General Information'!$C$6,'IDIOMA (hide)'!$A$1:$D$5016,H13,0)</f>
        <v>REGRA: EM caso de implantação Rollout, as premissas padrões de Rollout devem ser inclusas na proposta e no contrato.</v>
      </c>
      <c r="J13" s="649"/>
      <c r="K13" s="649"/>
      <c r="L13" s="649"/>
      <c r="M13" s="649"/>
      <c r="N13" s="649"/>
      <c r="O13" s="649"/>
      <c r="P13" s="649"/>
      <c r="Q13" s="649"/>
    </row>
    <row r="14" spans="1:33">
      <c r="A14" s="198">
        <v>501</v>
      </c>
      <c r="B14" s="86" t="str">
        <f>HLOOKUP('General Information'!$C$6,'IDIOMA (hide)'!$A$1:$D$5016,A14,0)</f>
        <v>Qual o fator de multiplicação por unidade?</v>
      </c>
      <c r="C14" s="545">
        <v>0.5</v>
      </c>
      <c r="F14" s="477"/>
      <c r="G14" s="477"/>
      <c r="H14" s="546">
        <v>532</v>
      </c>
      <c r="I14" t="str">
        <f>IF(C14&lt;50%,HLOOKUP('General Information'!$C$6,'IDIOMA (hide)'!$A$1:$D$5016,H14,0),"")</f>
        <v/>
      </c>
      <c r="J14" s="477"/>
      <c r="K14" s="477"/>
      <c r="L14" s="477"/>
      <c r="M14" s="477"/>
      <c r="N14" s="477"/>
      <c r="O14" s="477"/>
      <c r="P14" s="477"/>
    </row>
    <row r="15" spans="1:33">
      <c r="A15" s="198">
        <v>502</v>
      </c>
      <c r="B15" s="86" t="str">
        <f>HLOOKUP('General Information'!$C$6,'IDIOMA (hide)'!$A$1:$D$5016,A15,0)</f>
        <v>Total de Unidades na Estratégia de Implantação</v>
      </c>
      <c r="C15" s="22"/>
    </row>
    <row r="17" spans="2:33">
      <c r="B17" s="201" t="s">
        <v>5925</v>
      </c>
      <c r="C17" s="201" t="s">
        <v>3232</v>
      </c>
      <c r="E17" s="646" t="str">
        <f>IF($C$15&gt;=1,"Unidade 2 (Rollout)","")</f>
        <v/>
      </c>
      <c r="F17" s="647"/>
      <c r="G17" s="7" t="s">
        <v>6040</v>
      </c>
      <c r="I17" s="645" t="str">
        <f>IF($C$15&gt;=2,"Unidade 3 (Rollout)","")</f>
        <v/>
      </c>
      <c r="J17" s="645"/>
      <c r="K17" s="7" t="s">
        <v>6040</v>
      </c>
      <c r="M17" s="645" t="str">
        <f>IF($C$15&gt;=3,"Unidade 4 (Rollout)","")</f>
        <v/>
      </c>
      <c r="N17" s="645"/>
      <c r="O17" s="7" t="s">
        <v>6040</v>
      </c>
      <c r="Q17" s="645" t="str">
        <f>IF($C$15&gt;=4,"Unidade 5 (Rollout)","")</f>
        <v/>
      </c>
      <c r="R17" s="645"/>
      <c r="S17" s="7" t="s">
        <v>6040</v>
      </c>
      <c r="U17" s="645" t="str">
        <f>IF($C$15&gt;=5,"Unidade 6 (Rollout)","")</f>
        <v/>
      </c>
      <c r="V17" s="645"/>
      <c r="W17" s="7" t="s">
        <v>6040</v>
      </c>
      <c r="Y17" s="650" t="s">
        <v>5926</v>
      </c>
      <c r="Z17" s="650"/>
      <c r="AA17" s="7" t="s">
        <v>6040</v>
      </c>
      <c r="AD17" s="201" t="s">
        <v>2888</v>
      </c>
      <c r="AE17" s="202" t="s">
        <v>2887</v>
      </c>
      <c r="AF17" s="202" t="s">
        <v>3241</v>
      </c>
      <c r="AG17" s="202" t="s">
        <v>2646</v>
      </c>
    </row>
    <row r="18" spans="2:33">
      <c r="B18" t="str">
        <f>IF(Summary!B14&lt;&gt;"",Summary!B14,"")</f>
        <v>Phase: Installation</v>
      </c>
      <c r="C18" s="439" t="str">
        <f>IF(Summary!C14&lt;&gt;"",Summary!C14,"")</f>
        <v/>
      </c>
      <c r="E18" t="str">
        <f>IF($C$15&gt;=1,IF($C$13="Yes",IF(Summary!B14&lt;&gt;"",Summary!B14,""),""),"")</f>
        <v/>
      </c>
      <c r="F18" t="str">
        <f>IF($C$15&gt;=1,IFERROR(IF($C$13="Yes",(C18*$C$14),""),""),"")</f>
        <v/>
      </c>
      <c r="G18">
        <f>IF(F18="",0,F18)</f>
        <v>0</v>
      </c>
      <c r="I18" t="str">
        <f>IF($C$15&gt;=2,IF($C$13="Yes",IF(Summary!B14&lt;&gt;"",Summary!B14,""),""),"")</f>
        <v/>
      </c>
      <c r="J18" s="439" t="str">
        <f>IF($C$15&gt;=2,IFERROR(IF($C$13="Yes",(C18*$C$14),""),""),"")</f>
        <v/>
      </c>
      <c r="K18">
        <f>IF(J18="",0,J18)</f>
        <v>0</v>
      </c>
      <c r="M18" t="str">
        <f>IF($C$15&gt;=3,IF($C$13="Yes",IF(Summary!B14&lt;&gt;"",Summary!B14,""),""),"")</f>
        <v/>
      </c>
      <c r="N18" s="439" t="str">
        <f>IF($C$15&gt;=3,IFERROR(IF($C$13="Yes",(C18*$C$14),""),""),"")</f>
        <v/>
      </c>
      <c r="O18">
        <f>IF(N18="",0,N18)</f>
        <v>0</v>
      </c>
      <c r="Q18" t="str">
        <f>IF($C$15&gt;=4,IF($C$13="Yes",IF(Summary!B14&lt;&gt;"",Summary!B14,""),""),"")</f>
        <v/>
      </c>
      <c r="R18" s="439" t="str">
        <f>IF($C$15&gt;=4,IFERROR(IF($C$13="Yes",(C18*$C$14),""),""),"")</f>
        <v/>
      </c>
      <c r="S18">
        <f>IF(R18="",0,R18)</f>
        <v>0</v>
      </c>
      <c r="U18" t="str">
        <f>IF($C$15&gt;=5,IF($C$13="Yes",IF(Summary!B14&lt;&gt;"",Summary!B14,""),""),"")</f>
        <v/>
      </c>
      <c r="V18" s="439" t="str">
        <f>IF($C$15&gt;=5,IFERROR(IF($C$13="Yes",(C18*$C$14),""),""),"")</f>
        <v/>
      </c>
      <c r="W18">
        <f>IF(V18="",0,V18)</f>
        <v>0</v>
      </c>
      <c r="Y18" t="str">
        <f>IF($C$13="Yes",IF(Summary!B14&lt;&gt;"",Summary!B14,""),"")</f>
        <v/>
      </c>
      <c r="Z18" s="439" t="str">
        <f>IFERROR((C18+G18+K18+O18+S18+W18),"")</f>
        <v/>
      </c>
      <c r="AA18" t="str">
        <f t="shared" ref="AA18:AA81" si="0">IF(Y18&lt;&gt;"Total",Z18,0)</f>
        <v/>
      </c>
      <c r="AC18" s="198">
        <v>357</v>
      </c>
      <c r="AD18" s="349" t="str">
        <f>HLOOKUP('General Information'!$C$6,'IDIOMA (hide)'!$A$1:$D$5016,AC18,0)</f>
        <v>Horas de Consultoria</v>
      </c>
      <c r="AE18" s="200">
        <f>(SUM(AA18:AA509)-GETPIVOTDATA("TOTAL HOURS (STANDARD HOURS + ADDITIONAL HOURS)",Summary!$B$13))</f>
        <v>232</v>
      </c>
      <c r="AF18" s="508">
        <f>Proposal!C32</f>
        <v>0</v>
      </c>
      <c r="AG18" s="507">
        <f>AF18*AE18</f>
        <v>0</v>
      </c>
    </row>
    <row r="19" spans="2:33">
      <c r="B19" t="str">
        <f>IF(Summary!B15&lt;&gt;"",Summary!B15,"")</f>
        <v>Instalação</v>
      </c>
      <c r="C19" s="439" t="str">
        <f>IF(Summary!C15&lt;&gt;"",Summary!C15,"")</f>
        <v/>
      </c>
      <c r="E19" t="str">
        <f>IF($C$15&gt;=1,IF($C$13="Yes",IF(Summary!B15&lt;&gt;"",Summary!B15,""),""),"")</f>
        <v/>
      </c>
      <c r="F19" t="str">
        <f t="shared" ref="F19:F82" si="1">IF($C$15&gt;=1,IFERROR(IF($C$13="Yes",(C19*$C$14),""),""),"")</f>
        <v/>
      </c>
      <c r="G19">
        <f t="shared" ref="G19:G82" si="2">IF(F19="",0,F19)</f>
        <v>0</v>
      </c>
      <c r="I19" t="str">
        <f>IF($C$15&gt;=2,IF($C$13="Yes",IF(Summary!B15&lt;&gt;"",Summary!B15,""),""),"")</f>
        <v/>
      </c>
      <c r="J19" s="439" t="str">
        <f t="shared" ref="J19:J82" si="3">IF($C$15&gt;=2,IFERROR(IF($C$13="Yes",(C19*$C$14),""),""),"")</f>
        <v/>
      </c>
      <c r="K19">
        <f t="shared" ref="K19:K82" si="4">IF(J19="",0,J19)</f>
        <v>0</v>
      </c>
      <c r="M19" t="str">
        <f>IF($C$15&gt;=3,IF($C$13="Yes",IF(Summary!B15&lt;&gt;"",Summary!B15,""),""),"")</f>
        <v/>
      </c>
      <c r="N19" s="439" t="str">
        <f t="shared" ref="N19:N82" si="5">IF($C$15&gt;=3,IFERROR(IF($C$13="Yes",(C19*$C$14),""),""),"")</f>
        <v/>
      </c>
      <c r="O19">
        <f t="shared" ref="O19:O82" si="6">IF(N19="",0,N19)</f>
        <v>0</v>
      </c>
      <c r="Q19" t="str">
        <f>IF($C$15&gt;=4,IF($C$13="Yes",IF(Summary!B15&lt;&gt;"",Summary!B15,""),""),"")</f>
        <v/>
      </c>
      <c r="R19" s="439" t="str">
        <f t="shared" ref="R19:R82" si="7">IF($C$15&gt;=4,IFERROR(IF($C$13="Yes",(C19*$C$14),""),""),"")</f>
        <v/>
      </c>
      <c r="S19">
        <f t="shared" ref="S19:S82" si="8">IF(R19="",0,R19)</f>
        <v>0</v>
      </c>
      <c r="U19" t="str">
        <f>IF($C$15&gt;=5,IF($C$13="Yes",IF(Summary!B15&lt;&gt;"",Summary!B15,""),""),"")</f>
        <v/>
      </c>
      <c r="V19" s="439" t="str">
        <f t="shared" ref="V19:V82" si="9">IF($C$15&gt;=5,IFERROR(IF($C$13="Yes",(C19*$C$14),""),""),"")</f>
        <v/>
      </c>
      <c r="W19">
        <f t="shared" ref="W19:W82" si="10">IF(V19="",0,V19)</f>
        <v>0</v>
      </c>
      <c r="Y19" t="str">
        <f>IF($C$13="Yes",IF(Summary!B15&lt;&gt;"",Summary!B15,""),"")</f>
        <v/>
      </c>
      <c r="Z19" s="439" t="str">
        <f t="shared" ref="Z19:Z82" si="11">IFERROR((C19+G19+K19+O19+S19+W19),"")</f>
        <v/>
      </c>
      <c r="AA19" t="str">
        <f t="shared" si="0"/>
        <v/>
      </c>
      <c r="AC19" s="198">
        <v>351</v>
      </c>
      <c r="AD19" s="349" t="str">
        <f>HLOOKUP('General Information'!$C$6,'IDIOMA (hide)'!$A$1:$D$5016,AC19,0)</f>
        <v>Gerenciamento de Projetos</v>
      </c>
      <c r="AE19" s="402">
        <f>AE18*20%</f>
        <v>46.400000000000006</v>
      </c>
      <c r="AF19" s="508">
        <f>Proposal!C33</f>
        <v>0</v>
      </c>
      <c r="AG19" s="507">
        <f>AF19*AE19</f>
        <v>0</v>
      </c>
    </row>
    <row r="20" spans="2:33">
      <c r="B20" t="str">
        <f>IF(Summary!B16&lt;&gt;"",Summary!B16,"")</f>
        <v>Validação da Instalação do Produto</v>
      </c>
      <c r="C20" s="439">
        <f>IF(Summary!C16&lt;&gt;"",Summary!C16,"")</f>
        <v>8</v>
      </c>
      <c r="E20" t="str">
        <f>IF($C$15&gt;=1,IF($C$13="Yes",IF(Summary!B16&lt;&gt;"",Summary!B16,""),""),"")</f>
        <v/>
      </c>
      <c r="F20" t="str">
        <f t="shared" si="1"/>
        <v/>
      </c>
      <c r="G20">
        <f t="shared" si="2"/>
        <v>0</v>
      </c>
      <c r="I20" t="str">
        <f>IF($C$15&gt;=2,IF($C$13="Yes",IF(Summary!B16&lt;&gt;"",Summary!B16,""),""),"")</f>
        <v/>
      </c>
      <c r="J20" s="439" t="str">
        <f t="shared" si="3"/>
        <v/>
      </c>
      <c r="K20">
        <f t="shared" si="4"/>
        <v>0</v>
      </c>
      <c r="M20" t="str">
        <f>IF($C$15&gt;=3,IF($C$13="Yes",IF(Summary!B16&lt;&gt;"",Summary!B16,""),""),"")</f>
        <v/>
      </c>
      <c r="N20" s="439" t="str">
        <f t="shared" si="5"/>
        <v/>
      </c>
      <c r="O20">
        <f t="shared" si="6"/>
        <v>0</v>
      </c>
      <c r="Q20" t="str">
        <f>IF($C$15&gt;=4,IF($C$13="Yes",IF(Summary!B16&lt;&gt;"",Summary!B16,""),""),"")</f>
        <v/>
      </c>
      <c r="R20" s="439" t="str">
        <f t="shared" si="7"/>
        <v/>
      </c>
      <c r="S20">
        <f t="shared" si="8"/>
        <v>0</v>
      </c>
      <c r="U20" t="str">
        <f>IF($C$15&gt;=5,IF($C$13="Yes",IF(Summary!B16&lt;&gt;"",Summary!B16,""),""),"")</f>
        <v/>
      </c>
      <c r="V20" s="439" t="str">
        <f t="shared" si="9"/>
        <v/>
      </c>
      <c r="W20">
        <f t="shared" si="10"/>
        <v>0</v>
      </c>
      <c r="Y20" t="str">
        <f>IF($C$13="Yes",IF(Summary!B16&lt;&gt;"",Summary!B16,""),"")</f>
        <v/>
      </c>
      <c r="Z20" s="439">
        <f t="shared" si="11"/>
        <v>8</v>
      </c>
      <c r="AA20">
        <f t="shared" si="0"/>
        <v>8</v>
      </c>
      <c r="AC20" s="198">
        <v>516</v>
      </c>
      <c r="AD20" s="349" t="str">
        <f>HLOOKUP('General Information'!$C$6,'IDIOMA (hide)'!$A$1:$D$5016,AC20,0)</f>
        <v>Horas de Desenvolvimento (Integrações)</v>
      </c>
      <c r="AE20" s="514">
        <f>Integrations!Q5</f>
        <v>0</v>
      </c>
      <c r="AF20" s="508">
        <f>Proposal!C34</f>
        <v>0</v>
      </c>
      <c r="AG20" s="507">
        <f>AF20*AE20</f>
        <v>0</v>
      </c>
    </row>
    <row r="21" spans="2:33">
      <c r="B21" t="str">
        <f>IF(Summary!B17&lt;&gt;"",Summary!B17,"")</f>
        <v xml:space="preserve">
Phase: Project Launch</v>
      </c>
      <c r="C21" s="439" t="str">
        <f>IF(Summary!C17&lt;&gt;"",Summary!C17,"")</f>
        <v/>
      </c>
      <c r="E21" t="str">
        <f>IF($C$15&gt;=1,IF($C$13="Yes",IF(Summary!B17&lt;&gt;"",Summary!B17,""),""),"")</f>
        <v/>
      </c>
      <c r="F21" t="str">
        <f t="shared" si="1"/>
        <v/>
      </c>
      <c r="G21">
        <f t="shared" si="2"/>
        <v>0</v>
      </c>
      <c r="I21" t="str">
        <f>IF($C$15&gt;=2,IF($C$13="Yes",IF(Summary!B17&lt;&gt;"",Summary!B17,""),""),"")</f>
        <v/>
      </c>
      <c r="J21" s="439" t="str">
        <f t="shared" si="3"/>
        <v/>
      </c>
      <c r="K21">
        <f t="shared" si="4"/>
        <v>0</v>
      </c>
      <c r="M21" t="str">
        <f>IF($C$15&gt;=3,IF($C$13="Yes",IF(Summary!B17&lt;&gt;"",Summary!B17,""),""),"")</f>
        <v/>
      </c>
      <c r="N21" s="439" t="str">
        <f t="shared" si="5"/>
        <v/>
      </c>
      <c r="O21">
        <f t="shared" si="6"/>
        <v>0</v>
      </c>
      <c r="Q21" t="str">
        <f>IF($C$15&gt;=4,IF($C$13="Yes",IF(Summary!B17&lt;&gt;"",Summary!B17,""),""),"")</f>
        <v/>
      </c>
      <c r="R21" s="439" t="str">
        <f t="shared" si="7"/>
        <v/>
      </c>
      <c r="S21">
        <f t="shared" si="8"/>
        <v>0</v>
      </c>
      <c r="U21" t="str">
        <f>IF($C$15&gt;=5,IF($C$13="Yes",IF(Summary!B17&lt;&gt;"",Summary!B17,""),""),"")</f>
        <v/>
      </c>
      <c r="V21" s="439" t="str">
        <f t="shared" si="9"/>
        <v/>
      </c>
      <c r="W21">
        <f t="shared" si="10"/>
        <v>0</v>
      </c>
      <c r="Y21" t="str">
        <f>IF($C$13="Yes",IF(Summary!B17&lt;&gt;"",Summary!B17,""),"")</f>
        <v/>
      </c>
      <c r="Z21" s="439" t="str">
        <f t="shared" si="11"/>
        <v/>
      </c>
      <c r="AA21" t="str">
        <f t="shared" si="0"/>
        <v/>
      </c>
      <c r="AC21" s="198">
        <v>348</v>
      </c>
      <c r="AD21" s="350" t="str">
        <f>HLOOKUP('General Information'!$C$6,'IDIOMA (hide)'!$A$1:$D$5016,AC21,0)</f>
        <v>Total de Horas do projeto</v>
      </c>
      <c r="AE21" s="203">
        <f>AE18+AE19+AE20</f>
        <v>278.39999999999998</v>
      </c>
      <c r="AF21" s="393" t="s">
        <v>3242</v>
      </c>
      <c r="AG21" s="515">
        <f>AG19+AG18+AG20</f>
        <v>0</v>
      </c>
    </row>
    <row r="22" spans="2:33" ht="15" customHeight="1">
      <c r="B22" t="str">
        <f>IF(Summary!B18&lt;&gt;"",Summary!B18,"")</f>
        <v>Inicialização</v>
      </c>
      <c r="C22" s="439" t="str">
        <f>IF(Summary!C18&lt;&gt;"",Summary!C18,"")</f>
        <v/>
      </c>
      <c r="E22" t="str">
        <f>IF($C$15&gt;=1,IF($C$13="Yes",IF(Summary!B18&lt;&gt;"",Summary!B18,""),""),"")</f>
        <v/>
      </c>
      <c r="F22" t="str">
        <f t="shared" si="1"/>
        <v/>
      </c>
      <c r="G22">
        <f t="shared" si="2"/>
        <v>0</v>
      </c>
      <c r="I22" t="str">
        <f>IF($C$15&gt;=2,IF($C$13="Yes",IF(Summary!B18&lt;&gt;"",Summary!B18,""),""),"")</f>
        <v/>
      </c>
      <c r="J22" s="439" t="str">
        <f t="shared" si="3"/>
        <v/>
      </c>
      <c r="K22">
        <f t="shared" si="4"/>
        <v>0</v>
      </c>
      <c r="M22" t="str">
        <f>IF($C$15&gt;=3,IF($C$13="Yes",IF(Summary!B18&lt;&gt;"",Summary!B18,""),""),"")</f>
        <v/>
      </c>
      <c r="N22" s="439" t="str">
        <f t="shared" si="5"/>
        <v/>
      </c>
      <c r="O22">
        <f t="shared" si="6"/>
        <v>0</v>
      </c>
      <c r="Q22" t="str">
        <f>IF($C$15&gt;=4,IF($C$13="Yes",IF(Summary!B18&lt;&gt;"",Summary!B18,""),""),"")</f>
        <v/>
      </c>
      <c r="R22" s="439" t="str">
        <f t="shared" si="7"/>
        <v/>
      </c>
      <c r="S22">
        <f t="shared" si="8"/>
        <v>0</v>
      </c>
      <c r="U22" t="str">
        <f>IF($C$15&gt;=5,IF($C$13="Yes",IF(Summary!B18&lt;&gt;"",Summary!B18,""),""),"")</f>
        <v/>
      </c>
      <c r="V22" s="439" t="str">
        <f t="shared" si="9"/>
        <v/>
      </c>
      <c r="W22">
        <f t="shared" si="10"/>
        <v>0</v>
      </c>
      <c r="Y22" t="str">
        <f>IF($C$13="Yes",IF(Summary!B18&lt;&gt;"",Summary!B18,""),"")</f>
        <v/>
      </c>
      <c r="Z22" s="439" t="str">
        <f t="shared" si="11"/>
        <v/>
      </c>
      <c r="AA22" t="str">
        <f t="shared" si="0"/>
        <v/>
      </c>
      <c r="AD22" s="639" t="s">
        <v>5900</v>
      </c>
      <c r="AE22" s="639"/>
    </row>
    <row r="23" spans="2:33">
      <c r="B23" t="str">
        <f>IF(Summary!B19&lt;&gt;"",Summary!B19,"")</f>
        <v>Lançamento de Projetos</v>
      </c>
      <c r="C23" s="439">
        <f>IF(Summary!C19&lt;&gt;"",Summary!C19,"")</f>
        <v>8</v>
      </c>
      <c r="E23" t="str">
        <f>IF($C$15&gt;=1,IF($C$13="Yes",IF(Summary!B19&lt;&gt;"",Summary!B19,""),""),"")</f>
        <v/>
      </c>
      <c r="F23" t="str">
        <f t="shared" si="1"/>
        <v/>
      </c>
      <c r="G23">
        <f t="shared" si="2"/>
        <v>0</v>
      </c>
      <c r="I23" t="str">
        <f>IF($C$15&gt;=2,IF($C$13="Yes",IF(Summary!B19&lt;&gt;"",Summary!B19,""),""),"")</f>
        <v/>
      </c>
      <c r="J23" s="439" t="str">
        <f t="shared" si="3"/>
        <v/>
      </c>
      <c r="K23">
        <f t="shared" si="4"/>
        <v>0</v>
      </c>
      <c r="M23" t="str">
        <f>IF($C$15&gt;=3,IF($C$13="Yes",IF(Summary!B19&lt;&gt;"",Summary!B19,""),""),"")</f>
        <v/>
      </c>
      <c r="N23" s="439" t="str">
        <f t="shared" si="5"/>
        <v/>
      </c>
      <c r="O23">
        <f t="shared" si="6"/>
        <v>0</v>
      </c>
      <c r="Q23" t="str">
        <f>IF($C$15&gt;=4,IF($C$13="Yes",IF(Summary!B19&lt;&gt;"",Summary!B19,""),""),"")</f>
        <v/>
      </c>
      <c r="R23" s="439" t="str">
        <f t="shared" si="7"/>
        <v/>
      </c>
      <c r="S23">
        <f t="shared" si="8"/>
        <v>0</v>
      </c>
      <c r="U23" t="str">
        <f>IF($C$15&gt;=5,IF($C$13="Yes",IF(Summary!B19&lt;&gt;"",Summary!B19,""),""),"")</f>
        <v/>
      </c>
      <c r="V23" s="439" t="str">
        <f t="shared" si="9"/>
        <v/>
      </c>
      <c r="W23">
        <f t="shared" si="10"/>
        <v>0</v>
      </c>
      <c r="Y23" t="str">
        <f>IF($C$13="Yes",IF(Summary!B19&lt;&gt;"",Summary!B19,""),"")</f>
        <v/>
      </c>
      <c r="Z23" s="439">
        <f t="shared" si="11"/>
        <v>8</v>
      </c>
      <c r="AA23">
        <f t="shared" si="0"/>
        <v>8</v>
      </c>
      <c r="AD23" s="639"/>
      <c r="AE23" s="639"/>
    </row>
    <row r="24" spans="2:33">
      <c r="B24" t="str">
        <f>IF(Summary!B20&lt;&gt;"",Summary!B20,"")</f>
        <v>Phase: Release and Follow-up</v>
      </c>
      <c r="C24" s="439" t="str">
        <f>IF(Summary!C20&lt;&gt;"",Summary!C20,"")</f>
        <v/>
      </c>
      <c r="E24" t="str">
        <f>IF($C$15&gt;=1,IF($C$13="Yes",IF(Summary!B20&lt;&gt;"",Summary!B20,""),""),"")</f>
        <v/>
      </c>
      <c r="F24" t="str">
        <f t="shared" si="1"/>
        <v/>
      </c>
      <c r="G24">
        <f t="shared" si="2"/>
        <v>0</v>
      </c>
      <c r="I24" t="str">
        <f>IF($C$15&gt;=2,IF($C$13="Yes",IF(Summary!B20&lt;&gt;"",Summary!B20,""),""),"")</f>
        <v/>
      </c>
      <c r="J24" s="439" t="str">
        <f t="shared" si="3"/>
        <v/>
      </c>
      <c r="K24">
        <f t="shared" si="4"/>
        <v>0</v>
      </c>
      <c r="M24" t="str">
        <f>IF($C$15&gt;=3,IF($C$13="Yes",IF(Summary!B20&lt;&gt;"",Summary!B20,""),""),"")</f>
        <v/>
      </c>
      <c r="N24" s="439" t="str">
        <f t="shared" si="5"/>
        <v/>
      </c>
      <c r="O24">
        <f t="shared" si="6"/>
        <v>0</v>
      </c>
      <c r="Q24" t="str">
        <f>IF($C$15&gt;=4,IF($C$13="Yes",IF(Summary!B20&lt;&gt;"",Summary!B20,""),""),"")</f>
        <v/>
      </c>
      <c r="R24" s="439" t="str">
        <f t="shared" si="7"/>
        <v/>
      </c>
      <c r="S24">
        <f t="shared" si="8"/>
        <v>0</v>
      </c>
      <c r="U24" t="str">
        <f>IF($C$15&gt;=5,IF($C$13="Yes",IF(Summary!B20&lt;&gt;"",Summary!B20,""),""),"")</f>
        <v/>
      </c>
      <c r="V24" s="439" t="str">
        <f t="shared" si="9"/>
        <v/>
      </c>
      <c r="W24">
        <f t="shared" si="10"/>
        <v>0</v>
      </c>
      <c r="Y24" t="str">
        <f>IF($C$13="Yes",IF(Summary!B20&lt;&gt;"",Summary!B20,""),"")</f>
        <v/>
      </c>
      <c r="Z24" s="439" t="str">
        <f t="shared" si="11"/>
        <v/>
      </c>
      <c r="AA24" t="str">
        <f t="shared" si="0"/>
        <v/>
      </c>
      <c r="AD24" s="640" t="s">
        <v>5901</v>
      </c>
      <c r="AE24" s="640"/>
    </row>
    <row r="25" spans="2:33">
      <c r="B25" t="str">
        <f>IF(Summary!B21&lt;&gt;"",Summary!B21,"")</f>
        <v>Go Live</v>
      </c>
      <c r="C25" s="439" t="str">
        <f>IF(Summary!C21&lt;&gt;"",Summary!C21,"")</f>
        <v/>
      </c>
      <c r="E25" t="str">
        <f>IF($C$15&gt;=1,IF($C$13="Yes",IF(Summary!B21&lt;&gt;"",Summary!B21,""),""),"")</f>
        <v/>
      </c>
      <c r="F25" t="str">
        <f t="shared" si="1"/>
        <v/>
      </c>
      <c r="G25">
        <f t="shared" si="2"/>
        <v>0</v>
      </c>
      <c r="I25" t="str">
        <f>IF($C$15&gt;=2,IF($C$13="Yes",IF(Summary!B21&lt;&gt;"",Summary!B21,""),""),"")</f>
        <v/>
      </c>
      <c r="J25" s="439" t="str">
        <f t="shared" si="3"/>
        <v/>
      </c>
      <c r="K25">
        <f t="shared" si="4"/>
        <v>0</v>
      </c>
      <c r="M25" t="str">
        <f>IF($C$15&gt;=3,IF($C$13="Yes",IF(Summary!B21&lt;&gt;"",Summary!B21,""),""),"")</f>
        <v/>
      </c>
      <c r="N25" s="439" t="str">
        <f t="shared" si="5"/>
        <v/>
      </c>
      <c r="O25">
        <f t="shared" si="6"/>
        <v>0</v>
      </c>
      <c r="Q25" t="str">
        <f>IF($C$15&gt;=4,IF($C$13="Yes",IF(Summary!B21&lt;&gt;"",Summary!B21,""),""),"")</f>
        <v/>
      </c>
      <c r="R25" s="439" t="str">
        <f t="shared" si="7"/>
        <v/>
      </c>
      <c r="S25">
        <f t="shared" si="8"/>
        <v>0</v>
      </c>
      <c r="U25" t="str">
        <f>IF($C$15&gt;=5,IF($C$13="Yes",IF(Summary!B21&lt;&gt;"",Summary!B21,""),""),"")</f>
        <v/>
      </c>
      <c r="V25" s="439" t="str">
        <f t="shared" si="9"/>
        <v/>
      </c>
      <c r="W25">
        <f t="shared" si="10"/>
        <v>0</v>
      </c>
      <c r="Y25" t="str">
        <f>IF($C$13="Yes",IF(Summary!B21&lt;&gt;"",Summary!B21,""),"")</f>
        <v/>
      </c>
      <c r="Z25" s="439" t="str">
        <f t="shared" si="11"/>
        <v/>
      </c>
      <c r="AA25" t="str">
        <f t="shared" si="0"/>
        <v/>
      </c>
      <c r="AD25" s="640" t="s">
        <v>5899</v>
      </c>
      <c r="AE25" s="640"/>
    </row>
    <row r="26" spans="2:33">
      <c r="B26" t="str">
        <f>IF(Summary!B22&lt;&gt;"",Summary!B22,"")</f>
        <v>Teste Piloto</v>
      </c>
      <c r="C26" s="439">
        <f>IF(Summary!C22&lt;&gt;"",Summary!C22,"")</f>
        <v>40</v>
      </c>
      <c r="E26" t="str">
        <f>IF($C$15&gt;=1,IF($C$13="Yes",IF(Summary!B22&lt;&gt;"",Summary!B22,""),""),"")</f>
        <v/>
      </c>
      <c r="F26" t="str">
        <f t="shared" si="1"/>
        <v/>
      </c>
      <c r="G26">
        <f t="shared" si="2"/>
        <v>0</v>
      </c>
      <c r="I26" t="str">
        <f>IF($C$15&gt;=2,IF($C$13="Yes",IF(Summary!B22&lt;&gt;"",Summary!B22,""),""),"")</f>
        <v/>
      </c>
      <c r="J26" s="439" t="str">
        <f t="shared" si="3"/>
        <v/>
      </c>
      <c r="K26">
        <f t="shared" si="4"/>
        <v>0</v>
      </c>
      <c r="M26" t="str">
        <f>IF($C$15&gt;=3,IF($C$13="Yes",IF(Summary!B22&lt;&gt;"",Summary!B22,""),""),"")</f>
        <v/>
      </c>
      <c r="N26" s="439" t="str">
        <f t="shared" si="5"/>
        <v/>
      </c>
      <c r="O26">
        <f t="shared" si="6"/>
        <v>0</v>
      </c>
      <c r="Q26" t="str">
        <f>IF($C$15&gt;=4,IF($C$13="Yes",IF(Summary!B22&lt;&gt;"",Summary!B22,""),""),"")</f>
        <v/>
      </c>
      <c r="R26" s="439" t="str">
        <f t="shared" si="7"/>
        <v/>
      </c>
      <c r="S26">
        <f t="shared" si="8"/>
        <v>0</v>
      </c>
      <c r="U26" t="str">
        <f>IF($C$15&gt;=5,IF($C$13="Yes",IF(Summary!B22&lt;&gt;"",Summary!B22,""),""),"")</f>
        <v/>
      </c>
      <c r="V26" s="439" t="str">
        <f t="shared" si="9"/>
        <v/>
      </c>
      <c r="W26">
        <f t="shared" si="10"/>
        <v>0</v>
      </c>
      <c r="Y26" t="str">
        <f>IF($C$13="Yes",IF(Summary!B22&lt;&gt;"",Summary!B22,""),"")</f>
        <v/>
      </c>
      <c r="Z26" s="439">
        <f t="shared" si="11"/>
        <v>40</v>
      </c>
      <c r="AA26">
        <f t="shared" si="0"/>
        <v>40</v>
      </c>
    </row>
    <row r="27" spans="2:33">
      <c r="B27" t="str">
        <f>IF(Summary!B23&lt;&gt;"",Summary!B23,"")</f>
        <v>Processo de Virada</v>
      </c>
      <c r="C27" s="439">
        <f>IF(Summary!C23&lt;&gt;"",Summary!C23,"")</f>
        <v>16</v>
      </c>
      <c r="E27" t="str">
        <f>IF($C$15&gt;=1,IF($C$13="Yes",IF(Summary!B23&lt;&gt;"",Summary!B23,""),""),"")</f>
        <v/>
      </c>
      <c r="F27" t="str">
        <f t="shared" si="1"/>
        <v/>
      </c>
      <c r="G27">
        <f t="shared" si="2"/>
        <v>0</v>
      </c>
      <c r="I27" t="str">
        <f>IF($C$15&gt;=2,IF($C$13="Yes",IF(Summary!B23&lt;&gt;"",Summary!B23,""),""),"")</f>
        <v/>
      </c>
      <c r="J27" s="439" t="str">
        <f t="shared" si="3"/>
        <v/>
      </c>
      <c r="K27">
        <f t="shared" si="4"/>
        <v>0</v>
      </c>
      <c r="M27" t="str">
        <f>IF($C$15&gt;=3,IF($C$13="Yes",IF(Summary!B23&lt;&gt;"",Summary!B23,""),""),"")</f>
        <v/>
      </c>
      <c r="N27" s="439" t="str">
        <f t="shared" si="5"/>
        <v/>
      </c>
      <c r="O27">
        <f t="shared" si="6"/>
        <v>0</v>
      </c>
      <c r="Q27" t="str">
        <f>IF($C$15&gt;=4,IF($C$13="Yes",IF(Summary!B23&lt;&gt;"",Summary!B23,""),""),"")</f>
        <v/>
      </c>
      <c r="R27" s="439" t="str">
        <f t="shared" si="7"/>
        <v/>
      </c>
      <c r="S27">
        <f t="shared" si="8"/>
        <v>0</v>
      </c>
      <c r="U27" t="str">
        <f>IF($C$15&gt;=5,IF($C$13="Yes",IF(Summary!B23&lt;&gt;"",Summary!B23,""),""),"")</f>
        <v/>
      </c>
      <c r="V27" s="439" t="str">
        <f t="shared" si="9"/>
        <v/>
      </c>
      <c r="W27">
        <f t="shared" si="10"/>
        <v>0</v>
      </c>
      <c r="Y27" t="str">
        <f>IF($C$13="Yes",IF(Summary!B23&lt;&gt;"",Summary!B23,""),"")</f>
        <v/>
      </c>
      <c r="Z27" s="439">
        <f t="shared" si="11"/>
        <v>16</v>
      </c>
      <c r="AA27">
        <f t="shared" si="0"/>
        <v>16</v>
      </c>
    </row>
    <row r="28" spans="2:33">
      <c r="B28" t="str">
        <f>IF(Summary!B24&lt;&gt;"",Summary!B24,"")</f>
        <v>Acompanhamento Pós-Virada</v>
      </c>
      <c r="C28" s="439">
        <f>IF(Summary!C24&lt;&gt;"",Summary!C24,"")</f>
        <v>160</v>
      </c>
      <c r="E28" t="str">
        <f>IF($C$15&gt;=1,IF($C$13="Yes",IF(Summary!B24&lt;&gt;"",Summary!B24,""),""),"")</f>
        <v/>
      </c>
      <c r="F28" t="str">
        <f t="shared" si="1"/>
        <v/>
      </c>
      <c r="G28">
        <f t="shared" si="2"/>
        <v>0</v>
      </c>
      <c r="I28" t="str">
        <f>IF($C$15&gt;=2,IF($C$13="Yes",IF(Summary!B24&lt;&gt;"",Summary!B24,""),""),"")</f>
        <v/>
      </c>
      <c r="J28" s="439" t="str">
        <f t="shared" si="3"/>
        <v/>
      </c>
      <c r="K28">
        <f t="shared" si="4"/>
        <v>0</v>
      </c>
      <c r="M28" t="str">
        <f>IF($C$15&gt;=3,IF($C$13="Yes",IF(Summary!B24&lt;&gt;"",Summary!B24,""),""),"")</f>
        <v/>
      </c>
      <c r="N28" s="439" t="str">
        <f t="shared" si="5"/>
        <v/>
      </c>
      <c r="O28">
        <f t="shared" si="6"/>
        <v>0</v>
      </c>
      <c r="Q28" t="str">
        <f>IF($C$15&gt;=4,IF($C$13="Yes",IF(Summary!B24&lt;&gt;"",Summary!B24,""),""),"")</f>
        <v/>
      </c>
      <c r="R28" s="439" t="str">
        <f t="shared" si="7"/>
        <v/>
      </c>
      <c r="S28">
        <f t="shared" si="8"/>
        <v>0</v>
      </c>
      <c r="U28" t="str">
        <f>IF($C$15&gt;=5,IF($C$13="Yes",IF(Summary!B24&lt;&gt;"",Summary!B24,""),""),"")</f>
        <v/>
      </c>
      <c r="V28" s="439" t="str">
        <f t="shared" si="9"/>
        <v/>
      </c>
      <c r="W28">
        <f t="shared" si="10"/>
        <v>0</v>
      </c>
      <c r="Y28" t="str">
        <f>IF($C$13="Yes",IF(Summary!B24&lt;&gt;"",Summary!B24,""),"")</f>
        <v/>
      </c>
      <c r="Z28" s="439">
        <f t="shared" si="11"/>
        <v>160</v>
      </c>
      <c r="AA28">
        <f t="shared" si="0"/>
        <v>160</v>
      </c>
    </row>
    <row r="29" spans="2:33">
      <c r="B29" t="str">
        <f>IF(Summary!B25&lt;&gt;"",Summary!B25,"")</f>
        <v>Total</v>
      </c>
      <c r="C29" s="439">
        <f>IF(Summary!C25&lt;&gt;"",Summary!C25,"")</f>
        <v>232</v>
      </c>
      <c r="E29" t="str">
        <f>IF($C$15&gt;=1,IF($C$13="Yes",IF(Summary!B25&lt;&gt;"",Summary!B25,""),""),"")</f>
        <v/>
      </c>
      <c r="F29" t="str">
        <f t="shared" si="1"/>
        <v/>
      </c>
      <c r="G29">
        <f t="shared" si="2"/>
        <v>0</v>
      </c>
      <c r="I29" t="str">
        <f>IF($C$15&gt;=2,IF($C$13="Yes",IF(Summary!B25&lt;&gt;"",Summary!B25,""),""),"")</f>
        <v/>
      </c>
      <c r="J29" s="439" t="str">
        <f t="shared" si="3"/>
        <v/>
      </c>
      <c r="K29">
        <f t="shared" si="4"/>
        <v>0</v>
      </c>
      <c r="M29" t="str">
        <f>IF($C$15&gt;=3,IF($C$13="Yes",IF(Summary!B25&lt;&gt;"",Summary!B25,""),""),"")</f>
        <v/>
      </c>
      <c r="N29" s="439" t="str">
        <f t="shared" si="5"/>
        <v/>
      </c>
      <c r="O29">
        <f t="shared" si="6"/>
        <v>0</v>
      </c>
      <c r="Q29" t="str">
        <f>IF($C$15&gt;=4,IF($C$13="Yes",IF(Summary!B25&lt;&gt;"",Summary!B25,""),""),"")</f>
        <v/>
      </c>
      <c r="R29" s="439" t="str">
        <f t="shared" si="7"/>
        <v/>
      </c>
      <c r="S29">
        <f t="shared" si="8"/>
        <v>0</v>
      </c>
      <c r="U29" t="str">
        <f>IF($C$15&gt;=5,IF($C$13="Yes",IF(Summary!B25&lt;&gt;"",Summary!B25,""),""),"")</f>
        <v/>
      </c>
      <c r="V29" s="439" t="str">
        <f t="shared" si="9"/>
        <v/>
      </c>
      <c r="W29">
        <f t="shared" si="10"/>
        <v>0</v>
      </c>
      <c r="Y29" t="str">
        <f>IF($C$13="Yes",IF(Summary!B25&lt;&gt;"",Summary!B25,""),"")</f>
        <v/>
      </c>
      <c r="Z29" s="439">
        <f t="shared" si="11"/>
        <v>232</v>
      </c>
      <c r="AA29">
        <f t="shared" si="0"/>
        <v>232</v>
      </c>
    </row>
    <row r="30" spans="2:33">
      <c r="B30" t="str">
        <f>IF(Summary!B26&lt;&gt;"",Summary!B26,"")</f>
        <v/>
      </c>
      <c r="C30" s="439" t="str">
        <f>IF(Summary!C26&lt;&gt;"",Summary!C26,"")</f>
        <v/>
      </c>
      <c r="E30" t="str">
        <f>IF($C$15&gt;=1,IF($C$13="Yes",IF(Summary!B26&lt;&gt;"",Summary!B26,""),""),"")</f>
        <v/>
      </c>
      <c r="F30" t="str">
        <f t="shared" si="1"/>
        <v/>
      </c>
      <c r="G30">
        <f t="shared" si="2"/>
        <v>0</v>
      </c>
      <c r="I30" t="str">
        <f>IF($C$15&gt;=2,IF($C$13="Yes",IF(Summary!B26&lt;&gt;"",Summary!B26,""),""),"")</f>
        <v/>
      </c>
      <c r="J30" s="439" t="str">
        <f t="shared" si="3"/>
        <v/>
      </c>
      <c r="K30">
        <f t="shared" si="4"/>
        <v>0</v>
      </c>
      <c r="M30" t="str">
        <f>IF($C$15&gt;=3,IF($C$13="Yes",IF(Summary!B26&lt;&gt;"",Summary!B26,""),""),"")</f>
        <v/>
      </c>
      <c r="N30" s="439" t="str">
        <f t="shared" si="5"/>
        <v/>
      </c>
      <c r="O30">
        <f t="shared" si="6"/>
        <v>0</v>
      </c>
      <c r="Q30" t="str">
        <f>IF($C$15&gt;=4,IF($C$13="Yes",IF(Summary!B26&lt;&gt;"",Summary!B26,""),""),"")</f>
        <v/>
      </c>
      <c r="R30" s="439" t="str">
        <f t="shared" si="7"/>
        <v/>
      </c>
      <c r="S30">
        <f t="shared" si="8"/>
        <v>0</v>
      </c>
      <c r="U30" t="str">
        <f>IF($C$15&gt;=5,IF($C$13="Yes",IF(Summary!B26&lt;&gt;"",Summary!B26,""),""),"")</f>
        <v/>
      </c>
      <c r="V30" s="439" t="str">
        <f t="shared" si="9"/>
        <v/>
      </c>
      <c r="W30">
        <f t="shared" si="10"/>
        <v>0</v>
      </c>
      <c r="Y30" t="str">
        <f>IF($C$13="Yes",IF(Summary!B26&lt;&gt;"",Summary!B26,""),"")</f>
        <v/>
      </c>
      <c r="Z30" s="439" t="str">
        <f t="shared" si="11"/>
        <v/>
      </c>
      <c r="AA30" t="str">
        <f t="shared" si="0"/>
        <v/>
      </c>
    </row>
    <row r="31" spans="2:33">
      <c r="B31" t="str">
        <f>IF(Summary!B27&lt;&gt;"",Summary!B27,"")</f>
        <v/>
      </c>
      <c r="C31" s="439" t="str">
        <f>IF(Summary!C27&lt;&gt;"",Summary!C27,"")</f>
        <v/>
      </c>
      <c r="E31" t="str">
        <f>IF($C$15&gt;=1,IF($C$13="Yes",IF(Summary!B27&lt;&gt;"",Summary!B27,""),""),"")</f>
        <v/>
      </c>
      <c r="F31" t="str">
        <f t="shared" si="1"/>
        <v/>
      </c>
      <c r="G31">
        <f t="shared" si="2"/>
        <v>0</v>
      </c>
      <c r="I31" t="str">
        <f>IF($C$15&gt;=2,IF($C$13="Yes",IF(Summary!B27&lt;&gt;"",Summary!B27,""),""),"")</f>
        <v/>
      </c>
      <c r="J31" s="439" t="str">
        <f t="shared" si="3"/>
        <v/>
      </c>
      <c r="K31">
        <f t="shared" si="4"/>
        <v>0</v>
      </c>
      <c r="M31" t="str">
        <f>IF($C$15&gt;=3,IF($C$13="Yes",IF(Summary!B27&lt;&gt;"",Summary!B27,""),""),"")</f>
        <v/>
      </c>
      <c r="N31" s="439" t="str">
        <f t="shared" si="5"/>
        <v/>
      </c>
      <c r="O31">
        <f t="shared" si="6"/>
        <v>0</v>
      </c>
      <c r="Q31" t="str">
        <f>IF($C$15&gt;=4,IF($C$13="Yes",IF(Summary!B27&lt;&gt;"",Summary!B27,""),""),"")</f>
        <v/>
      </c>
      <c r="R31" s="439" t="str">
        <f t="shared" si="7"/>
        <v/>
      </c>
      <c r="S31">
        <f t="shared" si="8"/>
        <v>0</v>
      </c>
      <c r="U31" t="str">
        <f>IF($C$15&gt;=5,IF($C$13="Yes",IF(Summary!B27&lt;&gt;"",Summary!B27,""),""),"")</f>
        <v/>
      </c>
      <c r="V31" s="439" t="str">
        <f t="shared" si="9"/>
        <v/>
      </c>
      <c r="W31">
        <f t="shared" si="10"/>
        <v>0</v>
      </c>
      <c r="Y31" t="str">
        <f>IF($C$13="Yes",IF(Summary!B27&lt;&gt;"",Summary!B27,""),"")</f>
        <v/>
      </c>
      <c r="Z31" s="439" t="str">
        <f t="shared" si="11"/>
        <v/>
      </c>
      <c r="AA31" t="str">
        <f t="shared" si="0"/>
        <v/>
      </c>
    </row>
    <row r="32" spans="2:33">
      <c r="B32" t="str">
        <f>IF(Summary!B28&lt;&gt;"",Summary!B28,"")</f>
        <v/>
      </c>
      <c r="C32" s="439" t="str">
        <f>IF(Summary!C28&lt;&gt;"",Summary!C28,"")</f>
        <v/>
      </c>
      <c r="E32" t="str">
        <f>IF($C$15&gt;=1,IF($C$13="Yes",IF(Summary!B28&lt;&gt;"",Summary!B28,""),""),"")</f>
        <v/>
      </c>
      <c r="F32" t="str">
        <f t="shared" si="1"/>
        <v/>
      </c>
      <c r="G32">
        <f t="shared" si="2"/>
        <v>0</v>
      </c>
      <c r="I32" t="str">
        <f>IF($C$15&gt;=2,IF($C$13="Yes",IF(Summary!B28&lt;&gt;"",Summary!B28,""),""),"")</f>
        <v/>
      </c>
      <c r="J32" s="439" t="str">
        <f t="shared" si="3"/>
        <v/>
      </c>
      <c r="K32">
        <f t="shared" si="4"/>
        <v>0</v>
      </c>
      <c r="M32" t="str">
        <f>IF($C$15&gt;=3,IF($C$13="Yes",IF(Summary!B28&lt;&gt;"",Summary!B28,""),""),"")</f>
        <v/>
      </c>
      <c r="N32" s="439" t="str">
        <f t="shared" si="5"/>
        <v/>
      </c>
      <c r="O32">
        <f t="shared" si="6"/>
        <v>0</v>
      </c>
      <c r="Q32" t="str">
        <f>IF($C$15&gt;=4,IF($C$13="Yes",IF(Summary!B28&lt;&gt;"",Summary!B28,""),""),"")</f>
        <v/>
      </c>
      <c r="R32" s="439" t="str">
        <f t="shared" si="7"/>
        <v/>
      </c>
      <c r="S32">
        <f t="shared" si="8"/>
        <v>0</v>
      </c>
      <c r="U32" t="str">
        <f>IF($C$15&gt;=5,IF($C$13="Yes",IF(Summary!B28&lt;&gt;"",Summary!B28,""),""),"")</f>
        <v/>
      </c>
      <c r="V32" s="439" t="str">
        <f t="shared" si="9"/>
        <v/>
      </c>
      <c r="W32">
        <f t="shared" si="10"/>
        <v>0</v>
      </c>
      <c r="Y32" t="str">
        <f>IF($C$13="Yes",IF(Summary!B28&lt;&gt;"",Summary!B28,""),"")</f>
        <v/>
      </c>
      <c r="Z32" s="439" t="str">
        <f t="shared" si="11"/>
        <v/>
      </c>
      <c r="AA32" t="str">
        <f t="shared" si="0"/>
        <v/>
      </c>
    </row>
    <row r="33" spans="2:27">
      <c r="B33" t="str">
        <f>IF(Summary!B29&lt;&gt;"",Summary!B29,"")</f>
        <v/>
      </c>
      <c r="C33" s="439" t="str">
        <f>IF(Summary!C29&lt;&gt;"",Summary!C29,"")</f>
        <v/>
      </c>
      <c r="E33" t="str">
        <f>IF($C$15&gt;=1,IF($C$13="Yes",IF(Summary!B29&lt;&gt;"",Summary!B29,""),""),"")</f>
        <v/>
      </c>
      <c r="F33" t="str">
        <f t="shared" si="1"/>
        <v/>
      </c>
      <c r="G33">
        <f t="shared" si="2"/>
        <v>0</v>
      </c>
      <c r="I33" t="str">
        <f>IF($C$15&gt;=2,IF($C$13="Yes",IF(Summary!B29&lt;&gt;"",Summary!B29,""),""),"")</f>
        <v/>
      </c>
      <c r="J33" s="439" t="str">
        <f t="shared" si="3"/>
        <v/>
      </c>
      <c r="K33">
        <f t="shared" si="4"/>
        <v>0</v>
      </c>
      <c r="M33" t="str">
        <f>IF($C$15&gt;=3,IF($C$13="Yes",IF(Summary!B29&lt;&gt;"",Summary!B29,""),""),"")</f>
        <v/>
      </c>
      <c r="N33" s="439" t="str">
        <f t="shared" si="5"/>
        <v/>
      </c>
      <c r="O33">
        <f t="shared" si="6"/>
        <v>0</v>
      </c>
      <c r="Q33" t="str">
        <f>IF($C$15&gt;=4,IF($C$13="Yes",IF(Summary!B29&lt;&gt;"",Summary!B29,""),""),"")</f>
        <v/>
      </c>
      <c r="R33" s="439" t="str">
        <f t="shared" si="7"/>
        <v/>
      </c>
      <c r="S33">
        <f t="shared" si="8"/>
        <v>0</v>
      </c>
      <c r="U33" t="str">
        <f>IF($C$15&gt;=5,IF($C$13="Yes",IF(Summary!B29&lt;&gt;"",Summary!B29,""),""),"")</f>
        <v/>
      </c>
      <c r="V33" s="439" t="str">
        <f t="shared" si="9"/>
        <v/>
      </c>
      <c r="W33">
        <f t="shared" si="10"/>
        <v>0</v>
      </c>
      <c r="Y33" t="str">
        <f>IF($C$13="Yes",IF(Summary!B29&lt;&gt;"",Summary!B29,""),"")</f>
        <v/>
      </c>
      <c r="Z33" s="439" t="str">
        <f t="shared" si="11"/>
        <v/>
      </c>
      <c r="AA33" t="str">
        <f t="shared" si="0"/>
        <v/>
      </c>
    </row>
    <row r="34" spans="2:27">
      <c r="B34" t="str">
        <f>IF(Summary!B30&lt;&gt;"",Summary!B30,"")</f>
        <v/>
      </c>
      <c r="C34" s="439" t="str">
        <f>IF(Summary!C30&lt;&gt;"",Summary!C30,"")</f>
        <v/>
      </c>
      <c r="E34" t="str">
        <f>IF($C$15&gt;=1,IF($C$13="Yes",IF(Summary!B30&lt;&gt;"",Summary!B30,""),""),"")</f>
        <v/>
      </c>
      <c r="F34" t="str">
        <f t="shared" si="1"/>
        <v/>
      </c>
      <c r="G34">
        <f t="shared" si="2"/>
        <v>0</v>
      </c>
      <c r="I34" t="str">
        <f>IF($C$15&gt;=2,IF($C$13="Yes",IF(Summary!B30&lt;&gt;"",Summary!B30,""),""),"")</f>
        <v/>
      </c>
      <c r="J34" s="439" t="str">
        <f t="shared" si="3"/>
        <v/>
      </c>
      <c r="K34">
        <f t="shared" si="4"/>
        <v>0</v>
      </c>
      <c r="M34" t="str">
        <f>IF($C$15&gt;=3,IF($C$13="Yes",IF(Summary!B30&lt;&gt;"",Summary!B30,""),""),"")</f>
        <v/>
      </c>
      <c r="N34" s="439" t="str">
        <f t="shared" si="5"/>
        <v/>
      </c>
      <c r="O34">
        <f t="shared" si="6"/>
        <v>0</v>
      </c>
      <c r="Q34" t="str">
        <f>IF($C$15&gt;=4,IF($C$13="Yes",IF(Summary!B30&lt;&gt;"",Summary!B30,""),""),"")</f>
        <v/>
      </c>
      <c r="R34" s="439" t="str">
        <f t="shared" si="7"/>
        <v/>
      </c>
      <c r="S34">
        <f t="shared" si="8"/>
        <v>0</v>
      </c>
      <c r="U34" t="str">
        <f>IF($C$15&gt;=5,IF($C$13="Yes",IF(Summary!B30&lt;&gt;"",Summary!B30,""),""),"")</f>
        <v/>
      </c>
      <c r="V34" s="439" t="str">
        <f t="shared" si="9"/>
        <v/>
      </c>
      <c r="W34">
        <f t="shared" si="10"/>
        <v>0</v>
      </c>
      <c r="Y34" t="str">
        <f>IF($C$13="Yes",IF(Summary!B30&lt;&gt;"",Summary!B30,""),"")</f>
        <v/>
      </c>
      <c r="Z34" s="439" t="str">
        <f t="shared" si="11"/>
        <v/>
      </c>
      <c r="AA34" t="str">
        <f t="shared" si="0"/>
        <v/>
      </c>
    </row>
    <row r="35" spans="2:27">
      <c r="B35" t="str">
        <f>IF(Summary!B31&lt;&gt;"",Summary!B31,"")</f>
        <v/>
      </c>
      <c r="C35" s="439" t="str">
        <f>IF(Summary!C31&lt;&gt;"",Summary!C31,"")</f>
        <v/>
      </c>
      <c r="E35" t="str">
        <f>IF($C$15&gt;=1,IF($C$13="Yes",IF(Summary!B31&lt;&gt;"",Summary!B31,""),""),"")</f>
        <v/>
      </c>
      <c r="F35" t="str">
        <f t="shared" si="1"/>
        <v/>
      </c>
      <c r="G35">
        <f t="shared" si="2"/>
        <v>0</v>
      </c>
      <c r="I35" t="str">
        <f>IF($C$15&gt;=2,IF($C$13="Yes",IF(Summary!B31&lt;&gt;"",Summary!B31,""),""),"")</f>
        <v/>
      </c>
      <c r="J35" s="439" t="str">
        <f t="shared" si="3"/>
        <v/>
      </c>
      <c r="K35">
        <f t="shared" si="4"/>
        <v>0</v>
      </c>
      <c r="M35" t="str">
        <f>IF($C$15&gt;=3,IF($C$13="Yes",IF(Summary!B31&lt;&gt;"",Summary!B31,""),""),"")</f>
        <v/>
      </c>
      <c r="N35" s="439" t="str">
        <f t="shared" si="5"/>
        <v/>
      </c>
      <c r="O35">
        <f t="shared" si="6"/>
        <v>0</v>
      </c>
      <c r="Q35" t="str">
        <f>IF($C$15&gt;=4,IF($C$13="Yes",IF(Summary!B31&lt;&gt;"",Summary!B31,""),""),"")</f>
        <v/>
      </c>
      <c r="R35" s="439" t="str">
        <f t="shared" si="7"/>
        <v/>
      </c>
      <c r="S35">
        <f t="shared" si="8"/>
        <v>0</v>
      </c>
      <c r="U35" t="str">
        <f>IF($C$15&gt;=5,IF($C$13="Yes",IF(Summary!B31&lt;&gt;"",Summary!B31,""),""),"")</f>
        <v/>
      </c>
      <c r="V35" s="439" t="str">
        <f t="shared" si="9"/>
        <v/>
      </c>
      <c r="W35">
        <f t="shared" si="10"/>
        <v>0</v>
      </c>
      <c r="Y35" t="str">
        <f>IF($C$13="Yes",IF(Summary!B31&lt;&gt;"",Summary!B31,""),"")</f>
        <v/>
      </c>
      <c r="Z35" s="439" t="str">
        <f t="shared" si="11"/>
        <v/>
      </c>
      <c r="AA35" t="str">
        <f t="shared" si="0"/>
        <v/>
      </c>
    </row>
    <row r="36" spans="2:27">
      <c r="B36" t="str">
        <f>IF(Summary!B32&lt;&gt;"",Summary!B32,"")</f>
        <v/>
      </c>
      <c r="C36" s="439" t="str">
        <f>IF(Summary!C32&lt;&gt;"",Summary!C32,"")</f>
        <v/>
      </c>
      <c r="E36" t="str">
        <f>IF($C$15&gt;=1,IF($C$13="Yes",IF(Summary!B32&lt;&gt;"",Summary!B32,""),""),"")</f>
        <v/>
      </c>
      <c r="F36" t="str">
        <f t="shared" si="1"/>
        <v/>
      </c>
      <c r="G36">
        <f t="shared" si="2"/>
        <v>0</v>
      </c>
      <c r="I36" t="str">
        <f>IF($C$15&gt;=2,IF($C$13="Yes",IF(Summary!B32&lt;&gt;"",Summary!B32,""),""),"")</f>
        <v/>
      </c>
      <c r="J36" s="439" t="str">
        <f t="shared" si="3"/>
        <v/>
      </c>
      <c r="K36">
        <f t="shared" si="4"/>
        <v>0</v>
      </c>
      <c r="M36" t="str">
        <f>IF($C$15&gt;=3,IF($C$13="Yes",IF(Summary!B32&lt;&gt;"",Summary!B32,""),""),"")</f>
        <v/>
      </c>
      <c r="N36" s="439" t="str">
        <f t="shared" si="5"/>
        <v/>
      </c>
      <c r="O36">
        <f t="shared" si="6"/>
        <v>0</v>
      </c>
      <c r="Q36" t="str">
        <f>IF($C$15&gt;=4,IF($C$13="Yes",IF(Summary!B32&lt;&gt;"",Summary!B32,""),""),"")</f>
        <v/>
      </c>
      <c r="R36" s="439" t="str">
        <f t="shared" si="7"/>
        <v/>
      </c>
      <c r="S36">
        <f t="shared" si="8"/>
        <v>0</v>
      </c>
      <c r="U36" t="str">
        <f>IF($C$15&gt;=5,IF($C$13="Yes",IF(Summary!B32&lt;&gt;"",Summary!B32,""),""),"")</f>
        <v/>
      </c>
      <c r="V36" s="439" t="str">
        <f t="shared" si="9"/>
        <v/>
      </c>
      <c r="W36">
        <f t="shared" si="10"/>
        <v>0</v>
      </c>
      <c r="Y36" t="str">
        <f>IF($C$13="Yes",IF(Summary!B32&lt;&gt;"",Summary!B32,""),"")</f>
        <v/>
      </c>
      <c r="Z36" s="439" t="str">
        <f t="shared" si="11"/>
        <v/>
      </c>
      <c r="AA36" t="str">
        <f t="shared" si="0"/>
        <v/>
      </c>
    </row>
    <row r="37" spans="2:27">
      <c r="B37" t="str">
        <f>IF(Summary!B33&lt;&gt;"",Summary!B33,"")</f>
        <v/>
      </c>
      <c r="C37" s="439" t="str">
        <f>IF(Summary!C33&lt;&gt;"",Summary!C33,"")</f>
        <v/>
      </c>
      <c r="E37" t="str">
        <f>IF($C$15&gt;=1,IF($C$13="Yes",IF(Summary!B33&lt;&gt;"",Summary!B33,""),""),"")</f>
        <v/>
      </c>
      <c r="F37" t="str">
        <f t="shared" si="1"/>
        <v/>
      </c>
      <c r="G37">
        <f t="shared" si="2"/>
        <v>0</v>
      </c>
      <c r="I37" t="str">
        <f>IF($C$15&gt;=2,IF($C$13="Yes",IF(Summary!B33&lt;&gt;"",Summary!B33,""),""),"")</f>
        <v/>
      </c>
      <c r="J37" s="439" t="str">
        <f t="shared" si="3"/>
        <v/>
      </c>
      <c r="K37">
        <f t="shared" si="4"/>
        <v>0</v>
      </c>
      <c r="M37" t="str">
        <f>IF($C$15&gt;=3,IF($C$13="Yes",IF(Summary!B33&lt;&gt;"",Summary!B33,""),""),"")</f>
        <v/>
      </c>
      <c r="N37" s="439" t="str">
        <f t="shared" si="5"/>
        <v/>
      </c>
      <c r="O37">
        <f t="shared" si="6"/>
        <v>0</v>
      </c>
      <c r="Q37" t="str">
        <f>IF($C$15&gt;=4,IF($C$13="Yes",IF(Summary!B33&lt;&gt;"",Summary!B33,""),""),"")</f>
        <v/>
      </c>
      <c r="R37" s="439" t="str">
        <f t="shared" si="7"/>
        <v/>
      </c>
      <c r="S37">
        <f t="shared" si="8"/>
        <v>0</v>
      </c>
      <c r="U37" t="str">
        <f>IF($C$15&gt;=5,IF($C$13="Yes",IF(Summary!B33&lt;&gt;"",Summary!B33,""),""),"")</f>
        <v/>
      </c>
      <c r="V37" s="439" t="str">
        <f t="shared" si="9"/>
        <v/>
      </c>
      <c r="W37">
        <f t="shared" si="10"/>
        <v>0</v>
      </c>
      <c r="Y37" t="str">
        <f>IF($C$13="Yes",IF(Summary!B33&lt;&gt;"",Summary!B33,""),"")</f>
        <v/>
      </c>
      <c r="Z37" s="439" t="str">
        <f t="shared" si="11"/>
        <v/>
      </c>
      <c r="AA37" t="str">
        <f t="shared" si="0"/>
        <v/>
      </c>
    </row>
    <row r="38" spans="2:27">
      <c r="B38" t="str">
        <f>IF(Summary!B34&lt;&gt;"",Summary!B34,"")</f>
        <v/>
      </c>
      <c r="C38" s="439" t="str">
        <f>IF(Summary!C34&lt;&gt;"",Summary!C34,"")</f>
        <v/>
      </c>
      <c r="E38" t="str">
        <f>IF($C$15&gt;=1,IF($C$13="Yes",IF(Summary!B34&lt;&gt;"",Summary!B34,""),""),"")</f>
        <v/>
      </c>
      <c r="F38" t="str">
        <f t="shared" si="1"/>
        <v/>
      </c>
      <c r="G38">
        <f t="shared" si="2"/>
        <v>0</v>
      </c>
      <c r="I38" t="str">
        <f>IF($C$15&gt;=2,IF($C$13="Yes",IF(Summary!B34&lt;&gt;"",Summary!B34,""),""),"")</f>
        <v/>
      </c>
      <c r="J38" s="439" t="str">
        <f t="shared" si="3"/>
        <v/>
      </c>
      <c r="K38">
        <f t="shared" si="4"/>
        <v>0</v>
      </c>
      <c r="M38" t="str">
        <f>IF($C$15&gt;=3,IF($C$13="Yes",IF(Summary!B34&lt;&gt;"",Summary!B34,""),""),"")</f>
        <v/>
      </c>
      <c r="N38" s="439" t="str">
        <f t="shared" si="5"/>
        <v/>
      </c>
      <c r="O38">
        <f t="shared" si="6"/>
        <v>0</v>
      </c>
      <c r="Q38" t="str">
        <f>IF($C$15&gt;=4,IF($C$13="Yes",IF(Summary!B34&lt;&gt;"",Summary!B34,""),""),"")</f>
        <v/>
      </c>
      <c r="R38" s="439" t="str">
        <f t="shared" si="7"/>
        <v/>
      </c>
      <c r="S38">
        <f t="shared" si="8"/>
        <v>0</v>
      </c>
      <c r="U38" t="str">
        <f>IF($C$15&gt;=5,IF($C$13="Yes",IF(Summary!B34&lt;&gt;"",Summary!B34,""),""),"")</f>
        <v/>
      </c>
      <c r="V38" s="439" t="str">
        <f t="shared" si="9"/>
        <v/>
      </c>
      <c r="W38">
        <f t="shared" si="10"/>
        <v>0</v>
      </c>
      <c r="Y38" t="str">
        <f>IF($C$13="Yes",IF(Summary!B34&lt;&gt;"",Summary!B34,""),"")</f>
        <v/>
      </c>
      <c r="Z38" s="439" t="str">
        <f t="shared" si="11"/>
        <v/>
      </c>
      <c r="AA38" t="str">
        <f t="shared" si="0"/>
        <v/>
      </c>
    </row>
    <row r="39" spans="2:27">
      <c r="B39" t="str">
        <f>IF(Summary!B35&lt;&gt;"",Summary!B35,"")</f>
        <v/>
      </c>
      <c r="C39" s="439" t="str">
        <f>IF(Summary!C35&lt;&gt;"",Summary!C35,"")</f>
        <v/>
      </c>
      <c r="E39" t="str">
        <f>IF($C$15&gt;=1,IF($C$13="Yes",IF(Summary!B35&lt;&gt;"",Summary!B35,""),""),"")</f>
        <v/>
      </c>
      <c r="F39" t="str">
        <f t="shared" si="1"/>
        <v/>
      </c>
      <c r="G39">
        <f t="shared" si="2"/>
        <v>0</v>
      </c>
      <c r="I39" t="str">
        <f>IF($C$15&gt;=2,IF($C$13="Yes",IF(Summary!B35&lt;&gt;"",Summary!B35,""),""),"")</f>
        <v/>
      </c>
      <c r="J39" s="439" t="str">
        <f t="shared" si="3"/>
        <v/>
      </c>
      <c r="K39">
        <f t="shared" si="4"/>
        <v>0</v>
      </c>
      <c r="M39" t="str">
        <f>IF($C$15&gt;=3,IF($C$13="Yes",IF(Summary!B35&lt;&gt;"",Summary!B35,""),""),"")</f>
        <v/>
      </c>
      <c r="N39" s="439" t="str">
        <f t="shared" si="5"/>
        <v/>
      </c>
      <c r="O39">
        <f t="shared" si="6"/>
        <v>0</v>
      </c>
      <c r="Q39" t="str">
        <f>IF($C$15&gt;=4,IF($C$13="Yes",IF(Summary!B35&lt;&gt;"",Summary!B35,""),""),"")</f>
        <v/>
      </c>
      <c r="R39" s="439" t="str">
        <f t="shared" si="7"/>
        <v/>
      </c>
      <c r="S39">
        <f t="shared" si="8"/>
        <v>0</v>
      </c>
      <c r="U39" t="str">
        <f>IF($C$15&gt;=5,IF($C$13="Yes",IF(Summary!B35&lt;&gt;"",Summary!B35,""),""),"")</f>
        <v/>
      </c>
      <c r="V39" s="439" t="str">
        <f t="shared" si="9"/>
        <v/>
      </c>
      <c r="W39">
        <f t="shared" si="10"/>
        <v>0</v>
      </c>
      <c r="Y39" t="str">
        <f>IF($C$13="Yes",IF(Summary!B35&lt;&gt;"",Summary!B35,""),"")</f>
        <v/>
      </c>
      <c r="Z39" s="439" t="str">
        <f t="shared" si="11"/>
        <v/>
      </c>
      <c r="AA39" t="str">
        <f t="shared" si="0"/>
        <v/>
      </c>
    </row>
    <row r="40" spans="2:27">
      <c r="B40" t="str">
        <f>IF(Summary!B36&lt;&gt;"",Summary!B36,"")</f>
        <v/>
      </c>
      <c r="C40" s="439" t="str">
        <f>IF(Summary!C36&lt;&gt;"",Summary!C36,"")</f>
        <v/>
      </c>
      <c r="E40" t="str">
        <f>IF($C$15&gt;=1,IF($C$13="Yes",IF(Summary!B36&lt;&gt;"",Summary!B36,""),""),"")</f>
        <v/>
      </c>
      <c r="F40" t="str">
        <f t="shared" si="1"/>
        <v/>
      </c>
      <c r="G40">
        <f t="shared" si="2"/>
        <v>0</v>
      </c>
      <c r="I40" t="str">
        <f>IF($C$15&gt;=2,IF($C$13="Yes",IF(Summary!B36&lt;&gt;"",Summary!B36,""),""),"")</f>
        <v/>
      </c>
      <c r="J40" s="439" t="str">
        <f t="shared" si="3"/>
        <v/>
      </c>
      <c r="K40">
        <f t="shared" si="4"/>
        <v>0</v>
      </c>
      <c r="M40" t="str">
        <f>IF($C$15&gt;=3,IF($C$13="Yes",IF(Summary!B36&lt;&gt;"",Summary!B36,""),""),"")</f>
        <v/>
      </c>
      <c r="N40" s="439" t="str">
        <f t="shared" si="5"/>
        <v/>
      </c>
      <c r="O40">
        <f t="shared" si="6"/>
        <v>0</v>
      </c>
      <c r="Q40" t="str">
        <f>IF($C$15&gt;=4,IF($C$13="Yes",IF(Summary!B36&lt;&gt;"",Summary!B36,""),""),"")</f>
        <v/>
      </c>
      <c r="R40" s="439" t="str">
        <f t="shared" si="7"/>
        <v/>
      </c>
      <c r="S40">
        <f t="shared" si="8"/>
        <v>0</v>
      </c>
      <c r="U40" t="str">
        <f>IF($C$15&gt;=5,IF($C$13="Yes",IF(Summary!B36&lt;&gt;"",Summary!B36,""),""),"")</f>
        <v/>
      </c>
      <c r="V40" s="439" t="str">
        <f t="shared" si="9"/>
        <v/>
      </c>
      <c r="W40">
        <f t="shared" si="10"/>
        <v>0</v>
      </c>
      <c r="Y40" t="str">
        <f>IF($C$13="Yes",IF(Summary!B36&lt;&gt;"",Summary!B36,""),"")</f>
        <v/>
      </c>
      <c r="Z40" s="439" t="str">
        <f t="shared" si="11"/>
        <v/>
      </c>
      <c r="AA40" t="str">
        <f t="shared" si="0"/>
        <v/>
      </c>
    </row>
    <row r="41" spans="2:27">
      <c r="B41" t="str">
        <f>IF(Summary!B37&lt;&gt;"",Summary!B37,"")</f>
        <v/>
      </c>
      <c r="C41" s="439" t="str">
        <f>IF(Summary!C37&lt;&gt;"",Summary!C37,"")</f>
        <v/>
      </c>
      <c r="E41" t="str">
        <f>IF($C$15&gt;=1,IF($C$13="Yes",IF(Summary!B37&lt;&gt;"",Summary!B37,""),""),"")</f>
        <v/>
      </c>
      <c r="F41" t="str">
        <f t="shared" si="1"/>
        <v/>
      </c>
      <c r="G41">
        <f t="shared" si="2"/>
        <v>0</v>
      </c>
      <c r="I41" t="str">
        <f>IF($C$15&gt;=2,IF($C$13="Yes",IF(Summary!B37&lt;&gt;"",Summary!B37,""),""),"")</f>
        <v/>
      </c>
      <c r="J41" s="439" t="str">
        <f t="shared" si="3"/>
        <v/>
      </c>
      <c r="K41">
        <f t="shared" si="4"/>
        <v>0</v>
      </c>
      <c r="M41" t="str">
        <f>IF($C$15&gt;=3,IF($C$13="Yes",IF(Summary!B37&lt;&gt;"",Summary!B37,""),""),"")</f>
        <v/>
      </c>
      <c r="N41" s="439" t="str">
        <f t="shared" si="5"/>
        <v/>
      </c>
      <c r="O41">
        <f t="shared" si="6"/>
        <v>0</v>
      </c>
      <c r="Q41" t="str">
        <f>IF($C$15&gt;=4,IF($C$13="Yes",IF(Summary!B37&lt;&gt;"",Summary!B37,""),""),"")</f>
        <v/>
      </c>
      <c r="R41" s="439" t="str">
        <f t="shared" si="7"/>
        <v/>
      </c>
      <c r="S41">
        <f t="shared" si="8"/>
        <v>0</v>
      </c>
      <c r="U41" t="str">
        <f>IF($C$15&gt;=5,IF($C$13="Yes",IF(Summary!B37&lt;&gt;"",Summary!B37,""),""),"")</f>
        <v/>
      </c>
      <c r="V41" s="439" t="str">
        <f t="shared" si="9"/>
        <v/>
      </c>
      <c r="W41">
        <f t="shared" si="10"/>
        <v>0</v>
      </c>
      <c r="Y41" t="str">
        <f>IF($C$13="Yes",IF(Summary!B37&lt;&gt;"",Summary!B37,""),"")</f>
        <v/>
      </c>
      <c r="Z41" s="439" t="str">
        <f t="shared" si="11"/>
        <v/>
      </c>
      <c r="AA41" t="str">
        <f t="shared" si="0"/>
        <v/>
      </c>
    </row>
    <row r="42" spans="2:27">
      <c r="B42" t="str">
        <f>IF(Summary!B38&lt;&gt;"",Summary!B38,"")</f>
        <v/>
      </c>
      <c r="C42" s="439" t="str">
        <f>IF(Summary!C38&lt;&gt;"",Summary!C38,"")</f>
        <v/>
      </c>
      <c r="E42" t="str">
        <f>IF($C$15&gt;=1,IF($C$13="Yes",IF(Summary!B38&lt;&gt;"",Summary!B38,""),""),"")</f>
        <v/>
      </c>
      <c r="F42" t="str">
        <f t="shared" si="1"/>
        <v/>
      </c>
      <c r="G42">
        <f t="shared" si="2"/>
        <v>0</v>
      </c>
      <c r="I42" t="str">
        <f>IF($C$15&gt;=2,IF($C$13="Yes",IF(Summary!B38&lt;&gt;"",Summary!B38,""),""),"")</f>
        <v/>
      </c>
      <c r="J42" s="439" t="str">
        <f t="shared" si="3"/>
        <v/>
      </c>
      <c r="K42">
        <f t="shared" si="4"/>
        <v>0</v>
      </c>
      <c r="M42" t="str">
        <f>IF($C$15&gt;=3,IF($C$13="Yes",IF(Summary!B38&lt;&gt;"",Summary!B38,""),""),"")</f>
        <v/>
      </c>
      <c r="N42" s="439" t="str">
        <f t="shared" si="5"/>
        <v/>
      </c>
      <c r="O42">
        <f t="shared" si="6"/>
        <v>0</v>
      </c>
      <c r="Q42" t="str">
        <f>IF($C$15&gt;=4,IF($C$13="Yes",IF(Summary!B38&lt;&gt;"",Summary!B38,""),""),"")</f>
        <v/>
      </c>
      <c r="R42" s="439" t="str">
        <f t="shared" si="7"/>
        <v/>
      </c>
      <c r="S42">
        <f t="shared" si="8"/>
        <v>0</v>
      </c>
      <c r="U42" t="str">
        <f>IF($C$15&gt;=5,IF($C$13="Yes",IF(Summary!B38&lt;&gt;"",Summary!B38,""),""),"")</f>
        <v/>
      </c>
      <c r="V42" s="439" t="str">
        <f t="shared" si="9"/>
        <v/>
      </c>
      <c r="W42">
        <f t="shared" si="10"/>
        <v>0</v>
      </c>
      <c r="Y42" t="str">
        <f>IF($C$13="Yes",IF(Summary!B38&lt;&gt;"",Summary!B38,""),"")</f>
        <v/>
      </c>
      <c r="Z42" s="439" t="str">
        <f t="shared" si="11"/>
        <v/>
      </c>
      <c r="AA42" t="str">
        <f t="shared" si="0"/>
        <v/>
      </c>
    </row>
    <row r="43" spans="2:27">
      <c r="B43" t="str">
        <f>IF(Summary!B39&lt;&gt;"",Summary!B39,"")</f>
        <v/>
      </c>
      <c r="C43" s="439" t="str">
        <f>IF(Summary!C39&lt;&gt;"",Summary!C39,"")</f>
        <v/>
      </c>
      <c r="E43" t="str">
        <f>IF($C$15&gt;=1,IF($C$13="Yes",IF(Summary!B39&lt;&gt;"",Summary!B39,""),""),"")</f>
        <v/>
      </c>
      <c r="F43" t="str">
        <f t="shared" si="1"/>
        <v/>
      </c>
      <c r="G43">
        <f t="shared" si="2"/>
        <v>0</v>
      </c>
      <c r="I43" t="str">
        <f>IF($C$15&gt;=2,IF($C$13="Yes",IF(Summary!B39&lt;&gt;"",Summary!B39,""),""),"")</f>
        <v/>
      </c>
      <c r="J43" s="439" t="str">
        <f t="shared" si="3"/>
        <v/>
      </c>
      <c r="K43">
        <f t="shared" si="4"/>
        <v>0</v>
      </c>
      <c r="M43" t="str">
        <f>IF($C$15&gt;=3,IF($C$13="Yes",IF(Summary!B39&lt;&gt;"",Summary!B39,""),""),"")</f>
        <v/>
      </c>
      <c r="N43" s="439" t="str">
        <f t="shared" si="5"/>
        <v/>
      </c>
      <c r="O43">
        <f t="shared" si="6"/>
        <v>0</v>
      </c>
      <c r="Q43" t="str">
        <f>IF($C$15&gt;=4,IF($C$13="Yes",IF(Summary!B39&lt;&gt;"",Summary!B39,""),""),"")</f>
        <v/>
      </c>
      <c r="R43" s="439" t="str">
        <f t="shared" si="7"/>
        <v/>
      </c>
      <c r="S43">
        <f t="shared" si="8"/>
        <v>0</v>
      </c>
      <c r="U43" t="str">
        <f>IF($C$15&gt;=5,IF($C$13="Yes",IF(Summary!B39&lt;&gt;"",Summary!B39,""),""),"")</f>
        <v/>
      </c>
      <c r="V43" s="439" t="str">
        <f t="shared" si="9"/>
        <v/>
      </c>
      <c r="W43">
        <f t="shared" si="10"/>
        <v>0</v>
      </c>
      <c r="Y43" t="str">
        <f>IF($C$13="Yes",IF(Summary!B39&lt;&gt;"",Summary!B39,""),"")</f>
        <v/>
      </c>
      <c r="Z43" s="439" t="str">
        <f t="shared" si="11"/>
        <v/>
      </c>
      <c r="AA43" t="str">
        <f t="shared" si="0"/>
        <v/>
      </c>
    </row>
    <row r="44" spans="2:27">
      <c r="B44" t="str">
        <f>IF(Summary!B40&lt;&gt;"",Summary!B40,"")</f>
        <v/>
      </c>
      <c r="C44" s="439" t="str">
        <f>IF(Summary!C40&lt;&gt;"",Summary!C40,"")</f>
        <v/>
      </c>
      <c r="E44" t="str">
        <f>IF($C$15&gt;=1,IF($C$13="Yes",IF(Summary!B40&lt;&gt;"",Summary!B40,""),""),"")</f>
        <v/>
      </c>
      <c r="F44" t="str">
        <f t="shared" si="1"/>
        <v/>
      </c>
      <c r="G44">
        <f t="shared" si="2"/>
        <v>0</v>
      </c>
      <c r="I44" t="str">
        <f>IF($C$15&gt;=2,IF($C$13="Yes",IF(Summary!B40&lt;&gt;"",Summary!B40,""),""),"")</f>
        <v/>
      </c>
      <c r="J44" s="439" t="str">
        <f t="shared" si="3"/>
        <v/>
      </c>
      <c r="K44">
        <f t="shared" si="4"/>
        <v>0</v>
      </c>
      <c r="M44" t="str">
        <f>IF($C$15&gt;=3,IF($C$13="Yes",IF(Summary!B40&lt;&gt;"",Summary!B40,""),""),"")</f>
        <v/>
      </c>
      <c r="N44" s="439" t="str">
        <f t="shared" si="5"/>
        <v/>
      </c>
      <c r="O44">
        <f t="shared" si="6"/>
        <v>0</v>
      </c>
      <c r="Q44" t="str">
        <f>IF($C$15&gt;=4,IF($C$13="Yes",IF(Summary!B40&lt;&gt;"",Summary!B40,""),""),"")</f>
        <v/>
      </c>
      <c r="R44" s="439" t="str">
        <f t="shared" si="7"/>
        <v/>
      </c>
      <c r="S44">
        <f t="shared" si="8"/>
        <v>0</v>
      </c>
      <c r="U44" t="str">
        <f>IF($C$15&gt;=5,IF($C$13="Yes",IF(Summary!B40&lt;&gt;"",Summary!B40,""),""),"")</f>
        <v/>
      </c>
      <c r="V44" s="439" t="str">
        <f t="shared" si="9"/>
        <v/>
      </c>
      <c r="W44">
        <f t="shared" si="10"/>
        <v>0</v>
      </c>
      <c r="Y44" t="str">
        <f>IF($C$13="Yes",IF(Summary!B40&lt;&gt;"",Summary!B40,""),"")</f>
        <v/>
      </c>
      <c r="Z44" s="439" t="str">
        <f t="shared" si="11"/>
        <v/>
      </c>
      <c r="AA44" t="str">
        <f t="shared" si="0"/>
        <v/>
      </c>
    </row>
    <row r="45" spans="2:27">
      <c r="B45" t="str">
        <f>IF(Summary!B41&lt;&gt;"",Summary!B41,"")</f>
        <v/>
      </c>
      <c r="C45" s="439" t="str">
        <f>IF(Summary!C41&lt;&gt;"",Summary!C41,"")</f>
        <v/>
      </c>
      <c r="E45" t="str">
        <f>IF($C$15&gt;=1,IF($C$13="Yes",IF(Summary!B41&lt;&gt;"",Summary!B41,""),""),"")</f>
        <v/>
      </c>
      <c r="F45" t="str">
        <f t="shared" si="1"/>
        <v/>
      </c>
      <c r="G45">
        <f t="shared" si="2"/>
        <v>0</v>
      </c>
      <c r="I45" t="str">
        <f>IF($C$15&gt;=2,IF($C$13="Yes",IF(Summary!B41&lt;&gt;"",Summary!B41,""),""),"")</f>
        <v/>
      </c>
      <c r="J45" s="439" t="str">
        <f t="shared" si="3"/>
        <v/>
      </c>
      <c r="K45">
        <f t="shared" si="4"/>
        <v>0</v>
      </c>
      <c r="M45" t="str">
        <f>IF($C$15&gt;=3,IF($C$13="Yes",IF(Summary!B41&lt;&gt;"",Summary!B41,""),""),"")</f>
        <v/>
      </c>
      <c r="N45" s="439" t="str">
        <f t="shared" si="5"/>
        <v/>
      </c>
      <c r="O45">
        <f t="shared" si="6"/>
        <v>0</v>
      </c>
      <c r="Q45" t="str">
        <f>IF($C$15&gt;=4,IF($C$13="Yes",IF(Summary!B41&lt;&gt;"",Summary!B41,""),""),"")</f>
        <v/>
      </c>
      <c r="R45" s="439" t="str">
        <f t="shared" si="7"/>
        <v/>
      </c>
      <c r="S45">
        <f t="shared" si="8"/>
        <v>0</v>
      </c>
      <c r="U45" t="str">
        <f>IF($C$15&gt;=5,IF($C$13="Yes",IF(Summary!B41&lt;&gt;"",Summary!B41,""),""),"")</f>
        <v/>
      </c>
      <c r="V45" s="439" t="str">
        <f t="shared" si="9"/>
        <v/>
      </c>
      <c r="W45">
        <f t="shared" si="10"/>
        <v>0</v>
      </c>
      <c r="Y45" t="str">
        <f>IF($C$13="Yes",IF(Summary!B41&lt;&gt;"",Summary!B41,""),"")</f>
        <v/>
      </c>
      <c r="Z45" s="439" t="str">
        <f t="shared" si="11"/>
        <v/>
      </c>
      <c r="AA45" t="str">
        <f t="shared" si="0"/>
        <v/>
      </c>
    </row>
    <row r="46" spans="2:27">
      <c r="B46" t="str">
        <f>IF(Summary!B42&lt;&gt;"",Summary!B42,"")</f>
        <v/>
      </c>
      <c r="C46" s="439" t="str">
        <f>IF(Summary!C42&lt;&gt;"",Summary!C42,"")</f>
        <v/>
      </c>
      <c r="E46" t="str">
        <f>IF($C$15&gt;=1,IF($C$13="Yes",IF(Summary!B42&lt;&gt;"",Summary!B42,""),""),"")</f>
        <v/>
      </c>
      <c r="F46" t="str">
        <f t="shared" si="1"/>
        <v/>
      </c>
      <c r="G46">
        <f t="shared" si="2"/>
        <v>0</v>
      </c>
      <c r="I46" t="str">
        <f>IF($C$15&gt;=2,IF($C$13="Yes",IF(Summary!B42&lt;&gt;"",Summary!B42,""),""),"")</f>
        <v/>
      </c>
      <c r="J46" s="439" t="str">
        <f t="shared" si="3"/>
        <v/>
      </c>
      <c r="K46">
        <f t="shared" si="4"/>
        <v>0</v>
      </c>
      <c r="M46" t="str">
        <f>IF($C$15&gt;=3,IF($C$13="Yes",IF(Summary!B42&lt;&gt;"",Summary!B42,""),""),"")</f>
        <v/>
      </c>
      <c r="N46" s="439" t="str">
        <f t="shared" si="5"/>
        <v/>
      </c>
      <c r="O46">
        <f t="shared" si="6"/>
        <v>0</v>
      </c>
      <c r="Q46" t="str">
        <f>IF($C$15&gt;=4,IF($C$13="Yes",IF(Summary!B42&lt;&gt;"",Summary!B42,""),""),"")</f>
        <v/>
      </c>
      <c r="R46" s="439" t="str">
        <f t="shared" si="7"/>
        <v/>
      </c>
      <c r="S46">
        <f t="shared" si="8"/>
        <v>0</v>
      </c>
      <c r="U46" t="str">
        <f>IF($C$15&gt;=5,IF($C$13="Yes",IF(Summary!B42&lt;&gt;"",Summary!B42,""),""),"")</f>
        <v/>
      </c>
      <c r="V46" s="439" t="str">
        <f t="shared" si="9"/>
        <v/>
      </c>
      <c r="W46">
        <f t="shared" si="10"/>
        <v>0</v>
      </c>
      <c r="Y46" t="str">
        <f>IF($C$13="Yes",IF(Summary!B42&lt;&gt;"",Summary!B42,""),"")</f>
        <v/>
      </c>
      <c r="Z46" s="439" t="str">
        <f t="shared" si="11"/>
        <v/>
      </c>
      <c r="AA46" t="str">
        <f t="shared" si="0"/>
        <v/>
      </c>
    </row>
    <row r="47" spans="2:27">
      <c r="B47" t="str">
        <f>IF(Summary!B43&lt;&gt;"",Summary!B43,"")</f>
        <v/>
      </c>
      <c r="C47" s="439" t="str">
        <f>IF(Summary!C43&lt;&gt;"",Summary!C43,"")</f>
        <v/>
      </c>
      <c r="E47" t="str">
        <f>IF($C$15&gt;=1,IF($C$13="Yes",IF(Summary!B43&lt;&gt;"",Summary!B43,""),""),"")</f>
        <v/>
      </c>
      <c r="F47" t="str">
        <f t="shared" si="1"/>
        <v/>
      </c>
      <c r="G47">
        <f t="shared" si="2"/>
        <v>0</v>
      </c>
      <c r="I47" t="str">
        <f>IF($C$15&gt;=2,IF($C$13="Yes",IF(Summary!B43&lt;&gt;"",Summary!B43,""),""),"")</f>
        <v/>
      </c>
      <c r="J47" s="439" t="str">
        <f t="shared" si="3"/>
        <v/>
      </c>
      <c r="K47">
        <f t="shared" si="4"/>
        <v>0</v>
      </c>
      <c r="M47" t="str">
        <f>IF($C$15&gt;=3,IF($C$13="Yes",IF(Summary!B43&lt;&gt;"",Summary!B43,""),""),"")</f>
        <v/>
      </c>
      <c r="N47" s="439" t="str">
        <f t="shared" si="5"/>
        <v/>
      </c>
      <c r="O47">
        <f t="shared" si="6"/>
        <v>0</v>
      </c>
      <c r="Q47" t="str">
        <f>IF($C$15&gt;=4,IF($C$13="Yes",IF(Summary!B43&lt;&gt;"",Summary!B43,""),""),"")</f>
        <v/>
      </c>
      <c r="R47" s="439" t="str">
        <f t="shared" si="7"/>
        <v/>
      </c>
      <c r="S47">
        <f t="shared" si="8"/>
        <v>0</v>
      </c>
      <c r="U47" t="str">
        <f>IF($C$15&gt;=5,IF($C$13="Yes",IF(Summary!B43&lt;&gt;"",Summary!B43,""),""),"")</f>
        <v/>
      </c>
      <c r="V47" s="439" t="str">
        <f t="shared" si="9"/>
        <v/>
      </c>
      <c r="W47">
        <f t="shared" si="10"/>
        <v>0</v>
      </c>
      <c r="Y47" t="str">
        <f>IF($C$13="Yes",IF(Summary!B43&lt;&gt;"",Summary!B43,""),"")</f>
        <v/>
      </c>
      <c r="Z47" s="439" t="str">
        <f t="shared" si="11"/>
        <v/>
      </c>
      <c r="AA47" t="str">
        <f t="shared" si="0"/>
        <v/>
      </c>
    </row>
    <row r="48" spans="2:27">
      <c r="B48" t="str">
        <f>IF(Summary!B44&lt;&gt;"",Summary!B44,"")</f>
        <v/>
      </c>
      <c r="C48" s="439" t="str">
        <f>IF(Summary!C44&lt;&gt;"",Summary!C44,"")</f>
        <v/>
      </c>
      <c r="E48" t="str">
        <f>IF($C$15&gt;=1,IF($C$13="Yes",IF(Summary!B44&lt;&gt;"",Summary!B44,""),""),"")</f>
        <v/>
      </c>
      <c r="F48" t="str">
        <f t="shared" si="1"/>
        <v/>
      </c>
      <c r="G48">
        <f t="shared" si="2"/>
        <v>0</v>
      </c>
      <c r="I48" t="str">
        <f>IF($C$15&gt;=2,IF($C$13="Yes",IF(Summary!B44&lt;&gt;"",Summary!B44,""),""),"")</f>
        <v/>
      </c>
      <c r="J48" s="439" t="str">
        <f t="shared" si="3"/>
        <v/>
      </c>
      <c r="K48">
        <f t="shared" si="4"/>
        <v>0</v>
      </c>
      <c r="M48" t="str">
        <f>IF($C$15&gt;=3,IF($C$13="Yes",IF(Summary!B44&lt;&gt;"",Summary!B44,""),""),"")</f>
        <v/>
      </c>
      <c r="N48" s="439" t="str">
        <f t="shared" si="5"/>
        <v/>
      </c>
      <c r="O48">
        <f t="shared" si="6"/>
        <v>0</v>
      </c>
      <c r="Q48" t="str">
        <f>IF($C$15&gt;=4,IF($C$13="Yes",IF(Summary!B44&lt;&gt;"",Summary!B44,""),""),"")</f>
        <v/>
      </c>
      <c r="R48" s="439" t="str">
        <f t="shared" si="7"/>
        <v/>
      </c>
      <c r="S48">
        <f t="shared" si="8"/>
        <v>0</v>
      </c>
      <c r="U48" t="str">
        <f>IF($C$15&gt;=5,IF($C$13="Yes",IF(Summary!B44&lt;&gt;"",Summary!B44,""),""),"")</f>
        <v/>
      </c>
      <c r="V48" s="439" t="str">
        <f t="shared" si="9"/>
        <v/>
      </c>
      <c r="W48">
        <f t="shared" si="10"/>
        <v>0</v>
      </c>
      <c r="Y48" t="str">
        <f>IF($C$13="Yes",IF(Summary!B44&lt;&gt;"",Summary!B44,""),"")</f>
        <v/>
      </c>
      <c r="Z48" s="439" t="str">
        <f t="shared" si="11"/>
        <v/>
      </c>
      <c r="AA48" t="str">
        <f t="shared" si="0"/>
        <v/>
      </c>
    </row>
    <row r="49" spans="2:33">
      <c r="B49" t="str">
        <f>IF(Summary!B45&lt;&gt;"",Summary!B45,"")</f>
        <v/>
      </c>
      <c r="C49" s="439" t="str">
        <f>IF(Summary!C45&lt;&gt;"",Summary!C45,"")</f>
        <v/>
      </c>
      <c r="E49" t="str">
        <f>IF($C$15&gt;=1,IF($C$13="Yes",IF(Summary!B45&lt;&gt;"",Summary!B45,""),""),"")</f>
        <v/>
      </c>
      <c r="F49" t="str">
        <f t="shared" si="1"/>
        <v/>
      </c>
      <c r="G49">
        <f t="shared" si="2"/>
        <v>0</v>
      </c>
      <c r="I49" t="str">
        <f>IF($C$15&gt;=2,IF($C$13="Yes",IF(Summary!B45&lt;&gt;"",Summary!B45,""),""),"")</f>
        <v/>
      </c>
      <c r="J49" s="439" t="str">
        <f t="shared" si="3"/>
        <v/>
      </c>
      <c r="K49">
        <f t="shared" si="4"/>
        <v>0</v>
      </c>
      <c r="M49" t="str">
        <f>IF($C$15&gt;=3,IF($C$13="Yes",IF(Summary!B45&lt;&gt;"",Summary!B45,""),""),"")</f>
        <v/>
      </c>
      <c r="N49" s="439" t="str">
        <f t="shared" si="5"/>
        <v/>
      </c>
      <c r="O49">
        <f t="shared" si="6"/>
        <v>0</v>
      </c>
      <c r="Q49" t="str">
        <f>IF($C$15&gt;=4,IF($C$13="Yes",IF(Summary!B45&lt;&gt;"",Summary!B45,""),""),"")</f>
        <v/>
      </c>
      <c r="R49" s="439" t="str">
        <f t="shared" si="7"/>
        <v/>
      </c>
      <c r="S49">
        <f t="shared" si="8"/>
        <v>0</v>
      </c>
      <c r="U49" t="str">
        <f>IF($C$15&gt;=5,IF($C$13="Yes",IF(Summary!B45&lt;&gt;"",Summary!B45,""),""),"")</f>
        <v/>
      </c>
      <c r="V49" s="439" t="str">
        <f t="shared" si="9"/>
        <v/>
      </c>
      <c r="W49">
        <f t="shared" si="10"/>
        <v>0</v>
      </c>
      <c r="Y49" t="str">
        <f>IF($C$13="Yes",IF(Summary!B45&lt;&gt;"",Summary!B45,""),"")</f>
        <v/>
      </c>
      <c r="Z49" s="439" t="str">
        <f t="shared" si="11"/>
        <v/>
      </c>
      <c r="AA49" t="str">
        <f t="shared" si="0"/>
        <v/>
      </c>
    </row>
    <row r="50" spans="2:33">
      <c r="B50" t="str">
        <f>IF(Summary!B46&lt;&gt;"",Summary!B46,"")</f>
        <v/>
      </c>
      <c r="C50" s="439" t="str">
        <f>IF(Summary!C46&lt;&gt;"",Summary!C46,"")</f>
        <v/>
      </c>
      <c r="E50" t="str">
        <f>IF($C$15&gt;=1,IF($C$13="Yes",IF(Summary!B46&lt;&gt;"",Summary!B46,""),""),"")</f>
        <v/>
      </c>
      <c r="F50" t="str">
        <f t="shared" si="1"/>
        <v/>
      </c>
      <c r="G50">
        <f t="shared" si="2"/>
        <v>0</v>
      </c>
      <c r="I50" t="str">
        <f>IF($C$15&gt;=2,IF($C$13="Yes",IF(Summary!B46&lt;&gt;"",Summary!B46,""),""),"")</f>
        <v/>
      </c>
      <c r="J50" s="439" t="str">
        <f t="shared" si="3"/>
        <v/>
      </c>
      <c r="K50">
        <f t="shared" si="4"/>
        <v>0</v>
      </c>
      <c r="M50" t="str">
        <f>IF($C$15&gt;=3,IF($C$13="Yes",IF(Summary!B46&lt;&gt;"",Summary!B46,""),""),"")</f>
        <v/>
      </c>
      <c r="N50" s="439" t="str">
        <f t="shared" si="5"/>
        <v/>
      </c>
      <c r="O50">
        <f t="shared" si="6"/>
        <v>0</v>
      </c>
      <c r="Q50" t="str">
        <f>IF($C$15&gt;=4,IF($C$13="Yes",IF(Summary!B46&lt;&gt;"",Summary!B46,""),""),"")</f>
        <v/>
      </c>
      <c r="R50" s="439" t="str">
        <f t="shared" si="7"/>
        <v/>
      </c>
      <c r="S50">
        <f t="shared" si="8"/>
        <v>0</v>
      </c>
      <c r="U50" t="str">
        <f>IF($C$15&gt;=5,IF($C$13="Yes",IF(Summary!B46&lt;&gt;"",Summary!B46,""),""),"")</f>
        <v/>
      </c>
      <c r="V50" s="439" t="str">
        <f t="shared" si="9"/>
        <v/>
      </c>
      <c r="W50">
        <f t="shared" si="10"/>
        <v>0</v>
      </c>
      <c r="Y50" t="str">
        <f>IF($C$13="Yes",IF(Summary!B46&lt;&gt;"",Summary!B46,""),"")</f>
        <v/>
      </c>
      <c r="Z50" s="439" t="str">
        <f t="shared" si="11"/>
        <v/>
      </c>
      <c r="AA50" t="str">
        <f t="shared" si="0"/>
        <v/>
      </c>
    </row>
    <row r="51" spans="2:33">
      <c r="B51" t="str">
        <f>IF(Summary!B47&lt;&gt;"",Summary!B47,"")</f>
        <v/>
      </c>
      <c r="C51" s="439" t="str">
        <f>IF(Summary!C47&lt;&gt;"",Summary!C47,"")</f>
        <v/>
      </c>
      <c r="E51" t="str">
        <f>IF($C$15&gt;=1,IF($C$13="Yes",IF(Summary!B47&lt;&gt;"",Summary!B47,""),""),"")</f>
        <v/>
      </c>
      <c r="F51" t="str">
        <f t="shared" si="1"/>
        <v/>
      </c>
      <c r="G51">
        <f t="shared" si="2"/>
        <v>0</v>
      </c>
      <c r="I51" t="str">
        <f>IF($C$15&gt;=2,IF($C$13="Yes",IF(Summary!B47&lt;&gt;"",Summary!B47,""),""),"")</f>
        <v/>
      </c>
      <c r="J51" s="439" t="str">
        <f t="shared" si="3"/>
        <v/>
      </c>
      <c r="K51">
        <f t="shared" si="4"/>
        <v>0</v>
      </c>
      <c r="M51" t="str">
        <f>IF($C$15&gt;=3,IF($C$13="Yes",IF(Summary!B47&lt;&gt;"",Summary!B47,""),""),"")</f>
        <v/>
      </c>
      <c r="N51" s="439" t="str">
        <f t="shared" si="5"/>
        <v/>
      </c>
      <c r="O51">
        <f t="shared" si="6"/>
        <v>0</v>
      </c>
      <c r="Q51" t="str">
        <f>IF($C$15&gt;=4,IF($C$13="Yes",IF(Summary!B47&lt;&gt;"",Summary!B47,""),""),"")</f>
        <v/>
      </c>
      <c r="R51" s="439" t="str">
        <f t="shared" si="7"/>
        <v/>
      </c>
      <c r="S51">
        <f t="shared" si="8"/>
        <v>0</v>
      </c>
      <c r="U51" t="str">
        <f>IF($C$15&gt;=5,IF($C$13="Yes",IF(Summary!B47&lt;&gt;"",Summary!B47,""),""),"")</f>
        <v/>
      </c>
      <c r="V51" s="439" t="str">
        <f t="shared" si="9"/>
        <v/>
      </c>
      <c r="W51">
        <f t="shared" si="10"/>
        <v>0</v>
      </c>
      <c r="Y51" t="str">
        <f>IF($C$13="Yes",IF(Summary!B47&lt;&gt;"",Summary!B47,""),"")</f>
        <v/>
      </c>
      <c r="Z51" s="439" t="str">
        <f t="shared" si="11"/>
        <v/>
      </c>
      <c r="AA51" t="str">
        <f t="shared" si="0"/>
        <v/>
      </c>
    </row>
    <row r="52" spans="2:33">
      <c r="B52" t="str">
        <f>IF(Summary!B48&lt;&gt;"",Summary!B48,"")</f>
        <v/>
      </c>
      <c r="C52" s="439" t="str">
        <f>IF(Summary!C48&lt;&gt;"",Summary!C48,"")</f>
        <v/>
      </c>
      <c r="E52" t="str">
        <f>IF($C$15&gt;=1,IF($C$13="Yes",IF(Summary!B48&lt;&gt;"",Summary!B48,""),""),"")</f>
        <v/>
      </c>
      <c r="F52" t="str">
        <f t="shared" si="1"/>
        <v/>
      </c>
      <c r="G52">
        <f t="shared" si="2"/>
        <v>0</v>
      </c>
      <c r="I52" t="str">
        <f>IF($C$15&gt;=2,IF($C$13="Yes",IF(Summary!B48&lt;&gt;"",Summary!B48,""),""),"")</f>
        <v/>
      </c>
      <c r="J52" s="439" t="str">
        <f t="shared" si="3"/>
        <v/>
      </c>
      <c r="K52">
        <f t="shared" si="4"/>
        <v>0</v>
      </c>
      <c r="M52" t="str">
        <f>IF($C$15&gt;=3,IF($C$13="Yes",IF(Summary!B48&lt;&gt;"",Summary!B48,""),""),"")</f>
        <v/>
      </c>
      <c r="N52" s="439" t="str">
        <f t="shared" si="5"/>
        <v/>
      </c>
      <c r="O52">
        <f t="shared" si="6"/>
        <v>0</v>
      </c>
      <c r="Q52" t="str">
        <f>IF($C$15&gt;=4,IF($C$13="Yes",IF(Summary!B48&lt;&gt;"",Summary!B48,""),""),"")</f>
        <v/>
      </c>
      <c r="R52" s="439" t="str">
        <f t="shared" si="7"/>
        <v/>
      </c>
      <c r="S52">
        <f t="shared" si="8"/>
        <v>0</v>
      </c>
      <c r="U52" t="str">
        <f>IF($C$15&gt;=5,IF($C$13="Yes",IF(Summary!B48&lt;&gt;"",Summary!B48,""),""),"")</f>
        <v/>
      </c>
      <c r="V52" s="439" t="str">
        <f t="shared" si="9"/>
        <v/>
      </c>
      <c r="W52">
        <f t="shared" si="10"/>
        <v>0</v>
      </c>
      <c r="Y52" t="str">
        <f>IF($C$13="Yes",IF(Summary!B48&lt;&gt;"",Summary!B48,""),"")</f>
        <v/>
      </c>
      <c r="Z52" s="439" t="str">
        <f t="shared" si="11"/>
        <v/>
      </c>
      <c r="AA52" t="str">
        <f t="shared" si="0"/>
        <v/>
      </c>
    </row>
    <row r="53" spans="2:33">
      <c r="B53" t="str">
        <f>IF(Summary!B49&lt;&gt;"",Summary!B49,"")</f>
        <v/>
      </c>
      <c r="C53" s="439" t="str">
        <f>IF(Summary!C49&lt;&gt;"",Summary!C49,"")</f>
        <v/>
      </c>
      <c r="E53" t="str">
        <f>IF($C$15&gt;=1,IF($C$13="Yes",IF(Summary!B49&lt;&gt;"",Summary!B49,""),""),"")</f>
        <v/>
      </c>
      <c r="F53" t="str">
        <f t="shared" si="1"/>
        <v/>
      </c>
      <c r="G53">
        <f t="shared" si="2"/>
        <v>0</v>
      </c>
      <c r="I53" t="str">
        <f>IF($C$15&gt;=2,IF($C$13="Yes",IF(Summary!B49&lt;&gt;"",Summary!B49,""),""),"")</f>
        <v/>
      </c>
      <c r="J53" s="439" t="str">
        <f t="shared" si="3"/>
        <v/>
      </c>
      <c r="K53">
        <f t="shared" si="4"/>
        <v>0</v>
      </c>
      <c r="M53" t="str">
        <f>IF($C$15&gt;=3,IF($C$13="Yes",IF(Summary!B49&lt;&gt;"",Summary!B49,""),""),"")</f>
        <v/>
      </c>
      <c r="N53" s="439" t="str">
        <f t="shared" si="5"/>
        <v/>
      </c>
      <c r="O53">
        <f t="shared" si="6"/>
        <v>0</v>
      </c>
      <c r="Q53" t="str">
        <f>IF($C$15&gt;=4,IF($C$13="Yes",IF(Summary!B49&lt;&gt;"",Summary!B49,""),""),"")</f>
        <v/>
      </c>
      <c r="R53" s="439" t="str">
        <f t="shared" si="7"/>
        <v/>
      </c>
      <c r="S53">
        <f t="shared" si="8"/>
        <v>0</v>
      </c>
      <c r="U53" t="str">
        <f>IF($C$15&gt;=5,IF($C$13="Yes",IF(Summary!B49&lt;&gt;"",Summary!B49,""),""),"")</f>
        <v/>
      </c>
      <c r="V53" s="439" t="str">
        <f t="shared" si="9"/>
        <v/>
      </c>
      <c r="W53">
        <f t="shared" si="10"/>
        <v>0</v>
      </c>
      <c r="Y53" t="str">
        <f>IF($C$13="Yes",IF(Summary!B49&lt;&gt;"",Summary!B49,""),"")</f>
        <v/>
      </c>
      <c r="Z53" s="439" t="str">
        <f t="shared" si="11"/>
        <v/>
      </c>
      <c r="AA53" t="str">
        <f t="shared" si="0"/>
        <v/>
      </c>
    </row>
    <row r="54" spans="2:33">
      <c r="B54" t="str">
        <f>IF(Summary!B50&lt;&gt;"",Summary!B50,"")</f>
        <v/>
      </c>
      <c r="C54" s="439" t="str">
        <f>IF(Summary!C50&lt;&gt;"",Summary!C50,"")</f>
        <v/>
      </c>
      <c r="E54" t="str">
        <f>IF($C$15&gt;=1,IF($C$13="Yes",IF(Summary!B50&lt;&gt;"",Summary!B50,""),""),"")</f>
        <v/>
      </c>
      <c r="F54" t="str">
        <f t="shared" si="1"/>
        <v/>
      </c>
      <c r="G54">
        <f t="shared" si="2"/>
        <v>0</v>
      </c>
      <c r="I54" t="str">
        <f>IF($C$15&gt;=2,IF($C$13="Yes",IF(Summary!B50&lt;&gt;"",Summary!B50,""),""),"")</f>
        <v/>
      </c>
      <c r="J54" s="439" t="str">
        <f t="shared" si="3"/>
        <v/>
      </c>
      <c r="K54">
        <f t="shared" si="4"/>
        <v>0</v>
      </c>
      <c r="M54" t="str">
        <f>IF($C$15&gt;=3,IF($C$13="Yes",IF(Summary!B50&lt;&gt;"",Summary!B50,""),""),"")</f>
        <v/>
      </c>
      <c r="N54" s="439" t="str">
        <f t="shared" si="5"/>
        <v/>
      </c>
      <c r="O54">
        <f t="shared" si="6"/>
        <v>0</v>
      </c>
      <c r="Q54" t="str">
        <f>IF($C$15&gt;=4,IF($C$13="Yes",IF(Summary!B50&lt;&gt;"",Summary!B50,""),""),"")</f>
        <v/>
      </c>
      <c r="R54" s="439" t="str">
        <f t="shared" si="7"/>
        <v/>
      </c>
      <c r="S54">
        <f t="shared" si="8"/>
        <v>0</v>
      </c>
      <c r="U54" t="str">
        <f>IF($C$15&gt;=5,IF($C$13="Yes",IF(Summary!B50&lt;&gt;"",Summary!B50,""),""),"")</f>
        <v/>
      </c>
      <c r="V54" s="439" t="str">
        <f t="shared" si="9"/>
        <v/>
      </c>
      <c r="W54">
        <f t="shared" si="10"/>
        <v>0</v>
      </c>
      <c r="Y54" t="str">
        <f>IF($C$13="Yes",IF(Summary!B50&lt;&gt;"",Summary!B50,""),"")</f>
        <v/>
      </c>
      <c r="Z54" s="439" t="str">
        <f t="shared" si="11"/>
        <v/>
      </c>
      <c r="AA54" t="str">
        <f t="shared" si="0"/>
        <v/>
      </c>
    </row>
    <row r="55" spans="2:33">
      <c r="B55" t="str">
        <f>IF(Summary!B51&lt;&gt;"",Summary!B51,"")</f>
        <v/>
      </c>
      <c r="C55" s="439" t="str">
        <f>IF(Summary!C51&lt;&gt;"",Summary!C51,"")</f>
        <v/>
      </c>
      <c r="E55" t="str">
        <f>IF($C$15&gt;=1,IF($C$13="Yes",IF(Summary!B51&lt;&gt;"",Summary!B51,""),""),"")</f>
        <v/>
      </c>
      <c r="F55" t="str">
        <f t="shared" si="1"/>
        <v/>
      </c>
      <c r="G55">
        <f t="shared" si="2"/>
        <v>0</v>
      </c>
      <c r="I55" t="str">
        <f>IF($C$15&gt;=2,IF($C$13="Yes",IF(Summary!B51&lt;&gt;"",Summary!B51,""),""),"")</f>
        <v/>
      </c>
      <c r="J55" s="439" t="str">
        <f t="shared" si="3"/>
        <v/>
      </c>
      <c r="K55">
        <f t="shared" si="4"/>
        <v>0</v>
      </c>
      <c r="M55" t="str">
        <f>IF($C$15&gt;=3,IF($C$13="Yes",IF(Summary!B51&lt;&gt;"",Summary!B51,""),""),"")</f>
        <v/>
      </c>
      <c r="N55" s="439" t="str">
        <f t="shared" si="5"/>
        <v/>
      </c>
      <c r="O55">
        <f t="shared" si="6"/>
        <v>0</v>
      </c>
      <c r="Q55" t="str">
        <f>IF($C$15&gt;=4,IF($C$13="Yes",IF(Summary!B51&lt;&gt;"",Summary!B51,""),""),"")</f>
        <v/>
      </c>
      <c r="R55" s="439" t="str">
        <f t="shared" si="7"/>
        <v/>
      </c>
      <c r="S55">
        <f t="shared" si="8"/>
        <v>0</v>
      </c>
      <c r="U55" t="str">
        <f>IF($C$15&gt;=5,IF($C$13="Yes",IF(Summary!B51&lt;&gt;"",Summary!B51,""),""),"")</f>
        <v/>
      </c>
      <c r="V55" s="439" t="str">
        <f t="shared" si="9"/>
        <v/>
      </c>
      <c r="W55">
        <f t="shared" si="10"/>
        <v>0</v>
      </c>
      <c r="Y55" t="str">
        <f>IF($C$13="Yes",IF(Summary!B51&lt;&gt;"",Summary!B51,""),"")</f>
        <v/>
      </c>
      <c r="Z55" s="439" t="str">
        <f t="shared" si="11"/>
        <v/>
      </c>
      <c r="AA55" t="str">
        <f t="shared" si="0"/>
        <v/>
      </c>
    </row>
    <row r="56" spans="2:33">
      <c r="B56" t="str">
        <f>IF(Summary!B52&lt;&gt;"",Summary!B52,"")</f>
        <v/>
      </c>
      <c r="C56" s="439" t="str">
        <f>IF(Summary!C52&lt;&gt;"",Summary!C52,"")</f>
        <v/>
      </c>
      <c r="E56" t="str">
        <f>IF($C$15&gt;=1,IF($C$13="Yes",IF(Summary!B52&lt;&gt;"",Summary!B52,""),""),"")</f>
        <v/>
      </c>
      <c r="F56" t="str">
        <f t="shared" si="1"/>
        <v/>
      </c>
      <c r="G56">
        <f t="shared" si="2"/>
        <v>0</v>
      </c>
      <c r="I56" t="str">
        <f>IF($C$15&gt;=2,IF($C$13="Yes",IF(Summary!B52&lt;&gt;"",Summary!B52,""),""),"")</f>
        <v/>
      </c>
      <c r="J56" s="439" t="str">
        <f t="shared" si="3"/>
        <v/>
      </c>
      <c r="K56">
        <f t="shared" si="4"/>
        <v>0</v>
      </c>
      <c r="M56" t="str">
        <f>IF($C$15&gt;=3,IF($C$13="Yes",IF(Summary!B52&lt;&gt;"",Summary!B52,""),""),"")</f>
        <v/>
      </c>
      <c r="N56" s="439" t="str">
        <f t="shared" si="5"/>
        <v/>
      </c>
      <c r="O56">
        <f t="shared" si="6"/>
        <v>0</v>
      </c>
      <c r="Q56" t="str">
        <f>IF($C$15&gt;=4,IF($C$13="Yes",IF(Summary!B52&lt;&gt;"",Summary!B52,""),""),"")</f>
        <v/>
      </c>
      <c r="R56" s="439" t="str">
        <f t="shared" si="7"/>
        <v/>
      </c>
      <c r="S56">
        <f t="shared" si="8"/>
        <v>0</v>
      </c>
      <c r="U56" t="str">
        <f>IF($C$15&gt;=5,IF($C$13="Yes",IF(Summary!B52&lt;&gt;"",Summary!B52,""),""),"")</f>
        <v/>
      </c>
      <c r="V56" s="439" t="str">
        <f t="shared" si="9"/>
        <v/>
      </c>
      <c r="W56">
        <f t="shared" si="10"/>
        <v>0</v>
      </c>
      <c r="Y56" t="str">
        <f>IF($C$13="Yes",IF(Summary!B52&lt;&gt;"",Summary!B52,""),"")</f>
        <v/>
      </c>
      <c r="Z56" s="439" t="str">
        <f t="shared" si="11"/>
        <v/>
      </c>
      <c r="AA56" t="str">
        <f t="shared" si="0"/>
        <v/>
      </c>
    </row>
    <row r="57" spans="2:33">
      <c r="B57" t="str">
        <f>IF(Summary!B53&lt;&gt;"",Summary!B53,"")</f>
        <v/>
      </c>
      <c r="C57" s="439" t="str">
        <f>IF(Summary!C53&lt;&gt;"",Summary!C53,"")</f>
        <v/>
      </c>
      <c r="E57" t="str">
        <f>IF($C$15&gt;=1,IF($C$13="Yes",IF(Summary!B53&lt;&gt;"",Summary!B53,""),""),"")</f>
        <v/>
      </c>
      <c r="F57" t="str">
        <f t="shared" si="1"/>
        <v/>
      </c>
      <c r="G57">
        <f t="shared" si="2"/>
        <v>0</v>
      </c>
      <c r="I57" t="str">
        <f>IF($C$15&gt;=2,IF($C$13="Yes",IF(Summary!B53&lt;&gt;"",Summary!B53,""),""),"")</f>
        <v/>
      </c>
      <c r="J57" s="439" t="str">
        <f t="shared" si="3"/>
        <v/>
      </c>
      <c r="K57">
        <f t="shared" si="4"/>
        <v>0</v>
      </c>
      <c r="M57" t="str">
        <f>IF($C$15&gt;=3,IF($C$13="Yes",IF(Summary!B53&lt;&gt;"",Summary!B53,""),""),"")</f>
        <v/>
      </c>
      <c r="N57" s="439" t="str">
        <f t="shared" si="5"/>
        <v/>
      </c>
      <c r="O57">
        <f t="shared" si="6"/>
        <v>0</v>
      </c>
      <c r="Q57" t="str">
        <f>IF($C$15&gt;=4,IF($C$13="Yes",IF(Summary!B53&lt;&gt;"",Summary!B53,""),""),"")</f>
        <v/>
      </c>
      <c r="R57" s="439" t="str">
        <f t="shared" si="7"/>
        <v/>
      </c>
      <c r="S57">
        <f t="shared" si="8"/>
        <v>0</v>
      </c>
      <c r="U57" t="str">
        <f>IF($C$15&gt;=5,IF($C$13="Yes",IF(Summary!B53&lt;&gt;"",Summary!B53,""),""),"")</f>
        <v/>
      </c>
      <c r="V57" s="439" t="str">
        <f t="shared" si="9"/>
        <v/>
      </c>
      <c r="W57">
        <f t="shared" si="10"/>
        <v>0</v>
      </c>
      <c r="Y57" t="str">
        <f>IF($C$13="Yes",IF(Summary!B53&lt;&gt;"",Summary!B53,""),"")</f>
        <v/>
      </c>
      <c r="Z57" s="439" t="str">
        <f t="shared" si="11"/>
        <v/>
      </c>
      <c r="AA57" t="str">
        <f t="shared" si="0"/>
        <v/>
      </c>
    </row>
    <row r="58" spans="2:33">
      <c r="B58" t="str">
        <f>IF(Summary!B54&lt;&gt;"",Summary!B54,"")</f>
        <v/>
      </c>
      <c r="C58" s="439" t="str">
        <f>IF(Summary!C54&lt;&gt;"",Summary!C54,"")</f>
        <v/>
      </c>
      <c r="E58" t="str">
        <f>IF($C$15&gt;=1,IF($C$13="Yes",IF(Summary!B54&lt;&gt;"",Summary!B54,""),""),"")</f>
        <v/>
      </c>
      <c r="F58" t="str">
        <f t="shared" si="1"/>
        <v/>
      </c>
      <c r="G58">
        <f t="shared" si="2"/>
        <v>0</v>
      </c>
      <c r="I58" t="str">
        <f>IF($C$15&gt;=2,IF($C$13="Yes",IF(Summary!B54&lt;&gt;"",Summary!B54,""),""),"")</f>
        <v/>
      </c>
      <c r="J58" s="439" t="str">
        <f t="shared" si="3"/>
        <v/>
      </c>
      <c r="K58">
        <f t="shared" si="4"/>
        <v>0</v>
      </c>
      <c r="M58" t="str">
        <f>IF($C$15&gt;=3,IF($C$13="Yes",IF(Summary!B54&lt;&gt;"",Summary!B54,""),""),"")</f>
        <v/>
      </c>
      <c r="N58" s="439" t="str">
        <f t="shared" si="5"/>
        <v/>
      </c>
      <c r="O58">
        <f t="shared" si="6"/>
        <v>0</v>
      </c>
      <c r="Q58" t="str">
        <f>IF($C$15&gt;=4,IF($C$13="Yes",IF(Summary!B54&lt;&gt;"",Summary!B54,""),""),"")</f>
        <v/>
      </c>
      <c r="R58" s="439" t="str">
        <f t="shared" si="7"/>
        <v/>
      </c>
      <c r="S58">
        <f t="shared" si="8"/>
        <v>0</v>
      </c>
      <c r="U58" t="str">
        <f>IF($C$15&gt;=5,IF($C$13="Yes",IF(Summary!B54&lt;&gt;"",Summary!B54,""),""),"")</f>
        <v/>
      </c>
      <c r="V58" s="439" t="str">
        <f t="shared" si="9"/>
        <v/>
      </c>
      <c r="W58">
        <f t="shared" si="10"/>
        <v>0</v>
      </c>
      <c r="Y58" t="str">
        <f>IF($C$13="Yes",IF(Summary!B54&lt;&gt;"",Summary!B54,""),"")</f>
        <v/>
      </c>
      <c r="Z58" s="439" t="str">
        <f t="shared" si="11"/>
        <v/>
      </c>
      <c r="AA58" t="str">
        <f t="shared" si="0"/>
        <v/>
      </c>
    </row>
    <row r="59" spans="2:33" ht="15.5">
      <c r="B59" t="str">
        <f>IF(Summary!B55&lt;&gt;"",Summary!B55,"")</f>
        <v/>
      </c>
      <c r="C59" s="439" t="str">
        <f>IF(Summary!C55&lt;&gt;"",Summary!C55,"")</f>
        <v/>
      </c>
      <c r="E59" t="str">
        <f>IF($C$15&gt;=1,IF($C$13="Yes",IF(Summary!B55&lt;&gt;"",Summary!B55,""),""),"")</f>
        <v/>
      </c>
      <c r="F59" t="str">
        <f t="shared" si="1"/>
        <v/>
      </c>
      <c r="G59">
        <f t="shared" si="2"/>
        <v>0</v>
      </c>
      <c r="I59" t="str">
        <f>IF($C$15&gt;=2,IF($C$13="Yes",IF(Summary!B55&lt;&gt;"",Summary!B55,""),""),"")</f>
        <v/>
      </c>
      <c r="J59" s="439" t="str">
        <f t="shared" si="3"/>
        <v/>
      </c>
      <c r="K59">
        <f t="shared" si="4"/>
        <v>0</v>
      </c>
      <c r="M59" t="str">
        <f>IF($C$15&gt;=3,IF($C$13="Yes",IF(Summary!B55&lt;&gt;"",Summary!B55,""),""),"")</f>
        <v/>
      </c>
      <c r="N59" s="439" t="str">
        <f t="shared" si="5"/>
        <v/>
      </c>
      <c r="O59">
        <f t="shared" si="6"/>
        <v>0</v>
      </c>
      <c r="Q59" t="str">
        <f>IF($C$15&gt;=4,IF($C$13="Yes",IF(Summary!B55&lt;&gt;"",Summary!B55,""),""),"")</f>
        <v/>
      </c>
      <c r="R59" s="439" t="str">
        <f t="shared" si="7"/>
        <v/>
      </c>
      <c r="S59">
        <f t="shared" si="8"/>
        <v>0</v>
      </c>
      <c r="U59" t="str">
        <f>IF($C$15&gt;=5,IF($C$13="Yes",IF(Summary!B55&lt;&gt;"",Summary!B55,""),""),"")</f>
        <v/>
      </c>
      <c r="V59" s="439" t="str">
        <f t="shared" si="9"/>
        <v/>
      </c>
      <c r="W59">
        <f t="shared" si="10"/>
        <v>0</v>
      </c>
      <c r="Y59" t="str">
        <f>IF($C$13="Yes",IF(Summary!B55&lt;&gt;"",Summary!B55,""),"")</f>
        <v/>
      </c>
      <c r="Z59" s="439" t="str">
        <f t="shared" si="11"/>
        <v/>
      </c>
      <c r="AA59" t="str">
        <f t="shared" si="0"/>
        <v/>
      </c>
      <c r="AD59" s="352"/>
      <c r="AE59" s="353"/>
      <c r="AF59" s="353"/>
      <c r="AG59" s="353"/>
    </row>
    <row r="60" spans="2:33">
      <c r="B60" t="str">
        <f>IF(Summary!B56&lt;&gt;"",Summary!B56,"")</f>
        <v/>
      </c>
      <c r="C60" s="439" t="str">
        <f>IF(Summary!C56&lt;&gt;"",Summary!C56,"")</f>
        <v/>
      </c>
      <c r="E60" t="str">
        <f>IF($C$15&gt;=1,IF($C$13="Yes",IF(Summary!B56&lt;&gt;"",Summary!B56,""),""),"")</f>
        <v/>
      </c>
      <c r="F60" t="str">
        <f t="shared" si="1"/>
        <v/>
      </c>
      <c r="G60">
        <f t="shared" si="2"/>
        <v>0</v>
      </c>
      <c r="I60" t="str">
        <f>IF($C$15&gt;=2,IF($C$13="Yes",IF(Summary!B56&lt;&gt;"",Summary!B56,""),""),"")</f>
        <v/>
      </c>
      <c r="J60" s="439" t="str">
        <f t="shared" si="3"/>
        <v/>
      </c>
      <c r="K60">
        <f t="shared" si="4"/>
        <v>0</v>
      </c>
      <c r="M60" t="str">
        <f>IF($C$15&gt;=3,IF($C$13="Yes",IF(Summary!B56&lt;&gt;"",Summary!B56,""),""),"")</f>
        <v/>
      </c>
      <c r="N60" s="439" t="str">
        <f t="shared" si="5"/>
        <v/>
      </c>
      <c r="O60">
        <f t="shared" si="6"/>
        <v>0</v>
      </c>
      <c r="Q60" t="str">
        <f>IF($C$15&gt;=4,IF($C$13="Yes",IF(Summary!B56&lt;&gt;"",Summary!B56,""),""),"")</f>
        <v/>
      </c>
      <c r="R60" s="439" t="str">
        <f t="shared" si="7"/>
        <v/>
      </c>
      <c r="S60">
        <f t="shared" si="8"/>
        <v>0</v>
      </c>
      <c r="U60" t="str">
        <f>IF($C$15&gt;=5,IF($C$13="Yes",IF(Summary!B56&lt;&gt;"",Summary!B56,""),""),"")</f>
        <v/>
      </c>
      <c r="V60" s="439" t="str">
        <f t="shared" si="9"/>
        <v/>
      </c>
      <c r="W60">
        <f t="shared" si="10"/>
        <v>0</v>
      </c>
      <c r="Y60" t="str">
        <f>IF($C$13="Yes",IF(Summary!B56&lt;&gt;"",Summary!B56,""),"")</f>
        <v/>
      </c>
      <c r="Z60" s="439" t="str">
        <f t="shared" si="11"/>
        <v/>
      </c>
      <c r="AA60" t="str">
        <f t="shared" si="0"/>
        <v/>
      </c>
      <c r="AD60" s="353"/>
      <c r="AE60" s="353"/>
      <c r="AF60" s="353"/>
      <c r="AG60" s="353"/>
    </row>
    <row r="61" spans="2:33">
      <c r="B61" t="str">
        <f>IF(Summary!B57&lt;&gt;"",Summary!B57,"")</f>
        <v/>
      </c>
      <c r="C61" s="439" t="str">
        <f>IF(Summary!C57&lt;&gt;"",Summary!C57,"")</f>
        <v/>
      </c>
      <c r="E61" t="str">
        <f>IF($C$15&gt;=1,IF($C$13="Yes",IF(Summary!B57&lt;&gt;"",Summary!B57,""),""),"")</f>
        <v/>
      </c>
      <c r="F61" t="str">
        <f t="shared" si="1"/>
        <v/>
      </c>
      <c r="G61">
        <f t="shared" si="2"/>
        <v>0</v>
      </c>
      <c r="I61" t="str">
        <f>IF($C$15&gt;=2,IF($C$13="Yes",IF(Summary!B57&lt;&gt;"",Summary!B57,""),""),"")</f>
        <v/>
      </c>
      <c r="J61" s="439" t="str">
        <f t="shared" si="3"/>
        <v/>
      </c>
      <c r="K61">
        <f t="shared" si="4"/>
        <v>0</v>
      </c>
      <c r="M61" t="str">
        <f>IF($C$15&gt;=3,IF($C$13="Yes",IF(Summary!B57&lt;&gt;"",Summary!B57,""),""),"")</f>
        <v/>
      </c>
      <c r="N61" s="439" t="str">
        <f t="shared" si="5"/>
        <v/>
      </c>
      <c r="O61">
        <f t="shared" si="6"/>
        <v>0</v>
      </c>
      <c r="Q61" t="str">
        <f>IF($C$15&gt;=4,IF($C$13="Yes",IF(Summary!B57&lt;&gt;"",Summary!B57,""),""),"")</f>
        <v/>
      </c>
      <c r="R61" s="439" t="str">
        <f t="shared" si="7"/>
        <v/>
      </c>
      <c r="S61">
        <f t="shared" si="8"/>
        <v>0</v>
      </c>
      <c r="U61" t="str">
        <f>IF($C$15&gt;=5,IF($C$13="Yes",IF(Summary!B57&lt;&gt;"",Summary!B57,""),""),"")</f>
        <v/>
      </c>
      <c r="V61" s="439" t="str">
        <f t="shared" si="9"/>
        <v/>
      </c>
      <c r="W61">
        <f t="shared" si="10"/>
        <v>0</v>
      </c>
      <c r="Y61" t="str">
        <f>IF($C$13="Yes",IF(Summary!B57&lt;&gt;"",Summary!B57,""),"")</f>
        <v/>
      </c>
      <c r="Z61" s="439" t="str">
        <f t="shared" si="11"/>
        <v/>
      </c>
      <c r="AA61" t="str">
        <f t="shared" si="0"/>
        <v/>
      </c>
    </row>
    <row r="62" spans="2:33">
      <c r="B62" t="str">
        <f>IF(Summary!B58&lt;&gt;"",Summary!B58,"")</f>
        <v/>
      </c>
      <c r="C62" s="439" t="str">
        <f>IF(Summary!C58&lt;&gt;"",Summary!C58,"")</f>
        <v/>
      </c>
      <c r="E62" t="str">
        <f>IF($C$15&gt;=1,IF($C$13="Yes",IF(Summary!B58&lt;&gt;"",Summary!B58,""),""),"")</f>
        <v/>
      </c>
      <c r="F62" t="str">
        <f t="shared" si="1"/>
        <v/>
      </c>
      <c r="G62">
        <f t="shared" si="2"/>
        <v>0</v>
      </c>
      <c r="I62" t="str">
        <f>IF($C$15&gt;=2,IF($C$13="Yes",IF(Summary!B58&lt;&gt;"",Summary!B58,""),""),"")</f>
        <v/>
      </c>
      <c r="J62" s="439" t="str">
        <f t="shared" si="3"/>
        <v/>
      </c>
      <c r="K62">
        <f t="shared" si="4"/>
        <v>0</v>
      </c>
      <c r="M62" t="str">
        <f>IF($C$15&gt;=3,IF($C$13="Yes",IF(Summary!B58&lt;&gt;"",Summary!B58,""),""),"")</f>
        <v/>
      </c>
      <c r="N62" s="439" t="str">
        <f t="shared" si="5"/>
        <v/>
      </c>
      <c r="O62">
        <f t="shared" si="6"/>
        <v>0</v>
      </c>
      <c r="Q62" t="str">
        <f>IF($C$15&gt;=4,IF($C$13="Yes",IF(Summary!B58&lt;&gt;"",Summary!B58,""),""),"")</f>
        <v/>
      </c>
      <c r="R62" s="439" t="str">
        <f t="shared" si="7"/>
        <v/>
      </c>
      <c r="S62">
        <f t="shared" si="8"/>
        <v>0</v>
      </c>
      <c r="U62" t="str">
        <f>IF($C$15&gt;=5,IF($C$13="Yes",IF(Summary!B58&lt;&gt;"",Summary!B58,""),""),"")</f>
        <v/>
      </c>
      <c r="V62" s="439" t="str">
        <f t="shared" si="9"/>
        <v/>
      </c>
      <c r="W62">
        <f t="shared" si="10"/>
        <v>0</v>
      </c>
      <c r="Y62" t="str">
        <f>IF($C$13="Yes",IF(Summary!B58&lt;&gt;"",Summary!B58,""),"")</f>
        <v/>
      </c>
      <c r="Z62" s="439" t="str">
        <f t="shared" si="11"/>
        <v/>
      </c>
      <c r="AA62" t="str">
        <f t="shared" si="0"/>
        <v/>
      </c>
    </row>
    <row r="63" spans="2:33">
      <c r="B63" t="str">
        <f>IF(Summary!B59&lt;&gt;"",Summary!B59,"")</f>
        <v/>
      </c>
      <c r="C63" s="439" t="str">
        <f>IF(Summary!C59&lt;&gt;"",Summary!C59,"")</f>
        <v/>
      </c>
      <c r="E63" t="str">
        <f>IF($C$15&gt;=1,IF($C$13="Yes",IF(Summary!B59&lt;&gt;"",Summary!B59,""),""),"")</f>
        <v/>
      </c>
      <c r="F63" t="str">
        <f t="shared" si="1"/>
        <v/>
      </c>
      <c r="G63">
        <f t="shared" si="2"/>
        <v>0</v>
      </c>
      <c r="I63" t="str">
        <f>IF($C$15&gt;=2,IF($C$13="Yes",IF(Summary!B59&lt;&gt;"",Summary!B59,""),""),"")</f>
        <v/>
      </c>
      <c r="J63" s="439" t="str">
        <f t="shared" si="3"/>
        <v/>
      </c>
      <c r="K63">
        <f t="shared" si="4"/>
        <v>0</v>
      </c>
      <c r="M63" t="str">
        <f>IF($C$15&gt;=3,IF($C$13="Yes",IF(Summary!B59&lt;&gt;"",Summary!B59,""),""),"")</f>
        <v/>
      </c>
      <c r="N63" s="439" t="str">
        <f t="shared" si="5"/>
        <v/>
      </c>
      <c r="O63">
        <f t="shared" si="6"/>
        <v>0</v>
      </c>
      <c r="Q63" t="str">
        <f>IF($C$15&gt;=4,IF($C$13="Yes",IF(Summary!B59&lt;&gt;"",Summary!B59,""),""),"")</f>
        <v/>
      </c>
      <c r="R63" s="439" t="str">
        <f t="shared" si="7"/>
        <v/>
      </c>
      <c r="S63">
        <f t="shared" si="8"/>
        <v>0</v>
      </c>
      <c r="U63" t="str">
        <f>IF($C$15&gt;=5,IF($C$13="Yes",IF(Summary!B59&lt;&gt;"",Summary!B59,""),""),"")</f>
        <v/>
      </c>
      <c r="V63" s="439" t="str">
        <f t="shared" si="9"/>
        <v/>
      </c>
      <c r="W63">
        <f t="shared" si="10"/>
        <v>0</v>
      </c>
      <c r="Y63" t="str">
        <f>IF($C$13="Yes",IF(Summary!B59&lt;&gt;"",Summary!B59,""),"")</f>
        <v/>
      </c>
      <c r="Z63" s="439" t="str">
        <f t="shared" si="11"/>
        <v/>
      </c>
      <c r="AA63" t="str">
        <f t="shared" si="0"/>
        <v/>
      </c>
    </row>
    <row r="64" spans="2:33">
      <c r="B64" t="str">
        <f>IF(Summary!B60&lt;&gt;"",Summary!B60,"")</f>
        <v/>
      </c>
      <c r="C64" s="439" t="str">
        <f>IF(Summary!C60&lt;&gt;"",Summary!C60,"")</f>
        <v/>
      </c>
      <c r="E64" t="str">
        <f>IF($C$15&gt;=1,IF($C$13="Yes",IF(Summary!B60&lt;&gt;"",Summary!B60,""),""),"")</f>
        <v/>
      </c>
      <c r="F64" t="str">
        <f t="shared" si="1"/>
        <v/>
      </c>
      <c r="G64">
        <f t="shared" si="2"/>
        <v>0</v>
      </c>
      <c r="I64" t="str">
        <f>IF($C$15&gt;=2,IF($C$13="Yes",IF(Summary!B60&lt;&gt;"",Summary!B60,""),""),"")</f>
        <v/>
      </c>
      <c r="J64" s="439" t="str">
        <f t="shared" si="3"/>
        <v/>
      </c>
      <c r="K64">
        <f t="shared" si="4"/>
        <v>0</v>
      </c>
      <c r="M64" t="str">
        <f>IF($C$15&gt;=3,IF($C$13="Yes",IF(Summary!B60&lt;&gt;"",Summary!B60,""),""),"")</f>
        <v/>
      </c>
      <c r="N64" s="439" t="str">
        <f t="shared" si="5"/>
        <v/>
      </c>
      <c r="O64">
        <f t="shared" si="6"/>
        <v>0</v>
      </c>
      <c r="Q64" t="str">
        <f>IF($C$15&gt;=4,IF($C$13="Yes",IF(Summary!B60&lt;&gt;"",Summary!B60,""),""),"")</f>
        <v/>
      </c>
      <c r="R64" s="439" t="str">
        <f t="shared" si="7"/>
        <v/>
      </c>
      <c r="S64">
        <f t="shared" si="8"/>
        <v>0</v>
      </c>
      <c r="U64" t="str">
        <f>IF($C$15&gt;=5,IF($C$13="Yes",IF(Summary!B60&lt;&gt;"",Summary!B60,""),""),"")</f>
        <v/>
      </c>
      <c r="V64" s="439" t="str">
        <f t="shared" si="9"/>
        <v/>
      </c>
      <c r="W64">
        <f t="shared" si="10"/>
        <v>0</v>
      </c>
      <c r="Y64" t="str">
        <f>IF($C$13="Yes",IF(Summary!B60&lt;&gt;"",Summary!B60,""),"")</f>
        <v/>
      </c>
      <c r="Z64" s="439" t="str">
        <f t="shared" si="11"/>
        <v/>
      </c>
      <c r="AA64" t="str">
        <f t="shared" si="0"/>
        <v/>
      </c>
    </row>
    <row r="65" spans="2:27">
      <c r="B65" t="str">
        <f>IF(Summary!B61&lt;&gt;"",Summary!B61,"")</f>
        <v/>
      </c>
      <c r="C65" s="439" t="str">
        <f>IF(Summary!C61&lt;&gt;"",Summary!C61,"")</f>
        <v/>
      </c>
      <c r="E65" t="str">
        <f>IF($C$15&gt;=1,IF($C$13="Yes",IF(Summary!B61&lt;&gt;"",Summary!B61,""),""),"")</f>
        <v/>
      </c>
      <c r="F65" t="str">
        <f t="shared" si="1"/>
        <v/>
      </c>
      <c r="G65">
        <f t="shared" si="2"/>
        <v>0</v>
      </c>
      <c r="I65" t="str">
        <f>IF($C$15&gt;=2,IF($C$13="Yes",IF(Summary!B61&lt;&gt;"",Summary!B61,""),""),"")</f>
        <v/>
      </c>
      <c r="J65" s="439" t="str">
        <f t="shared" si="3"/>
        <v/>
      </c>
      <c r="K65">
        <f t="shared" si="4"/>
        <v>0</v>
      </c>
      <c r="M65" t="str">
        <f>IF($C$15&gt;=3,IF($C$13="Yes",IF(Summary!B61&lt;&gt;"",Summary!B61,""),""),"")</f>
        <v/>
      </c>
      <c r="N65" s="439" t="str">
        <f t="shared" si="5"/>
        <v/>
      </c>
      <c r="O65">
        <f t="shared" si="6"/>
        <v>0</v>
      </c>
      <c r="Q65" t="str">
        <f>IF($C$15&gt;=4,IF($C$13="Yes",IF(Summary!B61&lt;&gt;"",Summary!B61,""),""),"")</f>
        <v/>
      </c>
      <c r="R65" s="439" t="str">
        <f t="shared" si="7"/>
        <v/>
      </c>
      <c r="S65">
        <f t="shared" si="8"/>
        <v>0</v>
      </c>
      <c r="U65" t="str">
        <f>IF($C$15&gt;=5,IF($C$13="Yes",IF(Summary!B61&lt;&gt;"",Summary!B61,""),""),"")</f>
        <v/>
      </c>
      <c r="V65" s="439" t="str">
        <f t="shared" si="9"/>
        <v/>
      </c>
      <c r="W65">
        <f t="shared" si="10"/>
        <v>0</v>
      </c>
      <c r="Y65" t="str">
        <f>IF($C$13="Yes",IF(Summary!B61&lt;&gt;"",Summary!B61,""),"")</f>
        <v/>
      </c>
      <c r="Z65" s="439" t="str">
        <f t="shared" si="11"/>
        <v/>
      </c>
      <c r="AA65" t="str">
        <f t="shared" si="0"/>
        <v/>
      </c>
    </row>
    <row r="66" spans="2:27">
      <c r="B66" t="str">
        <f>IF(Summary!B62&lt;&gt;"",Summary!B62,"")</f>
        <v/>
      </c>
      <c r="C66" s="439" t="str">
        <f>IF(Summary!C62&lt;&gt;"",Summary!C62,"")</f>
        <v/>
      </c>
      <c r="E66" t="str">
        <f>IF($C$15&gt;=1,IF($C$13="Yes",IF(Summary!B62&lt;&gt;"",Summary!B62,""),""),"")</f>
        <v/>
      </c>
      <c r="F66" t="str">
        <f t="shared" si="1"/>
        <v/>
      </c>
      <c r="G66">
        <f t="shared" si="2"/>
        <v>0</v>
      </c>
      <c r="I66" t="str">
        <f>IF($C$15&gt;=2,IF($C$13="Yes",IF(Summary!B62&lt;&gt;"",Summary!B62,""),""),"")</f>
        <v/>
      </c>
      <c r="J66" s="439" t="str">
        <f t="shared" si="3"/>
        <v/>
      </c>
      <c r="K66">
        <f t="shared" si="4"/>
        <v>0</v>
      </c>
      <c r="M66" t="str">
        <f>IF($C$15&gt;=3,IF($C$13="Yes",IF(Summary!B62&lt;&gt;"",Summary!B62,""),""),"")</f>
        <v/>
      </c>
      <c r="N66" s="439" t="str">
        <f t="shared" si="5"/>
        <v/>
      </c>
      <c r="O66">
        <f t="shared" si="6"/>
        <v>0</v>
      </c>
      <c r="Q66" t="str">
        <f>IF($C$15&gt;=4,IF($C$13="Yes",IF(Summary!B62&lt;&gt;"",Summary!B62,""),""),"")</f>
        <v/>
      </c>
      <c r="R66" s="439" t="str">
        <f t="shared" si="7"/>
        <v/>
      </c>
      <c r="S66">
        <f t="shared" si="8"/>
        <v>0</v>
      </c>
      <c r="U66" t="str">
        <f>IF($C$15&gt;=5,IF($C$13="Yes",IF(Summary!B62&lt;&gt;"",Summary!B62,""),""),"")</f>
        <v/>
      </c>
      <c r="V66" s="439" t="str">
        <f t="shared" si="9"/>
        <v/>
      </c>
      <c r="W66">
        <f t="shared" si="10"/>
        <v>0</v>
      </c>
      <c r="Y66" t="str">
        <f>IF($C$13="Yes",IF(Summary!B62&lt;&gt;"",Summary!B62,""),"")</f>
        <v/>
      </c>
      <c r="Z66" s="439" t="str">
        <f t="shared" si="11"/>
        <v/>
      </c>
      <c r="AA66" t="str">
        <f t="shared" si="0"/>
        <v/>
      </c>
    </row>
    <row r="67" spans="2:27">
      <c r="B67" t="str">
        <f>IF(Summary!B63&lt;&gt;"",Summary!B63,"")</f>
        <v/>
      </c>
      <c r="C67" s="439" t="str">
        <f>IF(Summary!C63&lt;&gt;"",Summary!C63,"")</f>
        <v/>
      </c>
      <c r="E67" t="str">
        <f>IF($C$15&gt;=1,IF($C$13="Yes",IF(Summary!B63&lt;&gt;"",Summary!B63,""),""),"")</f>
        <v/>
      </c>
      <c r="F67" t="str">
        <f t="shared" si="1"/>
        <v/>
      </c>
      <c r="G67">
        <f t="shared" si="2"/>
        <v>0</v>
      </c>
      <c r="I67" t="str">
        <f>IF($C$15&gt;=2,IF($C$13="Yes",IF(Summary!B63&lt;&gt;"",Summary!B63,""),""),"")</f>
        <v/>
      </c>
      <c r="J67" s="439" t="str">
        <f t="shared" si="3"/>
        <v/>
      </c>
      <c r="K67">
        <f t="shared" si="4"/>
        <v>0</v>
      </c>
      <c r="M67" t="str">
        <f>IF($C$15&gt;=3,IF($C$13="Yes",IF(Summary!B63&lt;&gt;"",Summary!B63,""),""),"")</f>
        <v/>
      </c>
      <c r="N67" s="439" t="str">
        <f t="shared" si="5"/>
        <v/>
      </c>
      <c r="O67">
        <f t="shared" si="6"/>
        <v>0</v>
      </c>
      <c r="Q67" t="str">
        <f>IF($C$15&gt;=4,IF($C$13="Yes",IF(Summary!B63&lt;&gt;"",Summary!B63,""),""),"")</f>
        <v/>
      </c>
      <c r="R67" s="439" t="str">
        <f t="shared" si="7"/>
        <v/>
      </c>
      <c r="S67">
        <f t="shared" si="8"/>
        <v>0</v>
      </c>
      <c r="U67" t="str">
        <f>IF($C$15&gt;=5,IF($C$13="Yes",IF(Summary!B63&lt;&gt;"",Summary!B63,""),""),"")</f>
        <v/>
      </c>
      <c r="V67" s="439" t="str">
        <f t="shared" si="9"/>
        <v/>
      </c>
      <c r="W67">
        <f t="shared" si="10"/>
        <v>0</v>
      </c>
      <c r="Y67" t="str">
        <f>IF($C$13="Yes",IF(Summary!B63&lt;&gt;"",Summary!B63,""),"")</f>
        <v/>
      </c>
      <c r="Z67" s="439" t="str">
        <f t="shared" si="11"/>
        <v/>
      </c>
      <c r="AA67" t="str">
        <f t="shared" si="0"/>
        <v/>
      </c>
    </row>
    <row r="68" spans="2:27">
      <c r="B68" t="str">
        <f>IF(Summary!B64&lt;&gt;"",Summary!B64,"")</f>
        <v/>
      </c>
      <c r="C68" s="439" t="str">
        <f>IF(Summary!C64&lt;&gt;"",Summary!C64,"")</f>
        <v/>
      </c>
      <c r="E68" t="str">
        <f>IF($C$15&gt;=1,IF($C$13="Yes",IF(Summary!B64&lt;&gt;"",Summary!B64,""),""),"")</f>
        <v/>
      </c>
      <c r="F68" t="str">
        <f t="shared" si="1"/>
        <v/>
      </c>
      <c r="G68">
        <f t="shared" si="2"/>
        <v>0</v>
      </c>
      <c r="I68" t="str">
        <f>IF($C$15&gt;=2,IF($C$13="Yes",IF(Summary!B64&lt;&gt;"",Summary!B64,""),""),"")</f>
        <v/>
      </c>
      <c r="J68" s="439" t="str">
        <f t="shared" si="3"/>
        <v/>
      </c>
      <c r="K68">
        <f t="shared" si="4"/>
        <v>0</v>
      </c>
      <c r="M68" t="str">
        <f>IF($C$15&gt;=3,IF($C$13="Yes",IF(Summary!B64&lt;&gt;"",Summary!B64,""),""),"")</f>
        <v/>
      </c>
      <c r="N68" s="439" t="str">
        <f t="shared" si="5"/>
        <v/>
      </c>
      <c r="O68">
        <f t="shared" si="6"/>
        <v>0</v>
      </c>
      <c r="Q68" t="str">
        <f>IF($C$15&gt;=4,IF($C$13="Yes",IF(Summary!B64&lt;&gt;"",Summary!B64,""),""),"")</f>
        <v/>
      </c>
      <c r="R68" s="439" t="str">
        <f t="shared" si="7"/>
        <v/>
      </c>
      <c r="S68">
        <f t="shared" si="8"/>
        <v>0</v>
      </c>
      <c r="U68" t="str">
        <f>IF($C$15&gt;=5,IF($C$13="Yes",IF(Summary!B64&lt;&gt;"",Summary!B64,""),""),"")</f>
        <v/>
      </c>
      <c r="V68" s="439" t="str">
        <f t="shared" si="9"/>
        <v/>
      </c>
      <c r="W68">
        <f t="shared" si="10"/>
        <v>0</v>
      </c>
      <c r="Y68" t="str">
        <f>IF($C$13="Yes",IF(Summary!B64&lt;&gt;"",Summary!B64,""),"")</f>
        <v/>
      </c>
      <c r="Z68" s="439" t="str">
        <f t="shared" si="11"/>
        <v/>
      </c>
      <c r="AA68" t="str">
        <f t="shared" si="0"/>
        <v/>
      </c>
    </row>
    <row r="69" spans="2:27">
      <c r="B69" t="str">
        <f>IF(Summary!B65&lt;&gt;"",Summary!B65,"")</f>
        <v/>
      </c>
      <c r="C69" s="439" t="str">
        <f>IF(Summary!C65&lt;&gt;"",Summary!C65,"")</f>
        <v/>
      </c>
      <c r="E69" t="str">
        <f>IF($C$15&gt;=1,IF($C$13="Yes",IF(Summary!B65&lt;&gt;"",Summary!B65,""),""),"")</f>
        <v/>
      </c>
      <c r="F69" t="str">
        <f t="shared" si="1"/>
        <v/>
      </c>
      <c r="G69">
        <f t="shared" si="2"/>
        <v>0</v>
      </c>
      <c r="I69" t="str">
        <f>IF($C$15&gt;=2,IF($C$13="Yes",IF(Summary!B65&lt;&gt;"",Summary!B65,""),""),"")</f>
        <v/>
      </c>
      <c r="J69" s="439" t="str">
        <f t="shared" si="3"/>
        <v/>
      </c>
      <c r="K69">
        <f t="shared" si="4"/>
        <v>0</v>
      </c>
      <c r="M69" t="str">
        <f>IF($C$15&gt;=3,IF($C$13="Yes",IF(Summary!B65&lt;&gt;"",Summary!B65,""),""),"")</f>
        <v/>
      </c>
      <c r="N69" s="439" t="str">
        <f t="shared" si="5"/>
        <v/>
      </c>
      <c r="O69">
        <f t="shared" si="6"/>
        <v>0</v>
      </c>
      <c r="Q69" t="str">
        <f>IF($C$15&gt;=4,IF($C$13="Yes",IF(Summary!B65&lt;&gt;"",Summary!B65,""),""),"")</f>
        <v/>
      </c>
      <c r="R69" s="439" t="str">
        <f t="shared" si="7"/>
        <v/>
      </c>
      <c r="S69">
        <f t="shared" si="8"/>
        <v>0</v>
      </c>
      <c r="U69" t="str">
        <f>IF($C$15&gt;=5,IF($C$13="Yes",IF(Summary!B65&lt;&gt;"",Summary!B65,""),""),"")</f>
        <v/>
      </c>
      <c r="V69" s="439" t="str">
        <f t="shared" si="9"/>
        <v/>
      </c>
      <c r="W69">
        <f t="shared" si="10"/>
        <v>0</v>
      </c>
      <c r="Y69" t="str">
        <f>IF($C$13="Yes",IF(Summary!B65&lt;&gt;"",Summary!B65,""),"")</f>
        <v/>
      </c>
      <c r="Z69" s="439" t="str">
        <f t="shared" si="11"/>
        <v/>
      </c>
      <c r="AA69" t="str">
        <f t="shared" si="0"/>
        <v/>
      </c>
    </row>
    <row r="70" spans="2:27">
      <c r="B70" t="str">
        <f>IF(Summary!B66&lt;&gt;"",Summary!B66,"")</f>
        <v/>
      </c>
      <c r="C70" s="439" t="str">
        <f>IF(Summary!C66&lt;&gt;"",Summary!C66,"")</f>
        <v/>
      </c>
      <c r="E70" t="str">
        <f>IF($C$15&gt;=1,IF($C$13="Yes",IF(Summary!B66&lt;&gt;"",Summary!B66,""),""),"")</f>
        <v/>
      </c>
      <c r="F70" t="str">
        <f t="shared" si="1"/>
        <v/>
      </c>
      <c r="G70">
        <f t="shared" si="2"/>
        <v>0</v>
      </c>
      <c r="I70" t="str">
        <f>IF($C$15&gt;=2,IF($C$13="Yes",IF(Summary!B66&lt;&gt;"",Summary!B66,""),""),"")</f>
        <v/>
      </c>
      <c r="J70" s="439" t="str">
        <f t="shared" si="3"/>
        <v/>
      </c>
      <c r="K70">
        <f t="shared" si="4"/>
        <v>0</v>
      </c>
      <c r="M70" t="str">
        <f>IF($C$15&gt;=3,IF($C$13="Yes",IF(Summary!B66&lt;&gt;"",Summary!B66,""),""),"")</f>
        <v/>
      </c>
      <c r="N70" s="439" t="str">
        <f t="shared" si="5"/>
        <v/>
      </c>
      <c r="O70">
        <f t="shared" si="6"/>
        <v>0</v>
      </c>
      <c r="Q70" t="str">
        <f>IF($C$15&gt;=4,IF($C$13="Yes",IF(Summary!B66&lt;&gt;"",Summary!B66,""),""),"")</f>
        <v/>
      </c>
      <c r="R70" s="439" t="str">
        <f t="shared" si="7"/>
        <v/>
      </c>
      <c r="S70">
        <f t="shared" si="8"/>
        <v>0</v>
      </c>
      <c r="U70" t="str">
        <f>IF($C$15&gt;=5,IF($C$13="Yes",IF(Summary!B66&lt;&gt;"",Summary!B66,""),""),"")</f>
        <v/>
      </c>
      <c r="V70" s="439" t="str">
        <f t="shared" si="9"/>
        <v/>
      </c>
      <c r="W70">
        <f t="shared" si="10"/>
        <v>0</v>
      </c>
      <c r="Y70" t="str">
        <f>IF($C$13="Yes",IF(Summary!B66&lt;&gt;"",Summary!B66,""),"")</f>
        <v/>
      </c>
      <c r="Z70" s="439" t="str">
        <f t="shared" si="11"/>
        <v/>
      </c>
      <c r="AA70" t="str">
        <f t="shared" si="0"/>
        <v/>
      </c>
    </row>
    <row r="71" spans="2:27">
      <c r="B71" t="str">
        <f>IF(Summary!B67&lt;&gt;"",Summary!B67,"")</f>
        <v/>
      </c>
      <c r="C71" s="439" t="str">
        <f>IF(Summary!C67&lt;&gt;"",Summary!C67,"")</f>
        <v/>
      </c>
      <c r="E71" t="str">
        <f>IF($C$15&gt;=1,IF($C$13="Yes",IF(Summary!B67&lt;&gt;"",Summary!B67,""),""),"")</f>
        <v/>
      </c>
      <c r="F71" t="str">
        <f t="shared" si="1"/>
        <v/>
      </c>
      <c r="G71">
        <f t="shared" si="2"/>
        <v>0</v>
      </c>
      <c r="I71" t="str">
        <f>IF($C$15&gt;=2,IF($C$13="Yes",IF(Summary!B67&lt;&gt;"",Summary!B67,""),""),"")</f>
        <v/>
      </c>
      <c r="J71" s="439" t="str">
        <f t="shared" si="3"/>
        <v/>
      </c>
      <c r="K71">
        <f t="shared" si="4"/>
        <v>0</v>
      </c>
      <c r="M71" t="str">
        <f>IF($C$15&gt;=3,IF($C$13="Yes",IF(Summary!B67&lt;&gt;"",Summary!B67,""),""),"")</f>
        <v/>
      </c>
      <c r="N71" s="439" t="str">
        <f t="shared" si="5"/>
        <v/>
      </c>
      <c r="O71">
        <f t="shared" si="6"/>
        <v>0</v>
      </c>
      <c r="Q71" t="str">
        <f>IF($C$15&gt;=4,IF($C$13="Yes",IF(Summary!B67&lt;&gt;"",Summary!B67,""),""),"")</f>
        <v/>
      </c>
      <c r="R71" s="439" t="str">
        <f t="shared" si="7"/>
        <v/>
      </c>
      <c r="S71">
        <f t="shared" si="8"/>
        <v>0</v>
      </c>
      <c r="U71" t="str">
        <f>IF($C$15&gt;=5,IF($C$13="Yes",IF(Summary!B67&lt;&gt;"",Summary!B67,""),""),"")</f>
        <v/>
      </c>
      <c r="V71" s="439" t="str">
        <f t="shared" si="9"/>
        <v/>
      </c>
      <c r="W71">
        <f t="shared" si="10"/>
        <v>0</v>
      </c>
      <c r="Y71" t="str">
        <f>IF($C$13="Yes",IF(Summary!B67&lt;&gt;"",Summary!B67,""),"")</f>
        <v/>
      </c>
      <c r="Z71" s="439" t="str">
        <f t="shared" si="11"/>
        <v/>
      </c>
      <c r="AA71" t="str">
        <f t="shared" si="0"/>
        <v/>
      </c>
    </row>
    <row r="72" spans="2:27">
      <c r="B72" t="str">
        <f>IF(Summary!B68&lt;&gt;"",Summary!B68,"")</f>
        <v/>
      </c>
      <c r="C72" s="439" t="str">
        <f>IF(Summary!C68&lt;&gt;"",Summary!C68,"")</f>
        <v/>
      </c>
      <c r="E72" t="str">
        <f>IF($C$15&gt;=1,IF($C$13="Yes",IF(Summary!B68&lt;&gt;"",Summary!B68,""),""),"")</f>
        <v/>
      </c>
      <c r="F72" t="str">
        <f t="shared" si="1"/>
        <v/>
      </c>
      <c r="G72">
        <f t="shared" si="2"/>
        <v>0</v>
      </c>
      <c r="I72" t="str">
        <f>IF($C$15&gt;=2,IF($C$13="Yes",IF(Summary!B68&lt;&gt;"",Summary!B68,""),""),"")</f>
        <v/>
      </c>
      <c r="J72" s="439" t="str">
        <f t="shared" si="3"/>
        <v/>
      </c>
      <c r="K72">
        <f t="shared" si="4"/>
        <v>0</v>
      </c>
      <c r="M72" t="str">
        <f>IF($C$15&gt;=3,IF($C$13="Yes",IF(Summary!B68&lt;&gt;"",Summary!B68,""),""),"")</f>
        <v/>
      </c>
      <c r="N72" s="439" t="str">
        <f t="shared" si="5"/>
        <v/>
      </c>
      <c r="O72">
        <f t="shared" si="6"/>
        <v>0</v>
      </c>
      <c r="Q72" t="str">
        <f>IF($C$15&gt;=4,IF($C$13="Yes",IF(Summary!B68&lt;&gt;"",Summary!B68,""),""),"")</f>
        <v/>
      </c>
      <c r="R72" s="439" t="str">
        <f t="shared" si="7"/>
        <v/>
      </c>
      <c r="S72">
        <f t="shared" si="8"/>
        <v>0</v>
      </c>
      <c r="U72" t="str">
        <f>IF($C$15&gt;=5,IF($C$13="Yes",IF(Summary!B68&lt;&gt;"",Summary!B68,""),""),"")</f>
        <v/>
      </c>
      <c r="V72" s="439" t="str">
        <f t="shared" si="9"/>
        <v/>
      </c>
      <c r="W72">
        <f t="shared" si="10"/>
        <v>0</v>
      </c>
      <c r="Y72" t="str">
        <f>IF($C$13="Yes",IF(Summary!B68&lt;&gt;"",Summary!B68,""),"")</f>
        <v/>
      </c>
      <c r="Z72" s="439" t="str">
        <f t="shared" si="11"/>
        <v/>
      </c>
      <c r="AA72" t="str">
        <f t="shared" si="0"/>
        <v/>
      </c>
    </row>
    <row r="73" spans="2:27">
      <c r="B73" t="str">
        <f>IF(Summary!B69&lt;&gt;"",Summary!B69,"")</f>
        <v/>
      </c>
      <c r="C73" s="439" t="str">
        <f>IF(Summary!C69&lt;&gt;"",Summary!C69,"")</f>
        <v/>
      </c>
      <c r="E73" t="str">
        <f>IF($C$15&gt;=1,IF($C$13="Yes",IF(Summary!B69&lt;&gt;"",Summary!B69,""),""),"")</f>
        <v/>
      </c>
      <c r="F73" t="str">
        <f t="shared" si="1"/>
        <v/>
      </c>
      <c r="G73">
        <f t="shared" si="2"/>
        <v>0</v>
      </c>
      <c r="I73" t="str">
        <f>IF($C$15&gt;=2,IF($C$13="Yes",IF(Summary!B69&lt;&gt;"",Summary!B69,""),""),"")</f>
        <v/>
      </c>
      <c r="J73" s="439" t="str">
        <f t="shared" si="3"/>
        <v/>
      </c>
      <c r="K73">
        <f t="shared" si="4"/>
        <v>0</v>
      </c>
      <c r="M73" t="str">
        <f>IF($C$15&gt;=3,IF($C$13="Yes",IF(Summary!B69&lt;&gt;"",Summary!B69,""),""),"")</f>
        <v/>
      </c>
      <c r="N73" s="439" t="str">
        <f t="shared" si="5"/>
        <v/>
      </c>
      <c r="O73">
        <f t="shared" si="6"/>
        <v>0</v>
      </c>
      <c r="Q73" t="str">
        <f>IF($C$15&gt;=4,IF($C$13="Yes",IF(Summary!B69&lt;&gt;"",Summary!B69,""),""),"")</f>
        <v/>
      </c>
      <c r="R73" s="439" t="str">
        <f t="shared" si="7"/>
        <v/>
      </c>
      <c r="S73">
        <f t="shared" si="8"/>
        <v>0</v>
      </c>
      <c r="U73" t="str">
        <f>IF($C$15&gt;=5,IF($C$13="Yes",IF(Summary!B69&lt;&gt;"",Summary!B69,""),""),"")</f>
        <v/>
      </c>
      <c r="V73" s="439" t="str">
        <f t="shared" si="9"/>
        <v/>
      </c>
      <c r="W73">
        <f t="shared" si="10"/>
        <v>0</v>
      </c>
      <c r="Y73" t="str">
        <f>IF($C$13="Yes",IF(Summary!B69&lt;&gt;"",Summary!B69,""),"")</f>
        <v/>
      </c>
      <c r="Z73" s="439" t="str">
        <f t="shared" si="11"/>
        <v/>
      </c>
      <c r="AA73" t="str">
        <f t="shared" si="0"/>
        <v/>
      </c>
    </row>
    <row r="74" spans="2:27">
      <c r="B74" t="str">
        <f>IF(Summary!B70&lt;&gt;"",Summary!B70,"")</f>
        <v/>
      </c>
      <c r="C74" t="str">
        <f>IF(Summary!C70&lt;&gt;"",Summary!C70,"")</f>
        <v/>
      </c>
      <c r="E74" t="str">
        <f>IF($C$15&gt;=1,IF($C$13="Yes",IF(Summary!B70&lt;&gt;"",Summary!B70,""),""),"")</f>
        <v/>
      </c>
      <c r="F74" t="str">
        <f t="shared" si="1"/>
        <v/>
      </c>
      <c r="G74">
        <f t="shared" si="2"/>
        <v>0</v>
      </c>
      <c r="I74" t="str">
        <f>IF($C$15&gt;=2,IF($C$13="Yes",IF(Summary!B70&lt;&gt;"",Summary!B70,""),""),"")</f>
        <v/>
      </c>
      <c r="J74" t="str">
        <f t="shared" si="3"/>
        <v/>
      </c>
      <c r="K74">
        <f t="shared" si="4"/>
        <v>0</v>
      </c>
      <c r="M74" t="str">
        <f>IF($C$15&gt;=3,IF($C$13="Yes",IF(Summary!B70&lt;&gt;"",Summary!B70,""),""),"")</f>
        <v/>
      </c>
      <c r="N74" t="str">
        <f t="shared" si="5"/>
        <v/>
      </c>
      <c r="O74">
        <f t="shared" si="6"/>
        <v>0</v>
      </c>
      <c r="Q74" t="str">
        <f>IF($C$15&gt;=4,IF($C$13="Yes",IF(Summary!B70&lt;&gt;"",Summary!B70,""),""),"")</f>
        <v/>
      </c>
      <c r="R74" t="str">
        <f t="shared" si="7"/>
        <v/>
      </c>
      <c r="S74">
        <f t="shared" si="8"/>
        <v>0</v>
      </c>
      <c r="U74" t="str">
        <f>IF($C$15&gt;=5,IF($C$13="Yes",IF(Summary!B70&lt;&gt;"",Summary!B70,""),""),"")</f>
        <v/>
      </c>
      <c r="V74" t="str">
        <f t="shared" si="9"/>
        <v/>
      </c>
      <c r="W74">
        <f t="shared" si="10"/>
        <v>0</v>
      </c>
      <c r="Y74" t="str">
        <f>IF($C$13="Yes",IF(Summary!B70&lt;&gt;"",Summary!B70,""),"")</f>
        <v/>
      </c>
      <c r="Z74" s="439" t="str">
        <f t="shared" si="11"/>
        <v/>
      </c>
      <c r="AA74" t="str">
        <f t="shared" si="0"/>
        <v/>
      </c>
    </row>
    <row r="75" spans="2:27">
      <c r="B75" t="str">
        <f>IF(Summary!B71&lt;&gt;"",Summary!B71,"")</f>
        <v/>
      </c>
      <c r="C75" t="str">
        <f>IF(Summary!C71&lt;&gt;"",Summary!C71,"")</f>
        <v/>
      </c>
      <c r="E75" t="str">
        <f>IF($C$15&gt;=1,IF($C$13="Yes",IF(Summary!B71&lt;&gt;"",Summary!B71,""),""),"")</f>
        <v/>
      </c>
      <c r="F75" t="str">
        <f t="shared" si="1"/>
        <v/>
      </c>
      <c r="G75">
        <f t="shared" si="2"/>
        <v>0</v>
      </c>
      <c r="I75" t="str">
        <f>IF($C$15&gt;=2,IF($C$13="Yes",IF(Summary!B71&lt;&gt;"",Summary!B71,""),""),"")</f>
        <v/>
      </c>
      <c r="J75" t="str">
        <f t="shared" si="3"/>
        <v/>
      </c>
      <c r="K75">
        <f t="shared" si="4"/>
        <v>0</v>
      </c>
      <c r="M75" t="str">
        <f>IF($C$15&gt;=3,IF($C$13="Yes",IF(Summary!B71&lt;&gt;"",Summary!B71,""),""),"")</f>
        <v/>
      </c>
      <c r="N75" t="str">
        <f t="shared" si="5"/>
        <v/>
      </c>
      <c r="O75">
        <f t="shared" si="6"/>
        <v>0</v>
      </c>
      <c r="Q75" t="str">
        <f>IF($C$15&gt;=4,IF($C$13="Yes",IF(Summary!B71&lt;&gt;"",Summary!B71,""),""),"")</f>
        <v/>
      </c>
      <c r="R75" t="str">
        <f t="shared" si="7"/>
        <v/>
      </c>
      <c r="S75">
        <f t="shared" si="8"/>
        <v>0</v>
      </c>
      <c r="U75" t="str">
        <f>IF($C$15&gt;=5,IF($C$13="Yes",IF(Summary!B71&lt;&gt;"",Summary!B71,""),""),"")</f>
        <v/>
      </c>
      <c r="V75" t="str">
        <f t="shared" si="9"/>
        <v/>
      </c>
      <c r="W75">
        <f t="shared" si="10"/>
        <v>0</v>
      </c>
      <c r="Y75" t="str">
        <f>IF($C$13="Yes",IF(Summary!B71&lt;&gt;"",Summary!B71,""),"")</f>
        <v/>
      </c>
      <c r="Z75" s="439" t="str">
        <f t="shared" si="11"/>
        <v/>
      </c>
      <c r="AA75" t="str">
        <f t="shared" si="0"/>
        <v/>
      </c>
    </row>
    <row r="76" spans="2:27">
      <c r="B76" t="str">
        <f>IF(Summary!B72&lt;&gt;"",Summary!B72,"")</f>
        <v/>
      </c>
      <c r="C76" t="str">
        <f>IF(Summary!C72&lt;&gt;"",Summary!C72,"")</f>
        <v/>
      </c>
      <c r="E76" t="str">
        <f>IF($C$15&gt;=1,IF($C$13="Yes",IF(Summary!B72&lt;&gt;"",Summary!B72,""),""),"")</f>
        <v/>
      </c>
      <c r="F76" t="str">
        <f t="shared" si="1"/>
        <v/>
      </c>
      <c r="G76">
        <f t="shared" si="2"/>
        <v>0</v>
      </c>
      <c r="I76" t="str">
        <f>IF($C$15&gt;=2,IF($C$13="Yes",IF(Summary!B72&lt;&gt;"",Summary!B72,""),""),"")</f>
        <v/>
      </c>
      <c r="J76" t="str">
        <f t="shared" si="3"/>
        <v/>
      </c>
      <c r="K76">
        <f t="shared" si="4"/>
        <v>0</v>
      </c>
      <c r="M76" t="str">
        <f>IF($C$15&gt;=3,IF($C$13="Yes",IF(Summary!B72&lt;&gt;"",Summary!B72,""),""),"")</f>
        <v/>
      </c>
      <c r="N76" t="str">
        <f t="shared" si="5"/>
        <v/>
      </c>
      <c r="O76">
        <f t="shared" si="6"/>
        <v>0</v>
      </c>
      <c r="Q76" t="str">
        <f>IF($C$15&gt;=4,IF($C$13="Yes",IF(Summary!B72&lt;&gt;"",Summary!B72,""),""),"")</f>
        <v/>
      </c>
      <c r="R76" t="str">
        <f t="shared" si="7"/>
        <v/>
      </c>
      <c r="S76">
        <f t="shared" si="8"/>
        <v>0</v>
      </c>
      <c r="U76" t="str">
        <f>IF($C$15&gt;=5,IF($C$13="Yes",IF(Summary!B72&lt;&gt;"",Summary!B72,""),""),"")</f>
        <v/>
      </c>
      <c r="V76" t="str">
        <f t="shared" si="9"/>
        <v/>
      </c>
      <c r="W76">
        <f t="shared" si="10"/>
        <v>0</v>
      </c>
      <c r="Y76" t="str">
        <f>IF($C$13="Yes",IF(Summary!B72&lt;&gt;"",Summary!B72,""),"")</f>
        <v/>
      </c>
      <c r="Z76" s="439" t="str">
        <f t="shared" si="11"/>
        <v/>
      </c>
      <c r="AA76" t="str">
        <f t="shared" si="0"/>
        <v/>
      </c>
    </row>
    <row r="77" spans="2:27">
      <c r="B77" t="str">
        <f>IF(Summary!B73&lt;&gt;"",Summary!B73,"")</f>
        <v/>
      </c>
      <c r="C77" t="str">
        <f>IF(Summary!C73&lt;&gt;"",Summary!C73,"")</f>
        <v/>
      </c>
      <c r="E77" t="str">
        <f>IF($C$15&gt;=1,IF($C$13="Yes",IF(Summary!B73&lt;&gt;"",Summary!B73,""),""),"")</f>
        <v/>
      </c>
      <c r="F77" t="str">
        <f t="shared" si="1"/>
        <v/>
      </c>
      <c r="G77">
        <f t="shared" si="2"/>
        <v>0</v>
      </c>
      <c r="I77" t="str">
        <f>IF($C$15&gt;=2,IF($C$13="Yes",IF(Summary!B73&lt;&gt;"",Summary!B73,""),""),"")</f>
        <v/>
      </c>
      <c r="J77" t="str">
        <f t="shared" si="3"/>
        <v/>
      </c>
      <c r="K77">
        <f t="shared" si="4"/>
        <v>0</v>
      </c>
      <c r="M77" t="str">
        <f>IF($C$15&gt;=3,IF($C$13="Yes",IF(Summary!B73&lt;&gt;"",Summary!B73,""),""),"")</f>
        <v/>
      </c>
      <c r="N77" t="str">
        <f t="shared" si="5"/>
        <v/>
      </c>
      <c r="O77">
        <f t="shared" si="6"/>
        <v>0</v>
      </c>
      <c r="Q77" t="str">
        <f>IF($C$15&gt;=4,IF($C$13="Yes",IF(Summary!B73&lt;&gt;"",Summary!B73,""),""),"")</f>
        <v/>
      </c>
      <c r="R77" t="str">
        <f t="shared" si="7"/>
        <v/>
      </c>
      <c r="S77">
        <f t="shared" si="8"/>
        <v>0</v>
      </c>
      <c r="U77" t="str">
        <f>IF($C$15&gt;=5,IF($C$13="Yes",IF(Summary!B73&lt;&gt;"",Summary!B73,""),""),"")</f>
        <v/>
      </c>
      <c r="V77" t="str">
        <f t="shared" si="9"/>
        <v/>
      </c>
      <c r="W77">
        <f t="shared" si="10"/>
        <v>0</v>
      </c>
      <c r="Y77" t="str">
        <f>IF($C$13="Yes",IF(Summary!B73&lt;&gt;"",Summary!B73,""),"")</f>
        <v/>
      </c>
      <c r="Z77" s="439" t="str">
        <f t="shared" si="11"/>
        <v/>
      </c>
      <c r="AA77" t="str">
        <f t="shared" si="0"/>
        <v/>
      </c>
    </row>
    <row r="78" spans="2:27">
      <c r="B78" t="str">
        <f>IF(Summary!B74&lt;&gt;"",Summary!B74,"")</f>
        <v/>
      </c>
      <c r="C78" t="str">
        <f>IF(Summary!C74&lt;&gt;"",Summary!C74,"")</f>
        <v/>
      </c>
      <c r="E78" t="str">
        <f>IF($C$15&gt;=1,IF($C$13="Yes",IF(Summary!B74&lt;&gt;"",Summary!B74,""),""),"")</f>
        <v/>
      </c>
      <c r="F78" t="str">
        <f t="shared" si="1"/>
        <v/>
      </c>
      <c r="G78">
        <f t="shared" si="2"/>
        <v>0</v>
      </c>
      <c r="I78" t="str">
        <f>IF($C$15&gt;=2,IF($C$13="Yes",IF(Summary!B74&lt;&gt;"",Summary!B74,""),""),"")</f>
        <v/>
      </c>
      <c r="J78" t="str">
        <f t="shared" si="3"/>
        <v/>
      </c>
      <c r="K78">
        <f t="shared" si="4"/>
        <v>0</v>
      </c>
      <c r="M78" t="str">
        <f>IF($C$15&gt;=3,IF($C$13="Yes",IF(Summary!B74&lt;&gt;"",Summary!B74,""),""),"")</f>
        <v/>
      </c>
      <c r="N78" t="str">
        <f t="shared" si="5"/>
        <v/>
      </c>
      <c r="O78">
        <f t="shared" si="6"/>
        <v>0</v>
      </c>
      <c r="Q78" t="str">
        <f>IF($C$15&gt;=4,IF($C$13="Yes",IF(Summary!B74&lt;&gt;"",Summary!B74,""),""),"")</f>
        <v/>
      </c>
      <c r="R78" t="str">
        <f t="shared" si="7"/>
        <v/>
      </c>
      <c r="S78">
        <f t="shared" si="8"/>
        <v>0</v>
      </c>
      <c r="U78" t="str">
        <f>IF($C$15&gt;=5,IF($C$13="Yes",IF(Summary!B74&lt;&gt;"",Summary!B74,""),""),"")</f>
        <v/>
      </c>
      <c r="V78" t="str">
        <f t="shared" si="9"/>
        <v/>
      </c>
      <c r="W78">
        <f t="shared" si="10"/>
        <v>0</v>
      </c>
      <c r="Y78" t="str">
        <f>IF($C$13="Yes",IF(Summary!B74&lt;&gt;"",Summary!B74,""),"")</f>
        <v/>
      </c>
      <c r="Z78" s="439" t="str">
        <f t="shared" si="11"/>
        <v/>
      </c>
      <c r="AA78" t="str">
        <f t="shared" si="0"/>
        <v/>
      </c>
    </row>
    <row r="79" spans="2:27">
      <c r="B79" t="str">
        <f>IF(Summary!B75&lt;&gt;"",Summary!B75,"")</f>
        <v/>
      </c>
      <c r="C79" t="str">
        <f>IF(Summary!C75&lt;&gt;"",Summary!C75,"")</f>
        <v/>
      </c>
      <c r="E79" t="str">
        <f>IF($C$15&gt;=1,IF($C$13="Yes",IF(Summary!B75&lt;&gt;"",Summary!B75,""),""),"")</f>
        <v/>
      </c>
      <c r="F79" t="str">
        <f t="shared" si="1"/>
        <v/>
      </c>
      <c r="G79">
        <f t="shared" si="2"/>
        <v>0</v>
      </c>
      <c r="I79" t="str">
        <f>IF($C$15&gt;=2,IF($C$13="Yes",IF(Summary!B75&lt;&gt;"",Summary!B75,""),""),"")</f>
        <v/>
      </c>
      <c r="J79" t="str">
        <f t="shared" si="3"/>
        <v/>
      </c>
      <c r="K79">
        <f t="shared" si="4"/>
        <v>0</v>
      </c>
      <c r="M79" t="str">
        <f>IF($C$15&gt;=3,IF($C$13="Yes",IF(Summary!B75&lt;&gt;"",Summary!B75,""),""),"")</f>
        <v/>
      </c>
      <c r="N79" t="str">
        <f t="shared" si="5"/>
        <v/>
      </c>
      <c r="O79">
        <f t="shared" si="6"/>
        <v>0</v>
      </c>
      <c r="Q79" t="str">
        <f>IF($C$15&gt;=4,IF($C$13="Yes",IF(Summary!B75&lt;&gt;"",Summary!B75,""),""),"")</f>
        <v/>
      </c>
      <c r="R79" t="str">
        <f t="shared" si="7"/>
        <v/>
      </c>
      <c r="S79">
        <f t="shared" si="8"/>
        <v>0</v>
      </c>
      <c r="U79" t="str">
        <f>IF($C$15&gt;=5,IF($C$13="Yes",IF(Summary!B75&lt;&gt;"",Summary!B75,""),""),"")</f>
        <v/>
      </c>
      <c r="V79" t="str">
        <f t="shared" si="9"/>
        <v/>
      </c>
      <c r="W79">
        <f t="shared" si="10"/>
        <v>0</v>
      </c>
      <c r="Y79" t="str">
        <f>IF($C$13="Yes",IF(Summary!B75&lt;&gt;"",Summary!B75,""),"")</f>
        <v/>
      </c>
      <c r="Z79" s="439" t="str">
        <f t="shared" si="11"/>
        <v/>
      </c>
      <c r="AA79" t="str">
        <f t="shared" si="0"/>
        <v/>
      </c>
    </row>
    <row r="80" spans="2:27">
      <c r="B80" t="str">
        <f>IF(Summary!B76&lt;&gt;"",Summary!B76,"")</f>
        <v/>
      </c>
      <c r="C80" t="str">
        <f>IF(Summary!C76&lt;&gt;"",Summary!C76,"")</f>
        <v/>
      </c>
      <c r="E80" t="str">
        <f>IF($C$15&gt;=1,IF($C$13="Yes",IF(Summary!B76&lt;&gt;"",Summary!B76,""),""),"")</f>
        <v/>
      </c>
      <c r="F80" t="str">
        <f t="shared" si="1"/>
        <v/>
      </c>
      <c r="G80">
        <f t="shared" si="2"/>
        <v>0</v>
      </c>
      <c r="I80" t="str">
        <f>IF($C$15&gt;=2,IF($C$13="Yes",IF(Summary!B76&lt;&gt;"",Summary!B76,""),""),"")</f>
        <v/>
      </c>
      <c r="J80" t="str">
        <f t="shared" si="3"/>
        <v/>
      </c>
      <c r="K80">
        <f t="shared" si="4"/>
        <v>0</v>
      </c>
      <c r="M80" t="str">
        <f>IF($C$15&gt;=3,IF($C$13="Yes",IF(Summary!B76&lt;&gt;"",Summary!B76,""),""),"")</f>
        <v/>
      </c>
      <c r="N80" t="str">
        <f t="shared" si="5"/>
        <v/>
      </c>
      <c r="O80">
        <f t="shared" si="6"/>
        <v>0</v>
      </c>
      <c r="Q80" t="str">
        <f>IF($C$15&gt;=4,IF($C$13="Yes",IF(Summary!B76&lt;&gt;"",Summary!B76,""),""),"")</f>
        <v/>
      </c>
      <c r="R80" t="str">
        <f t="shared" si="7"/>
        <v/>
      </c>
      <c r="S80">
        <f t="shared" si="8"/>
        <v>0</v>
      </c>
      <c r="U80" t="str">
        <f>IF($C$15&gt;=5,IF($C$13="Yes",IF(Summary!B76&lt;&gt;"",Summary!B76,""),""),"")</f>
        <v/>
      </c>
      <c r="V80" t="str">
        <f t="shared" si="9"/>
        <v/>
      </c>
      <c r="W80">
        <f t="shared" si="10"/>
        <v>0</v>
      </c>
      <c r="Y80" t="str">
        <f>IF($C$13="Yes",IF(Summary!B76&lt;&gt;"",Summary!B76,""),"")</f>
        <v/>
      </c>
      <c r="Z80" s="439" t="str">
        <f t="shared" si="11"/>
        <v/>
      </c>
      <c r="AA80" t="str">
        <f t="shared" si="0"/>
        <v/>
      </c>
    </row>
    <row r="81" spans="2:27">
      <c r="B81" t="str">
        <f>IF(Summary!B77&lt;&gt;"",Summary!B77,"")</f>
        <v/>
      </c>
      <c r="C81" t="str">
        <f>IF(Summary!C77&lt;&gt;"",Summary!C77,"")</f>
        <v/>
      </c>
      <c r="E81" t="str">
        <f>IF($C$15&gt;=1,IF($C$13="Yes",IF(Summary!B77&lt;&gt;"",Summary!B77,""),""),"")</f>
        <v/>
      </c>
      <c r="F81" t="str">
        <f t="shared" si="1"/>
        <v/>
      </c>
      <c r="G81">
        <f t="shared" si="2"/>
        <v>0</v>
      </c>
      <c r="I81" t="str">
        <f>IF($C$15&gt;=2,IF($C$13="Yes",IF(Summary!B77&lt;&gt;"",Summary!B77,""),""),"")</f>
        <v/>
      </c>
      <c r="J81" t="str">
        <f t="shared" si="3"/>
        <v/>
      </c>
      <c r="K81">
        <f t="shared" si="4"/>
        <v>0</v>
      </c>
      <c r="M81" t="str">
        <f>IF($C$15&gt;=3,IF($C$13="Yes",IF(Summary!B77&lt;&gt;"",Summary!B77,""),""),"")</f>
        <v/>
      </c>
      <c r="N81" t="str">
        <f t="shared" si="5"/>
        <v/>
      </c>
      <c r="O81">
        <f t="shared" si="6"/>
        <v>0</v>
      </c>
      <c r="Q81" t="str">
        <f>IF($C$15&gt;=4,IF($C$13="Yes",IF(Summary!B77&lt;&gt;"",Summary!B77,""),""),"")</f>
        <v/>
      </c>
      <c r="R81" t="str">
        <f t="shared" si="7"/>
        <v/>
      </c>
      <c r="S81">
        <f t="shared" si="8"/>
        <v>0</v>
      </c>
      <c r="U81" t="str">
        <f>IF($C$15&gt;=5,IF($C$13="Yes",IF(Summary!B77&lt;&gt;"",Summary!B77,""),""),"")</f>
        <v/>
      </c>
      <c r="V81" t="str">
        <f t="shared" si="9"/>
        <v/>
      </c>
      <c r="W81">
        <f t="shared" si="10"/>
        <v>0</v>
      </c>
      <c r="Y81" t="str">
        <f>IF($C$13="Yes",IF(Summary!B77&lt;&gt;"",Summary!B77,""),"")</f>
        <v/>
      </c>
      <c r="Z81" s="439" t="str">
        <f t="shared" si="11"/>
        <v/>
      </c>
      <c r="AA81" t="str">
        <f t="shared" si="0"/>
        <v/>
      </c>
    </row>
    <row r="82" spans="2:27">
      <c r="B82" t="str">
        <f>IF(Summary!B78&lt;&gt;"",Summary!B78,"")</f>
        <v/>
      </c>
      <c r="C82" t="str">
        <f>IF(Summary!C78&lt;&gt;"",Summary!C78,"")</f>
        <v/>
      </c>
      <c r="E82" t="str">
        <f>IF($C$15&gt;=1,IF($C$13="Yes",IF(Summary!B78&lt;&gt;"",Summary!B78,""),""),"")</f>
        <v/>
      </c>
      <c r="F82" t="str">
        <f t="shared" si="1"/>
        <v/>
      </c>
      <c r="G82">
        <f t="shared" si="2"/>
        <v>0</v>
      </c>
      <c r="I82" t="str">
        <f>IF($C$15&gt;=2,IF($C$13="Yes",IF(Summary!B78&lt;&gt;"",Summary!B78,""),""),"")</f>
        <v/>
      </c>
      <c r="J82" t="str">
        <f t="shared" si="3"/>
        <v/>
      </c>
      <c r="K82">
        <f t="shared" si="4"/>
        <v>0</v>
      </c>
      <c r="M82" t="str">
        <f>IF($C$15&gt;=3,IF($C$13="Yes",IF(Summary!B78&lt;&gt;"",Summary!B78,""),""),"")</f>
        <v/>
      </c>
      <c r="N82" t="str">
        <f t="shared" si="5"/>
        <v/>
      </c>
      <c r="O82">
        <f t="shared" si="6"/>
        <v>0</v>
      </c>
      <c r="Q82" t="str">
        <f>IF($C$15&gt;=4,IF($C$13="Yes",IF(Summary!B78&lt;&gt;"",Summary!B78,""),""),"")</f>
        <v/>
      </c>
      <c r="R82" t="str">
        <f t="shared" si="7"/>
        <v/>
      </c>
      <c r="S82">
        <f t="shared" si="8"/>
        <v>0</v>
      </c>
      <c r="U82" t="str">
        <f>IF($C$15&gt;=5,IF($C$13="Yes",IF(Summary!B78&lt;&gt;"",Summary!B78,""),""),"")</f>
        <v/>
      </c>
      <c r="V82" t="str">
        <f t="shared" si="9"/>
        <v/>
      </c>
      <c r="W82">
        <f t="shared" si="10"/>
        <v>0</v>
      </c>
      <c r="Y82" t="str">
        <f>IF($C$13="Yes",IF(Summary!B78&lt;&gt;"",Summary!B78,""),"")</f>
        <v/>
      </c>
      <c r="Z82" s="439" t="str">
        <f t="shared" si="11"/>
        <v/>
      </c>
      <c r="AA82" t="str">
        <f t="shared" ref="AA82:AA145" si="12">IF(Y82&lt;&gt;"Total",Z82,0)</f>
        <v/>
      </c>
    </row>
    <row r="83" spans="2:27">
      <c r="B83" t="str">
        <f>IF(Summary!B79&lt;&gt;"",Summary!B79,"")</f>
        <v/>
      </c>
      <c r="C83" t="str">
        <f>IF(Summary!C79&lt;&gt;"",Summary!C79,"")</f>
        <v/>
      </c>
      <c r="E83" t="str">
        <f>IF($C$15&gt;=1,IF($C$13="Yes",IF(Summary!B79&lt;&gt;"",Summary!B79,""),""),"")</f>
        <v/>
      </c>
      <c r="F83" t="str">
        <f t="shared" ref="F83:F146" si="13">IF($C$15&gt;=1,IFERROR(IF($C$13="Yes",(C83*$C$14),""),""),"")</f>
        <v/>
      </c>
      <c r="G83">
        <f t="shared" ref="G83:G146" si="14">IF(F83="",0,F83)</f>
        <v>0</v>
      </c>
      <c r="I83" t="str">
        <f>IF($C$15&gt;=2,IF($C$13="Yes",IF(Summary!B79&lt;&gt;"",Summary!B79,""),""),"")</f>
        <v/>
      </c>
      <c r="J83" t="str">
        <f t="shared" ref="J83:J146" si="15">IF($C$15&gt;=2,IFERROR(IF($C$13="Yes",(C83*$C$14),""),""),"")</f>
        <v/>
      </c>
      <c r="K83">
        <f t="shared" ref="K83:K146" si="16">IF(J83="",0,J83)</f>
        <v>0</v>
      </c>
      <c r="M83" t="str">
        <f>IF($C$15&gt;=3,IF($C$13="Yes",IF(Summary!B79&lt;&gt;"",Summary!B79,""),""),"")</f>
        <v/>
      </c>
      <c r="N83" t="str">
        <f t="shared" ref="N83:N146" si="17">IF($C$15&gt;=3,IFERROR(IF($C$13="Yes",(C83*$C$14),""),""),"")</f>
        <v/>
      </c>
      <c r="O83">
        <f t="shared" ref="O83:O146" si="18">IF(N83="",0,N83)</f>
        <v>0</v>
      </c>
      <c r="Q83" t="str">
        <f>IF($C$15&gt;=4,IF($C$13="Yes",IF(Summary!B79&lt;&gt;"",Summary!B79,""),""),"")</f>
        <v/>
      </c>
      <c r="R83" t="str">
        <f t="shared" ref="R83:R146" si="19">IF($C$15&gt;=4,IFERROR(IF($C$13="Yes",(C83*$C$14),""),""),"")</f>
        <v/>
      </c>
      <c r="S83">
        <f t="shared" ref="S83:S146" si="20">IF(R83="",0,R83)</f>
        <v>0</v>
      </c>
      <c r="U83" t="str">
        <f>IF($C$15&gt;=5,IF($C$13="Yes",IF(Summary!B79&lt;&gt;"",Summary!B79,""),""),"")</f>
        <v/>
      </c>
      <c r="V83" t="str">
        <f t="shared" ref="V83:V146" si="21">IF($C$15&gt;=5,IFERROR(IF($C$13="Yes",(C83*$C$14),""),""),"")</f>
        <v/>
      </c>
      <c r="W83">
        <f t="shared" ref="W83:W146" si="22">IF(V83="",0,V83)</f>
        <v>0</v>
      </c>
      <c r="Y83" t="str">
        <f>IF($C$13="Yes",IF(Summary!B79&lt;&gt;"",Summary!B79,""),"")</f>
        <v/>
      </c>
      <c r="Z83" s="439" t="str">
        <f t="shared" ref="Z83:Z146" si="23">IFERROR((C83+G83+K83+O83+S83+W83),"")</f>
        <v/>
      </c>
      <c r="AA83" t="str">
        <f t="shared" si="12"/>
        <v/>
      </c>
    </row>
    <row r="84" spans="2:27">
      <c r="B84" t="str">
        <f>IF(Summary!B80&lt;&gt;"",Summary!B80,"")</f>
        <v/>
      </c>
      <c r="C84" t="str">
        <f>IF(Summary!C80&lt;&gt;"",Summary!C80,"")</f>
        <v/>
      </c>
      <c r="E84" t="str">
        <f>IF($C$15&gt;=1,IF($C$13="Yes",IF(Summary!B80&lt;&gt;"",Summary!B80,""),""),"")</f>
        <v/>
      </c>
      <c r="F84" t="str">
        <f t="shared" si="13"/>
        <v/>
      </c>
      <c r="G84">
        <f t="shared" si="14"/>
        <v>0</v>
      </c>
      <c r="I84" t="str">
        <f>IF($C$15&gt;=2,IF($C$13="Yes",IF(Summary!B80&lt;&gt;"",Summary!B80,""),""),"")</f>
        <v/>
      </c>
      <c r="J84" t="str">
        <f t="shared" si="15"/>
        <v/>
      </c>
      <c r="K84">
        <f t="shared" si="16"/>
        <v>0</v>
      </c>
      <c r="M84" t="str">
        <f>IF($C$15&gt;=3,IF($C$13="Yes",IF(Summary!B80&lt;&gt;"",Summary!B80,""),""),"")</f>
        <v/>
      </c>
      <c r="N84" t="str">
        <f t="shared" si="17"/>
        <v/>
      </c>
      <c r="O84">
        <f t="shared" si="18"/>
        <v>0</v>
      </c>
      <c r="Q84" t="str">
        <f>IF($C$15&gt;=4,IF($C$13="Yes",IF(Summary!B80&lt;&gt;"",Summary!B80,""),""),"")</f>
        <v/>
      </c>
      <c r="R84" t="str">
        <f t="shared" si="19"/>
        <v/>
      </c>
      <c r="S84">
        <f t="shared" si="20"/>
        <v>0</v>
      </c>
      <c r="U84" t="str">
        <f>IF($C$15&gt;=5,IF($C$13="Yes",IF(Summary!B80&lt;&gt;"",Summary!B80,""),""),"")</f>
        <v/>
      </c>
      <c r="V84" t="str">
        <f t="shared" si="21"/>
        <v/>
      </c>
      <c r="W84">
        <f t="shared" si="22"/>
        <v>0</v>
      </c>
      <c r="Y84" t="str">
        <f>IF($C$13="Yes",IF(Summary!B80&lt;&gt;"",Summary!B80,""),"")</f>
        <v/>
      </c>
      <c r="Z84" s="439" t="str">
        <f t="shared" si="23"/>
        <v/>
      </c>
      <c r="AA84" t="str">
        <f t="shared" si="12"/>
        <v/>
      </c>
    </row>
    <row r="85" spans="2:27">
      <c r="B85" t="str">
        <f>IF(Summary!B81&lt;&gt;"",Summary!B81,"")</f>
        <v/>
      </c>
      <c r="C85" t="str">
        <f>IF(Summary!C81&lt;&gt;"",Summary!C81,"")</f>
        <v/>
      </c>
      <c r="E85" t="str">
        <f>IF($C$15&gt;=1,IF($C$13="Yes",IF(Summary!B81&lt;&gt;"",Summary!B81,""),""),"")</f>
        <v/>
      </c>
      <c r="F85" t="str">
        <f t="shared" si="13"/>
        <v/>
      </c>
      <c r="G85">
        <f t="shared" si="14"/>
        <v>0</v>
      </c>
      <c r="I85" t="str">
        <f>IF($C$15&gt;=2,IF($C$13="Yes",IF(Summary!B81&lt;&gt;"",Summary!B81,""),""),"")</f>
        <v/>
      </c>
      <c r="J85" t="str">
        <f t="shared" si="15"/>
        <v/>
      </c>
      <c r="K85">
        <f t="shared" si="16"/>
        <v>0</v>
      </c>
      <c r="M85" t="str">
        <f>IF($C$15&gt;=3,IF($C$13="Yes",IF(Summary!B81&lt;&gt;"",Summary!B81,""),""),"")</f>
        <v/>
      </c>
      <c r="N85" t="str">
        <f t="shared" si="17"/>
        <v/>
      </c>
      <c r="O85">
        <f t="shared" si="18"/>
        <v>0</v>
      </c>
      <c r="Q85" t="str">
        <f>IF($C$15&gt;=4,IF($C$13="Yes",IF(Summary!B81&lt;&gt;"",Summary!B81,""),""),"")</f>
        <v/>
      </c>
      <c r="R85" t="str">
        <f t="shared" si="19"/>
        <v/>
      </c>
      <c r="S85">
        <f t="shared" si="20"/>
        <v>0</v>
      </c>
      <c r="U85" t="str">
        <f>IF($C$15&gt;=5,IF($C$13="Yes",IF(Summary!B81&lt;&gt;"",Summary!B81,""),""),"")</f>
        <v/>
      </c>
      <c r="V85" t="str">
        <f t="shared" si="21"/>
        <v/>
      </c>
      <c r="W85">
        <f t="shared" si="22"/>
        <v>0</v>
      </c>
      <c r="Y85" t="str">
        <f>IF($C$13="Yes",IF(Summary!B81&lt;&gt;"",Summary!B81,""),"")</f>
        <v/>
      </c>
      <c r="Z85" s="439" t="str">
        <f t="shared" si="23"/>
        <v/>
      </c>
      <c r="AA85" t="str">
        <f t="shared" si="12"/>
        <v/>
      </c>
    </row>
    <row r="86" spans="2:27">
      <c r="B86" t="str">
        <f>IF(Summary!B82&lt;&gt;"",Summary!B82,"")</f>
        <v/>
      </c>
      <c r="C86" t="str">
        <f>IF(Summary!C82&lt;&gt;"",Summary!C82,"")</f>
        <v/>
      </c>
      <c r="E86" t="str">
        <f>IF($C$15&gt;=1,IF($C$13="Yes",IF(Summary!B82&lt;&gt;"",Summary!B82,""),""),"")</f>
        <v/>
      </c>
      <c r="F86" t="str">
        <f t="shared" si="13"/>
        <v/>
      </c>
      <c r="G86">
        <f t="shared" si="14"/>
        <v>0</v>
      </c>
      <c r="I86" t="str">
        <f>IF($C$15&gt;=2,IF($C$13="Yes",IF(Summary!B82&lt;&gt;"",Summary!B82,""),""),"")</f>
        <v/>
      </c>
      <c r="J86" t="str">
        <f t="shared" si="15"/>
        <v/>
      </c>
      <c r="K86">
        <f t="shared" si="16"/>
        <v>0</v>
      </c>
      <c r="M86" t="str">
        <f>IF($C$15&gt;=3,IF($C$13="Yes",IF(Summary!B82&lt;&gt;"",Summary!B82,""),""),"")</f>
        <v/>
      </c>
      <c r="N86" t="str">
        <f t="shared" si="17"/>
        <v/>
      </c>
      <c r="O86">
        <f t="shared" si="18"/>
        <v>0</v>
      </c>
      <c r="Q86" t="str">
        <f>IF($C$15&gt;=4,IF($C$13="Yes",IF(Summary!B82&lt;&gt;"",Summary!B82,""),""),"")</f>
        <v/>
      </c>
      <c r="R86" t="str">
        <f t="shared" si="19"/>
        <v/>
      </c>
      <c r="S86">
        <f t="shared" si="20"/>
        <v>0</v>
      </c>
      <c r="U86" t="str">
        <f>IF($C$15&gt;=5,IF($C$13="Yes",IF(Summary!B82&lt;&gt;"",Summary!B82,""),""),"")</f>
        <v/>
      </c>
      <c r="V86" t="str">
        <f t="shared" si="21"/>
        <v/>
      </c>
      <c r="W86">
        <f t="shared" si="22"/>
        <v>0</v>
      </c>
      <c r="Y86" t="str">
        <f>IF($C$13="Yes",IF(Summary!B82&lt;&gt;"",Summary!B82,""),"")</f>
        <v/>
      </c>
      <c r="Z86" s="439" t="str">
        <f t="shared" si="23"/>
        <v/>
      </c>
      <c r="AA86" t="str">
        <f t="shared" si="12"/>
        <v/>
      </c>
    </row>
    <row r="87" spans="2:27">
      <c r="B87" t="str">
        <f>IF(Summary!B83&lt;&gt;"",Summary!B83,"")</f>
        <v/>
      </c>
      <c r="C87" t="str">
        <f>IF(Summary!C83&lt;&gt;"",Summary!C83,"")</f>
        <v/>
      </c>
      <c r="E87" t="str">
        <f>IF($C$15&gt;=1,IF($C$13="Yes",IF(Summary!B83&lt;&gt;"",Summary!B83,""),""),"")</f>
        <v/>
      </c>
      <c r="F87" t="str">
        <f t="shared" si="13"/>
        <v/>
      </c>
      <c r="G87">
        <f t="shared" si="14"/>
        <v>0</v>
      </c>
      <c r="I87" t="str">
        <f>IF($C$15&gt;=2,IF($C$13="Yes",IF(Summary!B83&lt;&gt;"",Summary!B83,""),""),"")</f>
        <v/>
      </c>
      <c r="J87" t="str">
        <f t="shared" si="15"/>
        <v/>
      </c>
      <c r="K87">
        <f t="shared" si="16"/>
        <v>0</v>
      </c>
      <c r="M87" t="str">
        <f>IF($C$15&gt;=3,IF($C$13="Yes",IF(Summary!B83&lt;&gt;"",Summary!B83,""),""),"")</f>
        <v/>
      </c>
      <c r="N87" t="str">
        <f t="shared" si="17"/>
        <v/>
      </c>
      <c r="O87">
        <f t="shared" si="18"/>
        <v>0</v>
      </c>
      <c r="Q87" t="str">
        <f>IF($C$15&gt;=4,IF($C$13="Yes",IF(Summary!B83&lt;&gt;"",Summary!B83,""),""),"")</f>
        <v/>
      </c>
      <c r="R87" t="str">
        <f t="shared" si="19"/>
        <v/>
      </c>
      <c r="S87">
        <f t="shared" si="20"/>
        <v>0</v>
      </c>
      <c r="U87" t="str">
        <f>IF($C$15&gt;=5,IF($C$13="Yes",IF(Summary!B83&lt;&gt;"",Summary!B83,""),""),"")</f>
        <v/>
      </c>
      <c r="V87" t="str">
        <f t="shared" si="21"/>
        <v/>
      </c>
      <c r="W87">
        <f t="shared" si="22"/>
        <v>0</v>
      </c>
      <c r="Y87" t="str">
        <f>IF($C$13="Yes",IF(Summary!B83&lt;&gt;"",Summary!B83,""),"")</f>
        <v/>
      </c>
      <c r="Z87" s="439" t="str">
        <f t="shared" si="23"/>
        <v/>
      </c>
      <c r="AA87" t="str">
        <f t="shared" si="12"/>
        <v/>
      </c>
    </row>
    <row r="88" spans="2:27">
      <c r="B88" t="str">
        <f>IF(Summary!B84&lt;&gt;"",Summary!B84,"")</f>
        <v/>
      </c>
      <c r="C88" t="str">
        <f>IF(Summary!C84&lt;&gt;"",Summary!C84,"")</f>
        <v/>
      </c>
      <c r="E88" t="str">
        <f>IF($C$15&gt;=1,IF($C$13="Yes",IF(Summary!B84&lt;&gt;"",Summary!B84,""),""),"")</f>
        <v/>
      </c>
      <c r="F88" t="str">
        <f t="shared" si="13"/>
        <v/>
      </c>
      <c r="G88">
        <f t="shared" si="14"/>
        <v>0</v>
      </c>
      <c r="I88" t="str">
        <f>IF($C$15&gt;=2,IF($C$13="Yes",IF(Summary!B84&lt;&gt;"",Summary!B84,""),""),"")</f>
        <v/>
      </c>
      <c r="J88" t="str">
        <f t="shared" si="15"/>
        <v/>
      </c>
      <c r="K88">
        <f t="shared" si="16"/>
        <v>0</v>
      </c>
      <c r="M88" t="str">
        <f>IF($C$15&gt;=3,IF($C$13="Yes",IF(Summary!B84&lt;&gt;"",Summary!B84,""),""),"")</f>
        <v/>
      </c>
      <c r="N88" t="str">
        <f t="shared" si="17"/>
        <v/>
      </c>
      <c r="O88">
        <f t="shared" si="18"/>
        <v>0</v>
      </c>
      <c r="Q88" t="str">
        <f>IF($C$15&gt;=4,IF($C$13="Yes",IF(Summary!B84&lt;&gt;"",Summary!B84,""),""),"")</f>
        <v/>
      </c>
      <c r="R88" t="str">
        <f t="shared" si="19"/>
        <v/>
      </c>
      <c r="S88">
        <f t="shared" si="20"/>
        <v>0</v>
      </c>
      <c r="U88" t="str">
        <f>IF($C$15&gt;=5,IF($C$13="Yes",IF(Summary!B84&lt;&gt;"",Summary!B84,""),""),"")</f>
        <v/>
      </c>
      <c r="V88" t="str">
        <f t="shared" si="21"/>
        <v/>
      </c>
      <c r="W88">
        <f t="shared" si="22"/>
        <v>0</v>
      </c>
      <c r="Y88" t="str">
        <f>IF($C$13="Yes",IF(Summary!B84&lt;&gt;"",Summary!B84,""),"")</f>
        <v/>
      </c>
      <c r="Z88" s="439" t="str">
        <f t="shared" si="23"/>
        <v/>
      </c>
      <c r="AA88" t="str">
        <f t="shared" si="12"/>
        <v/>
      </c>
    </row>
    <row r="89" spans="2:27">
      <c r="B89" t="str">
        <f>IF(Summary!B85&lt;&gt;"",Summary!B85,"")</f>
        <v/>
      </c>
      <c r="C89" t="str">
        <f>IF(Summary!C85&lt;&gt;"",Summary!C85,"")</f>
        <v/>
      </c>
      <c r="E89" t="str">
        <f>IF($C$15&gt;=1,IF($C$13="Yes",IF(Summary!B85&lt;&gt;"",Summary!B85,""),""),"")</f>
        <v/>
      </c>
      <c r="F89" t="str">
        <f t="shared" si="13"/>
        <v/>
      </c>
      <c r="G89">
        <f t="shared" si="14"/>
        <v>0</v>
      </c>
      <c r="I89" t="str">
        <f>IF($C$15&gt;=2,IF($C$13="Yes",IF(Summary!B85&lt;&gt;"",Summary!B85,""),""),"")</f>
        <v/>
      </c>
      <c r="J89" t="str">
        <f t="shared" si="15"/>
        <v/>
      </c>
      <c r="K89">
        <f t="shared" si="16"/>
        <v>0</v>
      </c>
      <c r="M89" t="str">
        <f>IF($C$15&gt;=3,IF($C$13="Yes",IF(Summary!B85&lt;&gt;"",Summary!B85,""),""),"")</f>
        <v/>
      </c>
      <c r="N89" t="str">
        <f t="shared" si="17"/>
        <v/>
      </c>
      <c r="O89">
        <f t="shared" si="18"/>
        <v>0</v>
      </c>
      <c r="Q89" t="str">
        <f>IF($C$15&gt;=4,IF($C$13="Yes",IF(Summary!B85&lt;&gt;"",Summary!B85,""),""),"")</f>
        <v/>
      </c>
      <c r="R89" t="str">
        <f t="shared" si="19"/>
        <v/>
      </c>
      <c r="S89">
        <f t="shared" si="20"/>
        <v>0</v>
      </c>
      <c r="U89" t="str">
        <f>IF($C$15&gt;=5,IF($C$13="Yes",IF(Summary!B85&lt;&gt;"",Summary!B85,""),""),"")</f>
        <v/>
      </c>
      <c r="V89" t="str">
        <f t="shared" si="21"/>
        <v/>
      </c>
      <c r="W89">
        <f t="shared" si="22"/>
        <v>0</v>
      </c>
      <c r="Y89" t="str">
        <f>IF($C$13="Yes",IF(Summary!B85&lt;&gt;"",Summary!B85,""),"")</f>
        <v/>
      </c>
      <c r="Z89" s="439" t="str">
        <f t="shared" si="23"/>
        <v/>
      </c>
      <c r="AA89" t="str">
        <f t="shared" si="12"/>
        <v/>
      </c>
    </row>
    <row r="90" spans="2:27">
      <c r="B90" t="str">
        <f>IF(Summary!B86&lt;&gt;"",Summary!B86,"")</f>
        <v/>
      </c>
      <c r="C90" t="str">
        <f>IF(Summary!C86&lt;&gt;"",Summary!C86,"")</f>
        <v/>
      </c>
      <c r="E90" t="str">
        <f>IF($C$15&gt;=1,IF($C$13="Yes",IF(Summary!B86&lt;&gt;"",Summary!B86,""),""),"")</f>
        <v/>
      </c>
      <c r="F90" t="str">
        <f t="shared" si="13"/>
        <v/>
      </c>
      <c r="G90">
        <f t="shared" si="14"/>
        <v>0</v>
      </c>
      <c r="I90" t="str">
        <f>IF($C$15&gt;=2,IF($C$13="Yes",IF(Summary!B86&lt;&gt;"",Summary!B86,""),""),"")</f>
        <v/>
      </c>
      <c r="J90" t="str">
        <f t="shared" si="15"/>
        <v/>
      </c>
      <c r="K90">
        <f t="shared" si="16"/>
        <v>0</v>
      </c>
      <c r="M90" t="str">
        <f>IF($C$15&gt;=3,IF($C$13="Yes",IF(Summary!B86&lt;&gt;"",Summary!B86,""),""),"")</f>
        <v/>
      </c>
      <c r="N90" t="str">
        <f t="shared" si="17"/>
        <v/>
      </c>
      <c r="O90">
        <f t="shared" si="18"/>
        <v>0</v>
      </c>
      <c r="Q90" t="str">
        <f>IF($C$15&gt;=4,IF($C$13="Yes",IF(Summary!B86&lt;&gt;"",Summary!B86,""),""),"")</f>
        <v/>
      </c>
      <c r="R90" t="str">
        <f t="shared" si="19"/>
        <v/>
      </c>
      <c r="S90">
        <f t="shared" si="20"/>
        <v>0</v>
      </c>
      <c r="U90" t="str">
        <f>IF($C$15&gt;=5,IF($C$13="Yes",IF(Summary!B86&lt;&gt;"",Summary!B86,""),""),"")</f>
        <v/>
      </c>
      <c r="V90" t="str">
        <f t="shared" si="21"/>
        <v/>
      </c>
      <c r="W90">
        <f t="shared" si="22"/>
        <v>0</v>
      </c>
      <c r="Y90" t="str">
        <f>IF($C$13="Yes",IF(Summary!B86&lt;&gt;"",Summary!B86,""),"")</f>
        <v/>
      </c>
      <c r="Z90" s="439" t="str">
        <f t="shared" si="23"/>
        <v/>
      </c>
      <c r="AA90" t="str">
        <f t="shared" si="12"/>
        <v/>
      </c>
    </row>
    <row r="91" spans="2:27">
      <c r="B91" t="str">
        <f>IF(Summary!B87&lt;&gt;"",Summary!B87,"")</f>
        <v/>
      </c>
      <c r="C91" t="str">
        <f>IF(Summary!C87&lt;&gt;"",Summary!C87,"")</f>
        <v/>
      </c>
      <c r="E91" t="str">
        <f>IF($C$15&gt;=1,IF($C$13="Yes",IF(Summary!B87&lt;&gt;"",Summary!B87,""),""),"")</f>
        <v/>
      </c>
      <c r="F91" t="str">
        <f t="shared" si="13"/>
        <v/>
      </c>
      <c r="G91">
        <f t="shared" si="14"/>
        <v>0</v>
      </c>
      <c r="I91" t="str">
        <f>IF($C$15&gt;=2,IF($C$13="Yes",IF(Summary!B87&lt;&gt;"",Summary!B87,""),""),"")</f>
        <v/>
      </c>
      <c r="J91" t="str">
        <f t="shared" si="15"/>
        <v/>
      </c>
      <c r="K91">
        <f t="shared" si="16"/>
        <v>0</v>
      </c>
      <c r="M91" t="str">
        <f>IF($C$15&gt;=3,IF($C$13="Yes",IF(Summary!B87&lt;&gt;"",Summary!B87,""),""),"")</f>
        <v/>
      </c>
      <c r="N91" t="str">
        <f t="shared" si="17"/>
        <v/>
      </c>
      <c r="O91">
        <f t="shared" si="18"/>
        <v>0</v>
      </c>
      <c r="Q91" t="str">
        <f>IF($C$15&gt;=4,IF($C$13="Yes",IF(Summary!B87&lt;&gt;"",Summary!B87,""),""),"")</f>
        <v/>
      </c>
      <c r="R91" t="str">
        <f t="shared" si="19"/>
        <v/>
      </c>
      <c r="S91">
        <f t="shared" si="20"/>
        <v>0</v>
      </c>
      <c r="U91" t="str">
        <f>IF($C$15&gt;=5,IF($C$13="Yes",IF(Summary!B87&lt;&gt;"",Summary!B87,""),""),"")</f>
        <v/>
      </c>
      <c r="V91" t="str">
        <f t="shared" si="21"/>
        <v/>
      </c>
      <c r="W91">
        <f t="shared" si="22"/>
        <v>0</v>
      </c>
      <c r="Y91" t="str">
        <f>IF($C$13="Yes",IF(Summary!B87&lt;&gt;"",Summary!B87,""),"")</f>
        <v/>
      </c>
      <c r="Z91" s="439" t="str">
        <f t="shared" si="23"/>
        <v/>
      </c>
      <c r="AA91" t="str">
        <f t="shared" si="12"/>
        <v/>
      </c>
    </row>
    <row r="92" spans="2:27">
      <c r="B92" t="str">
        <f>IF(Summary!B88&lt;&gt;"",Summary!B88,"")</f>
        <v/>
      </c>
      <c r="C92" t="str">
        <f>IF(Summary!C88&lt;&gt;"",Summary!C88,"")</f>
        <v/>
      </c>
      <c r="E92" t="str">
        <f>IF($C$15&gt;=1,IF($C$13="Yes",IF(Summary!B88&lt;&gt;"",Summary!B88,""),""),"")</f>
        <v/>
      </c>
      <c r="F92" t="str">
        <f t="shared" si="13"/>
        <v/>
      </c>
      <c r="G92">
        <f t="shared" si="14"/>
        <v>0</v>
      </c>
      <c r="I92" t="str">
        <f>IF($C$15&gt;=2,IF($C$13="Yes",IF(Summary!B88&lt;&gt;"",Summary!B88,""),""),"")</f>
        <v/>
      </c>
      <c r="J92" t="str">
        <f t="shared" si="15"/>
        <v/>
      </c>
      <c r="K92">
        <f t="shared" si="16"/>
        <v>0</v>
      </c>
      <c r="M92" t="str">
        <f>IF($C$15&gt;=3,IF($C$13="Yes",IF(Summary!B88&lt;&gt;"",Summary!B88,""),""),"")</f>
        <v/>
      </c>
      <c r="N92" t="str">
        <f t="shared" si="17"/>
        <v/>
      </c>
      <c r="O92">
        <f t="shared" si="18"/>
        <v>0</v>
      </c>
      <c r="Q92" t="str">
        <f>IF($C$15&gt;=4,IF($C$13="Yes",IF(Summary!B88&lt;&gt;"",Summary!B88,""),""),"")</f>
        <v/>
      </c>
      <c r="R92" t="str">
        <f t="shared" si="19"/>
        <v/>
      </c>
      <c r="S92">
        <f t="shared" si="20"/>
        <v>0</v>
      </c>
      <c r="U92" t="str">
        <f>IF($C$15&gt;=5,IF($C$13="Yes",IF(Summary!B88&lt;&gt;"",Summary!B88,""),""),"")</f>
        <v/>
      </c>
      <c r="V92" t="str">
        <f t="shared" si="21"/>
        <v/>
      </c>
      <c r="W92">
        <f t="shared" si="22"/>
        <v>0</v>
      </c>
      <c r="Y92" t="str">
        <f>IF($C$13="Yes",IF(Summary!B88&lt;&gt;"",Summary!B88,""),"")</f>
        <v/>
      </c>
      <c r="Z92" s="439" t="str">
        <f t="shared" si="23"/>
        <v/>
      </c>
      <c r="AA92" t="str">
        <f t="shared" si="12"/>
        <v/>
      </c>
    </row>
    <row r="93" spans="2:27">
      <c r="B93" t="str">
        <f>IF(Summary!B89&lt;&gt;"",Summary!B89,"")</f>
        <v/>
      </c>
      <c r="C93" t="str">
        <f>IF(Summary!C89&lt;&gt;"",Summary!C89,"")</f>
        <v/>
      </c>
      <c r="E93" t="str">
        <f>IF($C$15&gt;=1,IF($C$13="Yes",IF(Summary!B89&lt;&gt;"",Summary!B89,""),""),"")</f>
        <v/>
      </c>
      <c r="F93" t="str">
        <f t="shared" si="13"/>
        <v/>
      </c>
      <c r="G93">
        <f t="shared" si="14"/>
        <v>0</v>
      </c>
      <c r="I93" t="str">
        <f>IF($C$15&gt;=2,IF($C$13="Yes",IF(Summary!B89&lt;&gt;"",Summary!B89,""),""),"")</f>
        <v/>
      </c>
      <c r="J93" t="str">
        <f t="shared" si="15"/>
        <v/>
      </c>
      <c r="K93">
        <f t="shared" si="16"/>
        <v>0</v>
      </c>
      <c r="M93" t="str">
        <f>IF($C$15&gt;=3,IF($C$13="Yes",IF(Summary!B89&lt;&gt;"",Summary!B89,""),""),"")</f>
        <v/>
      </c>
      <c r="N93" t="str">
        <f t="shared" si="17"/>
        <v/>
      </c>
      <c r="O93">
        <f t="shared" si="18"/>
        <v>0</v>
      </c>
      <c r="Q93" t="str">
        <f>IF($C$15&gt;=4,IF($C$13="Yes",IF(Summary!B89&lt;&gt;"",Summary!B89,""),""),"")</f>
        <v/>
      </c>
      <c r="R93" t="str">
        <f t="shared" si="19"/>
        <v/>
      </c>
      <c r="S93">
        <f t="shared" si="20"/>
        <v>0</v>
      </c>
      <c r="U93" t="str">
        <f>IF($C$15&gt;=5,IF($C$13="Yes",IF(Summary!B89&lt;&gt;"",Summary!B89,""),""),"")</f>
        <v/>
      </c>
      <c r="V93" t="str">
        <f t="shared" si="21"/>
        <v/>
      </c>
      <c r="W93">
        <f t="shared" si="22"/>
        <v>0</v>
      </c>
      <c r="Y93" t="str">
        <f>IF($C$13="Yes",IF(Summary!B89&lt;&gt;"",Summary!B89,""),"")</f>
        <v/>
      </c>
      <c r="Z93" s="439" t="str">
        <f t="shared" si="23"/>
        <v/>
      </c>
      <c r="AA93" t="str">
        <f t="shared" si="12"/>
        <v/>
      </c>
    </row>
    <row r="94" spans="2:27">
      <c r="B94" t="str">
        <f>IF(Summary!B90&lt;&gt;"",Summary!B90,"")</f>
        <v/>
      </c>
      <c r="C94" t="str">
        <f>IF(Summary!C90&lt;&gt;"",Summary!C90,"")</f>
        <v/>
      </c>
      <c r="E94" t="str">
        <f>IF($C$15&gt;=1,IF($C$13="Yes",IF(Summary!B90&lt;&gt;"",Summary!B90,""),""),"")</f>
        <v/>
      </c>
      <c r="F94" t="str">
        <f t="shared" si="13"/>
        <v/>
      </c>
      <c r="G94">
        <f t="shared" si="14"/>
        <v>0</v>
      </c>
      <c r="I94" t="str">
        <f>IF($C$15&gt;=2,IF($C$13="Yes",IF(Summary!B90&lt;&gt;"",Summary!B90,""),""),"")</f>
        <v/>
      </c>
      <c r="J94" t="str">
        <f t="shared" si="15"/>
        <v/>
      </c>
      <c r="K94">
        <f t="shared" si="16"/>
        <v>0</v>
      </c>
      <c r="M94" t="str">
        <f>IF($C$15&gt;=3,IF($C$13="Yes",IF(Summary!B90&lt;&gt;"",Summary!B90,""),""),"")</f>
        <v/>
      </c>
      <c r="N94" t="str">
        <f t="shared" si="17"/>
        <v/>
      </c>
      <c r="O94">
        <f t="shared" si="18"/>
        <v>0</v>
      </c>
      <c r="Q94" t="str">
        <f>IF($C$15&gt;=4,IF($C$13="Yes",IF(Summary!B90&lt;&gt;"",Summary!B90,""),""),"")</f>
        <v/>
      </c>
      <c r="R94" t="str">
        <f t="shared" si="19"/>
        <v/>
      </c>
      <c r="S94">
        <f t="shared" si="20"/>
        <v>0</v>
      </c>
      <c r="U94" t="str">
        <f>IF($C$15&gt;=5,IF($C$13="Yes",IF(Summary!B90&lt;&gt;"",Summary!B90,""),""),"")</f>
        <v/>
      </c>
      <c r="V94" t="str">
        <f t="shared" si="21"/>
        <v/>
      </c>
      <c r="W94">
        <f t="shared" si="22"/>
        <v>0</v>
      </c>
      <c r="Y94" t="str">
        <f>IF($C$13="Yes",IF(Summary!B90&lt;&gt;"",Summary!B90,""),"")</f>
        <v/>
      </c>
      <c r="Z94" s="439" t="str">
        <f t="shared" si="23"/>
        <v/>
      </c>
      <c r="AA94" t="str">
        <f t="shared" si="12"/>
        <v/>
      </c>
    </row>
    <row r="95" spans="2:27">
      <c r="B95" t="str">
        <f>IF(Summary!B91&lt;&gt;"",Summary!B91,"")</f>
        <v/>
      </c>
      <c r="C95" t="str">
        <f>IF(Summary!C91&lt;&gt;"",Summary!C91,"")</f>
        <v/>
      </c>
      <c r="E95" t="str">
        <f>IF($C$15&gt;=1,IF($C$13="Yes",IF(Summary!B91&lt;&gt;"",Summary!B91,""),""),"")</f>
        <v/>
      </c>
      <c r="F95" t="str">
        <f t="shared" si="13"/>
        <v/>
      </c>
      <c r="G95">
        <f t="shared" si="14"/>
        <v>0</v>
      </c>
      <c r="I95" t="str">
        <f>IF($C$15&gt;=2,IF($C$13="Yes",IF(Summary!B91&lt;&gt;"",Summary!B91,""),""),"")</f>
        <v/>
      </c>
      <c r="J95" t="str">
        <f t="shared" si="15"/>
        <v/>
      </c>
      <c r="K95">
        <f t="shared" si="16"/>
        <v>0</v>
      </c>
      <c r="M95" t="str">
        <f>IF($C$15&gt;=3,IF($C$13="Yes",IF(Summary!B91&lt;&gt;"",Summary!B91,""),""),"")</f>
        <v/>
      </c>
      <c r="N95" t="str">
        <f t="shared" si="17"/>
        <v/>
      </c>
      <c r="O95">
        <f t="shared" si="18"/>
        <v>0</v>
      </c>
      <c r="Q95" t="str">
        <f>IF($C$15&gt;=4,IF($C$13="Yes",IF(Summary!B91&lt;&gt;"",Summary!B91,""),""),"")</f>
        <v/>
      </c>
      <c r="R95" t="str">
        <f t="shared" si="19"/>
        <v/>
      </c>
      <c r="S95">
        <f t="shared" si="20"/>
        <v>0</v>
      </c>
      <c r="U95" t="str">
        <f>IF($C$15&gt;=5,IF($C$13="Yes",IF(Summary!B91&lt;&gt;"",Summary!B91,""),""),"")</f>
        <v/>
      </c>
      <c r="V95" t="str">
        <f t="shared" si="21"/>
        <v/>
      </c>
      <c r="W95">
        <f t="shared" si="22"/>
        <v>0</v>
      </c>
      <c r="Y95" t="str">
        <f>IF($C$13="Yes",IF(Summary!B91&lt;&gt;"",Summary!B91,""),"")</f>
        <v/>
      </c>
      <c r="Z95" s="439" t="str">
        <f t="shared" si="23"/>
        <v/>
      </c>
      <c r="AA95" t="str">
        <f t="shared" si="12"/>
        <v/>
      </c>
    </row>
    <row r="96" spans="2:27">
      <c r="B96" t="str">
        <f>IF(Summary!B92&lt;&gt;"",Summary!B92,"")</f>
        <v/>
      </c>
      <c r="C96" t="str">
        <f>IF(Summary!C92&lt;&gt;"",Summary!C92,"")</f>
        <v/>
      </c>
      <c r="E96" t="str">
        <f>IF($C$15&gt;=1,IF($C$13="Yes",IF(Summary!B92&lt;&gt;"",Summary!B92,""),""),"")</f>
        <v/>
      </c>
      <c r="F96" t="str">
        <f t="shared" si="13"/>
        <v/>
      </c>
      <c r="G96">
        <f t="shared" si="14"/>
        <v>0</v>
      </c>
      <c r="I96" t="str">
        <f>IF($C$15&gt;=2,IF($C$13="Yes",IF(Summary!B92&lt;&gt;"",Summary!B92,""),""),"")</f>
        <v/>
      </c>
      <c r="J96" t="str">
        <f t="shared" si="15"/>
        <v/>
      </c>
      <c r="K96">
        <f t="shared" si="16"/>
        <v>0</v>
      </c>
      <c r="M96" t="str">
        <f>IF($C$15&gt;=3,IF($C$13="Yes",IF(Summary!B92&lt;&gt;"",Summary!B92,""),""),"")</f>
        <v/>
      </c>
      <c r="N96" t="str">
        <f t="shared" si="17"/>
        <v/>
      </c>
      <c r="O96">
        <f t="shared" si="18"/>
        <v>0</v>
      </c>
      <c r="Q96" t="str">
        <f>IF($C$15&gt;=4,IF($C$13="Yes",IF(Summary!B92&lt;&gt;"",Summary!B92,""),""),"")</f>
        <v/>
      </c>
      <c r="R96" t="str">
        <f t="shared" si="19"/>
        <v/>
      </c>
      <c r="S96">
        <f t="shared" si="20"/>
        <v>0</v>
      </c>
      <c r="U96" t="str">
        <f>IF($C$15&gt;=5,IF($C$13="Yes",IF(Summary!B92&lt;&gt;"",Summary!B92,""),""),"")</f>
        <v/>
      </c>
      <c r="V96" t="str">
        <f t="shared" si="21"/>
        <v/>
      </c>
      <c r="W96">
        <f t="shared" si="22"/>
        <v>0</v>
      </c>
      <c r="Y96" t="str">
        <f>IF($C$13="Yes",IF(Summary!B92&lt;&gt;"",Summary!B92,""),"")</f>
        <v/>
      </c>
      <c r="Z96" s="439" t="str">
        <f t="shared" si="23"/>
        <v/>
      </c>
      <c r="AA96" t="str">
        <f t="shared" si="12"/>
        <v/>
      </c>
    </row>
    <row r="97" spans="2:27">
      <c r="B97" t="str">
        <f>IF(Summary!B93&lt;&gt;"",Summary!B93,"")</f>
        <v/>
      </c>
      <c r="C97" t="str">
        <f>IF(Summary!C93&lt;&gt;"",Summary!C93,"")</f>
        <v/>
      </c>
      <c r="E97" t="str">
        <f>IF($C$15&gt;=1,IF($C$13="Yes",IF(Summary!B93&lt;&gt;"",Summary!B93,""),""),"")</f>
        <v/>
      </c>
      <c r="F97" t="str">
        <f t="shared" si="13"/>
        <v/>
      </c>
      <c r="G97">
        <f t="shared" si="14"/>
        <v>0</v>
      </c>
      <c r="I97" t="str">
        <f>IF($C$15&gt;=2,IF($C$13="Yes",IF(Summary!B93&lt;&gt;"",Summary!B93,""),""),"")</f>
        <v/>
      </c>
      <c r="J97" t="str">
        <f t="shared" si="15"/>
        <v/>
      </c>
      <c r="K97">
        <f t="shared" si="16"/>
        <v>0</v>
      </c>
      <c r="M97" t="str">
        <f>IF($C$15&gt;=3,IF($C$13="Yes",IF(Summary!B93&lt;&gt;"",Summary!B93,""),""),"")</f>
        <v/>
      </c>
      <c r="N97" t="str">
        <f t="shared" si="17"/>
        <v/>
      </c>
      <c r="O97">
        <f t="shared" si="18"/>
        <v>0</v>
      </c>
      <c r="Q97" t="str">
        <f>IF($C$15&gt;=4,IF($C$13="Yes",IF(Summary!B93&lt;&gt;"",Summary!B93,""),""),"")</f>
        <v/>
      </c>
      <c r="R97" t="str">
        <f t="shared" si="19"/>
        <v/>
      </c>
      <c r="S97">
        <f t="shared" si="20"/>
        <v>0</v>
      </c>
      <c r="U97" t="str">
        <f>IF($C$15&gt;=5,IF($C$13="Yes",IF(Summary!B93&lt;&gt;"",Summary!B93,""),""),"")</f>
        <v/>
      </c>
      <c r="V97" t="str">
        <f t="shared" si="21"/>
        <v/>
      </c>
      <c r="W97">
        <f t="shared" si="22"/>
        <v>0</v>
      </c>
      <c r="Y97" t="str">
        <f>IF($C$13="Yes",IF(Summary!B93&lt;&gt;"",Summary!B93,""),"")</f>
        <v/>
      </c>
      <c r="Z97" s="439" t="str">
        <f t="shared" si="23"/>
        <v/>
      </c>
      <c r="AA97" t="str">
        <f t="shared" si="12"/>
        <v/>
      </c>
    </row>
    <row r="98" spans="2:27">
      <c r="B98" t="str">
        <f>IF(Summary!B94&lt;&gt;"",Summary!B94,"")</f>
        <v/>
      </c>
      <c r="C98" t="str">
        <f>IF(Summary!C94&lt;&gt;"",Summary!C94,"")</f>
        <v/>
      </c>
      <c r="E98" t="str">
        <f>IF($C$15&gt;=1,IF($C$13="Yes",IF(Summary!B94&lt;&gt;"",Summary!B94,""),""),"")</f>
        <v/>
      </c>
      <c r="F98" t="str">
        <f t="shared" si="13"/>
        <v/>
      </c>
      <c r="G98">
        <f t="shared" si="14"/>
        <v>0</v>
      </c>
      <c r="I98" t="str">
        <f>IF($C$15&gt;=2,IF($C$13="Yes",IF(Summary!B94&lt;&gt;"",Summary!B94,""),""),"")</f>
        <v/>
      </c>
      <c r="J98" t="str">
        <f t="shared" si="15"/>
        <v/>
      </c>
      <c r="K98">
        <f t="shared" si="16"/>
        <v>0</v>
      </c>
      <c r="M98" t="str">
        <f>IF($C$15&gt;=3,IF($C$13="Yes",IF(Summary!B94&lt;&gt;"",Summary!B94,""),""),"")</f>
        <v/>
      </c>
      <c r="N98" t="str">
        <f t="shared" si="17"/>
        <v/>
      </c>
      <c r="O98">
        <f t="shared" si="18"/>
        <v>0</v>
      </c>
      <c r="Q98" t="str">
        <f>IF($C$15&gt;=4,IF($C$13="Yes",IF(Summary!B94&lt;&gt;"",Summary!B94,""),""),"")</f>
        <v/>
      </c>
      <c r="R98" t="str">
        <f t="shared" si="19"/>
        <v/>
      </c>
      <c r="S98">
        <f t="shared" si="20"/>
        <v>0</v>
      </c>
      <c r="U98" t="str">
        <f>IF($C$15&gt;=5,IF($C$13="Yes",IF(Summary!B94&lt;&gt;"",Summary!B94,""),""),"")</f>
        <v/>
      </c>
      <c r="V98" t="str">
        <f t="shared" si="21"/>
        <v/>
      </c>
      <c r="W98">
        <f t="shared" si="22"/>
        <v>0</v>
      </c>
      <c r="Y98" t="str">
        <f>IF($C$13="Yes",IF(Summary!B94&lt;&gt;"",Summary!B94,""),"")</f>
        <v/>
      </c>
      <c r="Z98" s="439" t="str">
        <f t="shared" si="23"/>
        <v/>
      </c>
      <c r="AA98" t="str">
        <f t="shared" si="12"/>
        <v/>
      </c>
    </row>
    <row r="99" spans="2:27">
      <c r="B99" t="str">
        <f>IF(Summary!B95&lt;&gt;"",Summary!B95,"")</f>
        <v/>
      </c>
      <c r="C99" t="str">
        <f>IF(Summary!C95&lt;&gt;"",Summary!C95,"")</f>
        <v/>
      </c>
      <c r="E99" t="str">
        <f>IF($C$15&gt;=1,IF($C$13="Yes",IF(Summary!B95&lt;&gt;"",Summary!B95,""),""),"")</f>
        <v/>
      </c>
      <c r="F99" t="str">
        <f t="shared" si="13"/>
        <v/>
      </c>
      <c r="G99">
        <f t="shared" si="14"/>
        <v>0</v>
      </c>
      <c r="I99" t="str">
        <f>IF($C$15&gt;=2,IF($C$13="Yes",IF(Summary!B95&lt;&gt;"",Summary!B95,""),""),"")</f>
        <v/>
      </c>
      <c r="J99" t="str">
        <f t="shared" si="15"/>
        <v/>
      </c>
      <c r="K99">
        <f t="shared" si="16"/>
        <v>0</v>
      </c>
      <c r="M99" t="str">
        <f>IF($C$15&gt;=3,IF($C$13="Yes",IF(Summary!B95&lt;&gt;"",Summary!B95,""),""),"")</f>
        <v/>
      </c>
      <c r="N99" t="str">
        <f t="shared" si="17"/>
        <v/>
      </c>
      <c r="O99">
        <f t="shared" si="18"/>
        <v>0</v>
      </c>
      <c r="Q99" t="str">
        <f>IF($C$15&gt;=4,IF($C$13="Yes",IF(Summary!B95&lt;&gt;"",Summary!B95,""),""),"")</f>
        <v/>
      </c>
      <c r="R99" t="str">
        <f t="shared" si="19"/>
        <v/>
      </c>
      <c r="S99">
        <f t="shared" si="20"/>
        <v>0</v>
      </c>
      <c r="U99" t="str">
        <f>IF($C$15&gt;=5,IF($C$13="Yes",IF(Summary!B95&lt;&gt;"",Summary!B95,""),""),"")</f>
        <v/>
      </c>
      <c r="V99" t="str">
        <f t="shared" si="21"/>
        <v/>
      </c>
      <c r="W99">
        <f t="shared" si="22"/>
        <v>0</v>
      </c>
      <c r="Y99" t="str">
        <f>IF($C$13="Yes",IF(Summary!B95&lt;&gt;"",Summary!B95,""),"")</f>
        <v/>
      </c>
      <c r="Z99" s="439" t="str">
        <f t="shared" si="23"/>
        <v/>
      </c>
      <c r="AA99" t="str">
        <f t="shared" si="12"/>
        <v/>
      </c>
    </row>
    <row r="100" spans="2:27">
      <c r="B100" t="str">
        <f>IF(Summary!B96&lt;&gt;"",Summary!B96,"")</f>
        <v/>
      </c>
      <c r="C100" t="str">
        <f>IF(Summary!C96&lt;&gt;"",Summary!C96,"")</f>
        <v/>
      </c>
      <c r="E100" t="str">
        <f>IF($C$15&gt;=1,IF($C$13="Yes",IF(Summary!B96&lt;&gt;"",Summary!B96,""),""),"")</f>
        <v/>
      </c>
      <c r="F100" t="str">
        <f t="shared" si="13"/>
        <v/>
      </c>
      <c r="G100">
        <f t="shared" si="14"/>
        <v>0</v>
      </c>
      <c r="I100" t="str">
        <f>IF($C$15&gt;=2,IF($C$13="Yes",IF(Summary!B96&lt;&gt;"",Summary!B96,""),""),"")</f>
        <v/>
      </c>
      <c r="J100" t="str">
        <f t="shared" si="15"/>
        <v/>
      </c>
      <c r="K100">
        <f t="shared" si="16"/>
        <v>0</v>
      </c>
      <c r="M100" t="str">
        <f>IF($C$15&gt;=3,IF($C$13="Yes",IF(Summary!B96&lt;&gt;"",Summary!B96,""),""),"")</f>
        <v/>
      </c>
      <c r="N100" t="str">
        <f t="shared" si="17"/>
        <v/>
      </c>
      <c r="O100">
        <f t="shared" si="18"/>
        <v>0</v>
      </c>
      <c r="Q100" t="str">
        <f>IF($C$15&gt;=4,IF($C$13="Yes",IF(Summary!B96&lt;&gt;"",Summary!B96,""),""),"")</f>
        <v/>
      </c>
      <c r="R100" t="str">
        <f t="shared" si="19"/>
        <v/>
      </c>
      <c r="S100">
        <f t="shared" si="20"/>
        <v>0</v>
      </c>
      <c r="U100" t="str">
        <f>IF($C$15&gt;=5,IF($C$13="Yes",IF(Summary!B96&lt;&gt;"",Summary!B96,""),""),"")</f>
        <v/>
      </c>
      <c r="V100" t="str">
        <f t="shared" si="21"/>
        <v/>
      </c>
      <c r="W100">
        <f t="shared" si="22"/>
        <v>0</v>
      </c>
      <c r="Y100" t="str">
        <f>IF($C$13="Yes",IF(Summary!B96&lt;&gt;"",Summary!B96,""),"")</f>
        <v/>
      </c>
      <c r="Z100" s="439" t="str">
        <f t="shared" si="23"/>
        <v/>
      </c>
      <c r="AA100" t="str">
        <f t="shared" si="12"/>
        <v/>
      </c>
    </row>
    <row r="101" spans="2:27">
      <c r="B101" t="str">
        <f>IF(Summary!B97&lt;&gt;"",Summary!B97,"")</f>
        <v/>
      </c>
      <c r="C101" t="str">
        <f>IF(Summary!C97&lt;&gt;"",Summary!C97,"")</f>
        <v/>
      </c>
      <c r="E101" t="str">
        <f>IF($C$15&gt;=1,IF($C$13="Yes",IF(Summary!B97&lt;&gt;"",Summary!B97,""),""),"")</f>
        <v/>
      </c>
      <c r="F101" t="str">
        <f t="shared" si="13"/>
        <v/>
      </c>
      <c r="G101">
        <f t="shared" si="14"/>
        <v>0</v>
      </c>
      <c r="I101" t="str">
        <f>IF($C$15&gt;=2,IF($C$13="Yes",IF(Summary!B97&lt;&gt;"",Summary!B97,""),""),"")</f>
        <v/>
      </c>
      <c r="J101" t="str">
        <f t="shared" si="15"/>
        <v/>
      </c>
      <c r="K101">
        <f t="shared" si="16"/>
        <v>0</v>
      </c>
      <c r="M101" t="str">
        <f>IF($C$15&gt;=3,IF($C$13="Yes",IF(Summary!B97&lt;&gt;"",Summary!B97,""),""),"")</f>
        <v/>
      </c>
      <c r="N101" t="str">
        <f t="shared" si="17"/>
        <v/>
      </c>
      <c r="O101">
        <f t="shared" si="18"/>
        <v>0</v>
      </c>
      <c r="Q101" t="str">
        <f>IF($C$15&gt;=4,IF($C$13="Yes",IF(Summary!B97&lt;&gt;"",Summary!B97,""),""),"")</f>
        <v/>
      </c>
      <c r="R101" t="str">
        <f t="shared" si="19"/>
        <v/>
      </c>
      <c r="S101">
        <f t="shared" si="20"/>
        <v>0</v>
      </c>
      <c r="U101" t="str">
        <f>IF($C$15&gt;=5,IF($C$13="Yes",IF(Summary!B97&lt;&gt;"",Summary!B97,""),""),"")</f>
        <v/>
      </c>
      <c r="V101" t="str">
        <f t="shared" si="21"/>
        <v/>
      </c>
      <c r="W101">
        <f t="shared" si="22"/>
        <v>0</v>
      </c>
      <c r="Y101" t="str">
        <f>IF($C$13="Yes",IF(Summary!B97&lt;&gt;"",Summary!B97,""),"")</f>
        <v/>
      </c>
      <c r="Z101" s="439" t="str">
        <f t="shared" si="23"/>
        <v/>
      </c>
      <c r="AA101" t="str">
        <f t="shared" si="12"/>
        <v/>
      </c>
    </row>
    <row r="102" spans="2:27">
      <c r="B102" t="str">
        <f>IF(Summary!B98&lt;&gt;"",Summary!B98,"")</f>
        <v/>
      </c>
      <c r="C102" t="str">
        <f>IF(Summary!C98&lt;&gt;"",Summary!C98,"")</f>
        <v/>
      </c>
      <c r="E102" t="str">
        <f>IF($C$15&gt;=1,IF($C$13="Yes",IF(Summary!B98&lt;&gt;"",Summary!B98,""),""),"")</f>
        <v/>
      </c>
      <c r="F102" t="str">
        <f t="shared" si="13"/>
        <v/>
      </c>
      <c r="G102">
        <f t="shared" si="14"/>
        <v>0</v>
      </c>
      <c r="I102" t="str">
        <f>IF($C$15&gt;=2,IF($C$13="Yes",IF(Summary!B98&lt;&gt;"",Summary!B98,""),""),"")</f>
        <v/>
      </c>
      <c r="J102" t="str">
        <f t="shared" si="15"/>
        <v/>
      </c>
      <c r="K102">
        <f t="shared" si="16"/>
        <v>0</v>
      </c>
      <c r="M102" t="str">
        <f>IF($C$15&gt;=3,IF($C$13="Yes",IF(Summary!B98&lt;&gt;"",Summary!B98,""),""),"")</f>
        <v/>
      </c>
      <c r="N102" t="str">
        <f t="shared" si="17"/>
        <v/>
      </c>
      <c r="O102">
        <f t="shared" si="18"/>
        <v>0</v>
      </c>
      <c r="Q102" t="str">
        <f>IF($C$15&gt;=4,IF($C$13="Yes",IF(Summary!B98&lt;&gt;"",Summary!B98,""),""),"")</f>
        <v/>
      </c>
      <c r="R102" t="str">
        <f t="shared" si="19"/>
        <v/>
      </c>
      <c r="S102">
        <f t="shared" si="20"/>
        <v>0</v>
      </c>
      <c r="U102" t="str">
        <f>IF($C$15&gt;=5,IF($C$13="Yes",IF(Summary!B98&lt;&gt;"",Summary!B98,""),""),"")</f>
        <v/>
      </c>
      <c r="V102" t="str">
        <f t="shared" si="21"/>
        <v/>
      </c>
      <c r="W102">
        <f t="shared" si="22"/>
        <v>0</v>
      </c>
      <c r="Y102" t="str">
        <f>IF($C$13="Yes",IF(Summary!B98&lt;&gt;"",Summary!B98,""),"")</f>
        <v/>
      </c>
      <c r="Z102" s="439" t="str">
        <f t="shared" si="23"/>
        <v/>
      </c>
      <c r="AA102" t="str">
        <f t="shared" si="12"/>
        <v/>
      </c>
    </row>
    <row r="103" spans="2:27">
      <c r="B103" t="str">
        <f>IF(Summary!B99&lt;&gt;"",Summary!B99,"")</f>
        <v/>
      </c>
      <c r="C103" t="str">
        <f>IF(Summary!C99&lt;&gt;"",Summary!C99,"")</f>
        <v/>
      </c>
      <c r="E103" t="str">
        <f>IF($C$15&gt;=1,IF($C$13="Yes",IF(Summary!B99&lt;&gt;"",Summary!B99,""),""),"")</f>
        <v/>
      </c>
      <c r="F103" t="str">
        <f t="shared" si="13"/>
        <v/>
      </c>
      <c r="G103">
        <f t="shared" si="14"/>
        <v>0</v>
      </c>
      <c r="I103" t="str">
        <f>IF($C$15&gt;=2,IF($C$13="Yes",IF(Summary!B99&lt;&gt;"",Summary!B99,""),""),"")</f>
        <v/>
      </c>
      <c r="J103" t="str">
        <f t="shared" si="15"/>
        <v/>
      </c>
      <c r="K103">
        <f t="shared" si="16"/>
        <v>0</v>
      </c>
      <c r="M103" t="str">
        <f>IF($C$15&gt;=3,IF($C$13="Yes",IF(Summary!B99&lt;&gt;"",Summary!B99,""),""),"")</f>
        <v/>
      </c>
      <c r="N103" t="str">
        <f t="shared" si="17"/>
        <v/>
      </c>
      <c r="O103">
        <f t="shared" si="18"/>
        <v>0</v>
      </c>
      <c r="Q103" t="str">
        <f>IF($C$15&gt;=4,IF($C$13="Yes",IF(Summary!B99&lt;&gt;"",Summary!B99,""),""),"")</f>
        <v/>
      </c>
      <c r="R103" t="str">
        <f t="shared" si="19"/>
        <v/>
      </c>
      <c r="S103">
        <f t="shared" si="20"/>
        <v>0</v>
      </c>
      <c r="U103" t="str">
        <f>IF($C$15&gt;=5,IF($C$13="Yes",IF(Summary!B99&lt;&gt;"",Summary!B99,""),""),"")</f>
        <v/>
      </c>
      <c r="V103" t="str">
        <f t="shared" si="21"/>
        <v/>
      </c>
      <c r="W103">
        <f t="shared" si="22"/>
        <v>0</v>
      </c>
      <c r="Y103" t="str">
        <f>IF($C$13="Yes",IF(Summary!B99&lt;&gt;"",Summary!B99,""),"")</f>
        <v/>
      </c>
      <c r="Z103" s="439" t="str">
        <f t="shared" si="23"/>
        <v/>
      </c>
      <c r="AA103" t="str">
        <f t="shared" si="12"/>
        <v/>
      </c>
    </row>
    <row r="104" spans="2:27">
      <c r="B104" t="str">
        <f>IF(Summary!B100&lt;&gt;"",Summary!B100,"")</f>
        <v/>
      </c>
      <c r="C104" t="str">
        <f>IF(Summary!C100&lt;&gt;"",Summary!C100,"")</f>
        <v/>
      </c>
      <c r="E104" t="str">
        <f>IF($C$15&gt;=1,IF($C$13="Yes",IF(Summary!B100&lt;&gt;"",Summary!B100,""),""),"")</f>
        <v/>
      </c>
      <c r="F104" t="str">
        <f t="shared" si="13"/>
        <v/>
      </c>
      <c r="G104">
        <f t="shared" si="14"/>
        <v>0</v>
      </c>
      <c r="I104" t="str">
        <f>IF($C$15&gt;=2,IF($C$13="Yes",IF(Summary!B100&lt;&gt;"",Summary!B100,""),""),"")</f>
        <v/>
      </c>
      <c r="J104" t="str">
        <f t="shared" si="15"/>
        <v/>
      </c>
      <c r="K104">
        <f t="shared" si="16"/>
        <v>0</v>
      </c>
      <c r="M104" t="str">
        <f>IF($C$15&gt;=3,IF($C$13="Yes",IF(Summary!B100&lt;&gt;"",Summary!B100,""),""),"")</f>
        <v/>
      </c>
      <c r="N104" t="str">
        <f t="shared" si="17"/>
        <v/>
      </c>
      <c r="O104">
        <f t="shared" si="18"/>
        <v>0</v>
      </c>
      <c r="Q104" t="str">
        <f>IF($C$15&gt;=4,IF($C$13="Yes",IF(Summary!B100&lt;&gt;"",Summary!B100,""),""),"")</f>
        <v/>
      </c>
      <c r="R104" t="str">
        <f t="shared" si="19"/>
        <v/>
      </c>
      <c r="S104">
        <f t="shared" si="20"/>
        <v>0</v>
      </c>
      <c r="U104" t="str">
        <f>IF($C$15&gt;=5,IF($C$13="Yes",IF(Summary!B100&lt;&gt;"",Summary!B100,""),""),"")</f>
        <v/>
      </c>
      <c r="V104" t="str">
        <f t="shared" si="21"/>
        <v/>
      </c>
      <c r="W104">
        <f t="shared" si="22"/>
        <v>0</v>
      </c>
      <c r="Y104" t="str">
        <f>IF($C$13="Yes",IF(Summary!B100&lt;&gt;"",Summary!B100,""),"")</f>
        <v/>
      </c>
      <c r="Z104" s="439" t="str">
        <f t="shared" si="23"/>
        <v/>
      </c>
      <c r="AA104" t="str">
        <f t="shared" si="12"/>
        <v/>
      </c>
    </row>
    <row r="105" spans="2:27">
      <c r="B105" t="str">
        <f>IF(Summary!B101&lt;&gt;"",Summary!B101,"")</f>
        <v/>
      </c>
      <c r="C105" t="str">
        <f>IF(Summary!C101&lt;&gt;"",Summary!C101,"")</f>
        <v/>
      </c>
      <c r="E105" t="str">
        <f>IF($C$15&gt;=1,IF($C$13="Yes",IF(Summary!B101&lt;&gt;"",Summary!B101,""),""),"")</f>
        <v/>
      </c>
      <c r="F105" t="str">
        <f t="shared" si="13"/>
        <v/>
      </c>
      <c r="G105">
        <f t="shared" si="14"/>
        <v>0</v>
      </c>
      <c r="I105" t="str">
        <f>IF($C$15&gt;=2,IF($C$13="Yes",IF(Summary!B101&lt;&gt;"",Summary!B101,""),""),"")</f>
        <v/>
      </c>
      <c r="J105" t="str">
        <f t="shared" si="15"/>
        <v/>
      </c>
      <c r="K105">
        <f t="shared" si="16"/>
        <v>0</v>
      </c>
      <c r="M105" t="str">
        <f>IF($C$15&gt;=3,IF($C$13="Yes",IF(Summary!B101&lt;&gt;"",Summary!B101,""),""),"")</f>
        <v/>
      </c>
      <c r="N105" t="str">
        <f t="shared" si="17"/>
        <v/>
      </c>
      <c r="O105">
        <f t="shared" si="18"/>
        <v>0</v>
      </c>
      <c r="Q105" t="str">
        <f>IF($C$15&gt;=4,IF($C$13="Yes",IF(Summary!B101&lt;&gt;"",Summary!B101,""),""),"")</f>
        <v/>
      </c>
      <c r="R105" t="str">
        <f t="shared" si="19"/>
        <v/>
      </c>
      <c r="S105">
        <f t="shared" si="20"/>
        <v>0</v>
      </c>
      <c r="U105" t="str">
        <f>IF($C$15&gt;=5,IF($C$13="Yes",IF(Summary!B101&lt;&gt;"",Summary!B101,""),""),"")</f>
        <v/>
      </c>
      <c r="V105" t="str">
        <f t="shared" si="21"/>
        <v/>
      </c>
      <c r="W105">
        <f t="shared" si="22"/>
        <v>0</v>
      </c>
      <c r="Y105" t="str">
        <f>IF($C$13="Yes",IF(Summary!B101&lt;&gt;"",Summary!B101,""),"")</f>
        <v/>
      </c>
      <c r="Z105" s="439" t="str">
        <f t="shared" si="23"/>
        <v/>
      </c>
      <c r="AA105" t="str">
        <f t="shared" si="12"/>
        <v/>
      </c>
    </row>
    <row r="106" spans="2:27">
      <c r="B106" t="str">
        <f>IF(Summary!B102&lt;&gt;"",Summary!B102,"")</f>
        <v/>
      </c>
      <c r="C106" t="str">
        <f>IF(Summary!C102&lt;&gt;"",Summary!C102,"")</f>
        <v/>
      </c>
      <c r="E106" t="str">
        <f>IF($C$15&gt;=1,IF($C$13="Yes",IF(Summary!B102&lt;&gt;"",Summary!B102,""),""),"")</f>
        <v/>
      </c>
      <c r="F106" t="str">
        <f t="shared" si="13"/>
        <v/>
      </c>
      <c r="G106">
        <f t="shared" si="14"/>
        <v>0</v>
      </c>
      <c r="I106" t="str">
        <f>IF($C$15&gt;=2,IF($C$13="Yes",IF(Summary!B102&lt;&gt;"",Summary!B102,""),""),"")</f>
        <v/>
      </c>
      <c r="J106" t="str">
        <f t="shared" si="15"/>
        <v/>
      </c>
      <c r="K106">
        <f t="shared" si="16"/>
        <v>0</v>
      </c>
      <c r="M106" t="str">
        <f>IF($C$15&gt;=3,IF($C$13="Yes",IF(Summary!B102&lt;&gt;"",Summary!B102,""),""),"")</f>
        <v/>
      </c>
      <c r="N106" t="str">
        <f t="shared" si="17"/>
        <v/>
      </c>
      <c r="O106">
        <f t="shared" si="18"/>
        <v>0</v>
      </c>
      <c r="Q106" t="str">
        <f>IF($C$15&gt;=4,IF($C$13="Yes",IF(Summary!B102&lt;&gt;"",Summary!B102,""),""),"")</f>
        <v/>
      </c>
      <c r="R106" t="str">
        <f t="shared" si="19"/>
        <v/>
      </c>
      <c r="S106">
        <f t="shared" si="20"/>
        <v>0</v>
      </c>
      <c r="U106" t="str">
        <f>IF($C$15&gt;=5,IF($C$13="Yes",IF(Summary!B102&lt;&gt;"",Summary!B102,""),""),"")</f>
        <v/>
      </c>
      <c r="V106" t="str">
        <f t="shared" si="21"/>
        <v/>
      </c>
      <c r="W106">
        <f t="shared" si="22"/>
        <v>0</v>
      </c>
      <c r="Y106" t="str">
        <f>IF($C$13="Yes",IF(Summary!B102&lt;&gt;"",Summary!B102,""),"")</f>
        <v/>
      </c>
      <c r="Z106" s="439" t="str">
        <f t="shared" si="23"/>
        <v/>
      </c>
      <c r="AA106" t="str">
        <f t="shared" si="12"/>
        <v/>
      </c>
    </row>
    <row r="107" spans="2:27">
      <c r="B107" t="str">
        <f>IF(Summary!B103&lt;&gt;"",Summary!B103,"")</f>
        <v/>
      </c>
      <c r="C107" t="str">
        <f>IF(Summary!C103&lt;&gt;"",Summary!C103,"")</f>
        <v/>
      </c>
      <c r="E107" t="str">
        <f>IF($C$15&gt;=1,IF($C$13="Yes",IF(Summary!B103&lt;&gt;"",Summary!B103,""),""),"")</f>
        <v/>
      </c>
      <c r="F107" t="str">
        <f t="shared" si="13"/>
        <v/>
      </c>
      <c r="G107">
        <f t="shared" si="14"/>
        <v>0</v>
      </c>
      <c r="I107" t="str">
        <f>IF($C$15&gt;=2,IF($C$13="Yes",IF(Summary!B103&lt;&gt;"",Summary!B103,""),""),"")</f>
        <v/>
      </c>
      <c r="J107" t="str">
        <f t="shared" si="15"/>
        <v/>
      </c>
      <c r="K107">
        <f t="shared" si="16"/>
        <v>0</v>
      </c>
      <c r="M107" t="str">
        <f>IF($C$15&gt;=3,IF($C$13="Yes",IF(Summary!B103&lt;&gt;"",Summary!B103,""),""),"")</f>
        <v/>
      </c>
      <c r="N107" t="str">
        <f t="shared" si="17"/>
        <v/>
      </c>
      <c r="O107">
        <f t="shared" si="18"/>
        <v>0</v>
      </c>
      <c r="Q107" t="str">
        <f>IF($C$15&gt;=4,IF($C$13="Yes",IF(Summary!B103&lt;&gt;"",Summary!B103,""),""),"")</f>
        <v/>
      </c>
      <c r="R107" t="str">
        <f t="shared" si="19"/>
        <v/>
      </c>
      <c r="S107">
        <f t="shared" si="20"/>
        <v>0</v>
      </c>
      <c r="U107" t="str">
        <f>IF($C$15&gt;=5,IF($C$13="Yes",IF(Summary!B103&lt;&gt;"",Summary!B103,""),""),"")</f>
        <v/>
      </c>
      <c r="V107" t="str">
        <f t="shared" si="21"/>
        <v/>
      </c>
      <c r="W107">
        <f t="shared" si="22"/>
        <v>0</v>
      </c>
      <c r="Y107" t="str">
        <f>IF($C$13="Yes",IF(Summary!B103&lt;&gt;"",Summary!B103,""),"")</f>
        <v/>
      </c>
      <c r="Z107" s="439" t="str">
        <f t="shared" si="23"/>
        <v/>
      </c>
      <c r="AA107" t="str">
        <f t="shared" si="12"/>
        <v/>
      </c>
    </row>
    <row r="108" spans="2:27">
      <c r="B108" t="str">
        <f>IF(Summary!B104&lt;&gt;"",Summary!B104,"")</f>
        <v/>
      </c>
      <c r="C108" t="str">
        <f>IF(Summary!C104&lt;&gt;"",Summary!C104,"")</f>
        <v/>
      </c>
      <c r="E108" t="str">
        <f>IF($C$15&gt;=1,IF($C$13="Yes",IF(Summary!B104&lt;&gt;"",Summary!B104,""),""),"")</f>
        <v/>
      </c>
      <c r="F108" t="str">
        <f t="shared" si="13"/>
        <v/>
      </c>
      <c r="G108">
        <f t="shared" si="14"/>
        <v>0</v>
      </c>
      <c r="I108" t="str">
        <f>IF($C$15&gt;=2,IF($C$13="Yes",IF(Summary!B104&lt;&gt;"",Summary!B104,""),""),"")</f>
        <v/>
      </c>
      <c r="J108" t="str">
        <f t="shared" si="15"/>
        <v/>
      </c>
      <c r="K108">
        <f t="shared" si="16"/>
        <v>0</v>
      </c>
      <c r="M108" t="str">
        <f>IF($C$15&gt;=3,IF($C$13="Yes",IF(Summary!B104&lt;&gt;"",Summary!B104,""),""),"")</f>
        <v/>
      </c>
      <c r="N108" t="str">
        <f t="shared" si="17"/>
        <v/>
      </c>
      <c r="O108">
        <f t="shared" si="18"/>
        <v>0</v>
      </c>
      <c r="Q108" t="str">
        <f>IF($C$15&gt;=4,IF($C$13="Yes",IF(Summary!B104&lt;&gt;"",Summary!B104,""),""),"")</f>
        <v/>
      </c>
      <c r="R108" t="str">
        <f t="shared" si="19"/>
        <v/>
      </c>
      <c r="S108">
        <f t="shared" si="20"/>
        <v>0</v>
      </c>
      <c r="U108" t="str">
        <f>IF($C$15&gt;=5,IF($C$13="Yes",IF(Summary!B104&lt;&gt;"",Summary!B104,""),""),"")</f>
        <v/>
      </c>
      <c r="V108" t="str">
        <f t="shared" si="21"/>
        <v/>
      </c>
      <c r="W108">
        <f t="shared" si="22"/>
        <v>0</v>
      </c>
      <c r="Y108" t="str">
        <f>IF($C$13="Yes",IF(Summary!B104&lt;&gt;"",Summary!B104,""),"")</f>
        <v/>
      </c>
      <c r="Z108" s="439" t="str">
        <f t="shared" si="23"/>
        <v/>
      </c>
      <c r="AA108" t="str">
        <f t="shared" si="12"/>
        <v/>
      </c>
    </row>
    <row r="109" spans="2:27">
      <c r="B109" t="str">
        <f>IF(Summary!B105&lt;&gt;"",Summary!B105,"")</f>
        <v/>
      </c>
      <c r="C109" t="str">
        <f>IF(Summary!C105&lt;&gt;"",Summary!C105,"")</f>
        <v/>
      </c>
      <c r="E109" t="str">
        <f>IF($C$15&gt;=1,IF($C$13="Yes",IF(Summary!B105&lt;&gt;"",Summary!B105,""),""),"")</f>
        <v/>
      </c>
      <c r="F109" t="str">
        <f t="shared" si="13"/>
        <v/>
      </c>
      <c r="G109">
        <f t="shared" si="14"/>
        <v>0</v>
      </c>
      <c r="I109" t="str">
        <f>IF($C$15&gt;=2,IF($C$13="Yes",IF(Summary!B105&lt;&gt;"",Summary!B105,""),""),"")</f>
        <v/>
      </c>
      <c r="J109" t="str">
        <f t="shared" si="15"/>
        <v/>
      </c>
      <c r="K109">
        <f t="shared" si="16"/>
        <v>0</v>
      </c>
      <c r="M109" t="str">
        <f>IF($C$15&gt;=3,IF($C$13="Yes",IF(Summary!B105&lt;&gt;"",Summary!B105,""),""),"")</f>
        <v/>
      </c>
      <c r="N109" t="str">
        <f t="shared" si="17"/>
        <v/>
      </c>
      <c r="O109">
        <f t="shared" si="18"/>
        <v>0</v>
      </c>
      <c r="Q109" t="str">
        <f>IF($C$15&gt;=4,IF($C$13="Yes",IF(Summary!B105&lt;&gt;"",Summary!B105,""),""),"")</f>
        <v/>
      </c>
      <c r="R109" t="str">
        <f t="shared" si="19"/>
        <v/>
      </c>
      <c r="S109">
        <f t="shared" si="20"/>
        <v>0</v>
      </c>
      <c r="U109" t="str">
        <f>IF($C$15&gt;=5,IF($C$13="Yes",IF(Summary!B105&lt;&gt;"",Summary!B105,""),""),"")</f>
        <v/>
      </c>
      <c r="V109" t="str">
        <f t="shared" si="21"/>
        <v/>
      </c>
      <c r="W109">
        <f t="shared" si="22"/>
        <v>0</v>
      </c>
      <c r="Y109" t="str">
        <f>IF($C$13="Yes",IF(Summary!B105&lt;&gt;"",Summary!B105,""),"")</f>
        <v/>
      </c>
      <c r="Z109" s="439" t="str">
        <f t="shared" si="23"/>
        <v/>
      </c>
      <c r="AA109" t="str">
        <f t="shared" si="12"/>
        <v/>
      </c>
    </row>
    <row r="110" spans="2:27">
      <c r="B110" t="str">
        <f>IF(Summary!B106&lt;&gt;"",Summary!B106,"")</f>
        <v/>
      </c>
      <c r="C110" t="str">
        <f>IF(Summary!C106&lt;&gt;"",Summary!C106,"")</f>
        <v/>
      </c>
      <c r="E110" t="str">
        <f>IF($C$15&gt;=1,IF($C$13="Yes",IF(Summary!B106&lt;&gt;"",Summary!B106,""),""),"")</f>
        <v/>
      </c>
      <c r="F110" t="str">
        <f t="shared" si="13"/>
        <v/>
      </c>
      <c r="G110">
        <f t="shared" si="14"/>
        <v>0</v>
      </c>
      <c r="I110" t="str">
        <f>IF($C$15&gt;=2,IF($C$13="Yes",IF(Summary!B106&lt;&gt;"",Summary!B106,""),""),"")</f>
        <v/>
      </c>
      <c r="J110" t="str">
        <f t="shared" si="15"/>
        <v/>
      </c>
      <c r="K110">
        <f t="shared" si="16"/>
        <v>0</v>
      </c>
      <c r="M110" t="str">
        <f>IF($C$15&gt;=3,IF($C$13="Yes",IF(Summary!B106&lt;&gt;"",Summary!B106,""),""),"")</f>
        <v/>
      </c>
      <c r="N110" t="str">
        <f t="shared" si="17"/>
        <v/>
      </c>
      <c r="O110">
        <f t="shared" si="18"/>
        <v>0</v>
      </c>
      <c r="Q110" t="str">
        <f>IF($C$15&gt;=4,IF($C$13="Yes",IF(Summary!B106&lt;&gt;"",Summary!B106,""),""),"")</f>
        <v/>
      </c>
      <c r="R110" t="str">
        <f t="shared" si="19"/>
        <v/>
      </c>
      <c r="S110">
        <f t="shared" si="20"/>
        <v>0</v>
      </c>
      <c r="U110" t="str">
        <f>IF($C$15&gt;=5,IF($C$13="Yes",IF(Summary!B106&lt;&gt;"",Summary!B106,""),""),"")</f>
        <v/>
      </c>
      <c r="V110" t="str">
        <f t="shared" si="21"/>
        <v/>
      </c>
      <c r="W110">
        <f t="shared" si="22"/>
        <v>0</v>
      </c>
      <c r="Y110" t="str">
        <f>IF($C$13="Yes",IF(Summary!B106&lt;&gt;"",Summary!B106,""),"")</f>
        <v/>
      </c>
      <c r="Z110" s="439" t="str">
        <f t="shared" si="23"/>
        <v/>
      </c>
      <c r="AA110" t="str">
        <f t="shared" si="12"/>
        <v/>
      </c>
    </row>
    <row r="111" spans="2:27">
      <c r="B111" t="str">
        <f>IF(Summary!B107&lt;&gt;"",Summary!B107,"")</f>
        <v/>
      </c>
      <c r="C111" t="str">
        <f>IF(Summary!C107&lt;&gt;"",Summary!C107,"")</f>
        <v/>
      </c>
      <c r="E111" t="str">
        <f>IF($C$15&gt;=1,IF($C$13="Yes",IF(Summary!B107&lt;&gt;"",Summary!B107,""),""),"")</f>
        <v/>
      </c>
      <c r="F111" t="str">
        <f t="shared" si="13"/>
        <v/>
      </c>
      <c r="G111">
        <f t="shared" si="14"/>
        <v>0</v>
      </c>
      <c r="I111" t="str">
        <f>IF($C$15&gt;=2,IF($C$13="Yes",IF(Summary!B107&lt;&gt;"",Summary!B107,""),""),"")</f>
        <v/>
      </c>
      <c r="J111" t="str">
        <f t="shared" si="15"/>
        <v/>
      </c>
      <c r="K111">
        <f t="shared" si="16"/>
        <v>0</v>
      </c>
      <c r="M111" t="str">
        <f>IF($C$15&gt;=3,IF($C$13="Yes",IF(Summary!B107&lt;&gt;"",Summary!B107,""),""),"")</f>
        <v/>
      </c>
      <c r="N111" t="str">
        <f t="shared" si="17"/>
        <v/>
      </c>
      <c r="O111">
        <f t="shared" si="18"/>
        <v>0</v>
      </c>
      <c r="Q111" t="str">
        <f>IF($C$15&gt;=4,IF($C$13="Yes",IF(Summary!B107&lt;&gt;"",Summary!B107,""),""),"")</f>
        <v/>
      </c>
      <c r="R111" t="str">
        <f t="shared" si="19"/>
        <v/>
      </c>
      <c r="S111">
        <f t="shared" si="20"/>
        <v>0</v>
      </c>
      <c r="U111" t="str">
        <f>IF($C$15&gt;=5,IF($C$13="Yes",IF(Summary!B107&lt;&gt;"",Summary!B107,""),""),"")</f>
        <v/>
      </c>
      <c r="V111" t="str">
        <f t="shared" si="21"/>
        <v/>
      </c>
      <c r="W111">
        <f t="shared" si="22"/>
        <v>0</v>
      </c>
      <c r="Y111" t="str">
        <f>IF($C$13="Yes",IF(Summary!B107&lt;&gt;"",Summary!B107,""),"")</f>
        <v/>
      </c>
      <c r="Z111" s="439" t="str">
        <f t="shared" si="23"/>
        <v/>
      </c>
      <c r="AA111" t="str">
        <f t="shared" si="12"/>
        <v/>
      </c>
    </row>
    <row r="112" spans="2:27">
      <c r="B112" t="str">
        <f>IF(Summary!B108&lt;&gt;"",Summary!B108,"")</f>
        <v/>
      </c>
      <c r="C112" t="str">
        <f>IF(Summary!C108&lt;&gt;"",Summary!C108,"")</f>
        <v/>
      </c>
      <c r="E112" t="str">
        <f>IF($C$15&gt;=1,IF($C$13="Yes",IF(Summary!B108&lt;&gt;"",Summary!B108,""),""),"")</f>
        <v/>
      </c>
      <c r="F112" t="str">
        <f t="shared" si="13"/>
        <v/>
      </c>
      <c r="G112">
        <f t="shared" si="14"/>
        <v>0</v>
      </c>
      <c r="I112" t="str">
        <f>IF($C$15&gt;=2,IF($C$13="Yes",IF(Summary!B108&lt;&gt;"",Summary!B108,""),""),"")</f>
        <v/>
      </c>
      <c r="J112" t="str">
        <f t="shared" si="15"/>
        <v/>
      </c>
      <c r="K112">
        <f t="shared" si="16"/>
        <v>0</v>
      </c>
      <c r="M112" t="str">
        <f>IF($C$15&gt;=3,IF($C$13="Yes",IF(Summary!B108&lt;&gt;"",Summary!B108,""),""),"")</f>
        <v/>
      </c>
      <c r="N112" t="str">
        <f t="shared" si="17"/>
        <v/>
      </c>
      <c r="O112">
        <f t="shared" si="18"/>
        <v>0</v>
      </c>
      <c r="Q112" t="str">
        <f>IF($C$15&gt;=4,IF($C$13="Yes",IF(Summary!B108&lt;&gt;"",Summary!B108,""),""),"")</f>
        <v/>
      </c>
      <c r="R112" t="str">
        <f t="shared" si="19"/>
        <v/>
      </c>
      <c r="S112">
        <f t="shared" si="20"/>
        <v>0</v>
      </c>
      <c r="U112" t="str">
        <f>IF($C$15&gt;=5,IF($C$13="Yes",IF(Summary!B108&lt;&gt;"",Summary!B108,""),""),"")</f>
        <v/>
      </c>
      <c r="V112" t="str">
        <f t="shared" si="21"/>
        <v/>
      </c>
      <c r="W112">
        <f t="shared" si="22"/>
        <v>0</v>
      </c>
      <c r="Y112" t="str">
        <f>IF($C$13="Yes",IF(Summary!B108&lt;&gt;"",Summary!B108,""),"")</f>
        <v/>
      </c>
      <c r="Z112" s="439" t="str">
        <f t="shared" si="23"/>
        <v/>
      </c>
      <c r="AA112" t="str">
        <f t="shared" si="12"/>
        <v/>
      </c>
    </row>
    <row r="113" spans="2:27">
      <c r="B113" t="str">
        <f>IF(Summary!B109&lt;&gt;"",Summary!B109,"")</f>
        <v/>
      </c>
      <c r="C113" t="str">
        <f>IF(Summary!C109&lt;&gt;"",Summary!C109,"")</f>
        <v/>
      </c>
      <c r="E113" t="str">
        <f>IF($C$15&gt;=1,IF($C$13="Yes",IF(Summary!B109&lt;&gt;"",Summary!B109,""),""),"")</f>
        <v/>
      </c>
      <c r="F113" t="str">
        <f t="shared" si="13"/>
        <v/>
      </c>
      <c r="G113">
        <f t="shared" si="14"/>
        <v>0</v>
      </c>
      <c r="I113" t="str">
        <f>IF($C$15&gt;=2,IF($C$13="Yes",IF(Summary!B109&lt;&gt;"",Summary!B109,""),""),"")</f>
        <v/>
      </c>
      <c r="J113" t="str">
        <f t="shared" si="15"/>
        <v/>
      </c>
      <c r="K113">
        <f t="shared" si="16"/>
        <v>0</v>
      </c>
      <c r="M113" t="str">
        <f>IF($C$15&gt;=3,IF($C$13="Yes",IF(Summary!B109&lt;&gt;"",Summary!B109,""),""),"")</f>
        <v/>
      </c>
      <c r="N113" t="str">
        <f t="shared" si="17"/>
        <v/>
      </c>
      <c r="O113">
        <f t="shared" si="18"/>
        <v>0</v>
      </c>
      <c r="Q113" t="str">
        <f>IF($C$15&gt;=4,IF($C$13="Yes",IF(Summary!B109&lt;&gt;"",Summary!B109,""),""),"")</f>
        <v/>
      </c>
      <c r="R113" t="str">
        <f t="shared" si="19"/>
        <v/>
      </c>
      <c r="S113">
        <f t="shared" si="20"/>
        <v>0</v>
      </c>
      <c r="U113" t="str">
        <f>IF($C$15&gt;=5,IF($C$13="Yes",IF(Summary!B109&lt;&gt;"",Summary!B109,""),""),"")</f>
        <v/>
      </c>
      <c r="V113" t="str">
        <f t="shared" si="21"/>
        <v/>
      </c>
      <c r="W113">
        <f t="shared" si="22"/>
        <v>0</v>
      </c>
      <c r="Y113" t="str">
        <f>IF($C$13="Yes",IF(Summary!B109&lt;&gt;"",Summary!B109,""),"")</f>
        <v/>
      </c>
      <c r="Z113" s="439" t="str">
        <f t="shared" si="23"/>
        <v/>
      </c>
      <c r="AA113" t="str">
        <f t="shared" si="12"/>
        <v/>
      </c>
    </row>
    <row r="114" spans="2:27">
      <c r="B114" t="str">
        <f>IF(Summary!B110&lt;&gt;"",Summary!B110,"")</f>
        <v/>
      </c>
      <c r="C114" t="str">
        <f>IF(Summary!C110&lt;&gt;"",Summary!C110,"")</f>
        <v/>
      </c>
      <c r="E114" t="str">
        <f>IF($C$15&gt;=1,IF($C$13="Yes",IF(Summary!B110&lt;&gt;"",Summary!B110,""),""),"")</f>
        <v/>
      </c>
      <c r="F114" t="str">
        <f t="shared" si="13"/>
        <v/>
      </c>
      <c r="G114">
        <f t="shared" si="14"/>
        <v>0</v>
      </c>
      <c r="I114" t="str">
        <f>IF($C$15&gt;=2,IF($C$13="Yes",IF(Summary!B110&lt;&gt;"",Summary!B110,""),""),"")</f>
        <v/>
      </c>
      <c r="J114" t="str">
        <f t="shared" si="15"/>
        <v/>
      </c>
      <c r="K114">
        <f t="shared" si="16"/>
        <v>0</v>
      </c>
      <c r="M114" t="str">
        <f>IF($C$15&gt;=3,IF($C$13="Yes",IF(Summary!B110&lt;&gt;"",Summary!B110,""),""),"")</f>
        <v/>
      </c>
      <c r="N114" t="str">
        <f t="shared" si="17"/>
        <v/>
      </c>
      <c r="O114">
        <f t="shared" si="18"/>
        <v>0</v>
      </c>
      <c r="Q114" t="str">
        <f>IF($C$15&gt;=4,IF($C$13="Yes",IF(Summary!B110&lt;&gt;"",Summary!B110,""),""),"")</f>
        <v/>
      </c>
      <c r="R114" t="str">
        <f t="shared" si="19"/>
        <v/>
      </c>
      <c r="S114">
        <f t="shared" si="20"/>
        <v>0</v>
      </c>
      <c r="U114" t="str">
        <f>IF($C$15&gt;=5,IF($C$13="Yes",IF(Summary!B110&lt;&gt;"",Summary!B110,""),""),"")</f>
        <v/>
      </c>
      <c r="V114" t="str">
        <f t="shared" si="21"/>
        <v/>
      </c>
      <c r="W114">
        <f t="shared" si="22"/>
        <v>0</v>
      </c>
      <c r="Y114" t="str">
        <f>IF($C$13="Yes",IF(Summary!B110&lt;&gt;"",Summary!B110,""),"")</f>
        <v/>
      </c>
      <c r="Z114" s="439" t="str">
        <f t="shared" si="23"/>
        <v/>
      </c>
      <c r="AA114" t="str">
        <f t="shared" si="12"/>
        <v/>
      </c>
    </row>
    <row r="115" spans="2:27">
      <c r="B115" t="str">
        <f>IF(Summary!B111&lt;&gt;"",Summary!B111,"")</f>
        <v/>
      </c>
      <c r="C115" t="str">
        <f>IF(Summary!C111&lt;&gt;"",Summary!C111,"")</f>
        <v/>
      </c>
      <c r="E115" t="str">
        <f>IF($C$15&gt;=1,IF($C$13="Yes",IF(Summary!B111&lt;&gt;"",Summary!B111,""),""),"")</f>
        <v/>
      </c>
      <c r="F115" t="str">
        <f t="shared" si="13"/>
        <v/>
      </c>
      <c r="G115">
        <f t="shared" si="14"/>
        <v>0</v>
      </c>
      <c r="I115" t="str">
        <f>IF($C$15&gt;=2,IF($C$13="Yes",IF(Summary!B111&lt;&gt;"",Summary!B111,""),""),"")</f>
        <v/>
      </c>
      <c r="J115" t="str">
        <f t="shared" si="15"/>
        <v/>
      </c>
      <c r="K115">
        <f t="shared" si="16"/>
        <v>0</v>
      </c>
      <c r="M115" t="str">
        <f>IF($C$15&gt;=3,IF($C$13="Yes",IF(Summary!B111&lt;&gt;"",Summary!B111,""),""),"")</f>
        <v/>
      </c>
      <c r="N115" t="str">
        <f t="shared" si="17"/>
        <v/>
      </c>
      <c r="O115">
        <f t="shared" si="18"/>
        <v>0</v>
      </c>
      <c r="Q115" t="str">
        <f>IF($C$15&gt;=4,IF($C$13="Yes",IF(Summary!B111&lt;&gt;"",Summary!B111,""),""),"")</f>
        <v/>
      </c>
      <c r="R115" t="str">
        <f t="shared" si="19"/>
        <v/>
      </c>
      <c r="S115">
        <f t="shared" si="20"/>
        <v>0</v>
      </c>
      <c r="U115" t="str">
        <f>IF($C$15&gt;=5,IF($C$13="Yes",IF(Summary!B111&lt;&gt;"",Summary!B111,""),""),"")</f>
        <v/>
      </c>
      <c r="V115" t="str">
        <f t="shared" si="21"/>
        <v/>
      </c>
      <c r="W115">
        <f t="shared" si="22"/>
        <v>0</v>
      </c>
      <c r="Y115" t="str">
        <f>IF($C$13="Yes",IF(Summary!B111&lt;&gt;"",Summary!B111,""),"")</f>
        <v/>
      </c>
      <c r="Z115" s="439" t="str">
        <f t="shared" si="23"/>
        <v/>
      </c>
      <c r="AA115" t="str">
        <f t="shared" si="12"/>
        <v/>
      </c>
    </row>
    <row r="116" spans="2:27">
      <c r="B116" t="str">
        <f>IF(Summary!B112&lt;&gt;"",Summary!B112,"")</f>
        <v/>
      </c>
      <c r="C116" t="str">
        <f>IF(Summary!C112&lt;&gt;"",Summary!C112,"")</f>
        <v/>
      </c>
      <c r="E116" t="str">
        <f>IF($C$15&gt;=1,IF($C$13="Yes",IF(Summary!B112&lt;&gt;"",Summary!B112,""),""),"")</f>
        <v/>
      </c>
      <c r="F116" t="str">
        <f t="shared" si="13"/>
        <v/>
      </c>
      <c r="G116">
        <f t="shared" si="14"/>
        <v>0</v>
      </c>
      <c r="I116" t="str">
        <f>IF($C$15&gt;=2,IF($C$13="Yes",IF(Summary!B112&lt;&gt;"",Summary!B112,""),""),"")</f>
        <v/>
      </c>
      <c r="J116" t="str">
        <f t="shared" si="15"/>
        <v/>
      </c>
      <c r="K116">
        <f t="shared" si="16"/>
        <v>0</v>
      </c>
      <c r="M116" t="str">
        <f>IF($C$15&gt;=3,IF($C$13="Yes",IF(Summary!B112&lt;&gt;"",Summary!B112,""),""),"")</f>
        <v/>
      </c>
      <c r="N116" t="str">
        <f t="shared" si="17"/>
        <v/>
      </c>
      <c r="O116">
        <f t="shared" si="18"/>
        <v>0</v>
      </c>
      <c r="Q116" t="str">
        <f>IF($C$15&gt;=4,IF($C$13="Yes",IF(Summary!B112&lt;&gt;"",Summary!B112,""),""),"")</f>
        <v/>
      </c>
      <c r="R116" t="str">
        <f t="shared" si="19"/>
        <v/>
      </c>
      <c r="S116">
        <f t="shared" si="20"/>
        <v>0</v>
      </c>
      <c r="U116" t="str">
        <f>IF($C$15&gt;=5,IF($C$13="Yes",IF(Summary!B112&lt;&gt;"",Summary!B112,""),""),"")</f>
        <v/>
      </c>
      <c r="V116" t="str">
        <f t="shared" si="21"/>
        <v/>
      </c>
      <c r="W116">
        <f t="shared" si="22"/>
        <v>0</v>
      </c>
      <c r="Y116" t="str">
        <f>IF($C$13="Yes",IF(Summary!B112&lt;&gt;"",Summary!B112,""),"")</f>
        <v/>
      </c>
      <c r="Z116" s="439" t="str">
        <f t="shared" si="23"/>
        <v/>
      </c>
      <c r="AA116" t="str">
        <f t="shared" si="12"/>
        <v/>
      </c>
    </row>
    <row r="117" spans="2:27">
      <c r="B117" t="str">
        <f>IF(Summary!B113&lt;&gt;"",Summary!B113,"")</f>
        <v/>
      </c>
      <c r="C117" t="str">
        <f>IF(Summary!C113&lt;&gt;"",Summary!C113,"")</f>
        <v/>
      </c>
      <c r="E117" t="str">
        <f>IF($C$15&gt;=1,IF($C$13="Yes",IF(Summary!B113&lt;&gt;"",Summary!B113,""),""),"")</f>
        <v/>
      </c>
      <c r="F117" t="str">
        <f t="shared" si="13"/>
        <v/>
      </c>
      <c r="G117">
        <f t="shared" si="14"/>
        <v>0</v>
      </c>
      <c r="I117" t="str">
        <f>IF($C$15&gt;=2,IF($C$13="Yes",IF(Summary!B113&lt;&gt;"",Summary!B113,""),""),"")</f>
        <v/>
      </c>
      <c r="J117" t="str">
        <f t="shared" si="15"/>
        <v/>
      </c>
      <c r="K117">
        <f t="shared" si="16"/>
        <v>0</v>
      </c>
      <c r="M117" t="str">
        <f>IF($C$15&gt;=3,IF($C$13="Yes",IF(Summary!B113&lt;&gt;"",Summary!B113,""),""),"")</f>
        <v/>
      </c>
      <c r="N117" t="str">
        <f t="shared" si="17"/>
        <v/>
      </c>
      <c r="O117">
        <f t="shared" si="18"/>
        <v>0</v>
      </c>
      <c r="Q117" t="str">
        <f>IF($C$15&gt;=4,IF($C$13="Yes",IF(Summary!B113&lt;&gt;"",Summary!B113,""),""),"")</f>
        <v/>
      </c>
      <c r="R117" t="str">
        <f t="shared" si="19"/>
        <v/>
      </c>
      <c r="S117">
        <f t="shared" si="20"/>
        <v>0</v>
      </c>
      <c r="U117" t="str">
        <f>IF($C$15&gt;=5,IF($C$13="Yes",IF(Summary!B113&lt;&gt;"",Summary!B113,""),""),"")</f>
        <v/>
      </c>
      <c r="V117" t="str">
        <f t="shared" si="21"/>
        <v/>
      </c>
      <c r="W117">
        <f t="shared" si="22"/>
        <v>0</v>
      </c>
      <c r="Y117" t="str">
        <f>IF($C$13="Yes",IF(Summary!B113&lt;&gt;"",Summary!B113,""),"")</f>
        <v/>
      </c>
      <c r="Z117" s="439" t="str">
        <f t="shared" si="23"/>
        <v/>
      </c>
      <c r="AA117" t="str">
        <f t="shared" si="12"/>
        <v/>
      </c>
    </row>
    <row r="118" spans="2:27">
      <c r="B118" t="str">
        <f>IF(Summary!B114&lt;&gt;"",Summary!B114,"")</f>
        <v/>
      </c>
      <c r="C118" t="str">
        <f>IF(Summary!C114&lt;&gt;"",Summary!C114,"")</f>
        <v/>
      </c>
      <c r="E118" t="str">
        <f>IF($C$15&gt;=1,IF($C$13="Yes",IF(Summary!B114&lt;&gt;"",Summary!B114,""),""),"")</f>
        <v/>
      </c>
      <c r="F118" t="str">
        <f t="shared" si="13"/>
        <v/>
      </c>
      <c r="G118">
        <f t="shared" si="14"/>
        <v>0</v>
      </c>
      <c r="I118" t="str">
        <f>IF($C$15&gt;=2,IF($C$13="Yes",IF(Summary!B114&lt;&gt;"",Summary!B114,""),""),"")</f>
        <v/>
      </c>
      <c r="J118" t="str">
        <f t="shared" si="15"/>
        <v/>
      </c>
      <c r="K118">
        <f t="shared" si="16"/>
        <v>0</v>
      </c>
      <c r="M118" t="str">
        <f>IF($C$15&gt;=3,IF($C$13="Yes",IF(Summary!B114&lt;&gt;"",Summary!B114,""),""),"")</f>
        <v/>
      </c>
      <c r="N118" t="str">
        <f t="shared" si="17"/>
        <v/>
      </c>
      <c r="O118">
        <f t="shared" si="18"/>
        <v>0</v>
      </c>
      <c r="Q118" t="str">
        <f>IF($C$15&gt;=4,IF($C$13="Yes",IF(Summary!B114&lt;&gt;"",Summary!B114,""),""),"")</f>
        <v/>
      </c>
      <c r="R118" t="str">
        <f t="shared" si="19"/>
        <v/>
      </c>
      <c r="S118">
        <f t="shared" si="20"/>
        <v>0</v>
      </c>
      <c r="U118" t="str">
        <f>IF($C$15&gt;=5,IF($C$13="Yes",IF(Summary!B114&lt;&gt;"",Summary!B114,""),""),"")</f>
        <v/>
      </c>
      <c r="V118" t="str">
        <f t="shared" si="21"/>
        <v/>
      </c>
      <c r="W118">
        <f t="shared" si="22"/>
        <v>0</v>
      </c>
      <c r="Y118" t="str">
        <f>IF($C$13="Yes",IF(Summary!B114&lt;&gt;"",Summary!B114,""),"")</f>
        <v/>
      </c>
      <c r="Z118" s="439" t="str">
        <f t="shared" si="23"/>
        <v/>
      </c>
      <c r="AA118" t="str">
        <f t="shared" si="12"/>
        <v/>
      </c>
    </row>
    <row r="119" spans="2:27">
      <c r="B119" t="str">
        <f>IF(Summary!B115&lt;&gt;"",Summary!B115,"")</f>
        <v/>
      </c>
      <c r="C119" t="str">
        <f>IF(Summary!C115&lt;&gt;"",Summary!C115,"")</f>
        <v/>
      </c>
      <c r="E119" t="str">
        <f>IF($C$15&gt;=1,IF($C$13="Yes",IF(Summary!B115&lt;&gt;"",Summary!B115,""),""),"")</f>
        <v/>
      </c>
      <c r="F119" t="str">
        <f t="shared" si="13"/>
        <v/>
      </c>
      <c r="G119">
        <f t="shared" si="14"/>
        <v>0</v>
      </c>
      <c r="I119" t="str">
        <f>IF($C$15&gt;=2,IF($C$13="Yes",IF(Summary!B115&lt;&gt;"",Summary!B115,""),""),"")</f>
        <v/>
      </c>
      <c r="J119" t="str">
        <f t="shared" si="15"/>
        <v/>
      </c>
      <c r="K119">
        <f t="shared" si="16"/>
        <v>0</v>
      </c>
      <c r="M119" t="str">
        <f>IF($C$15&gt;=3,IF($C$13="Yes",IF(Summary!B115&lt;&gt;"",Summary!B115,""),""),"")</f>
        <v/>
      </c>
      <c r="N119" t="str">
        <f t="shared" si="17"/>
        <v/>
      </c>
      <c r="O119">
        <f t="shared" si="18"/>
        <v>0</v>
      </c>
      <c r="Q119" t="str">
        <f>IF($C$15&gt;=4,IF($C$13="Yes",IF(Summary!B115&lt;&gt;"",Summary!B115,""),""),"")</f>
        <v/>
      </c>
      <c r="R119" t="str">
        <f t="shared" si="19"/>
        <v/>
      </c>
      <c r="S119">
        <f t="shared" si="20"/>
        <v>0</v>
      </c>
      <c r="U119" t="str">
        <f>IF($C$15&gt;=5,IF($C$13="Yes",IF(Summary!B115&lt;&gt;"",Summary!B115,""),""),"")</f>
        <v/>
      </c>
      <c r="V119" t="str">
        <f t="shared" si="21"/>
        <v/>
      </c>
      <c r="W119">
        <f t="shared" si="22"/>
        <v>0</v>
      </c>
      <c r="Y119" t="str">
        <f>IF($C$13="Yes",IF(Summary!B115&lt;&gt;"",Summary!B115,""),"")</f>
        <v/>
      </c>
      <c r="Z119" s="439" t="str">
        <f t="shared" si="23"/>
        <v/>
      </c>
      <c r="AA119" t="str">
        <f t="shared" si="12"/>
        <v/>
      </c>
    </row>
    <row r="120" spans="2:27">
      <c r="B120" t="str">
        <f>IF(Summary!B116&lt;&gt;"",Summary!B116,"")</f>
        <v/>
      </c>
      <c r="C120" t="str">
        <f>IF(Summary!C116&lt;&gt;"",Summary!C116,"")</f>
        <v/>
      </c>
      <c r="E120" t="str">
        <f>IF($C$15&gt;=1,IF($C$13="Yes",IF(Summary!B116&lt;&gt;"",Summary!B116,""),""),"")</f>
        <v/>
      </c>
      <c r="F120" t="str">
        <f t="shared" si="13"/>
        <v/>
      </c>
      <c r="G120">
        <f t="shared" si="14"/>
        <v>0</v>
      </c>
      <c r="I120" t="str">
        <f>IF($C$15&gt;=2,IF($C$13="Yes",IF(Summary!B116&lt;&gt;"",Summary!B116,""),""),"")</f>
        <v/>
      </c>
      <c r="J120" t="str">
        <f t="shared" si="15"/>
        <v/>
      </c>
      <c r="K120">
        <f t="shared" si="16"/>
        <v>0</v>
      </c>
      <c r="M120" t="str">
        <f>IF($C$15&gt;=3,IF($C$13="Yes",IF(Summary!B116&lt;&gt;"",Summary!B116,""),""),"")</f>
        <v/>
      </c>
      <c r="N120" t="str">
        <f t="shared" si="17"/>
        <v/>
      </c>
      <c r="O120">
        <f t="shared" si="18"/>
        <v>0</v>
      </c>
      <c r="Q120" t="str">
        <f>IF($C$15&gt;=4,IF($C$13="Yes",IF(Summary!B116&lt;&gt;"",Summary!B116,""),""),"")</f>
        <v/>
      </c>
      <c r="R120" t="str">
        <f t="shared" si="19"/>
        <v/>
      </c>
      <c r="S120">
        <f t="shared" si="20"/>
        <v>0</v>
      </c>
      <c r="U120" t="str">
        <f>IF($C$15&gt;=5,IF($C$13="Yes",IF(Summary!B116&lt;&gt;"",Summary!B116,""),""),"")</f>
        <v/>
      </c>
      <c r="V120" t="str">
        <f t="shared" si="21"/>
        <v/>
      </c>
      <c r="W120">
        <f t="shared" si="22"/>
        <v>0</v>
      </c>
      <c r="Y120" t="str">
        <f>IF($C$13="Yes",IF(Summary!B116&lt;&gt;"",Summary!B116,""),"")</f>
        <v/>
      </c>
      <c r="Z120" s="439" t="str">
        <f t="shared" si="23"/>
        <v/>
      </c>
      <c r="AA120" t="str">
        <f t="shared" si="12"/>
        <v/>
      </c>
    </row>
    <row r="121" spans="2:27">
      <c r="B121" t="str">
        <f>IF(Summary!B117&lt;&gt;"",Summary!B117,"")</f>
        <v/>
      </c>
      <c r="C121" t="str">
        <f>IF(Summary!C117&lt;&gt;"",Summary!C117,"")</f>
        <v/>
      </c>
      <c r="E121" t="str">
        <f>IF($C$15&gt;=1,IF($C$13="Yes",IF(Summary!B117&lt;&gt;"",Summary!B117,""),""),"")</f>
        <v/>
      </c>
      <c r="F121" t="str">
        <f t="shared" si="13"/>
        <v/>
      </c>
      <c r="G121">
        <f t="shared" si="14"/>
        <v>0</v>
      </c>
      <c r="I121" t="str">
        <f>IF($C$15&gt;=2,IF($C$13="Yes",IF(Summary!B117&lt;&gt;"",Summary!B117,""),""),"")</f>
        <v/>
      </c>
      <c r="J121" t="str">
        <f t="shared" si="15"/>
        <v/>
      </c>
      <c r="K121">
        <f t="shared" si="16"/>
        <v>0</v>
      </c>
      <c r="M121" t="str">
        <f>IF($C$15&gt;=3,IF($C$13="Yes",IF(Summary!B117&lt;&gt;"",Summary!B117,""),""),"")</f>
        <v/>
      </c>
      <c r="N121" t="str">
        <f t="shared" si="17"/>
        <v/>
      </c>
      <c r="O121">
        <f t="shared" si="18"/>
        <v>0</v>
      </c>
      <c r="Q121" t="str">
        <f>IF($C$15&gt;=4,IF($C$13="Yes",IF(Summary!B117&lt;&gt;"",Summary!B117,""),""),"")</f>
        <v/>
      </c>
      <c r="R121" t="str">
        <f t="shared" si="19"/>
        <v/>
      </c>
      <c r="S121">
        <f t="shared" si="20"/>
        <v>0</v>
      </c>
      <c r="U121" t="str">
        <f>IF($C$15&gt;=5,IF($C$13="Yes",IF(Summary!B117&lt;&gt;"",Summary!B117,""),""),"")</f>
        <v/>
      </c>
      <c r="V121" t="str">
        <f t="shared" si="21"/>
        <v/>
      </c>
      <c r="W121">
        <f t="shared" si="22"/>
        <v>0</v>
      </c>
      <c r="Y121" t="str">
        <f>IF($C$13="Yes",IF(Summary!B117&lt;&gt;"",Summary!B117,""),"")</f>
        <v/>
      </c>
      <c r="Z121" s="439" t="str">
        <f t="shared" si="23"/>
        <v/>
      </c>
      <c r="AA121" t="str">
        <f t="shared" si="12"/>
        <v/>
      </c>
    </row>
    <row r="122" spans="2:27">
      <c r="B122" t="str">
        <f>IF(Summary!B118&lt;&gt;"",Summary!B118,"")</f>
        <v/>
      </c>
      <c r="C122" t="str">
        <f>IF(Summary!C118&lt;&gt;"",Summary!C118,"")</f>
        <v/>
      </c>
      <c r="E122" t="str">
        <f>IF($C$15&gt;=1,IF($C$13="Yes",IF(Summary!B118&lt;&gt;"",Summary!B118,""),""),"")</f>
        <v/>
      </c>
      <c r="F122" t="str">
        <f t="shared" si="13"/>
        <v/>
      </c>
      <c r="G122">
        <f t="shared" si="14"/>
        <v>0</v>
      </c>
      <c r="I122" t="str">
        <f>IF($C$15&gt;=2,IF($C$13="Yes",IF(Summary!B118&lt;&gt;"",Summary!B118,""),""),"")</f>
        <v/>
      </c>
      <c r="J122" t="str">
        <f t="shared" si="15"/>
        <v/>
      </c>
      <c r="K122">
        <f t="shared" si="16"/>
        <v>0</v>
      </c>
      <c r="M122" t="str">
        <f>IF($C$15&gt;=3,IF($C$13="Yes",IF(Summary!B118&lt;&gt;"",Summary!B118,""),""),"")</f>
        <v/>
      </c>
      <c r="N122" t="str">
        <f t="shared" si="17"/>
        <v/>
      </c>
      <c r="O122">
        <f t="shared" si="18"/>
        <v>0</v>
      </c>
      <c r="Q122" t="str">
        <f>IF($C$15&gt;=4,IF($C$13="Yes",IF(Summary!B118&lt;&gt;"",Summary!B118,""),""),"")</f>
        <v/>
      </c>
      <c r="R122" t="str">
        <f t="shared" si="19"/>
        <v/>
      </c>
      <c r="S122">
        <f t="shared" si="20"/>
        <v>0</v>
      </c>
      <c r="U122" t="str">
        <f>IF($C$15&gt;=5,IF($C$13="Yes",IF(Summary!B118&lt;&gt;"",Summary!B118,""),""),"")</f>
        <v/>
      </c>
      <c r="V122" t="str">
        <f t="shared" si="21"/>
        <v/>
      </c>
      <c r="W122">
        <f t="shared" si="22"/>
        <v>0</v>
      </c>
      <c r="Y122" t="str">
        <f>IF($C$13="Yes",IF(Summary!B118&lt;&gt;"",Summary!B118,""),"")</f>
        <v/>
      </c>
      <c r="Z122" s="439" t="str">
        <f t="shared" si="23"/>
        <v/>
      </c>
      <c r="AA122" t="str">
        <f t="shared" si="12"/>
        <v/>
      </c>
    </row>
    <row r="123" spans="2:27">
      <c r="B123" t="str">
        <f>IF(Summary!B119&lt;&gt;"",Summary!B119,"")</f>
        <v/>
      </c>
      <c r="C123" t="str">
        <f>IF(Summary!C119&lt;&gt;"",Summary!C119,"")</f>
        <v/>
      </c>
      <c r="E123" t="str">
        <f>IF($C$15&gt;=1,IF($C$13="Yes",IF(Summary!B119&lt;&gt;"",Summary!B119,""),""),"")</f>
        <v/>
      </c>
      <c r="F123" t="str">
        <f t="shared" si="13"/>
        <v/>
      </c>
      <c r="G123">
        <f t="shared" si="14"/>
        <v>0</v>
      </c>
      <c r="I123" t="str">
        <f>IF($C$15&gt;=2,IF($C$13="Yes",IF(Summary!B119&lt;&gt;"",Summary!B119,""),""),"")</f>
        <v/>
      </c>
      <c r="J123" t="str">
        <f t="shared" si="15"/>
        <v/>
      </c>
      <c r="K123">
        <f t="shared" si="16"/>
        <v>0</v>
      </c>
      <c r="M123" t="str">
        <f>IF($C$15&gt;=3,IF($C$13="Yes",IF(Summary!B119&lt;&gt;"",Summary!B119,""),""),"")</f>
        <v/>
      </c>
      <c r="N123" t="str">
        <f t="shared" si="17"/>
        <v/>
      </c>
      <c r="O123">
        <f t="shared" si="18"/>
        <v>0</v>
      </c>
      <c r="Q123" t="str">
        <f>IF($C$15&gt;=4,IF($C$13="Yes",IF(Summary!B119&lt;&gt;"",Summary!B119,""),""),"")</f>
        <v/>
      </c>
      <c r="R123" t="str">
        <f t="shared" si="19"/>
        <v/>
      </c>
      <c r="S123">
        <f t="shared" si="20"/>
        <v>0</v>
      </c>
      <c r="U123" t="str">
        <f>IF($C$15&gt;=5,IF($C$13="Yes",IF(Summary!B119&lt;&gt;"",Summary!B119,""),""),"")</f>
        <v/>
      </c>
      <c r="V123" t="str">
        <f t="shared" si="21"/>
        <v/>
      </c>
      <c r="W123">
        <f t="shared" si="22"/>
        <v>0</v>
      </c>
      <c r="Y123" t="str">
        <f>IF($C$13="Yes",IF(Summary!B119&lt;&gt;"",Summary!B119,""),"")</f>
        <v/>
      </c>
      <c r="Z123" s="439" t="str">
        <f t="shared" si="23"/>
        <v/>
      </c>
      <c r="AA123" t="str">
        <f t="shared" si="12"/>
        <v/>
      </c>
    </row>
    <row r="124" spans="2:27">
      <c r="B124" t="str">
        <f>IF(Summary!B120&lt;&gt;"",Summary!B120,"")</f>
        <v/>
      </c>
      <c r="C124" t="str">
        <f>IF(Summary!C120&lt;&gt;"",Summary!C120,"")</f>
        <v/>
      </c>
      <c r="E124" t="str">
        <f>IF($C$15&gt;=1,IF($C$13="Yes",IF(Summary!B120&lt;&gt;"",Summary!B120,""),""),"")</f>
        <v/>
      </c>
      <c r="F124" t="str">
        <f t="shared" si="13"/>
        <v/>
      </c>
      <c r="G124">
        <f t="shared" si="14"/>
        <v>0</v>
      </c>
      <c r="I124" t="str">
        <f>IF($C$15&gt;=2,IF($C$13="Yes",IF(Summary!B120&lt;&gt;"",Summary!B120,""),""),"")</f>
        <v/>
      </c>
      <c r="J124" t="str">
        <f t="shared" si="15"/>
        <v/>
      </c>
      <c r="K124">
        <f t="shared" si="16"/>
        <v>0</v>
      </c>
      <c r="M124" t="str">
        <f>IF($C$15&gt;=3,IF($C$13="Yes",IF(Summary!B120&lt;&gt;"",Summary!B120,""),""),"")</f>
        <v/>
      </c>
      <c r="N124" t="str">
        <f t="shared" si="17"/>
        <v/>
      </c>
      <c r="O124">
        <f t="shared" si="18"/>
        <v>0</v>
      </c>
      <c r="Q124" t="str">
        <f>IF($C$15&gt;=4,IF($C$13="Yes",IF(Summary!B120&lt;&gt;"",Summary!B120,""),""),"")</f>
        <v/>
      </c>
      <c r="R124" t="str">
        <f t="shared" si="19"/>
        <v/>
      </c>
      <c r="S124">
        <f t="shared" si="20"/>
        <v>0</v>
      </c>
      <c r="U124" t="str">
        <f>IF($C$15&gt;=5,IF($C$13="Yes",IF(Summary!B120&lt;&gt;"",Summary!B120,""),""),"")</f>
        <v/>
      </c>
      <c r="V124" t="str">
        <f t="shared" si="21"/>
        <v/>
      </c>
      <c r="W124">
        <f t="shared" si="22"/>
        <v>0</v>
      </c>
      <c r="Y124" t="str">
        <f>IF($C$13="Yes",IF(Summary!B120&lt;&gt;"",Summary!B120,""),"")</f>
        <v/>
      </c>
      <c r="Z124" s="439" t="str">
        <f t="shared" si="23"/>
        <v/>
      </c>
      <c r="AA124" t="str">
        <f t="shared" si="12"/>
        <v/>
      </c>
    </row>
    <row r="125" spans="2:27">
      <c r="B125" t="str">
        <f>IF(Summary!B121&lt;&gt;"",Summary!B121,"")</f>
        <v/>
      </c>
      <c r="C125" t="str">
        <f>IF(Summary!C121&lt;&gt;"",Summary!C121,"")</f>
        <v/>
      </c>
      <c r="E125" t="str">
        <f>IF($C$15&gt;=1,IF($C$13="Yes",IF(Summary!B121&lt;&gt;"",Summary!B121,""),""),"")</f>
        <v/>
      </c>
      <c r="F125" t="str">
        <f t="shared" si="13"/>
        <v/>
      </c>
      <c r="G125">
        <f t="shared" si="14"/>
        <v>0</v>
      </c>
      <c r="I125" t="str">
        <f>IF($C$15&gt;=2,IF($C$13="Yes",IF(Summary!B121&lt;&gt;"",Summary!B121,""),""),"")</f>
        <v/>
      </c>
      <c r="J125" t="str">
        <f t="shared" si="15"/>
        <v/>
      </c>
      <c r="K125">
        <f t="shared" si="16"/>
        <v>0</v>
      </c>
      <c r="M125" t="str">
        <f>IF($C$15&gt;=3,IF($C$13="Yes",IF(Summary!B121&lt;&gt;"",Summary!B121,""),""),"")</f>
        <v/>
      </c>
      <c r="N125" t="str">
        <f t="shared" si="17"/>
        <v/>
      </c>
      <c r="O125">
        <f t="shared" si="18"/>
        <v>0</v>
      </c>
      <c r="Q125" t="str">
        <f>IF($C$15&gt;=4,IF($C$13="Yes",IF(Summary!B121&lt;&gt;"",Summary!B121,""),""),"")</f>
        <v/>
      </c>
      <c r="R125" t="str">
        <f t="shared" si="19"/>
        <v/>
      </c>
      <c r="S125">
        <f t="shared" si="20"/>
        <v>0</v>
      </c>
      <c r="U125" t="str">
        <f>IF($C$15&gt;=5,IF($C$13="Yes",IF(Summary!B121&lt;&gt;"",Summary!B121,""),""),"")</f>
        <v/>
      </c>
      <c r="V125" t="str">
        <f t="shared" si="21"/>
        <v/>
      </c>
      <c r="W125">
        <f t="shared" si="22"/>
        <v>0</v>
      </c>
      <c r="Y125" t="str">
        <f>IF($C$13="Yes",IF(Summary!B121&lt;&gt;"",Summary!B121,""),"")</f>
        <v/>
      </c>
      <c r="Z125" s="439" t="str">
        <f t="shared" si="23"/>
        <v/>
      </c>
      <c r="AA125" t="str">
        <f t="shared" si="12"/>
        <v/>
      </c>
    </row>
    <row r="126" spans="2:27">
      <c r="B126" t="str">
        <f>IF(Summary!B122&lt;&gt;"",Summary!B122,"")</f>
        <v/>
      </c>
      <c r="C126" t="str">
        <f>IF(Summary!C122&lt;&gt;"",Summary!C122,"")</f>
        <v/>
      </c>
      <c r="E126" t="str">
        <f>IF($C$15&gt;=1,IF($C$13="Yes",IF(Summary!B122&lt;&gt;"",Summary!B122,""),""),"")</f>
        <v/>
      </c>
      <c r="F126" t="str">
        <f t="shared" si="13"/>
        <v/>
      </c>
      <c r="G126">
        <f t="shared" si="14"/>
        <v>0</v>
      </c>
      <c r="I126" t="str">
        <f>IF($C$15&gt;=2,IF($C$13="Yes",IF(Summary!B122&lt;&gt;"",Summary!B122,""),""),"")</f>
        <v/>
      </c>
      <c r="J126" t="str">
        <f t="shared" si="15"/>
        <v/>
      </c>
      <c r="K126">
        <f t="shared" si="16"/>
        <v>0</v>
      </c>
      <c r="M126" t="str">
        <f>IF($C$15&gt;=3,IF($C$13="Yes",IF(Summary!B122&lt;&gt;"",Summary!B122,""),""),"")</f>
        <v/>
      </c>
      <c r="N126" t="str">
        <f t="shared" si="17"/>
        <v/>
      </c>
      <c r="O126">
        <f t="shared" si="18"/>
        <v>0</v>
      </c>
      <c r="Q126" t="str">
        <f>IF($C$15&gt;=4,IF($C$13="Yes",IF(Summary!B122&lt;&gt;"",Summary!B122,""),""),"")</f>
        <v/>
      </c>
      <c r="R126" t="str">
        <f t="shared" si="19"/>
        <v/>
      </c>
      <c r="S126">
        <f t="shared" si="20"/>
        <v>0</v>
      </c>
      <c r="U126" t="str">
        <f>IF($C$15&gt;=5,IF($C$13="Yes",IF(Summary!B122&lt;&gt;"",Summary!B122,""),""),"")</f>
        <v/>
      </c>
      <c r="V126" t="str">
        <f t="shared" si="21"/>
        <v/>
      </c>
      <c r="W126">
        <f t="shared" si="22"/>
        <v>0</v>
      </c>
      <c r="Y126" t="str">
        <f>IF($C$13="Yes",IF(Summary!B122&lt;&gt;"",Summary!B122,""),"")</f>
        <v/>
      </c>
      <c r="Z126" s="439" t="str">
        <f t="shared" si="23"/>
        <v/>
      </c>
      <c r="AA126" t="str">
        <f t="shared" si="12"/>
        <v/>
      </c>
    </row>
    <row r="127" spans="2:27">
      <c r="B127" t="str">
        <f>IF(Summary!B123&lt;&gt;"",Summary!B123,"")</f>
        <v/>
      </c>
      <c r="C127" t="str">
        <f>IF(Summary!C123&lt;&gt;"",Summary!C123,"")</f>
        <v/>
      </c>
      <c r="E127" t="str">
        <f>IF($C$15&gt;=1,IF($C$13="Yes",IF(Summary!B123&lt;&gt;"",Summary!B123,""),""),"")</f>
        <v/>
      </c>
      <c r="F127" t="str">
        <f t="shared" si="13"/>
        <v/>
      </c>
      <c r="G127">
        <f t="shared" si="14"/>
        <v>0</v>
      </c>
      <c r="I127" t="str">
        <f>IF($C$15&gt;=2,IF($C$13="Yes",IF(Summary!B123&lt;&gt;"",Summary!B123,""),""),"")</f>
        <v/>
      </c>
      <c r="J127" t="str">
        <f t="shared" si="15"/>
        <v/>
      </c>
      <c r="K127">
        <f t="shared" si="16"/>
        <v>0</v>
      </c>
      <c r="M127" t="str">
        <f>IF($C$15&gt;=3,IF($C$13="Yes",IF(Summary!B123&lt;&gt;"",Summary!B123,""),""),"")</f>
        <v/>
      </c>
      <c r="N127" t="str">
        <f t="shared" si="17"/>
        <v/>
      </c>
      <c r="O127">
        <f t="shared" si="18"/>
        <v>0</v>
      </c>
      <c r="Q127" t="str">
        <f>IF($C$15&gt;=4,IF($C$13="Yes",IF(Summary!B123&lt;&gt;"",Summary!B123,""),""),"")</f>
        <v/>
      </c>
      <c r="R127" t="str">
        <f t="shared" si="19"/>
        <v/>
      </c>
      <c r="S127">
        <f t="shared" si="20"/>
        <v>0</v>
      </c>
      <c r="U127" t="str">
        <f>IF($C$15&gt;=5,IF($C$13="Yes",IF(Summary!B123&lt;&gt;"",Summary!B123,""),""),"")</f>
        <v/>
      </c>
      <c r="V127" t="str">
        <f t="shared" si="21"/>
        <v/>
      </c>
      <c r="W127">
        <f t="shared" si="22"/>
        <v>0</v>
      </c>
      <c r="Y127" t="str">
        <f>IF($C$13="Yes",IF(Summary!B123&lt;&gt;"",Summary!B123,""),"")</f>
        <v/>
      </c>
      <c r="Z127" s="439" t="str">
        <f t="shared" si="23"/>
        <v/>
      </c>
      <c r="AA127" t="str">
        <f t="shared" si="12"/>
        <v/>
      </c>
    </row>
    <row r="128" spans="2:27">
      <c r="B128" t="str">
        <f>IF(Summary!B124&lt;&gt;"",Summary!B124,"")</f>
        <v/>
      </c>
      <c r="C128" t="str">
        <f>IF(Summary!C124&lt;&gt;"",Summary!C124,"")</f>
        <v/>
      </c>
      <c r="E128" t="str">
        <f>IF($C$15&gt;=1,IF($C$13="Yes",IF(Summary!B124&lt;&gt;"",Summary!B124,""),""),"")</f>
        <v/>
      </c>
      <c r="F128" t="str">
        <f t="shared" si="13"/>
        <v/>
      </c>
      <c r="G128">
        <f t="shared" si="14"/>
        <v>0</v>
      </c>
      <c r="I128" t="str">
        <f>IF($C$15&gt;=2,IF($C$13="Yes",IF(Summary!B124&lt;&gt;"",Summary!B124,""),""),"")</f>
        <v/>
      </c>
      <c r="J128" t="str">
        <f t="shared" si="15"/>
        <v/>
      </c>
      <c r="K128">
        <f t="shared" si="16"/>
        <v>0</v>
      </c>
      <c r="M128" t="str">
        <f>IF($C$15&gt;=3,IF($C$13="Yes",IF(Summary!B124&lt;&gt;"",Summary!B124,""),""),"")</f>
        <v/>
      </c>
      <c r="N128" t="str">
        <f t="shared" si="17"/>
        <v/>
      </c>
      <c r="O128">
        <f t="shared" si="18"/>
        <v>0</v>
      </c>
      <c r="Q128" t="str">
        <f>IF($C$15&gt;=4,IF($C$13="Yes",IF(Summary!B124&lt;&gt;"",Summary!B124,""),""),"")</f>
        <v/>
      </c>
      <c r="R128" t="str">
        <f t="shared" si="19"/>
        <v/>
      </c>
      <c r="S128">
        <f t="shared" si="20"/>
        <v>0</v>
      </c>
      <c r="U128" t="str">
        <f>IF($C$15&gt;=5,IF($C$13="Yes",IF(Summary!B124&lt;&gt;"",Summary!B124,""),""),"")</f>
        <v/>
      </c>
      <c r="V128" t="str">
        <f t="shared" si="21"/>
        <v/>
      </c>
      <c r="W128">
        <f t="shared" si="22"/>
        <v>0</v>
      </c>
      <c r="Y128" t="str">
        <f>IF($C$13="Yes",IF(Summary!B124&lt;&gt;"",Summary!B124,""),"")</f>
        <v/>
      </c>
      <c r="Z128" s="439" t="str">
        <f t="shared" si="23"/>
        <v/>
      </c>
      <c r="AA128" t="str">
        <f t="shared" si="12"/>
        <v/>
      </c>
    </row>
    <row r="129" spans="2:27">
      <c r="B129" t="str">
        <f>IF(Summary!B125&lt;&gt;"",Summary!B125,"")</f>
        <v/>
      </c>
      <c r="C129" t="str">
        <f>IF(Summary!C125&lt;&gt;"",Summary!C125,"")</f>
        <v/>
      </c>
      <c r="E129" t="str">
        <f>IF($C$15&gt;=1,IF($C$13="Yes",IF(Summary!B125&lt;&gt;"",Summary!B125,""),""),"")</f>
        <v/>
      </c>
      <c r="F129" t="str">
        <f t="shared" si="13"/>
        <v/>
      </c>
      <c r="G129">
        <f t="shared" si="14"/>
        <v>0</v>
      </c>
      <c r="I129" t="str">
        <f>IF($C$15&gt;=2,IF($C$13="Yes",IF(Summary!B125&lt;&gt;"",Summary!B125,""),""),"")</f>
        <v/>
      </c>
      <c r="J129" t="str">
        <f t="shared" si="15"/>
        <v/>
      </c>
      <c r="K129">
        <f t="shared" si="16"/>
        <v>0</v>
      </c>
      <c r="M129" t="str">
        <f>IF($C$15&gt;=3,IF($C$13="Yes",IF(Summary!B125&lt;&gt;"",Summary!B125,""),""),"")</f>
        <v/>
      </c>
      <c r="N129" t="str">
        <f t="shared" si="17"/>
        <v/>
      </c>
      <c r="O129">
        <f t="shared" si="18"/>
        <v>0</v>
      </c>
      <c r="Q129" t="str">
        <f>IF($C$15&gt;=4,IF($C$13="Yes",IF(Summary!B125&lt;&gt;"",Summary!B125,""),""),"")</f>
        <v/>
      </c>
      <c r="R129" t="str">
        <f t="shared" si="19"/>
        <v/>
      </c>
      <c r="S129">
        <f t="shared" si="20"/>
        <v>0</v>
      </c>
      <c r="U129" t="str">
        <f>IF($C$15&gt;=5,IF($C$13="Yes",IF(Summary!B125&lt;&gt;"",Summary!B125,""),""),"")</f>
        <v/>
      </c>
      <c r="V129" t="str">
        <f t="shared" si="21"/>
        <v/>
      </c>
      <c r="W129">
        <f t="shared" si="22"/>
        <v>0</v>
      </c>
      <c r="Y129" t="str">
        <f>IF($C$13="Yes",IF(Summary!B125&lt;&gt;"",Summary!B125,""),"")</f>
        <v/>
      </c>
      <c r="Z129" s="439" t="str">
        <f t="shared" si="23"/>
        <v/>
      </c>
      <c r="AA129" t="str">
        <f t="shared" si="12"/>
        <v/>
      </c>
    </row>
    <row r="130" spans="2:27">
      <c r="B130" t="str">
        <f>IF(Summary!B126&lt;&gt;"",Summary!B126,"")</f>
        <v/>
      </c>
      <c r="C130" t="str">
        <f>IF(Summary!C126&lt;&gt;"",Summary!C126,"")</f>
        <v/>
      </c>
      <c r="E130" t="str">
        <f>IF($C$15&gt;=1,IF($C$13="Yes",IF(Summary!B126&lt;&gt;"",Summary!B126,""),""),"")</f>
        <v/>
      </c>
      <c r="F130" t="str">
        <f t="shared" si="13"/>
        <v/>
      </c>
      <c r="G130">
        <f t="shared" si="14"/>
        <v>0</v>
      </c>
      <c r="I130" t="str">
        <f>IF($C$15&gt;=2,IF($C$13="Yes",IF(Summary!B126&lt;&gt;"",Summary!B126,""),""),"")</f>
        <v/>
      </c>
      <c r="J130" t="str">
        <f t="shared" si="15"/>
        <v/>
      </c>
      <c r="K130">
        <f t="shared" si="16"/>
        <v>0</v>
      </c>
      <c r="M130" t="str">
        <f>IF($C$15&gt;=3,IF($C$13="Yes",IF(Summary!B126&lt;&gt;"",Summary!B126,""),""),"")</f>
        <v/>
      </c>
      <c r="N130" t="str">
        <f t="shared" si="17"/>
        <v/>
      </c>
      <c r="O130">
        <f t="shared" si="18"/>
        <v>0</v>
      </c>
      <c r="Q130" t="str">
        <f>IF($C$15&gt;=4,IF($C$13="Yes",IF(Summary!B126&lt;&gt;"",Summary!B126,""),""),"")</f>
        <v/>
      </c>
      <c r="R130" t="str">
        <f t="shared" si="19"/>
        <v/>
      </c>
      <c r="S130">
        <f t="shared" si="20"/>
        <v>0</v>
      </c>
      <c r="U130" t="str">
        <f>IF($C$15&gt;=5,IF($C$13="Yes",IF(Summary!B126&lt;&gt;"",Summary!B126,""),""),"")</f>
        <v/>
      </c>
      <c r="V130" t="str">
        <f t="shared" si="21"/>
        <v/>
      </c>
      <c r="W130">
        <f t="shared" si="22"/>
        <v>0</v>
      </c>
      <c r="Y130" t="str">
        <f>IF($C$13="Yes",IF(Summary!B126&lt;&gt;"",Summary!B126,""),"")</f>
        <v/>
      </c>
      <c r="Z130" s="439" t="str">
        <f t="shared" si="23"/>
        <v/>
      </c>
      <c r="AA130" t="str">
        <f t="shared" si="12"/>
        <v/>
      </c>
    </row>
    <row r="131" spans="2:27">
      <c r="B131" t="str">
        <f>IF(Summary!B127&lt;&gt;"",Summary!B127,"")</f>
        <v/>
      </c>
      <c r="C131" t="str">
        <f>IF(Summary!C127&lt;&gt;"",Summary!C127,"")</f>
        <v/>
      </c>
      <c r="E131" t="str">
        <f>IF($C$15&gt;=1,IF($C$13="Yes",IF(Summary!B127&lt;&gt;"",Summary!B127,""),""),"")</f>
        <v/>
      </c>
      <c r="F131" t="str">
        <f t="shared" si="13"/>
        <v/>
      </c>
      <c r="G131">
        <f t="shared" si="14"/>
        <v>0</v>
      </c>
      <c r="I131" t="str">
        <f>IF($C$15&gt;=2,IF($C$13="Yes",IF(Summary!B127&lt;&gt;"",Summary!B127,""),""),"")</f>
        <v/>
      </c>
      <c r="J131" t="str">
        <f t="shared" si="15"/>
        <v/>
      </c>
      <c r="K131">
        <f t="shared" si="16"/>
        <v>0</v>
      </c>
      <c r="M131" t="str">
        <f>IF($C$15&gt;=3,IF($C$13="Yes",IF(Summary!B127&lt;&gt;"",Summary!B127,""),""),"")</f>
        <v/>
      </c>
      <c r="N131" t="str">
        <f t="shared" si="17"/>
        <v/>
      </c>
      <c r="O131">
        <f t="shared" si="18"/>
        <v>0</v>
      </c>
      <c r="Q131" t="str">
        <f>IF($C$15&gt;=4,IF($C$13="Yes",IF(Summary!B127&lt;&gt;"",Summary!B127,""),""),"")</f>
        <v/>
      </c>
      <c r="R131" t="str">
        <f t="shared" si="19"/>
        <v/>
      </c>
      <c r="S131">
        <f t="shared" si="20"/>
        <v>0</v>
      </c>
      <c r="U131" t="str">
        <f>IF($C$15&gt;=5,IF($C$13="Yes",IF(Summary!B127&lt;&gt;"",Summary!B127,""),""),"")</f>
        <v/>
      </c>
      <c r="V131" t="str">
        <f t="shared" si="21"/>
        <v/>
      </c>
      <c r="W131">
        <f t="shared" si="22"/>
        <v>0</v>
      </c>
      <c r="Y131" t="str">
        <f>IF($C$13="Yes",IF(Summary!B127&lt;&gt;"",Summary!B127,""),"")</f>
        <v/>
      </c>
      <c r="Z131" s="439" t="str">
        <f t="shared" si="23"/>
        <v/>
      </c>
      <c r="AA131" t="str">
        <f t="shared" si="12"/>
        <v/>
      </c>
    </row>
    <row r="132" spans="2:27">
      <c r="B132" t="str">
        <f>IF(Summary!B128&lt;&gt;"",Summary!B128,"")</f>
        <v/>
      </c>
      <c r="C132" t="str">
        <f>IF(Summary!C128&lt;&gt;"",Summary!C128,"")</f>
        <v/>
      </c>
      <c r="E132" t="str">
        <f>IF($C$15&gt;=1,IF($C$13="Yes",IF(Summary!B128&lt;&gt;"",Summary!B128,""),""),"")</f>
        <v/>
      </c>
      <c r="F132" t="str">
        <f t="shared" si="13"/>
        <v/>
      </c>
      <c r="G132">
        <f t="shared" si="14"/>
        <v>0</v>
      </c>
      <c r="I132" t="str">
        <f>IF($C$15&gt;=2,IF($C$13="Yes",IF(Summary!B128&lt;&gt;"",Summary!B128,""),""),"")</f>
        <v/>
      </c>
      <c r="J132" t="str">
        <f t="shared" si="15"/>
        <v/>
      </c>
      <c r="K132">
        <f t="shared" si="16"/>
        <v>0</v>
      </c>
      <c r="M132" t="str">
        <f>IF($C$15&gt;=3,IF($C$13="Yes",IF(Summary!B128&lt;&gt;"",Summary!B128,""),""),"")</f>
        <v/>
      </c>
      <c r="N132" t="str">
        <f t="shared" si="17"/>
        <v/>
      </c>
      <c r="O132">
        <f t="shared" si="18"/>
        <v>0</v>
      </c>
      <c r="Q132" t="str">
        <f>IF($C$15&gt;=4,IF($C$13="Yes",IF(Summary!B128&lt;&gt;"",Summary!B128,""),""),"")</f>
        <v/>
      </c>
      <c r="R132" t="str">
        <f t="shared" si="19"/>
        <v/>
      </c>
      <c r="S132">
        <f t="shared" si="20"/>
        <v>0</v>
      </c>
      <c r="U132" t="str">
        <f>IF($C$15&gt;=5,IF($C$13="Yes",IF(Summary!B128&lt;&gt;"",Summary!B128,""),""),"")</f>
        <v/>
      </c>
      <c r="V132" t="str">
        <f t="shared" si="21"/>
        <v/>
      </c>
      <c r="W132">
        <f t="shared" si="22"/>
        <v>0</v>
      </c>
      <c r="Y132" t="str">
        <f>IF($C$13="Yes",IF(Summary!B128&lt;&gt;"",Summary!B128,""),"")</f>
        <v/>
      </c>
      <c r="Z132" s="439" t="str">
        <f t="shared" si="23"/>
        <v/>
      </c>
      <c r="AA132" t="str">
        <f t="shared" si="12"/>
        <v/>
      </c>
    </row>
    <row r="133" spans="2:27">
      <c r="B133" t="str">
        <f>IF(Summary!B129&lt;&gt;"",Summary!B129,"")</f>
        <v/>
      </c>
      <c r="C133" t="str">
        <f>IF(Summary!C129&lt;&gt;"",Summary!C129,"")</f>
        <v/>
      </c>
      <c r="E133" t="str">
        <f>IF($C$15&gt;=1,IF($C$13="Yes",IF(Summary!B129&lt;&gt;"",Summary!B129,""),""),"")</f>
        <v/>
      </c>
      <c r="F133" t="str">
        <f t="shared" si="13"/>
        <v/>
      </c>
      <c r="G133">
        <f t="shared" si="14"/>
        <v>0</v>
      </c>
      <c r="I133" t="str">
        <f>IF($C$15&gt;=2,IF($C$13="Yes",IF(Summary!B129&lt;&gt;"",Summary!B129,""),""),"")</f>
        <v/>
      </c>
      <c r="J133" t="str">
        <f t="shared" si="15"/>
        <v/>
      </c>
      <c r="K133">
        <f t="shared" si="16"/>
        <v>0</v>
      </c>
      <c r="M133" t="str">
        <f>IF($C$15&gt;=3,IF($C$13="Yes",IF(Summary!B129&lt;&gt;"",Summary!B129,""),""),"")</f>
        <v/>
      </c>
      <c r="N133" t="str">
        <f t="shared" si="17"/>
        <v/>
      </c>
      <c r="O133">
        <f t="shared" si="18"/>
        <v>0</v>
      </c>
      <c r="Q133" t="str">
        <f>IF($C$15&gt;=4,IF($C$13="Yes",IF(Summary!B129&lt;&gt;"",Summary!B129,""),""),"")</f>
        <v/>
      </c>
      <c r="R133" t="str">
        <f t="shared" si="19"/>
        <v/>
      </c>
      <c r="S133">
        <f t="shared" si="20"/>
        <v>0</v>
      </c>
      <c r="U133" t="str">
        <f>IF($C$15&gt;=5,IF($C$13="Yes",IF(Summary!B129&lt;&gt;"",Summary!B129,""),""),"")</f>
        <v/>
      </c>
      <c r="V133" t="str">
        <f t="shared" si="21"/>
        <v/>
      </c>
      <c r="W133">
        <f t="shared" si="22"/>
        <v>0</v>
      </c>
      <c r="Y133" t="str">
        <f>IF($C$13="Yes",IF(Summary!B129&lt;&gt;"",Summary!B129,""),"")</f>
        <v/>
      </c>
      <c r="Z133" s="439" t="str">
        <f t="shared" si="23"/>
        <v/>
      </c>
      <c r="AA133" t="str">
        <f t="shared" si="12"/>
        <v/>
      </c>
    </row>
    <row r="134" spans="2:27">
      <c r="B134" t="str">
        <f>IF(Summary!B130&lt;&gt;"",Summary!B130,"")</f>
        <v/>
      </c>
      <c r="C134" t="str">
        <f>IF(Summary!C130&lt;&gt;"",Summary!C130,"")</f>
        <v/>
      </c>
      <c r="E134" t="str">
        <f>IF($C$15&gt;=1,IF($C$13="Yes",IF(Summary!B130&lt;&gt;"",Summary!B130,""),""),"")</f>
        <v/>
      </c>
      <c r="F134" t="str">
        <f t="shared" si="13"/>
        <v/>
      </c>
      <c r="G134">
        <f t="shared" si="14"/>
        <v>0</v>
      </c>
      <c r="I134" t="str">
        <f>IF($C$15&gt;=2,IF($C$13="Yes",IF(Summary!B130&lt;&gt;"",Summary!B130,""),""),"")</f>
        <v/>
      </c>
      <c r="J134" t="str">
        <f t="shared" si="15"/>
        <v/>
      </c>
      <c r="K134">
        <f t="shared" si="16"/>
        <v>0</v>
      </c>
      <c r="M134" t="str">
        <f>IF($C$15&gt;=3,IF($C$13="Yes",IF(Summary!B130&lt;&gt;"",Summary!B130,""),""),"")</f>
        <v/>
      </c>
      <c r="N134" t="str">
        <f t="shared" si="17"/>
        <v/>
      </c>
      <c r="O134">
        <f t="shared" si="18"/>
        <v>0</v>
      </c>
      <c r="Q134" t="str">
        <f>IF($C$15&gt;=4,IF($C$13="Yes",IF(Summary!B130&lt;&gt;"",Summary!B130,""),""),"")</f>
        <v/>
      </c>
      <c r="R134" t="str">
        <f t="shared" si="19"/>
        <v/>
      </c>
      <c r="S134">
        <f t="shared" si="20"/>
        <v>0</v>
      </c>
      <c r="U134" t="str">
        <f>IF($C$15&gt;=5,IF($C$13="Yes",IF(Summary!B130&lt;&gt;"",Summary!B130,""),""),"")</f>
        <v/>
      </c>
      <c r="V134" t="str">
        <f t="shared" si="21"/>
        <v/>
      </c>
      <c r="W134">
        <f t="shared" si="22"/>
        <v>0</v>
      </c>
      <c r="Y134" t="str">
        <f>IF($C$13="Yes",IF(Summary!B130&lt;&gt;"",Summary!B130,""),"")</f>
        <v/>
      </c>
      <c r="Z134" s="439" t="str">
        <f t="shared" si="23"/>
        <v/>
      </c>
      <c r="AA134" t="str">
        <f t="shared" si="12"/>
        <v/>
      </c>
    </row>
    <row r="135" spans="2:27">
      <c r="B135" t="str">
        <f>IF(Summary!B131&lt;&gt;"",Summary!B131,"")</f>
        <v/>
      </c>
      <c r="C135" t="str">
        <f>IF(Summary!C131&lt;&gt;"",Summary!C131,"")</f>
        <v/>
      </c>
      <c r="E135" t="str">
        <f>IF($C$15&gt;=1,IF($C$13="Yes",IF(Summary!B131&lt;&gt;"",Summary!B131,""),""),"")</f>
        <v/>
      </c>
      <c r="F135" t="str">
        <f t="shared" si="13"/>
        <v/>
      </c>
      <c r="G135">
        <f t="shared" si="14"/>
        <v>0</v>
      </c>
      <c r="I135" t="str">
        <f>IF($C$15&gt;=2,IF($C$13="Yes",IF(Summary!B131&lt;&gt;"",Summary!B131,""),""),"")</f>
        <v/>
      </c>
      <c r="J135" t="str">
        <f t="shared" si="15"/>
        <v/>
      </c>
      <c r="K135">
        <f t="shared" si="16"/>
        <v>0</v>
      </c>
      <c r="M135" t="str">
        <f>IF($C$15&gt;=3,IF($C$13="Yes",IF(Summary!B131&lt;&gt;"",Summary!B131,""),""),"")</f>
        <v/>
      </c>
      <c r="N135" t="str">
        <f t="shared" si="17"/>
        <v/>
      </c>
      <c r="O135">
        <f t="shared" si="18"/>
        <v>0</v>
      </c>
      <c r="Q135" t="str">
        <f>IF($C$15&gt;=4,IF($C$13="Yes",IF(Summary!B131&lt;&gt;"",Summary!B131,""),""),"")</f>
        <v/>
      </c>
      <c r="R135" t="str">
        <f t="shared" si="19"/>
        <v/>
      </c>
      <c r="S135">
        <f t="shared" si="20"/>
        <v>0</v>
      </c>
      <c r="U135" t="str">
        <f>IF($C$15&gt;=5,IF($C$13="Yes",IF(Summary!B131&lt;&gt;"",Summary!B131,""),""),"")</f>
        <v/>
      </c>
      <c r="V135" t="str">
        <f t="shared" si="21"/>
        <v/>
      </c>
      <c r="W135">
        <f t="shared" si="22"/>
        <v>0</v>
      </c>
      <c r="Y135" t="str">
        <f>IF($C$13="Yes",IF(Summary!B131&lt;&gt;"",Summary!B131,""),"")</f>
        <v/>
      </c>
      <c r="Z135" s="439" t="str">
        <f t="shared" si="23"/>
        <v/>
      </c>
      <c r="AA135" t="str">
        <f t="shared" si="12"/>
        <v/>
      </c>
    </row>
    <row r="136" spans="2:27">
      <c r="B136" t="str">
        <f>IF(Summary!B132&lt;&gt;"",Summary!B132,"")</f>
        <v/>
      </c>
      <c r="C136" t="str">
        <f>IF(Summary!C132&lt;&gt;"",Summary!C132,"")</f>
        <v/>
      </c>
      <c r="E136" t="str">
        <f>IF($C$15&gt;=1,IF($C$13="Yes",IF(Summary!B132&lt;&gt;"",Summary!B132,""),""),"")</f>
        <v/>
      </c>
      <c r="F136" t="str">
        <f t="shared" si="13"/>
        <v/>
      </c>
      <c r="G136">
        <f t="shared" si="14"/>
        <v>0</v>
      </c>
      <c r="I136" t="str">
        <f>IF($C$15&gt;=2,IF($C$13="Yes",IF(Summary!B132&lt;&gt;"",Summary!B132,""),""),"")</f>
        <v/>
      </c>
      <c r="J136" t="str">
        <f t="shared" si="15"/>
        <v/>
      </c>
      <c r="K136">
        <f t="shared" si="16"/>
        <v>0</v>
      </c>
      <c r="M136" t="str">
        <f>IF($C$15&gt;=3,IF($C$13="Yes",IF(Summary!B132&lt;&gt;"",Summary!B132,""),""),"")</f>
        <v/>
      </c>
      <c r="N136" t="str">
        <f t="shared" si="17"/>
        <v/>
      </c>
      <c r="O136">
        <f t="shared" si="18"/>
        <v>0</v>
      </c>
      <c r="Q136" t="str">
        <f>IF($C$15&gt;=4,IF($C$13="Yes",IF(Summary!B132&lt;&gt;"",Summary!B132,""),""),"")</f>
        <v/>
      </c>
      <c r="R136" t="str">
        <f t="shared" si="19"/>
        <v/>
      </c>
      <c r="S136">
        <f t="shared" si="20"/>
        <v>0</v>
      </c>
      <c r="U136" t="str">
        <f>IF($C$15&gt;=5,IF($C$13="Yes",IF(Summary!B132&lt;&gt;"",Summary!B132,""),""),"")</f>
        <v/>
      </c>
      <c r="V136" t="str">
        <f t="shared" si="21"/>
        <v/>
      </c>
      <c r="W136">
        <f t="shared" si="22"/>
        <v>0</v>
      </c>
      <c r="Y136" t="str">
        <f>IF($C$13="Yes",IF(Summary!B132&lt;&gt;"",Summary!B132,""),"")</f>
        <v/>
      </c>
      <c r="Z136" s="439" t="str">
        <f t="shared" si="23"/>
        <v/>
      </c>
      <c r="AA136" t="str">
        <f t="shared" si="12"/>
        <v/>
      </c>
    </row>
    <row r="137" spans="2:27">
      <c r="B137" t="str">
        <f>IF(Summary!B133&lt;&gt;"",Summary!B133,"")</f>
        <v/>
      </c>
      <c r="C137" t="str">
        <f>IF(Summary!C133&lt;&gt;"",Summary!C133,"")</f>
        <v/>
      </c>
      <c r="E137" t="str">
        <f>IF($C$15&gt;=1,IF($C$13="Yes",IF(Summary!B133&lt;&gt;"",Summary!B133,""),""),"")</f>
        <v/>
      </c>
      <c r="F137" t="str">
        <f t="shared" si="13"/>
        <v/>
      </c>
      <c r="G137">
        <f t="shared" si="14"/>
        <v>0</v>
      </c>
      <c r="I137" t="str">
        <f>IF($C$15&gt;=2,IF($C$13="Yes",IF(Summary!B133&lt;&gt;"",Summary!B133,""),""),"")</f>
        <v/>
      </c>
      <c r="J137" t="str">
        <f t="shared" si="15"/>
        <v/>
      </c>
      <c r="K137">
        <f t="shared" si="16"/>
        <v>0</v>
      </c>
      <c r="M137" t="str">
        <f>IF($C$15&gt;=3,IF($C$13="Yes",IF(Summary!B133&lt;&gt;"",Summary!B133,""),""),"")</f>
        <v/>
      </c>
      <c r="N137" t="str">
        <f t="shared" si="17"/>
        <v/>
      </c>
      <c r="O137">
        <f t="shared" si="18"/>
        <v>0</v>
      </c>
      <c r="Q137" t="str">
        <f>IF($C$15&gt;=4,IF($C$13="Yes",IF(Summary!B133&lt;&gt;"",Summary!B133,""),""),"")</f>
        <v/>
      </c>
      <c r="R137" t="str">
        <f t="shared" si="19"/>
        <v/>
      </c>
      <c r="S137">
        <f t="shared" si="20"/>
        <v>0</v>
      </c>
      <c r="U137" t="str">
        <f>IF($C$15&gt;=5,IF($C$13="Yes",IF(Summary!B133&lt;&gt;"",Summary!B133,""),""),"")</f>
        <v/>
      </c>
      <c r="V137" t="str">
        <f t="shared" si="21"/>
        <v/>
      </c>
      <c r="W137">
        <f t="shared" si="22"/>
        <v>0</v>
      </c>
      <c r="Y137" t="str">
        <f>IF($C$13="Yes",IF(Summary!B133&lt;&gt;"",Summary!B133,""),"")</f>
        <v/>
      </c>
      <c r="Z137" s="439" t="str">
        <f t="shared" si="23"/>
        <v/>
      </c>
      <c r="AA137" t="str">
        <f t="shared" si="12"/>
        <v/>
      </c>
    </row>
    <row r="138" spans="2:27">
      <c r="B138" t="str">
        <f>IF(Summary!B134&lt;&gt;"",Summary!B134,"")</f>
        <v/>
      </c>
      <c r="C138" t="str">
        <f>IF(Summary!C134&lt;&gt;"",Summary!C134,"")</f>
        <v/>
      </c>
      <c r="E138" t="str">
        <f>IF($C$15&gt;=1,IF($C$13="Yes",IF(Summary!B134&lt;&gt;"",Summary!B134,""),""),"")</f>
        <v/>
      </c>
      <c r="F138" t="str">
        <f t="shared" si="13"/>
        <v/>
      </c>
      <c r="G138">
        <f t="shared" si="14"/>
        <v>0</v>
      </c>
      <c r="I138" t="str">
        <f>IF($C$15&gt;=2,IF($C$13="Yes",IF(Summary!B134&lt;&gt;"",Summary!B134,""),""),"")</f>
        <v/>
      </c>
      <c r="J138" t="str">
        <f t="shared" si="15"/>
        <v/>
      </c>
      <c r="K138">
        <f t="shared" si="16"/>
        <v>0</v>
      </c>
      <c r="M138" t="str">
        <f>IF($C$15&gt;=3,IF($C$13="Yes",IF(Summary!B134&lt;&gt;"",Summary!B134,""),""),"")</f>
        <v/>
      </c>
      <c r="N138" t="str">
        <f t="shared" si="17"/>
        <v/>
      </c>
      <c r="O138">
        <f t="shared" si="18"/>
        <v>0</v>
      </c>
      <c r="Q138" t="str">
        <f>IF($C$15&gt;=4,IF($C$13="Yes",IF(Summary!B134&lt;&gt;"",Summary!B134,""),""),"")</f>
        <v/>
      </c>
      <c r="R138" t="str">
        <f t="shared" si="19"/>
        <v/>
      </c>
      <c r="S138">
        <f t="shared" si="20"/>
        <v>0</v>
      </c>
      <c r="U138" t="str">
        <f>IF($C$15&gt;=5,IF($C$13="Yes",IF(Summary!B134&lt;&gt;"",Summary!B134,""),""),"")</f>
        <v/>
      </c>
      <c r="V138" t="str">
        <f t="shared" si="21"/>
        <v/>
      </c>
      <c r="W138">
        <f t="shared" si="22"/>
        <v>0</v>
      </c>
      <c r="Y138" t="str">
        <f>IF($C$13="Yes",IF(Summary!B134&lt;&gt;"",Summary!B134,""),"")</f>
        <v/>
      </c>
      <c r="Z138" s="439" t="str">
        <f t="shared" si="23"/>
        <v/>
      </c>
      <c r="AA138" t="str">
        <f t="shared" si="12"/>
        <v/>
      </c>
    </row>
    <row r="139" spans="2:27">
      <c r="B139" t="str">
        <f>IF(Summary!B135&lt;&gt;"",Summary!B135,"")</f>
        <v/>
      </c>
      <c r="C139" t="str">
        <f>IF(Summary!C135&lt;&gt;"",Summary!C135,"")</f>
        <v/>
      </c>
      <c r="E139" t="str">
        <f>IF($C$15&gt;=1,IF($C$13="Yes",IF(Summary!B135&lt;&gt;"",Summary!B135,""),""),"")</f>
        <v/>
      </c>
      <c r="F139" t="str">
        <f t="shared" si="13"/>
        <v/>
      </c>
      <c r="G139">
        <f t="shared" si="14"/>
        <v>0</v>
      </c>
      <c r="I139" t="str">
        <f>IF($C$15&gt;=2,IF($C$13="Yes",IF(Summary!B135&lt;&gt;"",Summary!B135,""),""),"")</f>
        <v/>
      </c>
      <c r="J139" t="str">
        <f t="shared" si="15"/>
        <v/>
      </c>
      <c r="K139">
        <f t="shared" si="16"/>
        <v>0</v>
      </c>
      <c r="M139" t="str">
        <f>IF($C$15&gt;=3,IF($C$13="Yes",IF(Summary!B135&lt;&gt;"",Summary!B135,""),""),"")</f>
        <v/>
      </c>
      <c r="N139" t="str">
        <f t="shared" si="17"/>
        <v/>
      </c>
      <c r="O139">
        <f t="shared" si="18"/>
        <v>0</v>
      </c>
      <c r="Q139" t="str">
        <f>IF($C$15&gt;=4,IF($C$13="Yes",IF(Summary!B135&lt;&gt;"",Summary!B135,""),""),"")</f>
        <v/>
      </c>
      <c r="R139" t="str">
        <f t="shared" si="19"/>
        <v/>
      </c>
      <c r="S139">
        <f t="shared" si="20"/>
        <v>0</v>
      </c>
      <c r="U139" t="str">
        <f>IF($C$15&gt;=5,IF($C$13="Yes",IF(Summary!B135&lt;&gt;"",Summary!B135,""),""),"")</f>
        <v/>
      </c>
      <c r="V139" t="str">
        <f t="shared" si="21"/>
        <v/>
      </c>
      <c r="W139">
        <f t="shared" si="22"/>
        <v>0</v>
      </c>
      <c r="Y139" t="str">
        <f>IF($C$13="Yes",IF(Summary!B135&lt;&gt;"",Summary!B135,""),"")</f>
        <v/>
      </c>
      <c r="Z139" s="439" t="str">
        <f t="shared" si="23"/>
        <v/>
      </c>
      <c r="AA139" t="str">
        <f t="shared" si="12"/>
        <v/>
      </c>
    </row>
    <row r="140" spans="2:27">
      <c r="B140" t="str">
        <f>IF(Summary!B136&lt;&gt;"",Summary!B136,"")</f>
        <v/>
      </c>
      <c r="C140" t="str">
        <f>IF(Summary!C136&lt;&gt;"",Summary!C136,"")</f>
        <v/>
      </c>
      <c r="E140" t="str">
        <f>IF($C$15&gt;=1,IF($C$13="Yes",IF(Summary!B136&lt;&gt;"",Summary!B136,""),""),"")</f>
        <v/>
      </c>
      <c r="F140" t="str">
        <f t="shared" si="13"/>
        <v/>
      </c>
      <c r="G140">
        <f t="shared" si="14"/>
        <v>0</v>
      </c>
      <c r="I140" t="str">
        <f>IF($C$15&gt;=2,IF($C$13="Yes",IF(Summary!B136&lt;&gt;"",Summary!B136,""),""),"")</f>
        <v/>
      </c>
      <c r="J140" t="str">
        <f t="shared" si="15"/>
        <v/>
      </c>
      <c r="K140">
        <f t="shared" si="16"/>
        <v>0</v>
      </c>
      <c r="M140" t="str">
        <f>IF($C$15&gt;=3,IF($C$13="Yes",IF(Summary!B136&lt;&gt;"",Summary!B136,""),""),"")</f>
        <v/>
      </c>
      <c r="N140" t="str">
        <f t="shared" si="17"/>
        <v/>
      </c>
      <c r="O140">
        <f t="shared" si="18"/>
        <v>0</v>
      </c>
      <c r="Q140" t="str">
        <f>IF($C$15&gt;=4,IF($C$13="Yes",IF(Summary!B136&lt;&gt;"",Summary!B136,""),""),"")</f>
        <v/>
      </c>
      <c r="R140" t="str">
        <f t="shared" si="19"/>
        <v/>
      </c>
      <c r="S140">
        <f t="shared" si="20"/>
        <v>0</v>
      </c>
      <c r="U140" t="str">
        <f>IF($C$15&gt;=5,IF($C$13="Yes",IF(Summary!B136&lt;&gt;"",Summary!B136,""),""),"")</f>
        <v/>
      </c>
      <c r="V140" t="str">
        <f t="shared" si="21"/>
        <v/>
      </c>
      <c r="W140">
        <f t="shared" si="22"/>
        <v>0</v>
      </c>
      <c r="Y140" t="str">
        <f>IF($C$13="Yes",IF(Summary!B136&lt;&gt;"",Summary!B136,""),"")</f>
        <v/>
      </c>
      <c r="Z140" s="439" t="str">
        <f t="shared" si="23"/>
        <v/>
      </c>
      <c r="AA140" t="str">
        <f t="shared" si="12"/>
        <v/>
      </c>
    </row>
    <row r="141" spans="2:27">
      <c r="B141" t="str">
        <f>IF(Summary!B137&lt;&gt;"",Summary!B137,"")</f>
        <v/>
      </c>
      <c r="C141" t="str">
        <f>IF(Summary!C137&lt;&gt;"",Summary!C137,"")</f>
        <v/>
      </c>
      <c r="E141" t="str">
        <f>IF($C$15&gt;=1,IF($C$13="Yes",IF(Summary!B137&lt;&gt;"",Summary!B137,""),""),"")</f>
        <v/>
      </c>
      <c r="F141" t="str">
        <f t="shared" si="13"/>
        <v/>
      </c>
      <c r="G141">
        <f t="shared" si="14"/>
        <v>0</v>
      </c>
      <c r="I141" t="str">
        <f>IF($C$15&gt;=2,IF($C$13="Yes",IF(Summary!B137&lt;&gt;"",Summary!B137,""),""),"")</f>
        <v/>
      </c>
      <c r="J141" t="str">
        <f t="shared" si="15"/>
        <v/>
      </c>
      <c r="K141">
        <f t="shared" si="16"/>
        <v>0</v>
      </c>
      <c r="M141" t="str">
        <f>IF($C$15&gt;=3,IF($C$13="Yes",IF(Summary!B137&lt;&gt;"",Summary!B137,""),""),"")</f>
        <v/>
      </c>
      <c r="N141" t="str">
        <f t="shared" si="17"/>
        <v/>
      </c>
      <c r="O141">
        <f t="shared" si="18"/>
        <v>0</v>
      </c>
      <c r="Q141" t="str">
        <f>IF($C$15&gt;=4,IF($C$13="Yes",IF(Summary!B137&lt;&gt;"",Summary!B137,""),""),"")</f>
        <v/>
      </c>
      <c r="R141" t="str">
        <f t="shared" si="19"/>
        <v/>
      </c>
      <c r="S141">
        <f t="shared" si="20"/>
        <v>0</v>
      </c>
      <c r="U141" t="str">
        <f>IF($C$15&gt;=5,IF($C$13="Yes",IF(Summary!B137&lt;&gt;"",Summary!B137,""),""),"")</f>
        <v/>
      </c>
      <c r="V141" t="str">
        <f t="shared" si="21"/>
        <v/>
      </c>
      <c r="W141">
        <f t="shared" si="22"/>
        <v>0</v>
      </c>
      <c r="Y141" t="str">
        <f>IF($C$13="Yes",IF(Summary!B137&lt;&gt;"",Summary!B137,""),"")</f>
        <v/>
      </c>
      <c r="Z141" s="439" t="str">
        <f t="shared" si="23"/>
        <v/>
      </c>
      <c r="AA141" t="str">
        <f t="shared" si="12"/>
        <v/>
      </c>
    </row>
    <row r="142" spans="2:27">
      <c r="B142" t="str">
        <f>IF(Summary!B138&lt;&gt;"",Summary!B138,"")</f>
        <v/>
      </c>
      <c r="C142" t="str">
        <f>IF(Summary!C138&lt;&gt;"",Summary!C138,"")</f>
        <v/>
      </c>
      <c r="E142" t="str">
        <f>IF($C$15&gt;=1,IF($C$13="Yes",IF(Summary!B138&lt;&gt;"",Summary!B138,""),""),"")</f>
        <v/>
      </c>
      <c r="F142" t="str">
        <f t="shared" si="13"/>
        <v/>
      </c>
      <c r="G142">
        <f t="shared" si="14"/>
        <v>0</v>
      </c>
      <c r="I142" t="str">
        <f>IF($C$15&gt;=2,IF($C$13="Yes",IF(Summary!B138&lt;&gt;"",Summary!B138,""),""),"")</f>
        <v/>
      </c>
      <c r="J142" t="str">
        <f t="shared" si="15"/>
        <v/>
      </c>
      <c r="K142">
        <f t="shared" si="16"/>
        <v>0</v>
      </c>
      <c r="M142" t="str">
        <f>IF($C$15&gt;=3,IF($C$13="Yes",IF(Summary!B138&lt;&gt;"",Summary!B138,""),""),"")</f>
        <v/>
      </c>
      <c r="N142" t="str">
        <f t="shared" si="17"/>
        <v/>
      </c>
      <c r="O142">
        <f t="shared" si="18"/>
        <v>0</v>
      </c>
      <c r="Q142" t="str">
        <f>IF($C$15&gt;=4,IF($C$13="Yes",IF(Summary!B138&lt;&gt;"",Summary!B138,""),""),"")</f>
        <v/>
      </c>
      <c r="R142" t="str">
        <f t="shared" si="19"/>
        <v/>
      </c>
      <c r="S142">
        <f t="shared" si="20"/>
        <v>0</v>
      </c>
      <c r="U142" t="str">
        <f>IF($C$15&gt;=5,IF($C$13="Yes",IF(Summary!B138&lt;&gt;"",Summary!B138,""),""),"")</f>
        <v/>
      </c>
      <c r="V142" t="str">
        <f t="shared" si="21"/>
        <v/>
      </c>
      <c r="W142">
        <f t="shared" si="22"/>
        <v>0</v>
      </c>
      <c r="Y142" t="str">
        <f>IF($C$13="Yes",IF(Summary!B138&lt;&gt;"",Summary!B138,""),"")</f>
        <v/>
      </c>
      <c r="Z142" s="439" t="str">
        <f t="shared" si="23"/>
        <v/>
      </c>
      <c r="AA142" t="str">
        <f t="shared" si="12"/>
        <v/>
      </c>
    </row>
    <row r="143" spans="2:27">
      <c r="B143" t="str">
        <f>IF(Summary!B139&lt;&gt;"",Summary!B139,"")</f>
        <v/>
      </c>
      <c r="C143" t="str">
        <f>IF(Summary!C139&lt;&gt;"",Summary!C139,"")</f>
        <v/>
      </c>
      <c r="E143" t="str">
        <f>IF($C$15&gt;=1,IF($C$13="Yes",IF(Summary!B139&lt;&gt;"",Summary!B139,""),""),"")</f>
        <v/>
      </c>
      <c r="F143" t="str">
        <f t="shared" si="13"/>
        <v/>
      </c>
      <c r="G143">
        <f t="shared" si="14"/>
        <v>0</v>
      </c>
      <c r="I143" t="str">
        <f>IF($C$15&gt;=2,IF($C$13="Yes",IF(Summary!B139&lt;&gt;"",Summary!B139,""),""),"")</f>
        <v/>
      </c>
      <c r="J143" t="str">
        <f t="shared" si="15"/>
        <v/>
      </c>
      <c r="K143">
        <f t="shared" si="16"/>
        <v>0</v>
      </c>
      <c r="M143" t="str">
        <f>IF($C$15&gt;=3,IF($C$13="Yes",IF(Summary!B139&lt;&gt;"",Summary!B139,""),""),"")</f>
        <v/>
      </c>
      <c r="N143" t="str">
        <f t="shared" si="17"/>
        <v/>
      </c>
      <c r="O143">
        <f t="shared" si="18"/>
        <v>0</v>
      </c>
      <c r="Q143" t="str">
        <f>IF($C$15&gt;=4,IF($C$13="Yes",IF(Summary!B139&lt;&gt;"",Summary!B139,""),""),"")</f>
        <v/>
      </c>
      <c r="R143" t="str">
        <f t="shared" si="19"/>
        <v/>
      </c>
      <c r="S143">
        <f t="shared" si="20"/>
        <v>0</v>
      </c>
      <c r="U143" t="str">
        <f>IF($C$15&gt;=5,IF($C$13="Yes",IF(Summary!B139&lt;&gt;"",Summary!B139,""),""),"")</f>
        <v/>
      </c>
      <c r="V143" t="str">
        <f t="shared" si="21"/>
        <v/>
      </c>
      <c r="W143">
        <f t="shared" si="22"/>
        <v>0</v>
      </c>
      <c r="Y143" t="str">
        <f>IF($C$13="Yes",IF(Summary!B139&lt;&gt;"",Summary!B139,""),"")</f>
        <v/>
      </c>
      <c r="Z143" s="439" t="str">
        <f t="shared" si="23"/>
        <v/>
      </c>
      <c r="AA143" t="str">
        <f t="shared" si="12"/>
        <v/>
      </c>
    </row>
    <row r="144" spans="2:27">
      <c r="B144" t="str">
        <f>IF(Summary!B140&lt;&gt;"",Summary!B140,"")</f>
        <v/>
      </c>
      <c r="C144" t="str">
        <f>IF(Summary!C140&lt;&gt;"",Summary!C140,"")</f>
        <v/>
      </c>
      <c r="E144" t="str">
        <f>IF($C$15&gt;=1,IF($C$13="Yes",IF(Summary!B140&lt;&gt;"",Summary!B140,""),""),"")</f>
        <v/>
      </c>
      <c r="F144" t="str">
        <f t="shared" si="13"/>
        <v/>
      </c>
      <c r="G144">
        <f t="shared" si="14"/>
        <v>0</v>
      </c>
      <c r="I144" t="str">
        <f>IF($C$15&gt;=2,IF($C$13="Yes",IF(Summary!B140&lt;&gt;"",Summary!B140,""),""),"")</f>
        <v/>
      </c>
      <c r="J144" t="str">
        <f t="shared" si="15"/>
        <v/>
      </c>
      <c r="K144">
        <f t="shared" si="16"/>
        <v>0</v>
      </c>
      <c r="M144" t="str">
        <f>IF($C$15&gt;=3,IF($C$13="Yes",IF(Summary!B140&lt;&gt;"",Summary!B140,""),""),"")</f>
        <v/>
      </c>
      <c r="N144" t="str">
        <f t="shared" si="17"/>
        <v/>
      </c>
      <c r="O144">
        <f t="shared" si="18"/>
        <v>0</v>
      </c>
      <c r="Q144" t="str">
        <f>IF($C$15&gt;=4,IF($C$13="Yes",IF(Summary!B140&lt;&gt;"",Summary!B140,""),""),"")</f>
        <v/>
      </c>
      <c r="R144" t="str">
        <f t="shared" si="19"/>
        <v/>
      </c>
      <c r="S144">
        <f t="shared" si="20"/>
        <v>0</v>
      </c>
      <c r="U144" t="str">
        <f>IF($C$15&gt;=5,IF($C$13="Yes",IF(Summary!B140&lt;&gt;"",Summary!B140,""),""),"")</f>
        <v/>
      </c>
      <c r="V144" t="str">
        <f t="shared" si="21"/>
        <v/>
      </c>
      <c r="W144">
        <f t="shared" si="22"/>
        <v>0</v>
      </c>
      <c r="Y144" t="str">
        <f>IF($C$13="Yes",IF(Summary!B140&lt;&gt;"",Summary!B140,""),"")</f>
        <v/>
      </c>
      <c r="Z144" s="439" t="str">
        <f t="shared" si="23"/>
        <v/>
      </c>
      <c r="AA144" t="str">
        <f t="shared" si="12"/>
        <v/>
      </c>
    </row>
    <row r="145" spans="2:27">
      <c r="B145" t="str">
        <f>IF(Summary!B141&lt;&gt;"",Summary!B141,"")</f>
        <v/>
      </c>
      <c r="C145" t="str">
        <f>IF(Summary!C141&lt;&gt;"",Summary!C141,"")</f>
        <v/>
      </c>
      <c r="E145" t="str">
        <f>IF($C$15&gt;=1,IF($C$13="Yes",IF(Summary!B141&lt;&gt;"",Summary!B141,""),""),"")</f>
        <v/>
      </c>
      <c r="F145" t="str">
        <f t="shared" si="13"/>
        <v/>
      </c>
      <c r="G145">
        <f t="shared" si="14"/>
        <v>0</v>
      </c>
      <c r="I145" t="str">
        <f>IF($C$15&gt;=2,IF($C$13="Yes",IF(Summary!B141&lt;&gt;"",Summary!B141,""),""),"")</f>
        <v/>
      </c>
      <c r="J145" t="str">
        <f t="shared" si="15"/>
        <v/>
      </c>
      <c r="K145">
        <f t="shared" si="16"/>
        <v>0</v>
      </c>
      <c r="M145" t="str">
        <f>IF($C$15&gt;=3,IF($C$13="Yes",IF(Summary!B141&lt;&gt;"",Summary!B141,""),""),"")</f>
        <v/>
      </c>
      <c r="N145" t="str">
        <f t="shared" si="17"/>
        <v/>
      </c>
      <c r="O145">
        <f t="shared" si="18"/>
        <v>0</v>
      </c>
      <c r="Q145" t="str">
        <f>IF($C$15&gt;=4,IF($C$13="Yes",IF(Summary!B141&lt;&gt;"",Summary!B141,""),""),"")</f>
        <v/>
      </c>
      <c r="R145" t="str">
        <f t="shared" si="19"/>
        <v/>
      </c>
      <c r="S145">
        <f t="shared" si="20"/>
        <v>0</v>
      </c>
      <c r="U145" t="str">
        <f>IF($C$15&gt;=5,IF($C$13="Yes",IF(Summary!B141&lt;&gt;"",Summary!B141,""),""),"")</f>
        <v/>
      </c>
      <c r="V145" t="str">
        <f t="shared" si="21"/>
        <v/>
      </c>
      <c r="W145">
        <f t="shared" si="22"/>
        <v>0</v>
      </c>
      <c r="Y145" t="str">
        <f>IF($C$13="Yes",IF(Summary!B141&lt;&gt;"",Summary!B141,""),"")</f>
        <v/>
      </c>
      <c r="Z145" s="439" t="str">
        <f t="shared" si="23"/>
        <v/>
      </c>
      <c r="AA145" t="str">
        <f t="shared" si="12"/>
        <v/>
      </c>
    </row>
    <row r="146" spans="2:27">
      <c r="B146" t="str">
        <f>IF(Summary!B142&lt;&gt;"",Summary!B142,"")</f>
        <v/>
      </c>
      <c r="C146" t="str">
        <f>IF(Summary!C142&lt;&gt;"",Summary!C142,"")</f>
        <v/>
      </c>
      <c r="E146" t="str">
        <f>IF($C$15&gt;=1,IF($C$13="Yes",IF(Summary!B142&lt;&gt;"",Summary!B142,""),""),"")</f>
        <v/>
      </c>
      <c r="F146" t="str">
        <f t="shared" si="13"/>
        <v/>
      </c>
      <c r="G146">
        <f t="shared" si="14"/>
        <v>0</v>
      </c>
      <c r="I146" t="str">
        <f>IF($C$15&gt;=2,IF($C$13="Yes",IF(Summary!B142&lt;&gt;"",Summary!B142,""),""),"")</f>
        <v/>
      </c>
      <c r="J146" t="str">
        <f t="shared" si="15"/>
        <v/>
      </c>
      <c r="K146">
        <f t="shared" si="16"/>
        <v>0</v>
      </c>
      <c r="M146" t="str">
        <f>IF($C$15&gt;=3,IF($C$13="Yes",IF(Summary!B142&lt;&gt;"",Summary!B142,""),""),"")</f>
        <v/>
      </c>
      <c r="N146" t="str">
        <f t="shared" si="17"/>
        <v/>
      </c>
      <c r="O146">
        <f t="shared" si="18"/>
        <v>0</v>
      </c>
      <c r="Q146" t="str">
        <f>IF($C$15&gt;=4,IF($C$13="Yes",IF(Summary!B142&lt;&gt;"",Summary!B142,""),""),"")</f>
        <v/>
      </c>
      <c r="R146" t="str">
        <f t="shared" si="19"/>
        <v/>
      </c>
      <c r="S146">
        <f t="shared" si="20"/>
        <v>0</v>
      </c>
      <c r="U146" t="str">
        <f>IF($C$15&gt;=5,IF($C$13="Yes",IF(Summary!B142&lt;&gt;"",Summary!B142,""),""),"")</f>
        <v/>
      </c>
      <c r="V146" t="str">
        <f t="shared" si="21"/>
        <v/>
      </c>
      <c r="W146">
        <f t="shared" si="22"/>
        <v>0</v>
      </c>
      <c r="Y146" t="str">
        <f>IF($C$13="Yes",IF(Summary!B142&lt;&gt;"",Summary!B142,""),"")</f>
        <v/>
      </c>
      <c r="Z146" s="439" t="str">
        <f t="shared" si="23"/>
        <v/>
      </c>
      <c r="AA146" t="str">
        <f t="shared" ref="AA146:AA209" si="24">IF(Y146&lt;&gt;"Total",Z146,0)</f>
        <v/>
      </c>
    </row>
    <row r="147" spans="2:27">
      <c r="B147" t="str">
        <f>IF(Summary!B143&lt;&gt;"",Summary!B143,"")</f>
        <v/>
      </c>
      <c r="C147" t="str">
        <f>IF(Summary!C143&lt;&gt;"",Summary!C143,"")</f>
        <v/>
      </c>
      <c r="E147" t="str">
        <f>IF($C$15&gt;=1,IF($C$13="Yes",IF(Summary!B143&lt;&gt;"",Summary!B143,""),""),"")</f>
        <v/>
      </c>
      <c r="F147" t="str">
        <f t="shared" ref="F147:F210" si="25">IF($C$15&gt;=1,IFERROR(IF($C$13="Yes",(C147*$C$14),""),""),"")</f>
        <v/>
      </c>
      <c r="G147">
        <f t="shared" ref="G147:G210" si="26">IF(F147="",0,F147)</f>
        <v>0</v>
      </c>
      <c r="I147" t="str">
        <f>IF($C$15&gt;=2,IF($C$13="Yes",IF(Summary!B143&lt;&gt;"",Summary!B143,""),""),"")</f>
        <v/>
      </c>
      <c r="J147" t="str">
        <f t="shared" ref="J147:J210" si="27">IF($C$15&gt;=2,IFERROR(IF($C$13="Yes",(C147*$C$14),""),""),"")</f>
        <v/>
      </c>
      <c r="K147">
        <f t="shared" ref="K147:K210" si="28">IF(J147="",0,J147)</f>
        <v>0</v>
      </c>
      <c r="M147" t="str">
        <f>IF($C$15&gt;=3,IF($C$13="Yes",IF(Summary!B143&lt;&gt;"",Summary!B143,""),""),"")</f>
        <v/>
      </c>
      <c r="N147" t="str">
        <f t="shared" ref="N147:N210" si="29">IF($C$15&gt;=3,IFERROR(IF($C$13="Yes",(C147*$C$14),""),""),"")</f>
        <v/>
      </c>
      <c r="O147">
        <f t="shared" ref="O147:O210" si="30">IF(N147="",0,N147)</f>
        <v>0</v>
      </c>
      <c r="Q147" t="str">
        <f>IF($C$15&gt;=4,IF($C$13="Yes",IF(Summary!B143&lt;&gt;"",Summary!B143,""),""),"")</f>
        <v/>
      </c>
      <c r="R147" t="str">
        <f t="shared" ref="R147:R210" si="31">IF($C$15&gt;=4,IFERROR(IF($C$13="Yes",(C147*$C$14),""),""),"")</f>
        <v/>
      </c>
      <c r="S147">
        <f t="shared" ref="S147:S210" si="32">IF(R147="",0,R147)</f>
        <v>0</v>
      </c>
      <c r="U147" t="str">
        <f>IF($C$15&gt;=5,IF($C$13="Yes",IF(Summary!B143&lt;&gt;"",Summary!B143,""),""),"")</f>
        <v/>
      </c>
      <c r="V147" t="str">
        <f t="shared" ref="V147:V210" si="33">IF($C$15&gt;=5,IFERROR(IF($C$13="Yes",(C147*$C$14),""),""),"")</f>
        <v/>
      </c>
      <c r="W147">
        <f t="shared" ref="W147:W210" si="34">IF(V147="",0,V147)</f>
        <v>0</v>
      </c>
      <c r="Y147" t="str">
        <f>IF($C$13="Yes",IF(Summary!B143&lt;&gt;"",Summary!B143,""),"")</f>
        <v/>
      </c>
      <c r="Z147" s="439" t="str">
        <f t="shared" ref="Z147:Z210" si="35">IFERROR((C147+G147+K147+O147+S147+W147),"")</f>
        <v/>
      </c>
      <c r="AA147" t="str">
        <f t="shared" si="24"/>
        <v/>
      </c>
    </row>
    <row r="148" spans="2:27">
      <c r="B148" t="str">
        <f>IF(Summary!B144&lt;&gt;"",Summary!B144,"")</f>
        <v/>
      </c>
      <c r="C148" t="str">
        <f>IF(Summary!C144&lt;&gt;"",Summary!C144,"")</f>
        <v/>
      </c>
      <c r="E148" t="str">
        <f>IF($C$15&gt;=1,IF($C$13="Yes",IF(Summary!B144&lt;&gt;"",Summary!B144,""),""),"")</f>
        <v/>
      </c>
      <c r="F148" t="str">
        <f t="shared" si="25"/>
        <v/>
      </c>
      <c r="G148">
        <f t="shared" si="26"/>
        <v>0</v>
      </c>
      <c r="I148" t="str">
        <f>IF($C$15&gt;=2,IF($C$13="Yes",IF(Summary!B144&lt;&gt;"",Summary!B144,""),""),"")</f>
        <v/>
      </c>
      <c r="J148" t="str">
        <f t="shared" si="27"/>
        <v/>
      </c>
      <c r="K148">
        <f t="shared" si="28"/>
        <v>0</v>
      </c>
      <c r="M148" t="str">
        <f>IF($C$15&gt;=3,IF($C$13="Yes",IF(Summary!B144&lt;&gt;"",Summary!B144,""),""),"")</f>
        <v/>
      </c>
      <c r="N148" t="str">
        <f t="shared" si="29"/>
        <v/>
      </c>
      <c r="O148">
        <f t="shared" si="30"/>
        <v>0</v>
      </c>
      <c r="Q148" t="str">
        <f>IF($C$15&gt;=4,IF($C$13="Yes",IF(Summary!B144&lt;&gt;"",Summary!B144,""),""),"")</f>
        <v/>
      </c>
      <c r="R148" t="str">
        <f t="shared" si="31"/>
        <v/>
      </c>
      <c r="S148">
        <f t="shared" si="32"/>
        <v>0</v>
      </c>
      <c r="U148" t="str">
        <f>IF($C$15&gt;=5,IF($C$13="Yes",IF(Summary!B144&lt;&gt;"",Summary!B144,""),""),"")</f>
        <v/>
      </c>
      <c r="V148" t="str">
        <f t="shared" si="33"/>
        <v/>
      </c>
      <c r="W148">
        <f t="shared" si="34"/>
        <v>0</v>
      </c>
      <c r="Y148" t="str">
        <f>IF($C$13="Yes",IF(Summary!B144&lt;&gt;"",Summary!B144,""),"")</f>
        <v/>
      </c>
      <c r="Z148" s="439" t="str">
        <f t="shared" si="35"/>
        <v/>
      </c>
      <c r="AA148" t="str">
        <f t="shared" si="24"/>
        <v/>
      </c>
    </row>
    <row r="149" spans="2:27">
      <c r="B149" t="str">
        <f>IF(Summary!B145&lt;&gt;"",Summary!B145,"")</f>
        <v/>
      </c>
      <c r="C149" t="str">
        <f>IF(Summary!C145&lt;&gt;"",Summary!C145,"")</f>
        <v/>
      </c>
      <c r="E149" t="str">
        <f>IF($C$15&gt;=1,IF($C$13="Yes",IF(Summary!B145&lt;&gt;"",Summary!B145,""),""),"")</f>
        <v/>
      </c>
      <c r="F149" t="str">
        <f t="shared" si="25"/>
        <v/>
      </c>
      <c r="G149">
        <f t="shared" si="26"/>
        <v>0</v>
      </c>
      <c r="I149" t="str">
        <f>IF($C$15&gt;=2,IF($C$13="Yes",IF(Summary!B145&lt;&gt;"",Summary!B145,""),""),"")</f>
        <v/>
      </c>
      <c r="J149" t="str">
        <f t="shared" si="27"/>
        <v/>
      </c>
      <c r="K149">
        <f t="shared" si="28"/>
        <v>0</v>
      </c>
      <c r="M149" t="str">
        <f>IF($C$15&gt;=3,IF($C$13="Yes",IF(Summary!B145&lt;&gt;"",Summary!B145,""),""),"")</f>
        <v/>
      </c>
      <c r="N149" t="str">
        <f t="shared" si="29"/>
        <v/>
      </c>
      <c r="O149">
        <f t="shared" si="30"/>
        <v>0</v>
      </c>
      <c r="Q149" t="str">
        <f>IF($C$15&gt;=4,IF($C$13="Yes",IF(Summary!B145&lt;&gt;"",Summary!B145,""),""),"")</f>
        <v/>
      </c>
      <c r="R149" t="str">
        <f t="shared" si="31"/>
        <v/>
      </c>
      <c r="S149">
        <f t="shared" si="32"/>
        <v>0</v>
      </c>
      <c r="U149" t="str">
        <f>IF($C$15&gt;=5,IF($C$13="Yes",IF(Summary!B145&lt;&gt;"",Summary!B145,""),""),"")</f>
        <v/>
      </c>
      <c r="V149" t="str">
        <f t="shared" si="33"/>
        <v/>
      </c>
      <c r="W149">
        <f t="shared" si="34"/>
        <v>0</v>
      </c>
      <c r="Y149" t="str">
        <f>IF($C$13="Yes",IF(Summary!B145&lt;&gt;"",Summary!B145,""),"")</f>
        <v/>
      </c>
      <c r="Z149" s="439" t="str">
        <f t="shared" si="35"/>
        <v/>
      </c>
      <c r="AA149" t="str">
        <f t="shared" si="24"/>
        <v/>
      </c>
    </row>
    <row r="150" spans="2:27">
      <c r="B150" t="str">
        <f>IF(Summary!B146&lt;&gt;"",Summary!B146,"")</f>
        <v/>
      </c>
      <c r="C150" t="str">
        <f>IF(Summary!C146&lt;&gt;"",Summary!C146,"")</f>
        <v/>
      </c>
      <c r="E150" t="str">
        <f>IF($C$15&gt;=1,IF($C$13="Yes",IF(Summary!B146&lt;&gt;"",Summary!B146,""),""),"")</f>
        <v/>
      </c>
      <c r="F150" t="str">
        <f t="shared" si="25"/>
        <v/>
      </c>
      <c r="G150">
        <f t="shared" si="26"/>
        <v>0</v>
      </c>
      <c r="I150" t="str">
        <f>IF($C$15&gt;=2,IF($C$13="Yes",IF(Summary!B146&lt;&gt;"",Summary!B146,""),""),"")</f>
        <v/>
      </c>
      <c r="J150" t="str">
        <f t="shared" si="27"/>
        <v/>
      </c>
      <c r="K150">
        <f t="shared" si="28"/>
        <v>0</v>
      </c>
      <c r="M150" t="str">
        <f>IF($C$15&gt;=3,IF($C$13="Yes",IF(Summary!B146&lt;&gt;"",Summary!B146,""),""),"")</f>
        <v/>
      </c>
      <c r="N150" t="str">
        <f t="shared" si="29"/>
        <v/>
      </c>
      <c r="O150">
        <f t="shared" si="30"/>
        <v>0</v>
      </c>
      <c r="Q150" t="str">
        <f>IF($C$15&gt;=4,IF($C$13="Yes",IF(Summary!B146&lt;&gt;"",Summary!B146,""),""),"")</f>
        <v/>
      </c>
      <c r="R150" t="str">
        <f t="shared" si="31"/>
        <v/>
      </c>
      <c r="S150">
        <f t="shared" si="32"/>
        <v>0</v>
      </c>
      <c r="U150" t="str">
        <f>IF($C$15&gt;=5,IF($C$13="Yes",IF(Summary!B146&lt;&gt;"",Summary!B146,""),""),"")</f>
        <v/>
      </c>
      <c r="V150" t="str">
        <f t="shared" si="33"/>
        <v/>
      </c>
      <c r="W150">
        <f t="shared" si="34"/>
        <v>0</v>
      </c>
      <c r="Y150" t="str">
        <f>IF($C$13="Yes",IF(Summary!B146&lt;&gt;"",Summary!B146,""),"")</f>
        <v/>
      </c>
      <c r="Z150" s="439" t="str">
        <f t="shared" si="35"/>
        <v/>
      </c>
      <c r="AA150" t="str">
        <f t="shared" si="24"/>
        <v/>
      </c>
    </row>
    <row r="151" spans="2:27">
      <c r="B151" t="str">
        <f>IF(Summary!B147&lt;&gt;"",Summary!B147,"")</f>
        <v/>
      </c>
      <c r="C151" t="str">
        <f>IF(Summary!C147&lt;&gt;"",Summary!C147,"")</f>
        <v/>
      </c>
      <c r="E151" t="str">
        <f>IF($C$15&gt;=1,IF($C$13="Yes",IF(Summary!B147&lt;&gt;"",Summary!B147,""),""),"")</f>
        <v/>
      </c>
      <c r="F151" t="str">
        <f t="shared" si="25"/>
        <v/>
      </c>
      <c r="G151">
        <f t="shared" si="26"/>
        <v>0</v>
      </c>
      <c r="I151" t="str">
        <f>IF($C$15&gt;=2,IF($C$13="Yes",IF(Summary!B147&lt;&gt;"",Summary!B147,""),""),"")</f>
        <v/>
      </c>
      <c r="J151" t="str">
        <f t="shared" si="27"/>
        <v/>
      </c>
      <c r="K151">
        <f t="shared" si="28"/>
        <v>0</v>
      </c>
      <c r="M151" t="str">
        <f>IF($C$15&gt;=3,IF($C$13="Yes",IF(Summary!B147&lt;&gt;"",Summary!B147,""),""),"")</f>
        <v/>
      </c>
      <c r="N151" t="str">
        <f t="shared" si="29"/>
        <v/>
      </c>
      <c r="O151">
        <f t="shared" si="30"/>
        <v>0</v>
      </c>
      <c r="Q151" t="str">
        <f>IF($C$15&gt;=4,IF($C$13="Yes",IF(Summary!B147&lt;&gt;"",Summary!B147,""),""),"")</f>
        <v/>
      </c>
      <c r="R151" t="str">
        <f t="shared" si="31"/>
        <v/>
      </c>
      <c r="S151">
        <f t="shared" si="32"/>
        <v>0</v>
      </c>
      <c r="U151" t="str">
        <f>IF($C$15&gt;=5,IF($C$13="Yes",IF(Summary!B147&lt;&gt;"",Summary!B147,""),""),"")</f>
        <v/>
      </c>
      <c r="V151" t="str">
        <f t="shared" si="33"/>
        <v/>
      </c>
      <c r="W151">
        <f t="shared" si="34"/>
        <v>0</v>
      </c>
      <c r="Y151" t="str">
        <f>IF($C$13="Yes",IF(Summary!B147&lt;&gt;"",Summary!B147,""),"")</f>
        <v/>
      </c>
      <c r="Z151" s="439" t="str">
        <f t="shared" si="35"/>
        <v/>
      </c>
      <c r="AA151" t="str">
        <f t="shared" si="24"/>
        <v/>
      </c>
    </row>
    <row r="152" spans="2:27">
      <c r="B152" t="str">
        <f>IF(Summary!B148&lt;&gt;"",Summary!B148,"")</f>
        <v/>
      </c>
      <c r="C152" t="str">
        <f>IF(Summary!C148&lt;&gt;"",Summary!C148,"")</f>
        <v/>
      </c>
      <c r="E152" t="str">
        <f>IF($C$15&gt;=1,IF($C$13="Yes",IF(Summary!B148&lt;&gt;"",Summary!B148,""),""),"")</f>
        <v/>
      </c>
      <c r="F152" t="str">
        <f t="shared" si="25"/>
        <v/>
      </c>
      <c r="G152">
        <f t="shared" si="26"/>
        <v>0</v>
      </c>
      <c r="I152" t="str">
        <f>IF($C$15&gt;=2,IF($C$13="Yes",IF(Summary!B148&lt;&gt;"",Summary!B148,""),""),"")</f>
        <v/>
      </c>
      <c r="J152" t="str">
        <f t="shared" si="27"/>
        <v/>
      </c>
      <c r="K152">
        <f t="shared" si="28"/>
        <v>0</v>
      </c>
      <c r="M152" t="str">
        <f>IF($C$15&gt;=3,IF($C$13="Yes",IF(Summary!B148&lt;&gt;"",Summary!B148,""),""),"")</f>
        <v/>
      </c>
      <c r="N152" t="str">
        <f t="shared" si="29"/>
        <v/>
      </c>
      <c r="O152">
        <f t="shared" si="30"/>
        <v>0</v>
      </c>
      <c r="Q152" t="str">
        <f>IF($C$15&gt;=4,IF($C$13="Yes",IF(Summary!B148&lt;&gt;"",Summary!B148,""),""),"")</f>
        <v/>
      </c>
      <c r="R152" t="str">
        <f t="shared" si="31"/>
        <v/>
      </c>
      <c r="S152">
        <f t="shared" si="32"/>
        <v>0</v>
      </c>
      <c r="U152" t="str">
        <f>IF($C$15&gt;=5,IF($C$13="Yes",IF(Summary!B148&lt;&gt;"",Summary!B148,""),""),"")</f>
        <v/>
      </c>
      <c r="V152" t="str">
        <f t="shared" si="33"/>
        <v/>
      </c>
      <c r="W152">
        <f t="shared" si="34"/>
        <v>0</v>
      </c>
      <c r="Y152" t="str">
        <f>IF($C$13="Yes",IF(Summary!B148&lt;&gt;"",Summary!B148,""),"")</f>
        <v/>
      </c>
      <c r="Z152" s="439" t="str">
        <f t="shared" si="35"/>
        <v/>
      </c>
      <c r="AA152" t="str">
        <f t="shared" si="24"/>
        <v/>
      </c>
    </row>
    <row r="153" spans="2:27">
      <c r="B153" t="str">
        <f>IF(Summary!B149&lt;&gt;"",Summary!B149,"")</f>
        <v/>
      </c>
      <c r="C153" t="str">
        <f>IF(Summary!C149&lt;&gt;"",Summary!C149,"")</f>
        <v/>
      </c>
      <c r="E153" t="str">
        <f>IF($C$15&gt;=1,IF($C$13="Yes",IF(Summary!B149&lt;&gt;"",Summary!B149,""),""),"")</f>
        <v/>
      </c>
      <c r="F153" t="str">
        <f t="shared" si="25"/>
        <v/>
      </c>
      <c r="G153">
        <f t="shared" si="26"/>
        <v>0</v>
      </c>
      <c r="I153" t="str">
        <f>IF($C$15&gt;=2,IF($C$13="Yes",IF(Summary!B149&lt;&gt;"",Summary!B149,""),""),"")</f>
        <v/>
      </c>
      <c r="J153" t="str">
        <f t="shared" si="27"/>
        <v/>
      </c>
      <c r="K153">
        <f t="shared" si="28"/>
        <v>0</v>
      </c>
      <c r="M153" t="str">
        <f>IF($C$15&gt;=3,IF($C$13="Yes",IF(Summary!B149&lt;&gt;"",Summary!B149,""),""),"")</f>
        <v/>
      </c>
      <c r="N153" t="str">
        <f t="shared" si="29"/>
        <v/>
      </c>
      <c r="O153">
        <f t="shared" si="30"/>
        <v>0</v>
      </c>
      <c r="Q153" t="str">
        <f>IF($C$15&gt;=4,IF($C$13="Yes",IF(Summary!B149&lt;&gt;"",Summary!B149,""),""),"")</f>
        <v/>
      </c>
      <c r="R153" t="str">
        <f t="shared" si="31"/>
        <v/>
      </c>
      <c r="S153">
        <f t="shared" si="32"/>
        <v>0</v>
      </c>
      <c r="U153" t="str">
        <f>IF($C$15&gt;=5,IF($C$13="Yes",IF(Summary!B149&lt;&gt;"",Summary!B149,""),""),"")</f>
        <v/>
      </c>
      <c r="V153" t="str">
        <f t="shared" si="33"/>
        <v/>
      </c>
      <c r="W153">
        <f t="shared" si="34"/>
        <v>0</v>
      </c>
      <c r="Y153" t="str">
        <f>IF($C$13="Yes",IF(Summary!B149&lt;&gt;"",Summary!B149,""),"")</f>
        <v/>
      </c>
      <c r="Z153" s="439" t="str">
        <f t="shared" si="35"/>
        <v/>
      </c>
      <c r="AA153" t="str">
        <f t="shared" si="24"/>
        <v/>
      </c>
    </row>
    <row r="154" spans="2:27">
      <c r="B154" t="str">
        <f>IF(Summary!B150&lt;&gt;"",Summary!B150,"")</f>
        <v/>
      </c>
      <c r="C154" t="str">
        <f>IF(Summary!C150&lt;&gt;"",Summary!C150,"")</f>
        <v/>
      </c>
      <c r="E154" t="str">
        <f>IF($C$15&gt;=1,IF($C$13="Yes",IF(Summary!B150&lt;&gt;"",Summary!B150,""),""),"")</f>
        <v/>
      </c>
      <c r="F154" t="str">
        <f t="shared" si="25"/>
        <v/>
      </c>
      <c r="G154">
        <f t="shared" si="26"/>
        <v>0</v>
      </c>
      <c r="I154" t="str">
        <f>IF($C$15&gt;=2,IF($C$13="Yes",IF(Summary!B150&lt;&gt;"",Summary!B150,""),""),"")</f>
        <v/>
      </c>
      <c r="J154" t="str">
        <f t="shared" si="27"/>
        <v/>
      </c>
      <c r="K154">
        <f t="shared" si="28"/>
        <v>0</v>
      </c>
      <c r="M154" t="str">
        <f>IF($C$15&gt;=3,IF($C$13="Yes",IF(Summary!B150&lt;&gt;"",Summary!B150,""),""),"")</f>
        <v/>
      </c>
      <c r="N154" t="str">
        <f t="shared" si="29"/>
        <v/>
      </c>
      <c r="O154">
        <f t="shared" si="30"/>
        <v>0</v>
      </c>
      <c r="Q154" t="str">
        <f>IF($C$15&gt;=4,IF($C$13="Yes",IF(Summary!B150&lt;&gt;"",Summary!B150,""),""),"")</f>
        <v/>
      </c>
      <c r="R154" t="str">
        <f t="shared" si="31"/>
        <v/>
      </c>
      <c r="S154">
        <f t="shared" si="32"/>
        <v>0</v>
      </c>
      <c r="U154" t="str">
        <f>IF($C$15&gt;=5,IF($C$13="Yes",IF(Summary!B150&lt;&gt;"",Summary!B150,""),""),"")</f>
        <v/>
      </c>
      <c r="V154" t="str">
        <f t="shared" si="33"/>
        <v/>
      </c>
      <c r="W154">
        <f t="shared" si="34"/>
        <v>0</v>
      </c>
      <c r="Y154" t="str">
        <f>IF($C$13="Yes",IF(Summary!B150&lt;&gt;"",Summary!B150,""),"")</f>
        <v/>
      </c>
      <c r="Z154" s="439" t="str">
        <f t="shared" si="35"/>
        <v/>
      </c>
      <c r="AA154" t="str">
        <f t="shared" si="24"/>
        <v/>
      </c>
    </row>
    <row r="155" spans="2:27">
      <c r="B155" t="str">
        <f>IF(Summary!B151&lt;&gt;"",Summary!B151,"")</f>
        <v/>
      </c>
      <c r="C155" t="str">
        <f>IF(Summary!C151&lt;&gt;"",Summary!C151,"")</f>
        <v/>
      </c>
      <c r="E155" t="str">
        <f>IF($C$15&gt;=1,IF($C$13="Yes",IF(Summary!B151&lt;&gt;"",Summary!B151,""),""),"")</f>
        <v/>
      </c>
      <c r="F155" t="str">
        <f t="shared" si="25"/>
        <v/>
      </c>
      <c r="G155">
        <f t="shared" si="26"/>
        <v>0</v>
      </c>
      <c r="I155" t="str">
        <f>IF($C$15&gt;=2,IF($C$13="Yes",IF(Summary!B151&lt;&gt;"",Summary!B151,""),""),"")</f>
        <v/>
      </c>
      <c r="J155" t="str">
        <f t="shared" si="27"/>
        <v/>
      </c>
      <c r="K155">
        <f t="shared" si="28"/>
        <v>0</v>
      </c>
      <c r="M155" t="str">
        <f>IF($C$15&gt;=3,IF($C$13="Yes",IF(Summary!B151&lt;&gt;"",Summary!B151,""),""),"")</f>
        <v/>
      </c>
      <c r="N155" t="str">
        <f t="shared" si="29"/>
        <v/>
      </c>
      <c r="O155">
        <f t="shared" si="30"/>
        <v>0</v>
      </c>
      <c r="Q155" t="str">
        <f>IF($C$15&gt;=4,IF($C$13="Yes",IF(Summary!B151&lt;&gt;"",Summary!B151,""),""),"")</f>
        <v/>
      </c>
      <c r="R155" t="str">
        <f t="shared" si="31"/>
        <v/>
      </c>
      <c r="S155">
        <f t="shared" si="32"/>
        <v>0</v>
      </c>
      <c r="U155" t="str">
        <f>IF($C$15&gt;=5,IF($C$13="Yes",IF(Summary!B151&lt;&gt;"",Summary!B151,""),""),"")</f>
        <v/>
      </c>
      <c r="V155" t="str">
        <f t="shared" si="33"/>
        <v/>
      </c>
      <c r="W155">
        <f t="shared" si="34"/>
        <v>0</v>
      </c>
      <c r="Y155" t="str">
        <f>IF($C$13="Yes",IF(Summary!B151&lt;&gt;"",Summary!B151,""),"")</f>
        <v/>
      </c>
      <c r="Z155" s="439" t="str">
        <f t="shared" si="35"/>
        <v/>
      </c>
      <c r="AA155" t="str">
        <f t="shared" si="24"/>
        <v/>
      </c>
    </row>
    <row r="156" spans="2:27">
      <c r="B156" t="str">
        <f>IF(Summary!B152&lt;&gt;"",Summary!B152,"")</f>
        <v/>
      </c>
      <c r="C156" t="str">
        <f>IF(Summary!C152&lt;&gt;"",Summary!C152,"")</f>
        <v/>
      </c>
      <c r="E156" t="str">
        <f>IF($C$15&gt;=1,IF($C$13="Yes",IF(Summary!B152&lt;&gt;"",Summary!B152,""),""),"")</f>
        <v/>
      </c>
      <c r="F156" t="str">
        <f t="shared" si="25"/>
        <v/>
      </c>
      <c r="G156">
        <f t="shared" si="26"/>
        <v>0</v>
      </c>
      <c r="I156" t="str">
        <f>IF($C$15&gt;=2,IF($C$13="Yes",IF(Summary!B152&lt;&gt;"",Summary!B152,""),""),"")</f>
        <v/>
      </c>
      <c r="J156" t="str">
        <f t="shared" si="27"/>
        <v/>
      </c>
      <c r="K156">
        <f t="shared" si="28"/>
        <v>0</v>
      </c>
      <c r="M156" t="str">
        <f>IF($C$15&gt;=3,IF($C$13="Yes",IF(Summary!B152&lt;&gt;"",Summary!B152,""),""),"")</f>
        <v/>
      </c>
      <c r="N156" t="str">
        <f t="shared" si="29"/>
        <v/>
      </c>
      <c r="O156">
        <f t="shared" si="30"/>
        <v>0</v>
      </c>
      <c r="Q156" t="str">
        <f>IF($C$15&gt;=4,IF($C$13="Yes",IF(Summary!B152&lt;&gt;"",Summary!B152,""),""),"")</f>
        <v/>
      </c>
      <c r="R156" t="str">
        <f t="shared" si="31"/>
        <v/>
      </c>
      <c r="S156">
        <f t="shared" si="32"/>
        <v>0</v>
      </c>
      <c r="U156" t="str">
        <f>IF($C$15&gt;=5,IF($C$13="Yes",IF(Summary!B152&lt;&gt;"",Summary!B152,""),""),"")</f>
        <v/>
      </c>
      <c r="V156" t="str">
        <f t="shared" si="33"/>
        <v/>
      </c>
      <c r="W156">
        <f t="shared" si="34"/>
        <v>0</v>
      </c>
      <c r="Y156" t="str">
        <f>IF($C$13="Yes",IF(Summary!B152&lt;&gt;"",Summary!B152,""),"")</f>
        <v/>
      </c>
      <c r="Z156" s="439" t="str">
        <f t="shared" si="35"/>
        <v/>
      </c>
      <c r="AA156" t="str">
        <f t="shared" si="24"/>
        <v/>
      </c>
    </row>
    <row r="157" spans="2:27">
      <c r="B157" t="str">
        <f>IF(Summary!B153&lt;&gt;"",Summary!B153,"")</f>
        <v/>
      </c>
      <c r="C157" t="str">
        <f>IF(Summary!C153&lt;&gt;"",Summary!C153,"")</f>
        <v/>
      </c>
      <c r="E157" t="str">
        <f>IF($C$15&gt;=1,IF($C$13="Yes",IF(Summary!B153&lt;&gt;"",Summary!B153,""),""),"")</f>
        <v/>
      </c>
      <c r="F157" t="str">
        <f t="shared" si="25"/>
        <v/>
      </c>
      <c r="G157">
        <f t="shared" si="26"/>
        <v>0</v>
      </c>
      <c r="I157" t="str">
        <f>IF($C$15&gt;=2,IF($C$13="Yes",IF(Summary!B153&lt;&gt;"",Summary!B153,""),""),"")</f>
        <v/>
      </c>
      <c r="J157" t="str">
        <f t="shared" si="27"/>
        <v/>
      </c>
      <c r="K157">
        <f t="shared" si="28"/>
        <v>0</v>
      </c>
      <c r="M157" t="str">
        <f>IF($C$15&gt;=3,IF($C$13="Yes",IF(Summary!B153&lt;&gt;"",Summary!B153,""),""),"")</f>
        <v/>
      </c>
      <c r="N157" t="str">
        <f t="shared" si="29"/>
        <v/>
      </c>
      <c r="O157">
        <f t="shared" si="30"/>
        <v>0</v>
      </c>
      <c r="Q157" t="str">
        <f>IF($C$15&gt;=4,IF($C$13="Yes",IF(Summary!B153&lt;&gt;"",Summary!B153,""),""),"")</f>
        <v/>
      </c>
      <c r="R157" t="str">
        <f t="shared" si="31"/>
        <v/>
      </c>
      <c r="S157">
        <f t="shared" si="32"/>
        <v>0</v>
      </c>
      <c r="U157" t="str">
        <f>IF($C$15&gt;=5,IF($C$13="Yes",IF(Summary!B153&lt;&gt;"",Summary!B153,""),""),"")</f>
        <v/>
      </c>
      <c r="V157" t="str">
        <f t="shared" si="33"/>
        <v/>
      </c>
      <c r="W157">
        <f t="shared" si="34"/>
        <v>0</v>
      </c>
      <c r="Y157" t="str">
        <f>IF($C$13="Yes",IF(Summary!B153&lt;&gt;"",Summary!B153,""),"")</f>
        <v/>
      </c>
      <c r="Z157" s="439" t="str">
        <f t="shared" si="35"/>
        <v/>
      </c>
      <c r="AA157" t="str">
        <f t="shared" si="24"/>
        <v/>
      </c>
    </row>
    <row r="158" spans="2:27">
      <c r="B158" t="str">
        <f>IF(Summary!B154&lt;&gt;"",Summary!B154,"")</f>
        <v/>
      </c>
      <c r="C158" t="str">
        <f>IF(Summary!C154&lt;&gt;"",Summary!C154,"")</f>
        <v/>
      </c>
      <c r="E158" t="str">
        <f>IF($C$15&gt;=1,IF($C$13="Yes",IF(Summary!B154&lt;&gt;"",Summary!B154,""),""),"")</f>
        <v/>
      </c>
      <c r="F158" t="str">
        <f t="shared" si="25"/>
        <v/>
      </c>
      <c r="G158">
        <f t="shared" si="26"/>
        <v>0</v>
      </c>
      <c r="I158" t="str">
        <f>IF($C$15&gt;=2,IF($C$13="Yes",IF(Summary!B154&lt;&gt;"",Summary!B154,""),""),"")</f>
        <v/>
      </c>
      <c r="J158" t="str">
        <f t="shared" si="27"/>
        <v/>
      </c>
      <c r="K158">
        <f t="shared" si="28"/>
        <v>0</v>
      </c>
      <c r="M158" t="str">
        <f>IF($C$15&gt;=3,IF($C$13="Yes",IF(Summary!B154&lt;&gt;"",Summary!B154,""),""),"")</f>
        <v/>
      </c>
      <c r="N158" t="str">
        <f t="shared" si="29"/>
        <v/>
      </c>
      <c r="O158">
        <f t="shared" si="30"/>
        <v>0</v>
      </c>
      <c r="Q158" t="str">
        <f>IF($C$15&gt;=4,IF($C$13="Yes",IF(Summary!B154&lt;&gt;"",Summary!B154,""),""),"")</f>
        <v/>
      </c>
      <c r="R158" t="str">
        <f t="shared" si="31"/>
        <v/>
      </c>
      <c r="S158">
        <f t="shared" si="32"/>
        <v>0</v>
      </c>
      <c r="U158" t="str">
        <f>IF($C$15&gt;=5,IF($C$13="Yes",IF(Summary!B154&lt;&gt;"",Summary!B154,""),""),"")</f>
        <v/>
      </c>
      <c r="V158" t="str">
        <f t="shared" si="33"/>
        <v/>
      </c>
      <c r="W158">
        <f t="shared" si="34"/>
        <v>0</v>
      </c>
      <c r="Y158" t="str">
        <f>IF($C$13="Yes",IF(Summary!B154&lt;&gt;"",Summary!B154,""),"")</f>
        <v/>
      </c>
      <c r="Z158" s="439" t="str">
        <f t="shared" si="35"/>
        <v/>
      </c>
      <c r="AA158" t="str">
        <f t="shared" si="24"/>
        <v/>
      </c>
    </row>
    <row r="159" spans="2:27">
      <c r="B159" t="str">
        <f>IF(Summary!B155&lt;&gt;"",Summary!B155,"")</f>
        <v/>
      </c>
      <c r="C159" t="str">
        <f>IF(Summary!C155&lt;&gt;"",Summary!C155,"")</f>
        <v/>
      </c>
      <c r="E159" t="str">
        <f>IF($C$15&gt;=1,IF($C$13="Yes",IF(Summary!B155&lt;&gt;"",Summary!B155,""),""),"")</f>
        <v/>
      </c>
      <c r="F159" t="str">
        <f t="shared" si="25"/>
        <v/>
      </c>
      <c r="G159">
        <f t="shared" si="26"/>
        <v>0</v>
      </c>
      <c r="I159" t="str">
        <f>IF($C$15&gt;=2,IF($C$13="Yes",IF(Summary!B155&lt;&gt;"",Summary!B155,""),""),"")</f>
        <v/>
      </c>
      <c r="J159" t="str">
        <f t="shared" si="27"/>
        <v/>
      </c>
      <c r="K159">
        <f t="shared" si="28"/>
        <v>0</v>
      </c>
      <c r="M159" t="str">
        <f>IF($C$15&gt;=3,IF($C$13="Yes",IF(Summary!B155&lt;&gt;"",Summary!B155,""),""),"")</f>
        <v/>
      </c>
      <c r="N159" t="str">
        <f t="shared" si="29"/>
        <v/>
      </c>
      <c r="O159">
        <f t="shared" si="30"/>
        <v>0</v>
      </c>
      <c r="Q159" t="str">
        <f>IF($C$15&gt;=4,IF($C$13="Yes",IF(Summary!B155&lt;&gt;"",Summary!B155,""),""),"")</f>
        <v/>
      </c>
      <c r="R159" t="str">
        <f t="shared" si="31"/>
        <v/>
      </c>
      <c r="S159">
        <f t="shared" si="32"/>
        <v>0</v>
      </c>
      <c r="U159" t="str">
        <f>IF($C$15&gt;=5,IF($C$13="Yes",IF(Summary!B155&lt;&gt;"",Summary!B155,""),""),"")</f>
        <v/>
      </c>
      <c r="V159" t="str">
        <f t="shared" si="33"/>
        <v/>
      </c>
      <c r="W159">
        <f t="shared" si="34"/>
        <v>0</v>
      </c>
      <c r="Y159" t="str">
        <f>IF($C$13="Yes",IF(Summary!B155&lt;&gt;"",Summary!B155,""),"")</f>
        <v/>
      </c>
      <c r="Z159" s="439" t="str">
        <f t="shared" si="35"/>
        <v/>
      </c>
      <c r="AA159" t="str">
        <f t="shared" si="24"/>
        <v/>
      </c>
    </row>
    <row r="160" spans="2:27">
      <c r="B160" t="str">
        <f>IF(Summary!B156&lt;&gt;"",Summary!B156,"")</f>
        <v/>
      </c>
      <c r="C160" t="str">
        <f>IF(Summary!C156&lt;&gt;"",Summary!C156,"")</f>
        <v/>
      </c>
      <c r="E160" t="str">
        <f>IF($C$15&gt;=1,IF($C$13="Yes",IF(Summary!B156&lt;&gt;"",Summary!B156,""),""),"")</f>
        <v/>
      </c>
      <c r="F160" t="str">
        <f t="shared" si="25"/>
        <v/>
      </c>
      <c r="G160">
        <f t="shared" si="26"/>
        <v>0</v>
      </c>
      <c r="I160" t="str">
        <f>IF($C$15&gt;=2,IF($C$13="Yes",IF(Summary!B156&lt;&gt;"",Summary!B156,""),""),"")</f>
        <v/>
      </c>
      <c r="J160" t="str">
        <f t="shared" si="27"/>
        <v/>
      </c>
      <c r="K160">
        <f t="shared" si="28"/>
        <v>0</v>
      </c>
      <c r="M160" t="str">
        <f>IF($C$15&gt;=3,IF($C$13="Yes",IF(Summary!B156&lt;&gt;"",Summary!B156,""),""),"")</f>
        <v/>
      </c>
      <c r="N160" t="str">
        <f t="shared" si="29"/>
        <v/>
      </c>
      <c r="O160">
        <f t="shared" si="30"/>
        <v>0</v>
      </c>
      <c r="Q160" t="str">
        <f>IF($C$15&gt;=4,IF($C$13="Yes",IF(Summary!B156&lt;&gt;"",Summary!B156,""),""),"")</f>
        <v/>
      </c>
      <c r="R160" t="str">
        <f t="shared" si="31"/>
        <v/>
      </c>
      <c r="S160">
        <f t="shared" si="32"/>
        <v>0</v>
      </c>
      <c r="U160" t="str">
        <f>IF($C$15&gt;=5,IF($C$13="Yes",IF(Summary!B156&lt;&gt;"",Summary!B156,""),""),"")</f>
        <v/>
      </c>
      <c r="V160" t="str">
        <f t="shared" si="33"/>
        <v/>
      </c>
      <c r="W160">
        <f t="shared" si="34"/>
        <v>0</v>
      </c>
      <c r="Y160" t="str">
        <f>IF($C$13="Yes",IF(Summary!B156&lt;&gt;"",Summary!B156,""),"")</f>
        <v/>
      </c>
      <c r="Z160" s="439" t="str">
        <f t="shared" si="35"/>
        <v/>
      </c>
      <c r="AA160" t="str">
        <f t="shared" si="24"/>
        <v/>
      </c>
    </row>
    <row r="161" spans="2:27">
      <c r="B161" t="str">
        <f>IF(Summary!B157&lt;&gt;"",Summary!B157,"")</f>
        <v/>
      </c>
      <c r="C161" t="str">
        <f>IF(Summary!C157&lt;&gt;"",Summary!C157,"")</f>
        <v/>
      </c>
      <c r="E161" t="str">
        <f>IF($C$15&gt;=1,IF($C$13="Yes",IF(Summary!B157&lt;&gt;"",Summary!B157,""),""),"")</f>
        <v/>
      </c>
      <c r="F161" t="str">
        <f t="shared" si="25"/>
        <v/>
      </c>
      <c r="G161">
        <f t="shared" si="26"/>
        <v>0</v>
      </c>
      <c r="I161" t="str">
        <f>IF($C$15&gt;=2,IF($C$13="Yes",IF(Summary!B157&lt;&gt;"",Summary!B157,""),""),"")</f>
        <v/>
      </c>
      <c r="J161" t="str">
        <f t="shared" si="27"/>
        <v/>
      </c>
      <c r="K161">
        <f t="shared" si="28"/>
        <v>0</v>
      </c>
      <c r="M161" t="str">
        <f>IF($C$15&gt;=3,IF($C$13="Yes",IF(Summary!B157&lt;&gt;"",Summary!B157,""),""),"")</f>
        <v/>
      </c>
      <c r="N161" t="str">
        <f t="shared" si="29"/>
        <v/>
      </c>
      <c r="O161">
        <f t="shared" si="30"/>
        <v>0</v>
      </c>
      <c r="Q161" t="str">
        <f>IF($C$15&gt;=4,IF($C$13="Yes",IF(Summary!B157&lt;&gt;"",Summary!B157,""),""),"")</f>
        <v/>
      </c>
      <c r="R161" t="str">
        <f t="shared" si="31"/>
        <v/>
      </c>
      <c r="S161">
        <f t="shared" si="32"/>
        <v>0</v>
      </c>
      <c r="U161" t="str">
        <f>IF($C$15&gt;=5,IF($C$13="Yes",IF(Summary!B157&lt;&gt;"",Summary!B157,""),""),"")</f>
        <v/>
      </c>
      <c r="V161" t="str">
        <f t="shared" si="33"/>
        <v/>
      </c>
      <c r="W161">
        <f t="shared" si="34"/>
        <v>0</v>
      </c>
      <c r="Y161" t="str">
        <f>IF($C$13="Yes",IF(Summary!B157&lt;&gt;"",Summary!B157,""),"")</f>
        <v/>
      </c>
      <c r="Z161" s="439" t="str">
        <f t="shared" si="35"/>
        <v/>
      </c>
      <c r="AA161" t="str">
        <f t="shared" si="24"/>
        <v/>
      </c>
    </row>
    <row r="162" spans="2:27">
      <c r="B162" t="str">
        <f>IF(Summary!B158&lt;&gt;"",Summary!B158,"")</f>
        <v/>
      </c>
      <c r="C162" t="str">
        <f>IF(Summary!C158&lt;&gt;"",Summary!C158,"")</f>
        <v/>
      </c>
      <c r="E162" t="str">
        <f>IF($C$15&gt;=1,IF($C$13="Yes",IF(Summary!B158&lt;&gt;"",Summary!B158,""),""),"")</f>
        <v/>
      </c>
      <c r="F162" t="str">
        <f t="shared" si="25"/>
        <v/>
      </c>
      <c r="G162">
        <f t="shared" si="26"/>
        <v>0</v>
      </c>
      <c r="I162" t="str">
        <f>IF($C$15&gt;=2,IF($C$13="Yes",IF(Summary!B158&lt;&gt;"",Summary!B158,""),""),"")</f>
        <v/>
      </c>
      <c r="J162" t="str">
        <f t="shared" si="27"/>
        <v/>
      </c>
      <c r="K162">
        <f t="shared" si="28"/>
        <v>0</v>
      </c>
      <c r="M162" t="str">
        <f>IF($C$15&gt;=3,IF($C$13="Yes",IF(Summary!B158&lt;&gt;"",Summary!B158,""),""),"")</f>
        <v/>
      </c>
      <c r="N162" t="str">
        <f t="shared" si="29"/>
        <v/>
      </c>
      <c r="O162">
        <f t="shared" si="30"/>
        <v>0</v>
      </c>
      <c r="Q162" t="str">
        <f>IF($C$15&gt;=4,IF($C$13="Yes",IF(Summary!B158&lt;&gt;"",Summary!B158,""),""),"")</f>
        <v/>
      </c>
      <c r="R162" t="str">
        <f t="shared" si="31"/>
        <v/>
      </c>
      <c r="S162">
        <f t="shared" si="32"/>
        <v>0</v>
      </c>
      <c r="U162" t="str">
        <f>IF($C$15&gt;=5,IF($C$13="Yes",IF(Summary!B158&lt;&gt;"",Summary!B158,""),""),"")</f>
        <v/>
      </c>
      <c r="V162" t="str">
        <f t="shared" si="33"/>
        <v/>
      </c>
      <c r="W162">
        <f t="shared" si="34"/>
        <v>0</v>
      </c>
      <c r="Y162" t="str">
        <f>IF($C$13="Yes",IF(Summary!B158&lt;&gt;"",Summary!B158,""),"")</f>
        <v/>
      </c>
      <c r="Z162" s="439" t="str">
        <f t="shared" si="35"/>
        <v/>
      </c>
      <c r="AA162" t="str">
        <f t="shared" si="24"/>
        <v/>
      </c>
    </row>
    <row r="163" spans="2:27">
      <c r="B163" t="str">
        <f>IF(Summary!B159&lt;&gt;"",Summary!B159,"")</f>
        <v/>
      </c>
      <c r="C163" t="str">
        <f>IF(Summary!C159&lt;&gt;"",Summary!C159,"")</f>
        <v/>
      </c>
      <c r="E163" t="str">
        <f>IF($C$15&gt;=1,IF($C$13="Yes",IF(Summary!B159&lt;&gt;"",Summary!B159,""),""),"")</f>
        <v/>
      </c>
      <c r="F163" t="str">
        <f t="shared" si="25"/>
        <v/>
      </c>
      <c r="G163">
        <f t="shared" si="26"/>
        <v>0</v>
      </c>
      <c r="I163" t="str">
        <f>IF($C$15&gt;=2,IF($C$13="Yes",IF(Summary!B159&lt;&gt;"",Summary!B159,""),""),"")</f>
        <v/>
      </c>
      <c r="J163" t="str">
        <f t="shared" si="27"/>
        <v/>
      </c>
      <c r="K163">
        <f t="shared" si="28"/>
        <v>0</v>
      </c>
      <c r="M163" t="str">
        <f>IF($C$15&gt;=3,IF($C$13="Yes",IF(Summary!B159&lt;&gt;"",Summary!B159,""),""),"")</f>
        <v/>
      </c>
      <c r="N163" t="str">
        <f t="shared" si="29"/>
        <v/>
      </c>
      <c r="O163">
        <f t="shared" si="30"/>
        <v>0</v>
      </c>
      <c r="Q163" t="str">
        <f>IF($C$15&gt;=4,IF($C$13="Yes",IF(Summary!B159&lt;&gt;"",Summary!B159,""),""),"")</f>
        <v/>
      </c>
      <c r="R163" t="str">
        <f t="shared" si="31"/>
        <v/>
      </c>
      <c r="S163">
        <f t="shared" si="32"/>
        <v>0</v>
      </c>
      <c r="U163" t="str">
        <f>IF($C$15&gt;=5,IF($C$13="Yes",IF(Summary!B159&lt;&gt;"",Summary!B159,""),""),"")</f>
        <v/>
      </c>
      <c r="V163" t="str">
        <f t="shared" si="33"/>
        <v/>
      </c>
      <c r="W163">
        <f t="shared" si="34"/>
        <v>0</v>
      </c>
      <c r="Y163" t="str">
        <f>IF($C$13="Yes",IF(Summary!B159&lt;&gt;"",Summary!B159,""),"")</f>
        <v/>
      </c>
      <c r="Z163" s="439" t="str">
        <f t="shared" si="35"/>
        <v/>
      </c>
      <c r="AA163" t="str">
        <f t="shared" si="24"/>
        <v/>
      </c>
    </row>
    <row r="164" spans="2:27">
      <c r="B164" t="str">
        <f>IF(Summary!B160&lt;&gt;"",Summary!B160,"")</f>
        <v/>
      </c>
      <c r="C164" t="str">
        <f>IF(Summary!C160&lt;&gt;"",Summary!C160,"")</f>
        <v/>
      </c>
      <c r="E164" t="str">
        <f>IF($C$15&gt;=1,IF($C$13="Yes",IF(Summary!B160&lt;&gt;"",Summary!B160,""),""),"")</f>
        <v/>
      </c>
      <c r="F164" t="str">
        <f t="shared" si="25"/>
        <v/>
      </c>
      <c r="G164">
        <f t="shared" si="26"/>
        <v>0</v>
      </c>
      <c r="I164" t="str">
        <f>IF($C$15&gt;=2,IF($C$13="Yes",IF(Summary!B160&lt;&gt;"",Summary!B160,""),""),"")</f>
        <v/>
      </c>
      <c r="J164" t="str">
        <f t="shared" si="27"/>
        <v/>
      </c>
      <c r="K164">
        <f t="shared" si="28"/>
        <v>0</v>
      </c>
      <c r="M164" t="str">
        <f>IF($C$15&gt;=3,IF($C$13="Yes",IF(Summary!B160&lt;&gt;"",Summary!B160,""),""),"")</f>
        <v/>
      </c>
      <c r="N164" t="str">
        <f t="shared" si="29"/>
        <v/>
      </c>
      <c r="O164">
        <f t="shared" si="30"/>
        <v>0</v>
      </c>
      <c r="Q164" t="str">
        <f>IF($C$15&gt;=4,IF($C$13="Yes",IF(Summary!B160&lt;&gt;"",Summary!B160,""),""),"")</f>
        <v/>
      </c>
      <c r="R164" t="str">
        <f t="shared" si="31"/>
        <v/>
      </c>
      <c r="S164">
        <f t="shared" si="32"/>
        <v>0</v>
      </c>
      <c r="U164" t="str">
        <f>IF($C$15&gt;=5,IF($C$13="Yes",IF(Summary!B160&lt;&gt;"",Summary!B160,""),""),"")</f>
        <v/>
      </c>
      <c r="V164" t="str">
        <f t="shared" si="33"/>
        <v/>
      </c>
      <c r="W164">
        <f t="shared" si="34"/>
        <v>0</v>
      </c>
      <c r="Y164" t="str">
        <f>IF($C$13="Yes",IF(Summary!B160&lt;&gt;"",Summary!B160,""),"")</f>
        <v/>
      </c>
      <c r="Z164" s="439" t="str">
        <f t="shared" si="35"/>
        <v/>
      </c>
      <c r="AA164" t="str">
        <f t="shared" si="24"/>
        <v/>
      </c>
    </row>
    <row r="165" spans="2:27">
      <c r="B165" t="str">
        <f>IF(Summary!B161&lt;&gt;"",Summary!B161,"")</f>
        <v/>
      </c>
      <c r="C165" t="str">
        <f>IF(Summary!C161&lt;&gt;"",Summary!C161,"")</f>
        <v/>
      </c>
      <c r="E165" t="str">
        <f>IF($C$15&gt;=1,IF($C$13="Yes",IF(Summary!B161&lt;&gt;"",Summary!B161,""),""),"")</f>
        <v/>
      </c>
      <c r="F165" t="str">
        <f t="shared" si="25"/>
        <v/>
      </c>
      <c r="G165">
        <f t="shared" si="26"/>
        <v>0</v>
      </c>
      <c r="I165" t="str">
        <f>IF($C$15&gt;=2,IF($C$13="Yes",IF(Summary!B161&lt;&gt;"",Summary!B161,""),""),"")</f>
        <v/>
      </c>
      <c r="J165" t="str">
        <f t="shared" si="27"/>
        <v/>
      </c>
      <c r="K165">
        <f t="shared" si="28"/>
        <v>0</v>
      </c>
      <c r="M165" t="str">
        <f>IF($C$15&gt;=3,IF($C$13="Yes",IF(Summary!B161&lt;&gt;"",Summary!B161,""),""),"")</f>
        <v/>
      </c>
      <c r="N165" t="str">
        <f t="shared" si="29"/>
        <v/>
      </c>
      <c r="O165">
        <f t="shared" si="30"/>
        <v>0</v>
      </c>
      <c r="Q165" t="str">
        <f>IF($C$15&gt;=4,IF($C$13="Yes",IF(Summary!B161&lt;&gt;"",Summary!B161,""),""),"")</f>
        <v/>
      </c>
      <c r="R165" t="str">
        <f t="shared" si="31"/>
        <v/>
      </c>
      <c r="S165">
        <f t="shared" si="32"/>
        <v>0</v>
      </c>
      <c r="U165" t="str">
        <f>IF($C$15&gt;=5,IF($C$13="Yes",IF(Summary!B161&lt;&gt;"",Summary!B161,""),""),"")</f>
        <v/>
      </c>
      <c r="V165" t="str">
        <f t="shared" si="33"/>
        <v/>
      </c>
      <c r="W165">
        <f t="shared" si="34"/>
        <v>0</v>
      </c>
      <c r="Y165" t="str">
        <f>IF($C$13="Yes",IF(Summary!B161&lt;&gt;"",Summary!B161,""),"")</f>
        <v/>
      </c>
      <c r="Z165" s="439" t="str">
        <f t="shared" si="35"/>
        <v/>
      </c>
      <c r="AA165" t="str">
        <f t="shared" si="24"/>
        <v/>
      </c>
    </row>
    <row r="166" spans="2:27">
      <c r="B166" t="str">
        <f>IF(Summary!B162&lt;&gt;"",Summary!B162,"")</f>
        <v/>
      </c>
      <c r="C166" t="str">
        <f>IF(Summary!C162&lt;&gt;"",Summary!C162,"")</f>
        <v/>
      </c>
      <c r="E166" t="str">
        <f>IF($C$15&gt;=1,IF($C$13="Yes",IF(Summary!B162&lt;&gt;"",Summary!B162,""),""),"")</f>
        <v/>
      </c>
      <c r="F166" t="str">
        <f t="shared" si="25"/>
        <v/>
      </c>
      <c r="G166">
        <f t="shared" si="26"/>
        <v>0</v>
      </c>
      <c r="I166" t="str">
        <f>IF($C$15&gt;=2,IF($C$13="Yes",IF(Summary!B162&lt;&gt;"",Summary!B162,""),""),"")</f>
        <v/>
      </c>
      <c r="J166" t="str">
        <f t="shared" si="27"/>
        <v/>
      </c>
      <c r="K166">
        <f t="shared" si="28"/>
        <v>0</v>
      </c>
      <c r="M166" t="str">
        <f>IF($C$15&gt;=3,IF($C$13="Yes",IF(Summary!B162&lt;&gt;"",Summary!B162,""),""),"")</f>
        <v/>
      </c>
      <c r="N166" t="str">
        <f t="shared" si="29"/>
        <v/>
      </c>
      <c r="O166">
        <f t="shared" si="30"/>
        <v>0</v>
      </c>
      <c r="Q166" t="str">
        <f>IF($C$15&gt;=4,IF($C$13="Yes",IF(Summary!B162&lt;&gt;"",Summary!B162,""),""),"")</f>
        <v/>
      </c>
      <c r="R166" t="str">
        <f t="shared" si="31"/>
        <v/>
      </c>
      <c r="S166">
        <f t="shared" si="32"/>
        <v>0</v>
      </c>
      <c r="U166" t="str">
        <f>IF($C$15&gt;=5,IF($C$13="Yes",IF(Summary!B162&lt;&gt;"",Summary!B162,""),""),"")</f>
        <v/>
      </c>
      <c r="V166" t="str">
        <f t="shared" si="33"/>
        <v/>
      </c>
      <c r="W166">
        <f t="shared" si="34"/>
        <v>0</v>
      </c>
      <c r="Y166" t="str">
        <f>IF($C$13="Yes",IF(Summary!B162&lt;&gt;"",Summary!B162,""),"")</f>
        <v/>
      </c>
      <c r="Z166" s="439" t="str">
        <f t="shared" si="35"/>
        <v/>
      </c>
      <c r="AA166" t="str">
        <f t="shared" si="24"/>
        <v/>
      </c>
    </row>
    <row r="167" spans="2:27">
      <c r="B167" t="str">
        <f>IF(Summary!B163&lt;&gt;"",Summary!B163,"")</f>
        <v/>
      </c>
      <c r="C167" t="str">
        <f>IF(Summary!C163&lt;&gt;"",Summary!C163,"")</f>
        <v/>
      </c>
      <c r="E167" t="str">
        <f>IF($C$15&gt;=1,IF($C$13="Yes",IF(Summary!B163&lt;&gt;"",Summary!B163,""),""),"")</f>
        <v/>
      </c>
      <c r="F167" t="str">
        <f t="shared" si="25"/>
        <v/>
      </c>
      <c r="G167">
        <f t="shared" si="26"/>
        <v>0</v>
      </c>
      <c r="I167" t="str">
        <f>IF($C$15&gt;=2,IF($C$13="Yes",IF(Summary!B163&lt;&gt;"",Summary!B163,""),""),"")</f>
        <v/>
      </c>
      <c r="J167" t="str">
        <f t="shared" si="27"/>
        <v/>
      </c>
      <c r="K167">
        <f t="shared" si="28"/>
        <v>0</v>
      </c>
      <c r="M167" t="str">
        <f>IF($C$15&gt;=3,IF($C$13="Yes",IF(Summary!B163&lt;&gt;"",Summary!B163,""),""),"")</f>
        <v/>
      </c>
      <c r="N167" t="str">
        <f t="shared" si="29"/>
        <v/>
      </c>
      <c r="O167">
        <f t="shared" si="30"/>
        <v>0</v>
      </c>
      <c r="Q167" t="str">
        <f>IF($C$15&gt;=4,IF($C$13="Yes",IF(Summary!B163&lt;&gt;"",Summary!B163,""),""),"")</f>
        <v/>
      </c>
      <c r="R167" t="str">
        <f t="shared" si="31"/>
        <v/>
      </c>
      <c r="S167">
        <f t="shared" si="32"/>
        <v>0</v>
      </c>
      <c r="U167" t="str">
        <f>IF($C$15&gt;=5,IF($C$13="Yes",IF(Summary!B163&lt;&gt;"",Summary!B163,""),""),"")</f>
        <v/>
      </c>
      <c r="V167" t="str">
        <f t="shared" si="33"/>
        <v/>
      </c>
      <c r="W167">
        <f t="shared" si="34"/>
        <v>0</v>
      </c>
      <c r="Y167" t="str">
        <f>IF($C$13="Yes",IF(Summary!B163&lt;&gt;"",Summary!B163,""),"")</f>
        <v/>
      </c>
      <c r="Z167" s="439" t="str">
        <f t="shared" si="35"/>
        <v/>
      </c>
      <c r="AA167" t="str">
        <f t="shared" si="24"/>
        <v/>
      </c>
    </row>
    <row r="168" spans="2:27">
      <c r="B168" t="str">
        <f>IF(Summary!B164&lt;&gt;"",Summary!B164,"")</f>
        <v/>
      </c>
      <c r="C168" t="str">
        <f>IF(Summary!C164&lt;&gt;"",Summary!C164,"")</f>
        <v/>
      </c>
      <c r="E168" t="str">
        <f>IF($C$15&gt;=1,IF($C$13="Yes",IF(Summary!B164&lt;&gt;"",Summary!B164,""),""),"")</f>
        <v/>
      </c>
      <c r="F168" t="str">
        <f t="shared" si="25"/>
        <v/>
      </c>
      <c r="G168">
        <f t="shared" si="26"/>
        <v>0</v>
      </c>
      <c r="I168" t="str">
        <f>IF($C$15&gt;=2,IF($C$13="Yes",IF(Summary!B164&lt;&gt;"",Summary!B164,""),""),"")</f>
        <v/>
      </c>
      <c r="J168" t="str">
        <f t="shared" si="27"/>
        <v/>
      </c>
      <c r="K168">
        <f t="shared" si="28"/>
        <v>0</v>
      </c>
      <c r="M168" t="str">
        <f>IF($C$15&gt;=3,IF($C$13="Yes",IF(Summary!B164&lt;&gt;"",Summary!B164,""),""),"")</f>
        <v/>
      </c>
      <c r="N168" t="str">
        <f t="shared" si="29"/>
        <v/>
      </c>
      <c r="O168">
        <f t="shared" si="30"/>
        <v>0</v>
      </c>
      <c r="Q168" t="str">
        <f>IF($C$15&gt;=4,IF($C$13="Yes",IF(Summary!B164&lt;&gt;"",Summary!B164,""),""),"")</f>
        <v/>
      </c>
      <c r="R168" t="str">
        <f t="shared" si="31"/>
        <v/>
      </c>
      <c r="S168">
        <f t="shared" si="32"/>
        <v>0</v>
      </c>
      <c r="U168" t="str">
        <f>IF($C$15&gt;=5,IF($C$13="Yes",IF(Summary!B164&lt;&gt;"",Summary!B164,""),""),"")</f>
        <v/>
      </c>
      <c r="V168" t="str">
        <f t="shared" si="33"/>
        <v/>
      </c>
      <c r="W168">
        <f t="shared" si="34"/>
        <v>0</v>
      </c>
      <c r="Y168" t="str">
        <f>IF($C$13="Yes",IF(Summary!B164&lt;&gt;"",Summary!B164,""),"")</f>
        <v/>
      </c>
      <c r="Z168" s="439" t="str">
        <f t="shared" si="35"/>
        <v/>
      </c>
      <c r="AA168" t="str">
        <f t="shared" si="24"/>
        <v/>
      </c>
    </row>
    <row r="169" spans="2:27">
      <c r="B169" t="str">
        <f>IF(Summary!B165&lt;&gt;"",Summary!B165,"")</f>
        <v/>
      </c>
      <c r="C169" t="str">
        <f>IF(Summary!C165&lt;&gt;"",Summary!C165,"")</f>
        <v/>
      </c>
      <c r="E169" t="str">
        <f>IF($C$15&gt;=1,IF($C$13="Yes",IF(Summary!B165&lt;&gt;"",Summary!B165,""),""),"")</f>
        <v/>
      </c>
      <c r="F169" t="str">
        <f t="shared" si="25"/>
        <v/>
      </c>
      <c r="G169">
        <f t="shared" si="26"/>
        <v>0</v>
      </c>
      <c r="I169" t="str">
        <f>IF($C$15&gt;=2,IF($C$13="Yes",IF(Summary!B165&lt;&gt;"",Summary!B165,""),""),"")</f>
        <v/>
      </c>
      <c r="J169" t="str">
        <f t="shared" si="27"/>
        <v/>
      </c>
      <c r="K169">
        <f t="shared" si="28"/>
        <v>0</v>
      </c>
      <c r="M169" t="str">
        <f>IF($C$15&gt;=3,IF($C$13="Yes",IF(Summary!B165&lt;&gt;"",Summary!B165,""),""),"")</f>
        <v/>
      </c>
      <c r="N169" t="str">
        <f t="shared" si="29"/>
        <v/>
      </c>
      <c r="O169">
        <f t="shared" si="30"/>
        <v>0</v>
      </c>
      <c r="Q169" t="str">
        <f>IF($C$15&gt;=4,IF($C$13="Yes",IF(Summary!B165&lt;&gt;"",Summary!B165,""),""),"")</f>
        <v/>
      </c>
      <c r="R169" t="str">
        <f t="shared" si="31"/>
        <v/>
      </c>
      <c r="S169">
        <f t="shared" si="32"/>
        <v>0</v>
      </c>
      <c r="U169" t="str">
        <f>IF($C$15&gt;=5,IF($C$13="Yes",IF(Summary!B165&lt;&gt;"",Summary!B165,""),""),"")</f>
        <v/>
      </c>
      <c r="V169" t="str">
        <f t="shared" si="33"/>
        <v/>
      </c>
      <c r="W169">
        <f t="shared" si="34"/>
        <v>0</v>
      </c>
      <c r="Y169" t="str">
        <f>IF($C$13="Yes",IF(Summary!B165&lt;&gt;"",Summary!B165,""),"")</f>
        <v/>
      </c>
      <c r="Z169" s="439" t="str">
        <f t="shared" si="35"/>
        <v/>
      </c>
      <c r="AA169" t="str">
        <f t="shared" si="24"/>
        <v/>
      </c>
    </row>
    <row r="170" spans="2:27">
      <c r="B170" t="str">
        <f>IF(Summary!B166&lt;&gt;"",Summary!B166,"")</f>
        <v/>
      </c>
      <c r="C170" t="str">
        <f>IF(Summary!C166&lt;&gt;"",Summary!C166,"")</f>
        <v/>
      </c>
      <c r="E170" t="str">
        <f>IF($C$15&gt;=1,IF($C$13="Yes",IF(Summary!B166&lt;&gt;"",Summary!B166,""),""),"")</f>
        <v/>
      </c>
      <c r="F170" t="str">
        <f t="shared" si="25"/>
        <v/>
      </c>
      <c r="G170">
        <f t="shared" si="26"/>
        <v>0</v>
      </c>
      <c r="I170" t="str">
        <f>IF($C$15&gt;=2,IF($C$13="Yes",IF(Summary!B166&lt;&gt;"",Summary!B166,""),""),"")</f>
        <v/>
      </c>
      <c r="J170" t="str">
        <f t="shared" si="27"/>
        <v/>
      </c>
      <c r="K170">
        <f t="shared" si="28"/>
        <v>0</v>
      </c>
      <c r="M170" t="str">
        <f>IF($C$15&gt;=3,IF($C$13="Yes",IF(Summary!B166&lt;&gt;"",Summary!B166,""),""),"")</f>
        <v/>
      </c>
      <c r="N170" t="str">
        <f t="shared" si="29"/>
        <v/>
      </c>
      <c r="O170">
        <f t="shared" si="30"/>
        <v>0</v>
      </c>
      <c r="Q170" t="str">
        <f>IF($C$15&gt;=4,IF($C$13="Yes",IF(Summary!B166&lt;&gt;"",Summary!B166,""),""),"")</f>
        <v/>
      </c>
      <c r="R170" t="str">
        <f t="shared" si="31"/>
        <v/>
      </c>
      <c r="S170">
        <f t="shared" si="32"/>
        <v>0</v>
      </c>
      <c r="U170" t="str">
        <f>IF($C$15&gt;=5,IF($C$13="Yes",IF(Summary!B166&lt;&gt;"",Summary!B166,""),""),"")</f>
        <v/>
      </c>
      <c r="V170" t="str">
        <f t="shared" si="33"/>
        <v/>
      </c>
      <c r="W170">
        <f t="shared" si="34"/>
        <v>0</v>
      </c>
      <c r="Y170" t="str">
        <f>IF($C$13="Yes",IF(Summary!B166&lt;&gt;"",Summary!B166,""),"")</f>
        <v/>
      </c>
      <c r="Z170" s="439" t="str">
        <f t="shared" si="35"/>
        <v/>
      </c>
      <c r="AA170" t="str">
        <f t="shared" si="24"/>
        <v/>
      </c>
    </row>
    <row r="171" spans="2:27">
      <c r="B171" t="str">
        <f>IF(Summary!B167&lt;&gt;"",Summary!B167,"")</f>
        <v/>
      </c>
      <c r="C171" t="str">
        <f>IF(Summary!C167&lt;&gt;"",Summary!C167,"")</f>
        <v/>
      </c>
      <c r="E171" t="str">
        <f>IF($C$15&gt;=1,IF($C$13="Yes",IF(Summary!B167&lt;&gt;"",Summary!B167,""),""),"")</f>
        <v/>
      </c>
      <c r="F171" t="str">
        <f t="shared" si="25"/>
        <v/>
      </c>
      <c r="G171">
        <f t="shared" si="26"/>
        <v>0</v>
      </c>
      <c r="I171" t="str">
        <f>IF($C$15&gt;=2,IF($C$13="Yes",IF(Summary!B167&lt;&gt;"",Summary!B167,""),""),"")</f>
        <v/>
      </c>
      <c r="J171" t="str">
        <f t="shared" si="27"/>
        <v/>
      </c>
      <c r="K171">
        <f t="shared" si="28"/>
        <v>0</v>
      </c>
      <c r="M171" t="str">
        <f>IF($C$15&gt;=3,IF($C$13="Yes",IF(Summary!B167&lt;&gt;"",Summary!B167,""),""),"")</f>
        <v/>
      </c>
      <c r="N171" t="str">
        <f t="shared" si="29"/>
        <v/>
      </c>
      <c r="O171">
        <f t="shared" si="30"/>
        <v>0</v>
      </c>
      <c r="Q171" t="str">
        <f>IF($C$15&gt;=4,IF($C$13="Yes",IF(Summary!B167&lt;&gt;"",Summary!B167,""),""),"")</f>
        <v/>
      </c>
      <c r="R171" t="str">
        <f t="shared" si="31"/>
        <v/>
      </c>
      <c r="S171">
        <f t="shared" si="32"/>
        <v>0</v>
      </c>
      <c r="U171" t="str">
        <f>IF($C$15&gt;=5,IF($C$13="Yes",IF(Summary!B167&lt;&gt;"",Summary!B167,""),""),"")</f>
        <v/>
      </c>
      <c r="V171" t="str">
        <f t="shared" si="33"/>
        <v/>
      </c>
      <c r="W171">
        <f t="shared" si="34"/>
        <v>0</v>
      </c>
      <c r="Y171" t="str">
        <f>IF($C$13="Yes",IF(Summary!B167&lt;&gt;"",Summary!B167,""),"")</f>
        <v/>
      </c>
      <c r="Z171" s="439" t="str">
        <f t="shared" si="35"/>
        <v/>
      </c>
      <c r="AA171" t="str">
        <f t="shared" si="24"/>
        <v/>
      </c>
    </row>
    <row r="172" spans="2:27">
      <c r="B172" t="str">
        <f>IF(Summary!B168&lt;&gt;"",Summary!B168,"")</f>
        <v/>
      </c>
      <c r="C172" t="str">
        <f>IF(Summary!C168&lt;&gt;"",Summary!C168,"")</f>
        <v/>
      </c>
      <c r="E172" t="str">
        <f>IF($C$15&gt;=1,IF($C$13="Yes",IF(Summary!B168&lt;&gt;"",Summary!B168,""),""),"")</f>
        <v/>
      </c>
      <c r="F172" t="str">
        <f t="shared" si="25"/>
        <v/>
      </c>
      <c r="G172">
        <f t="shared" si="26"/>
        <v>0</v>
      </c>
      <c r="I172" t="str">
        <f>IF($C$15&gt;=2,IF($C$13="Yes",IF(Summary!B168&lt;&gt;"",Summary!B168,""),""),"")</f>
        <v/>
      </c>
      <c r="J172" t="str">
        <f t="shared" si="27"/>
        <v/>
      </c>
      <c r="K172">
        <f t="shared" si="28"/>
        <v>0</v>
      </c>
      <c r="M172" t="str">
        <f>IF($C$15&gt;=3,IF($C$13="Yes",IF(Summary!B168&lt;&gt;"",Summary!B168,""),""),"")</f>
        <v/>
      </c>
      <c r="N172" t="str">
        <f t="shared" si="29"/>
        <v/>
      </c>
      <c r="O172">
        <f t="shared" si="30"/>
        <v>0</v>
      </c>
      <c r="Q172" t="str">
        <f>IF($C$15&gt;=4,IF($C$13="Yes",IF(Summary!B168&lt;&gt;"",Summary!B168,""),""),"")</f>
        <v/>
      </c>
      <c r="R172" t="str">
        <f t="shared" si="31"/>
        <v/>
      </c>
      <c r="S172">
        <f t="shared" si="32"/>
        <v>0</v>
      </c>
      <c r="U172" t="str">
        <f>IF($C$15&gt;=5,IF($C$13="Yes",IF(Summary!B168&lt;&gt;"",Summary!B168,""),""),"")</f>
        <v/>
      </c>
      <c r="V172" t="str">
        <f t="shared" si="33"/>
        <v/>
      </c>
      <c r="W172">
        <f t="shared" si="34"/>
        <v>0</v>
      </c>
      <c r="Y172" t="str">
        <f>IF($C$13="Yes",IF(Summary!B168&lt;&gt;"",Summary!B168,""),"")</f>
        <v/>
      </c>
      <c r="Z172" s="439" t="str">
        <f t="shared" si="35"/>
        <v/>
      </c>
      <c r="AA172" t="str">
        <f t="shared" si="24"/>
        <v/>
      </c>
    </row>
    <row r="173" spans="2:27">
      <c r="B173" t="str">
        <f>IF(Summary!B169&lt;&gt;"",Summary!B169,"")</f>
        <v/>
      </c>
      <c r="C173" t="str">
        <f>IF(Summary!C169&lt;&gt;"",Summary!C169,"")</f>
        <v/>
      </c>
      <c r="E173" t="str">
        <f>IF($C$15&gt;=1,IF($C$13="Yes",IF(Summary!B169&lt;&gt;"",Summary!B169,""),""),"")</f>
        <v/>
      </c>
      <c r="F173" t="str">
        <f t="shared" si="25"/>
        <v/>
      </c>
      <c r="G173">
        <f t="shared" si="26"/>
        <v>0</v>
      </c>
      <c r="I173" t="str">
        <f>IF($C$15&gt;=2,IF($C$13="Yes",IF(Summary!B169&lt;&gt;"",Summary!B169,""),""),"")</f>
        <v/>
      </c>
      <c r="J173" t="str">
        <f t="shared" si="27"/>
        <v/>
      </c>
      <c r="K173">
        <f t="shared" si="28"/>
        <v>0</v>
      </c>
      <c r="M173" t="str">
        <f>IF($C$15&gt;=3,IF($C$13="Yes",IF(Summary!B169&lt;&gt;"",Summary!B169,""),""),"")</f>
        <v/>
      </c>
      <c r="N173" t="str">
        <f t="shared" si="29"/>
        <v/>
      </c>
      <c r="O173">
        <f t="shared" si="30"/>
        <v>0</v>
      </c>
      <c r="Q173" t="str">
        <f>IF($C$15&gt;=4,IF($C$13="Yes",IF(Summary!B169&lt;&gt;"",Summary!B169,""),""),"")</f>
        <v/>
      </c>
      <c r="R173" t="str">
        <f t="shared" si="31"/>
        <v/>
      </c>
      <c r="S173">
        <f t="shared" si="32"/>
        <v>0</v>
      </c>
      <c r="U173" t="str">
        <f>IF($C$15&gt;=5,IF($C$13="Yes",IF(Summary!B169&lt;&gt;"",Summary!B169,""),""),"")</f>
        <v/>
      </c>
      <c r="V173" t="str">
        <f t="shared" si="33"/>
        <v/>
      </c>
      <c r="W173">
        <f t="shared" si="34"/>
        <v>0</v>
      </c>
      <c r="Y173" t="str">
        <f>IF($C$13="Yes",IF(Summary!B169&lt;&gt;"",Summary!B169,""),"")</f>
        <v/>
      </c>
      <c r="Z173" s="439" t="str">
        <f t="shared" si="35"/>
        <v/>
      </c>
      <c r="AA173" t="str">
        <f t="shared" si="24"/>
        <v/>
      </c>
    </row>
    <row r="174" spans="2:27">
      <c r="B174" t="str">
        <f>IF(Summary!B170&lt;&gt;"",Summary!B170,"")</f>
        <v/>
      </c>
      <c r="C174" t="str">
        <f>IF(Summary!C170&lt;&gt;"",Summary!C170,"")</f>
        <v/>
      </c>
      <c r="E174" t="str">
        <f>IF($C$15&gt;=1,IF($C$13="Yes",IF(Summary!B170&lt;&gt;"",Summary!B170,""),""),"")</f>
        <v/>
      </c>
      <c r="F174" t="str">
        <f t="shared" si="25"/>
        <v/>
      </c>
      <c r="G174">
        <f t="shared" si="26"/>
        <v>0</v>
      </c>
      <c r="I174" t="str">
        <f>IF($C$15&gt;=2,IF($C$13="Yes",IF(Summary!B170&lt;&gt;"",Summary!B170,""),""),"")</f>
        <v/>
      </c>
      <c r="J174" t="str">
        <f t="shared" si="27"/>
        <v/>
      </c>
      <c r="K174">
        <f t="shared" si="28"/>
        <v>0</v>
      </c>
      <c r="M174" t="str">
        <f>IF($C$15&gt;=3,IF($C$13="Yes",IF(Summary!B170&lt;&gt;"",Summary!B170,""),""),"")</f>
        <v/>
      </c>
      <c r="N174" t="str">
        <f t="shared" si="29"/>
        <v/>
      </c>
      <c r="O174">
        <f t="shared" si="30"/>
        <v>0</v>
      </c>
      <c r="Q174" t="str">
        <f>IF($C$15&gt;=4,IF($C$13="Yes",IF(Summary!B170&lt;&gt;"",Summary!B170,""),""),"")</f>
        <v/>
      </c>
      <c r="R174" t="str">
        <f t="shared" si="31"/>
        <v/>
      </c>
      <c r="S174">
        <f t="shared" si="32"/>
        <v>0</v>
      </c>
      <c r="U174" t="str">
        <f>IF($C$15&gt;=5,IF($C$13="Yes",IF(Summary!B170&lt;&gt;"",Summary!B170,""),""),"")</f>
        <v/>
      </c>
      <c r="V174" t="str">
        <f t="shared" si="33"/>
        <v/>
      </c>
      <c r="W174">
        <f t="shared" si="34"/>
        <v>0</v>
      </c>
      <c r="Y174" t="str">
        <f>IF($C$13="Yes",IF(Summary!B170&lt;&gt;"",Summary!B170,""),"")</f>
        <v/>
      </c>
      <c r="Z174" s="439" t="str">
        <f t="shared" si="35"/>
        <v/>
      </c>
      <c r="AA174" t="str">
        <f t="shared" si="24"/>
        <v/>
      </c>
    </row>
    <row r="175" spans="2:27">
      <c r="B175" t="str">
        <f>IF(Summary!B171&lt;&gt;"",Summary!B171,"")</f>
        <v/>
      </c>
      <c r="C175" t="str">
        <f>IF(Summary!C171&lt;&gt;"",Summary!C171,"")</f>
        <v/>
      </c>
      <c r="E175" t="str">
        <f>IF($C$15&gt;=1,IF($C$13="Yes",IF(Summary!B171&lt;&gt;"",Summary!B171,""),""),"")</f>
        <v/>
      </c>
      <c r="F175" t="str">
        <f t="shared" si="25"/>
        <v/>
      </c>
      <c r="G175">
        <f t="shared" si="26"/>
        <v>0</v>
      </c>
      <c r="I175" t="str">
        <f>IF($C$15&gt;=2,IF($C$13="Yes",IF(Summary!B171&lt;&gt;"",Summary!B171,""),""),"")</f>
        <v/>
      </c>
      <c r="J175" t="str">
        <f t="shared" si="27"/>
        <v/>
      </c>
      <c r="K175">
        <f t="shared" si="28"/>
        <v>0</v>
      </c>
      <c r="M175" t="str">
        <f>IF($C$15&gt;=3,IF($C$13="Yes",IF(Summary!B171&lt;&gt;"",Summary!B171,""),""),"")</f>
        <v/>
      </c>
      <c r="N175" t="str">
        <f t="shared" si="29"/>
        <v/>
      </c>
      <c r="O175">
        <f t="shared" si="30"/>
        <v>0</v>
      </c>
      <c r="Q175" t="str">
        <f>IF($C$15&gt;=4,IF($C$13="Yes",IF(Summary!B171&lt;&gt;"",Summary!B171,""),""),"")</f>
        <v/>
      </c>
      <c r="R175" t="str">
        <f t="shared" si="31"/>
        <v/>
      </c>
      <c r="S175">
        <f t="shared" si="32"/>
        <v>0</v>
      </c>
      <c r="U175" t="str">
        <f>IF($C$15&gt;=5,IF($C$13="Yes",IF(Summary!B171&lt;&gt;"",Summary!B171,""),""),"")</f>
        <v/>
      </c>
      <c r="V175" t="str">
        <f t="shared" si="33"/>
        <v/>
      </c>
      <c r="W175">
        <f t="shared" si="34"/>
        <v>0</v>
      </c>
      <c r="Y175" t="str">
        <f>IF($C$13="Yes",IF(Summary!B171&lt;&gt;"",Summary!B171,""),"")</f>
        <v/>
      </c>
      <c r="Z175" s="439" t="str">
        <f t="shared" si="35"/>
        <v/>
      </c>
      <c r="AA175" t="str">
        <f t="shared" si="24"/>
        <v/>
      </c>
    </row>
    <row r="176" spans="2:27">
      <c r="B176" t="str">
        <f>IF(Summary!B172&lt;&gt;"",Summary!B172,"")</f>
        <v/>
      </c>
      <c r="C176" t="str">
        <f>IF(Summary!C172&lt;&gt;"",Summary!C172,"")</f>
        <v/>
      </c>
      <c r="E176" t="str">
        <f>IF($C$15&gt;=1,IF($C$13="Yes",IF(Summary!B172&lt;&gt;"",Summary!B172,""),""),"")</f>
        <v/>
      </c>
      <c r="F176" t="str">
        <f t="shared" si="25"/>
        <v/>
      </c>
      <c r="G176">
        <f t="shared" si="26"/>
        <v>0</v>
      </c>
      <c r="I176" t="str">
        <f>IF($C$15&gt;=2,IF($C$13="Yes",IF(Summary!B172&lt;&gt;"",Summary!B172,""),""),"")</f>
        <v/>
      </c>
      <c r="J176" t="str">
        <f t="shared" si="27"/>
        <v/>
      </c>
      <c r="K176">
        <f t="shared" si="28"/>
        <v>0</v>
      </c>
      <c r="M176" t="str">
        <f>IF($C$15&gt;=3,IF($C$13="Yes",IF(Summary!B172&lt;&gt;"",Summary!B172,""),""),"")</f>
        <v/>
      </c>
      <c r="N176" t="str">
        <f t="shared" si="29"/>
        <v/>
      </c>
      <c r="O176">
        <f t="shared" si="30"/>
        <v>0</v>
      </c>
      <c r="Q176" t="str">
        <f>IF($C$15&gt;=4,IF($C$13="Yes",IF(Summary!B172&lt;&gt;"",Summary!B172,""),""),"")</f>
        <v/>
      </c>
      <c r="R176" t="str">
        <f t="shared" si="31"/>
        <v/>
      </c>
      <c r="S176">
        <f t="shared" si="32"/>
        <v>0</v>
      </c>
      <c r="U176" t="str">
        <f>IF($C$15&gt;=5,IF($C$13="Yes",IF(Summary!B172&lt;&gt;"",Summary!B172,""),""),"")</f>
        <v/>
      </c>
      <c r="V176" t="str">
        <f t="shared" si="33"/>
        <v/>
      </c>
      <c r="W176">
        <f t="shared" si="34"/>
        <v>0</v>
      </c>
      <c r="Y176" t="str">
        <f>IF($C$13="Yes",IF(Summary!B172&lt;&gt;"",Summary!B172,""),"")</f>
        <v/>
      </c>
      <c r="Z176" s="439" t="str">
        <f t="shared" si="35"/>
        <v/>
      </c>
      <c r="AA176" t="str">
        <f t="shared" si="24"/>
        <v/>
      </c>
    </row>
    <row r="177" spans="2:27">
      <c r="B177" t="str">
        <f>IF(Summary!B173&lt;&gt;"",Summary!B173,"")</f>
        <v/>
      </c>
      <c r="C177" t="str">
        <f>IF(Summary!C173&lt;&gt;"",Summary!C173,"")</f>
        <v/>
      </c>
      <c r="E177" t="str">
        <f>IF($C$15&gt;=1,IF($C$13="Yes",IF(Summary!B173&lt;&gt;"",Summary!B173,""),""),"")</f>
        <v/>
      </c>
      <c r="F177" t="str">
        <f t="shared" si="25"/>
        <v/>
      </c>
      <c r="G177">
        <f t="shared" si="26"/>
        <v>0</v>
      </c>
      <c r="I177" t="str">
        <f>IF($C$15&gt;=2,IF($C$13="Yes",IF(Summary!B173&lt;&gt;"",Summary!B173,""),""),"")</f>
        <v/>
      </c>
      <c r="J177" t="str">
        <f t="shared" si="27"/>
        <v/>
      </c>
      <c r="K177">
        <f t="shared" si="28"/>
        <v>0</v>
      </c>
      <c r="M177" t="str">
        <f>IF($C$15&gt;=3,IF($C$13="Yes",IF(Summary!B173&lt;&gt;"",Summary!B173,""),""),"")</f>
        <v/>
      </c>
      <c r="N177" t="str">
        <f t="shared" si="29"/>
        <v/>
      </c>
      <c r="O177">
        <f t="shared" si="30"/>
        <v>0</v>
      </c>
      <c r="Q177" t="str">
        <f>IF($C$15&gt;=4,IF($C$13="Yes",IF(Summary!B173&lt;&gt;"",Summary!B173,""),""),"")</f>
        <v/>
      </c>
      <c r="R177" t="str">
        <f t="shared" si="31"/>
        <v/>
      </c>
      <c r="S177">
        <f t="shared" si="32"/>
        <v>0</v>
      </c>
      <c r="U177" t="str">
        <f>IF($C$15&gt;=5,IF($C$13="Yes",IF(Summary!B173&lt;&gt;"",Summary!B173,""),""),"")</f>
        <v/>
      </c>
      <c r="V177" t="str">
        <f t="shared" si="33"/>
        <v/>
      </c>
      <c r="W177">
        <f t="shared" si="34"/>
        <v>0</v>
      </c>
      <c r="Y177" t="str">
        <f>IF($C$13="Yes",IF(Summary!B173&lt;&gt;"",Summary!B173,""),"")</f>
        <v/>
      </c>
      <c r="Z177" s="439" t="str">
        <f t="shared" si="35"/>
        <v/>
      </c>
      <c r="AA177" t="str">
        <f t="shared" si="24"/>
        <v/>
      </c>
    </row>
    <row r="178" spans="2:27">
      <c r="B178" t="str">
        <f>IF(Summary!B174&lt;&gt;"",Summary!B174,"")</f>
        <v/>
      </c>
      <c r="C178" t="str">
        <f>IF(Summary!C174&lt;&gt;"",Summary!C174,"")</f>
        <v/>
      </c>
      <c r="E178" t="str">
        <f>IF($C$15&gt;=1,IF($C$13="Yes",IF(Summary!B174&lt;&gt;"",Summary!B174,""),""),"")</f>
        <v/>
      </c>
      <c r="F178" t="str">
        <f t="shared" si="25"/>
        <v/>
      </c>
      <c r="G178">
        <f t="shared" si="26"/>
        <v>0</v>
      </c>
      <c r="I178" t="str">
        <f>IF($C$15&gt;=2,IF($C$13="Yes",IF(Summary!B174&lt;&gt;"",Summary!B174,""),""),"")</f>
        <v/>
      </c>
      <c r="J178" t="str">
        <f t="shared" si="27"/>
        <v/>
      </c>
      <c r="K178">
        <f t="shared" si="28"/>
        <v>0</v>
      </c>
      <c r="M178" t="str">
        <f>IF($C$15&gt;=3,IF($C$13="Yes",IF(Summary!B174&lt;&gt;"",Summary!B174,""),""),"")</f>
        <v/>
      </c>
      <c r="N178" t="str">
        <f t="shared" si="29"/>
        <v/>
      </c>
      <c r="O178">
        <f t="shared" si="30"/>
        <v>0</v>
      </c>
      <c r="Q178" t="str">
        <f>IF($C$15&gt;=4,IF($C$13="Yes",IF(Summary!B174&lt;&gt;"",Summary!B174,""),""),"")</f>
        <v/>
      </c>
      <c r="R178" t="str">
        <f t="shared" si="31"/>
        <v/>
      </c>
      <c r="S178">
        <f t="shared" si="32"/>
        <v>0</v>
      </c>
      <c r="U178" t="str">
        <f>IF($C$15&gt;=5,IF($C$13="Yes",IF(Summary!B174&lt;&gt;"",Summary!B174,""),""),"")</f>
        <v/>
      </c>
      <c r="V178" t="str">
        <f t="shared" si="33"/>
        <v/>
      </c>
      <c r="W178">
        <f t="shared" si="34"/>
        <v>0</v>
      </c>
      <c r="Y178" t="str">
        <f>IF($C$13="Yes",IF(Summary!B174&lt;&gt;"",Summary!B174,""),"")</f>
        <v/>
      </c>
      <c r="Z178" s="439" t="str">
        <f t="shared" si="35"/>
        <v/>
      </c>
      <c r="AA178" t="str">
        <f t="shared" si="24"/>
        <v/>
      </c>
    </row>
    <row r="179" spans="2:27">
      <c r="B179" t="str">
        <f>IF(Summary!B175&lt;&gt;"",Summary!B175,"")</f>
        <v/>
      </c>
      <c r="C179" t="str">
        <f>IF(Summary!C175&lt;&gt;"",Summary!C175,"")</f>
        <v/>
      </c>
      <c r="E179" t="str">
        <f>IF($C$15&gt;=1,IF($C$13="Yes",IF(Summary!B175&lt;&gt;"",Summary!B175,""),""),"")</f>
        <v/>
      </c>
      <c r="F179" t="str">
        <f t="shared" si="25"/>
        <v/>
      </c>
      <c r="G179">
        <f t="shared" si="26"/>
        <v>0</v>
      </c>
      <c r="I179" t="str">
        <f>IF($C$15&gt;=2,IF($C$13="Yes",IF(Summary!B175&lt;&gt;"",Summary!B175,""),""),"")</f>
        <v/>
      </c>
      <c r="J179" t="str">
        <f t="shared" si="27"/>
        <v/>
      </c>
      <c r="K179">
        <f t="shared" si="28"/>
        <v>0</v>
      </c>
      <c r="M179" t="str">
        <f>IF($C$15&gt;=3,IF($C$13="Yes",IF(Summary!B175&lt;&gt;"",Summary!B175,""),""),"")</f>
        <v/>
      </c>
      <c r="N179" t="str">
        <f t="shared" si="29"/>
        <v/>
      </c>
      <c r="O179">
        <f t="shared" si="30"/>
        <v>0</v>
      </c>
      <c r="Q179" t="str">
        <f>IF($C$15&gt;=4,IF($C$13="Yes",IF(Summary!B175&lt;&gt;"",Summary!B175,""),""),"")</f>
        <v/>
      </c>
      <c r="R179" t="str">
        <f t="shared" si="31"/>
        <v/>
      </c>
      <c r="S179">
        <f t="shared" si="32"/>
        <v>0</v>
      </c>
      <c r="U179" t="str">
        <f>IF($C$15&gt;=5,IF($C$13="Yes",IF(Summary!B175&lt;&gt;"",Summary!B175,""),""),"")</f>
        <v/>
      </c>
      <c r="V179" t="str">
        <f t="shared" si="33"/>
        <v/>
      </c>
      <c r="W179">
        <f t="shared" si="34"/>
        <v>0</v>
      </c>
      <c r="Y179" t="str">
        <f>IF($C$13="Yes",IF(Summary!B175&lt;&gt;"",Summary!B175,""),"")</f>
        <v/>
      </c>
      <c r="Z179" s="439" t="str">
        <f t="shared" si="35"/>
        <v/>
      </c>
      <c r="AA179" t="str">
        <f t="shared" si="24"/>
        <v/>
      </c>
    </row>
    <row r="180" spans="2:27">
      <c r="B180" t="str">
        <f>IF(Summary!B176&lt;&gt;"",Summary!B176,"")</f>
        <v/>
      </c>
      <c r="C180" t="str">
        <f>IF(Summary!C176&lt;&gt;"",Summary!C176,"")</f>
        <v/>
      </c>
      <c r="E180" t="str">
        <f>IF($C$15&gt;=1,IF($C$13="Yes",IF(Summary!B176&lt;&gt;"",Summary!B176,""),""),"")</f>
        <v/>
      </c>
      <c r="F180" t="str">
        <f t="shared" si="25"/>
        <v/>
      </c>
      <c r="G180">
        <f t="shared" si="26"/>
        <v>0</v>
      </c>
      <c r="I180" t="str">
        <f>IF($C$15&gt;=2,IF($C$13="Yes",IF(Summary!B176&lt;&gt;"",Summary!B176,""),""),"")</f>
        <v/>
      </c>
      <c r="J180" t="str">
        <f t="shared" si="27"/>
        <v/>
      </c>
      <c r="K180">
        <f t="shared" si="28"/>
        <v>0</v>
      </c>
      <c r="M180" t="str">
        <f>IF($C$15&gt;=3,IF($C$13="Yes",IF(Summary!B176&lt;&gt;"",Summary!B176,""),""),"")</f>
        <v/>
      </c>
      <c r="N180" t="str">
        <f t="shared" si="29"/>
        <v/>
      </c>
      <c r="O180">
        <f t="shared" si="30"/>
        <v>0</v>
      </c>
      <c r="Q180" t="str">
        <f>IF($C$15&gt;=4,IF($C$13="Yes",IF(Summary!B176&lt;&gt;"",Summary!B176,""),""),"")</f>
        <v/>
      </c>
      <c r="R180" t="str">
        <f t="shared" si="31"/>
        <v/>
      </c>
      <c r="S180">
        <f t="shared" si="32"/>
        <v>0</v>
      </c>
      <c r="U180" t="str">
        <f>IF($C$15&gt;=5,IF($C$13="Yes",IF(Summary!B176&lt;&gt;"",Summary!B176,""),""),"")</f>
        <v/>
      </c>
      <c r="V180" t="str">
        <f t="shared" si="33"/>
        <v/>
      </c>
      <c r="W180">
        <f t="shared" si="34"/>
        <v>0</v>
      </c>
      <c r="Y180" t="str">
        <f>IF($C$13="Yes",IF(Summary!B176&lt;&gt;"",Summary!B176,""),"")</f>
        <v/>
      </c>
      <c r="Z180" s="439" t="str">
        <f t="shared" si="35"/>
        <v/>
      </c>
      <c r="AA180" t="str">
        <f t="shared" si="24"/>
        <v/>
      </c>
    </row>
    <row r="181" spans="2:27">
      <c r="B181" t="str">
        <f>IF(Summary!B177&lt;&gt;"",Summary!B177,"")</f>
        <v/>
      </c>
      <c r="C181" t="str">
        <f>IF(Summary!C177&lt;&gt;"",Summary!C177,"")</f>
        <v/>
      </c>
      <c r="E181" t="str">
        <f>IF($C$15&gt;=1,IF($C$13="Yes",IF(Summary!B177&lt;&gt;"",Summary!B177,""),""),"")</f>
        <v/>
      </c>
      <c r="F181" t="str">
        <f t="shared" si="25"/>
        <v/>
      </c>
      <c r="G181">
        <f t="shared" si="26"/>
        <v>0</v>
      </c>
      <c r="I181" t="str">
        <f>IF($C$15&gt;=2,IF($C$13="Yes",IF(Summary!B177&lt;&gt;"",Summary!B177,""),""),"")</f>
        <v/>
      </c>
      <c r="J181" t="str">
        <f t="shared" si="27"/>
        <v/>
      </c>
      <c r="K181">
        <f t="shared" si="28"/>
        <v>0</v>
      </c>
      <c r="M181" t="str">
        <f>IF($C$15&gt;=3,IF($C$13="Yes",IF(Summary!B177&lt;&gt;"",Summary!B177,""),""),"")</f>
        <v/>
      </c>
      <c r="N181" t="str">
        <f t="shared" si="29"/>
        <v/>
      </c>
      <c r="O181">
        <f t="shared" si="30"/>
        <v>0</v>
      </c>
      <c r="Q181" t="str">
        <f>IF($C$15&gt;=4,IF($C$13="Yes",IF(Summary!B177&lt;&gt;"",Summary!B177,""),""),"")</f>
        <v/>
      </c>
      <c r="R181" t="str">
        <f t="shared" si="31"/>
        <v/>
      </c>
      <c r="S181">
        <f t="shared" si="32"/>
        <v>0</v>
      </c>
      <c r="U181" t="str">
        <f>IF($C$15&gt;=5,IF($C$13="Yes",IF(Summary!B177&lt;&gt;"",Summary!B177,""),""),"")</f>
        <v/>
      </c>
      <c r="V181" t="str">
        <f t="shared" si="33"/>
        <v/>
      </c>
      <c r="W181">
        <f t="shared" si="34"/>
        <v>0</v>
      </c>
      <c r="Y181" t="str">
        <f>IF($C$13="Yes",IF(Summary!B177&lt;&gt;"",Summary!B177,""),"")</f>
        <v/>
      </c>
      <c r="Z181" s="439" t="str">
        <f t="shared" si="35"/>
        <v/>
      </c>
      <c r="AA181" t="str">
        <f t="shared" si="24"/>
        <v/>
      </c>
    </row>
    <row r="182" spans="2:27">
      <c r="B182" t="str">
        <f>IF(Summary!B178&lt;&gt;"",Summary!B178,"")</f>
        <v/>
      </c>
      <c r="C182" t="str">
        <f>IF(Summary!C178&lt;&gt;"",Summary!C178,"")</f>
        <v/>
      </c>
      <c r="E182" t="str">
        <f>IF($C$15&gt;=1,IF($C$13="Yes",IF(Summary!B178&lt;&gt;"",Summary!B178,""),""),"")</f>
        <v/>
      </c>
      <c r="F182" t="str">
        <f t="shared" si="25"/>
        <v/>
      </c>
      <c r="G182">
        <f t="shared" si="26"/>
        <v>0</v>
      </c>
      <c r="I182" t="str">
        <f>IF($C$15&gt;=2,IF($C$13="Yes",IF(Summary!B178&lt;&gt;"",Summary!B178,""),""),"")</f>
        <v/>
      </c>
      <c r="J182" t="str">
        <f t="shared" si="27"/>
        <v/>
      </c>
      <c r="K182">
        <f t="shared" si="28"/>
        <v>0</v>
      </c>
      <c r="M182" t="str">
        <f>IF($C$15&gt;=3,IF($C$13="Yes",IF(Summary!B178&lt;&gt;"",Summary!B178,""),""),"")</f>
        <v/>
      </c>
      <c r="N182" t="str">
        <f t="shared" si="29"/>
        <v/>
      </c>
      <c r="O182">
        <f t="shared" si="30"/>
        <v>0</v>
      </c>
      <c r="Q182" t="str">
        <f>IF($C$15&gt;=4,IF($C$13="Yes",IF(Summary!B178&lt;&gt;"",Summary!B178,""),""),"")</f>
        <v/>
      </c>
      <c r="R182" t="str">
        <f t="shared" si="31"/>
        <v/>
      </c>
      <c r="S182">
        <f t="shared" si="32"/>
        <v>0</v>
      </c>
      <c r="U182" t="str">
        <f>IF($C$15&gt;=5,IF($C$13="Yes",IF(Summary!B178&lt;&gt;"",Summary!B178,""),""),"")</f>
        <v/>
      </c>
      <c r="V182" t="str">
        <f t="shared" si="33"/>
        <v/>
      </c>
      <c r="W182">
        <f t="shared" si="34"/>
        <v>0</v>
      </c>
      <c r="Y182" t="str">
        <f>IF($C$13="Yes",IF(Summary!B178&lt;&gt;"",Summary!B178,""),"")</f>
        <v/>
      </c>
      <c r="Z182" s="439" t="str">
        <f t="shared" si="35"/>
        <v/>
      </c>
      <c r="AA182" t="str">
        <f t="shared" si="24"/>
        <v/>
      </c>
    </row>
    <row r="183" spans="2:27">
      <c r="B183" t="str">
        <f>IF(Summary!B179&lt;&gt;"",Summary!B179,"")</f>
        <v/>
      </c>
      <c r="C183" t="str">
        <f>IF(Summary!C179&lt;&gt;"",Summary!C179,"")</f>
        <v/>
      </c>
      <c r="E183" t="str">
        <f>IF($C$15&gt;=1,IF($C$13="Yes",IF(Summary!B179&lt;&gt;"",Summary!B179,""),""),"")</f>
        <v/>
      </c>
      <c r="F183" t="str">
        <f t="shared" si="25"/>
        <v/>
      </c>
      <c r="G183">
        <f t="shared" si="26"/>
        <v>0</v>
      </c>
      <c r="I183" t="str">
        <f>IF($C$15&gt;=2,IF($C$13="Yes",IF(Summary!B179&lt;&gt;"",Summary!B179,""),""),"")</f>
        <v/>
      </c>
      <c r="J183" t="str">
        <f t="shared" si="27"/>
        <v/>
      </c>
      <c r="K183">
        <f t="shared" si="28"/>
        <v>0</v>
      </c>
      <c r="M183" t="str">
        <f>IF($C$15&gt;=3,IF($C$13="Yes",IF(Summary!B179&lt;&gt;"",Summary!B179,""),""),"")</f>
        <v/>
      </c>
      <c r="N183" t="str">
        <f t="shared" si="29"/>
        <v/>
      </c>
      <c r="O183">
        <f t="shared" si="30"/>
        <v>0</v>
      </c>
      <c r="Q183" t="str">
        <f>IF($C$15&gt;=4,IF($C$13="Yes",IF(Summary!B179&lt;&gt;"",Summary!B179,""),""),"")</f>
        <v/>
      </c>
      <c r="R183" t="str">
        <f t="shared" si="31"/>
        <v/>
      </c>
      <c r="S183">
        <f t="shared" si="32"/>
        <v>0</v>
      </c>
      <c r="U183" t="str">
        <f>IF($C$15&gt;=5,IF($C$13="Yes",IF(Summary!B179&lt;&gt;"",Summary!B179,""),""),"")</f>
        <v/>
      </c>
      <c r="V183" t="str">
        <f t="shared" si="33"/>
        <v/>
      </c>
      <c r="W183">
        <f t="shared" si="34"/>
        <v>0</v>
      </c>
      <c r="Y183" t="str">
        <f>IF($C$13="Yes",IF(Summary!B179&lt;&gt;"",Summary!B179,""),"")</f>
        <v/>
      </c>
      <c r="Z183" s="439" t="str">
        <f t="shared" si="35"/>
        <v/>
      </c>
      <c r="AA183" t="str">
        <f t="shared" si="24"/>
        <v/>
      </c>
    </row>
    <row r="184" spans="2:27">
      <c r="B184" t="str">
        <f>IF(Summary!B180&lt;&gt;"",Summary!B180,"")</f>
        <v/>
      </c>
      <c r="C184" t="str">
        <f>IF(Summary!C180&lt;&gt;"",Summary!C180,"")</f>
        <v/>
      </c>
      <c r="E184" t="str">
        <f>IF($C$15&gt;=1,IF($C$13="Yes",IF(Summary!B180&lt;&gt;"",Summary!B180,""),""),"")</f>
        <v/>
      </c>
      <c r="F184" t="str">
        <f t="shared" si="25"/>
        <v/>
      </c>
      <c r="G184">
        <f t="shared" si="26"/>
        <v>0</v>
      </c>
      <c r="I184" t="str">
        <f>IF($C$15&gt;=2,IF($C$13="Yes",IF(Summary!B180&lt;&gt;"",Summary!B180,""),""),"")</f>
        <v/>
      </c>
      <c r="J184" t="str">
        <f t="shared" si="27"/>
        <v/>
      </c>
      <c r="K184">
        <f t="shared" si="28"/>
        <v>0</v>
      </c>
      <c r="M184" t="str">
        <f>IF($C$15&gt;=3,IF($C$13="Yes",IF(Summary!B180&lt;&gt;"",Summary!B180,""),""),"")</f>
        <v/>
      </c>
      <c r="N184" t="str">
        <f t="shared" si="29"/>
        <v/>
      </c>
      <c r="O184">
        <f t="shared" si="30"/>
        <v>0</v>
      </c>
      <c r="Q184" t="str">
        <f>IF($C$15&gt;=4,IF($C$13="Yes",IF(Summary!B180&lt;&gt;"",Summary!B180,""),""),"")</f>
        <v/>
      </c>
      <c r="R184" t="str">
        <f t="shared" si="31"/>
        <v/>
      </c>
      <c r="S184">
        <f t="shared" si="32"/>
        <v>0</v>
      </c>
      <c r="U184" t="str">
        <f>IF($C$15&gt;=5,IF($C$13="Yes",IF(Summary!B180&lt;&gt;"",Summary!B180,""),""),"")</f>
        <v/>
      </c>
      <c r="V184" t="str">
        <f t="shared" si="33"/>
        <v/>
      </c>
      <c r="W184">
        <f t="shared" si="34"/>
        <v>0</v>
      </c>
      <c r="Y184" t="str">
        <f>IF($C$13="Yes",IF(Summary!B180&lt;&gt;"",Summary!B180,""),"")</f>
        <v/>
      </c>
      <c r="Z184" s="439" t="str">
        <f t="shared" si="35"/>
        <v/>
      </c>
      <c r="AA184" t="str">
        <f t="shared" si="24"/>
        <v/>
      </c>
    </row>
    <row r="185" spans="2:27">
      <c r="B185" t="str">
        <f>IF(Summary!B181&lt;&gt;"",Summary!B181,"")</f>
        <v/>
      </c>
      <c r="C185" t="str">
        <f>IF(Summary!C181&lt;&gt;"",Summary!C181,"")</f>
        <v/>
      </c>
      <c r="E185" t="str">
        <f>IF($C$15&gt;=1,IF($C$13="Yes",IF(Summary!B181&lt;&gt;"",Summary!B181,""),""),"")</f>
        <v/>
      </c>
      <c r="F185" t="str">
        <f t="shared" si="25"/>
        <v/>
      </c>
      <c r="G185">
        <f t="shared" si="26"/>
        <v>0</v>
      </c>
      <c r="I185" t="str">
        <f>IF($C$15&gt;=2,IF($C$13="Yes",IF(Summary!B181&lt;&gt;"",Summary!B181,""),""),"")</f>
        <v/>
      </c>
      <c r="J185" t="str">
        <f t="shared" si="27"/>
        <v/>
      </c>
      <c r="K185">
        <f t="shared" si="28"/>
        <v>0</v>
      </c>
      <c r="M185" t="str">
        <f>IF($C$15&gt;=3,IF($C$13="Yes",IF(Summary!B181&lt;&gt;"",Summary!B181,""),""),"")</f>
        <v/>
      </c>
      <c r="N185" t="str">
        <f t="shared" si="29"/>
        <v/>
      </c>
      <c r="O185">
        <f t="shared" si="30"/>
        <v>0</v>
      </c>
      <c r="Q185" t="str">
        <f>IF($C$15&gt;=4,IF($C$13="Yes",IF(Summary!B181&lt;&gt;"",Summary!B181,""),""),"")</f>
        <v/>
      </c>
      <c r="R185" t="str">
        <f t="shared" si="31"/>
        <v/>
      </c>
      <c r="S185">
        <f t="shared" si="32"/>
        <v>0</v>
      </c>
      <c r="U185" t="str">
        <f>IF($C$15&gt;=5,IF($C$13="Yes",IF(Summary!B181&lt;&gt;"",Summary!B181,""),""),"")</f>
        <v/>
      </c>
      <c r="V185" t="str">
        <f t="shared" si="33"/>
        <v/>
      </c>
      <c r="W185">
        <f t="shared" si="34"/>
        <v>0</v>
      </c>
      <c r="Y185" t="str">
        <f>IF($C$13="Yes",IF(Summary!B181&lt;&gt;"",Summary!B181,""),"")</f>
        <v/>
      </c>
      <c r="Z185" s="439" t="str">
        <f t="shared" si="35"/>
        <v/>
      </c>
      <c r="AA185" t="str">
        <f t="shared" si="24"/>
        <v/>
      </c>
    </row>
    <row r="186" spans="2:27">
      <c r="B186" t="str">
        <f>IF(Summary!B182&lt;&gt;"",Summary!B182,"")</f>
        <v/>
      </c>
      <c r="C186" t="str">
        <f>IF(Summary!C182&lt;&gt;"",Summary!C182,"")</f>
        <v/>
      </c>
      <c r="E186" t="str">
        <f>IF($C$15&gt;=1,IF($C$13="Yes",IF(Summary!B182&lt;&gt;"",Summary!B182,""),""),"")</f>
        <v/>
      </c>
      <c r="F186" t="str">
        <f t="shared" si="25"/>
        <v/>
      </c>
      <c r="G186">
        <f t="shared" si="26"/>
        <v>0</v>
      </c>
      <c r="I186" t="str">
        <f>IF($C$15&gt;=2,IF($C$13="Yes",IF(Summary!B182&lt;&gt;"",Summary!B182,""),""),"")</f>
        <v/>
      </c>
      <c r="J186" t="str">
        <f t="shared" si="27"/>
        <v/>
      </c>
      <c r="K186">
        <f t="shared" si="28"/>
        <v>0</v>
      </c>
      <c r="M186" t="str">
        <f>IF($C$15&gt;=3,IF($C$13="Yes",IF(Summary!B182&lt;&gt;"",Summary!B182,""),""),"")</f>
        <v/>
      </c>
      <c r="N186" t="str">
        <f t="shared" si="29"/>
        <v/>
      </c>
      <c r="O186">
        <f t="shared" si="30"/>
        <v>0</v>
      </c>
      <c r="Q186" t="str">
        <f>IF($C$15&gt;=4,IF($C$13="Yes",IF(Summary!B182&lt;&gt;"",Summary!B182,""),""),"")</f>
        <v/>
      </c>
      <c r="R186" t="str">
        <f t="shared" si="31"/>
        <v/>
      </c>
      <c r="S186">
        <f t="shared" si="32"/>
        <v>0</v>
      </c>
      <c r="U186" t="str">
        <f>IF($C$15&gt;=5,IF($C$13="Yes",IF(Summary!B182&lt;&gt;"",Summary!B182,""),""),"")</f>
        <v/>
      </c>
      <c r="V186" t="str">
        <f t="shared" si="33"/>
        <v/>
      </c>
      <c r="W186">
        <f t="shared" si="34"/>
        <v>0</v>
      </c>
      <c r="Y186" t="str">
        <f>IF($C$13="Yes",IF(Summary!B182&lt;&gt;"",Summary!B182,""),"")</f>
        <v/>
      </c>
      <c r="Z186" s="439" t="str">
        <f t="shared" si="35"/>
        <v/>
      </c>
      <c r="AA186" t="str">
        <f t="shared" si="24"/>
        <v/>
      </c>
    </row>
    <row r="187" spans="2:27">
      <c r="B187" t="str">
        <f>IF(Summary!B183&lt;&gt;"",Summary!B183,"")</f>
        <v/>
      </c>
      <c r="C187" t="str">
        <f>IF(Summary!C183&lt;&gt;"",Summary!C183,"")</f>
        <v/>
      </c>
      <c r="E187" t="str">
        <f>IF($C$15&gt;=1,IF($C$13="Yes",IF(Summary!B183&lt;&gt;"",Summary!B183,""),""),"")</f>
        <v/>
      </c>
      <c r="F187" t="str">
        <f t="shared" si="25"/>
        <v/>
      </c>
      <c r="G187">
        <f t="shared" si="26"/>
        <v>0</v>
      </c>
      <c r="I187" t="str">
        <f>IF($C$15&gt;=2,IF($C$13="Yes",IF(Summary!B183&lt;&gt;"",Summary!B183,""),""),"")</f>
        <v/>
      </c>
      <c r="J187" t="str">
        <f t="shared" si="27"/>
        <v/>
      </c>
      <c r="K187">
        <f t="shared" si="28"/>
        <v>0</v>
      </c>
      <c r="M187" t="str">
        <f>IF($C$15&gt;=3,IF($C$13="Yes",IF(Summary!B183&lt;&gt;"",Summary!B183,""),""),"")</f>
        <v/>
      </c>
      <c r="N187" t="str">
        <f t="shared" si="29"/>
        <v/>
      </c>
      <c r="O187">
        <f t="shared" si="30"/>
        <v>0</v>
      </c>
      <c r="Q187" t="str">
        <f>IF($C$15&gt;=4,IF($C$13="Yes",IF(Summary!B183&lt;&gt;"",Summary!B183,""),""),"")</f>
        <v/>
      </c>
      <c r="R187" t="str">
        <f t="shared" si="31"/>
        <v/>
      </c>
      <c r="S187">
        <f t="shared" si="32"/>
        <v>0</v>
      </c>
      <c r="U187" t="str">
        <f>IF($C$15&gt;=5,IF($C$13="Yes",IF(Summary!B183&lt;&gt;"",Summary!B183,""),""),"")</f>
        <v/>
      </c>
      <c r="V187" t="str">
        <f t="shared" si="33"/>
        <v/>
      </c>
      <c r="W187">
        <f t="shared" si="34"/>
        <v>0</v>
      </c>
      <c r="Y187" t="str">
        <f>IF($C$13="Yes",IF(Summary!B183&lt;&gt;"",Summary!B183,""),"")</f>
        <v/>
      </c>
      <c r="Z187" s="439" t="str">
        <f t="shared" si="35"/>
        <v/>
      </c>
      <c r="AA187" t="str">
        <f t="shared" si="24"/>
        <v/>
      </c>
    </row>
    <row r="188" spans="2:27">
      <c r="B188" t="str">
        <f>IF(Summary!B184&lt;&gt;"",Summary!B184,"")</f>
        <v/>
      </c>
      <c r="C188" t="str">
        <f>IF(Summary!C184&lt;&gt;"",Summary!C184,"")</f>
        <v/>
      </c>
      <c r="E188" t="str">
        <f>IF($C$15&gt;=1,IF($C$13="Yes",IF(Summary!B184&lt;&gt;"",Summary!B184,""),""),"")</f>
        <v/>
      </c>
      <c r="F188" t="str">
        <f t="shared" si="25"/>
        <v/>
      </c>
      <c r="G188">
        <f t="shared" si="26"/>
        <v>0</v>
      </c>
      <c r="I188" t="str">
        <f>IF($C$15&gt;=2,IF($C$13="Yes",IF(Summary!B184&lt;&gt;"",Summary!B184,""),""),"")</f>
        <v/>
      </c>
      <c r="J188" t="str">
        <f t="shared" si="27"/>
        <v/>
      </c>
      <c r="K188">
        <f t="shared" si="28"/>
        <v>0</v>
      </c>
      <c r="M188" t="str">
        <f>IF($C$15&gt;=3,IF($C$13="Yes",IF(Summary!B184&lt;&gt;"",Summary!B184,""),""),"")</f>
        <v/>
      </c>
      <c r="N188" t="str">
        <f t="shared" si="29"/>
        <v/>
      </c>
      <c r="O188">
        <f t="shared" si="30"/>
        <v>0</v>
      </c>
      <c r="Q188" t="str">
        <f>IF($C$15&gt;=4,IF($C$13="Yes",IF(Summary!B184&lt;&gt;"",Summary!B184,""),""),"")</f>
        <v/>
      </c>
      <c r="R188" t="str">
        <f t="shared" si="31"/>
        <v/>
      </c>
      <c r="S188">
        <f t="shared" si="32"/>
        <v>0</v>
      </c>
      <c r="U188" t="str">
        <f>IF($C$15&gt;=5,IF($C$13="Yes",IF(Summary!B184&lt;&gt;"",Summary!B184,""),""),"")</f>
        <v/>
      </c>
      <c r="V188" t="str">
        <f t="shared" si="33"/>
        <v/>
      </c>
      <c r="W188">
        <f t="shared" si="34"/>
        <v>0</v>
      </c>
      <c r="Y188" t="str">
        <f>IF($C$13="Yes",IF(Summary!B184&lt;&gt;"",Summary!B184,""),"")</f>
        <v/>
      </c>
      <c r="Z188" s="439" t="str">
        <f t="shared" si="35"/>
        <v/>
      </c>
      <c r="AA188" t="str">
        <f t="shared" si="24"/>
        <v/>
      </c>
    </row>
    <row r="189" spans="2:27">
      <c r="B189" t="str">
        <f>IF(Summary!B185&lt;&gt;"",Summary!B185,"")</f>
        <v/>
      </c>
      <c r="C189" t="str">
        <f>IF(Summary!C185&lt;&gt;"",Summary!C185,"")</f>
        <v/>
      </c>
      <c r="E189" t="str">
        <f>IF($C$15&gt;=1,IF($C$13="Yes",IF(Summary!B185&lt;&gt;"",Summary!B185,""),""),"")</f>
        <v/>
      </c>
      <c r="F189" t="str">
        <f t="shared" si="25"/>
        <v/>
      </c>
      <c r="G189">
        <f t="shared" si="26"/>
        <v>0</v>
      </c>
      <c r="I189" t="str">
        <f>IF($C$15&gt;=2,IF($C$13="Yes",IF(Summary!B185&lt;&gt;"",Summary!B185,""),""),"")</f>
        <v/>
      </c>
      <c r="J189" t="str">
        <f t="shared" si="27"/>
        <v/>
      </c>
      <c r="K189">
        <f t="shared" si="28"/>
        <v>0</v>
      </c>
      <c r="M189" t="str">
        <f>IF($C$15&gt;=3,IF($C$13="Yes",IF(Summary!B185&lt;&gt;"",Summary!B185,""),""),"")</f>
        <v/>
      </c>
      <c r="N189" t="str">
        <f t="shared" si="29"/>
        <v/>
      </c>
      <c r="O189">
        <f t="shared" si="30"/>
        <v>0</v>
      </c>
      <c r="Q189" t="str">
        <f>IF($C$15&gt;=4,IF($C$13="Yes",IF(Summary!B185&lt;&gt;"",Summary!B185,""),""),"")</f>
        <v/>
      </c>
      <c r="R189" t="str">
        <f t="shared" si="31"/>
        <v/>
      </c>
      <c r="S189">
        <f t="shared" si="32"/>
        <v>0</v>
      </c>
      <c r="U189" t="str">
        <f>IF($C$15&gt;=5,IF($C$13="Yes",IF(Summary!B185&lt;&gt;"",Summary!B185,""),""),"")</f>
        <v/>
      </c>
      <c r="V189" t="str">
        <f t="shared" si="33"/>
        <v/>
      </c>
      <c r="W189">
        <f t="shared" si="34"/>
        <v>0</v>
      </c>
      <c r="Y189" t="str">
        <f>IF($C$13="Yes",IF(Summary!B185&lt;&gt;"",Summary!B185,""),"")</f>
        <v/>
      </c>
      <c r="Z189" s="439" t="str">
        <f t="shared" si="35"/>
        <v/>
      </c>
      <c r="AA189" t="str">
        <f t="shared" si="24"/>
        <v/>
      </c>
    </row>
    <row r="190" spans="2:27">
      <c r="B190" t="str">
        <f>IF(Summary!B186&lt;&gt;"",Summary!B186,"")</f>
        <v/>
      </c>
      <c r="C190" t="str">
        <f>IF(Summary!C186&lt;&gt;"",Summary!C186,"")</f>
        <v/>
      </c>
      <c r="E190" t="str">
        <f>IF($C$15&gt;=1,IF($C$13="Yes",IF(Summary!B186&lt;&gt;"",Summary!B186,""),""),"")</f>
        <v/>
      </c>
      <c r="F190" t="str">
        <f t="shared" si="25"/>
        <v/>
      </c>
      <c r="G190">
        <f t="shared" si="26"/>
        <v>0</v>
      </c>
      <c r="I190" t="str">
        <f>IF($C$15&gt;=2,IF($C$13="Yes",IF(Summary!B186&lt;&gt;"",Summary!B186,""),""),"")</f>
        <v/>
      </c>
      <c r="J190" t="str">
        <f t="shared" si="27"/>
        <v/>
      </c>
      <c r="K190">
        <f t="shared" si="28"/>
        <v>0</v>
      </c>
      <c r="M190" t="str">
        <f>IF($C$15&gt;=3,IF($C$13="Yes",IF(Summary!B186&lt;&gt;"",Summary!B186,""),""),"")</f>
        <v/>
      </c>
      <c r="N190" t="str">
        <f t="shared" si="29"/>
        <v/>
      </c>
      <c r="O190">
        <f t="shared" si="30"/>
        <v>0</v>
      </c>
      <c r="Q190" t="str">
        <f>IF($C$15&gt;=4,IF($C$13="Yes",IF(Summary!B186&lt;&gt;"",Summary!B186,""),""),"")</f>
        <v/>
      </c>
      <c r="R190" t="str">
        <f t="shared" si="31"/>
        <v/>
      </c>
      <c r="S190">
        <f t="shared" si="32"/>
        <v>0</v>
      </c>
      <c r="U190" t="str">
        <f>IF($C$15&gt;=5,IF($C$13="Yes",IF(Summary!B186&lt;&gt;"",Summary!B186,""),""),"")</f>
        <v/>
      </c>
      <c r="V190" t="str">
        <f t="shared" si="33"/>
        <v/>
      </c>
      <c r="W190">
        <f t="shared" si="34"/>
        <v>0</v>
      </c>
      <c r="Y190" t="str">
        <f>IF($C$13="Yes",IF(Summary!B186&lt;&gt;"",Summary!B186,""),"")</f>
        <v/>
      </c>
      <c r="Z190" s="439" t="str">
        <f t="shared" si="35"/>
        <v/>
      </c>
      <c r="AA190" t="str">
        <f t="shared" si="24"/>
        <v/>
      </c>
    </row>
    <row r="191" spans="2:27">
      <c r="B191" t="str">
        <f>IF(Summary!B187&lt;&gt;"",Summary!B187,"")</f>
        <v/>
      </c>
      <c r="C191" t="str">
        <f>IF(Summary!C187&lt;&gt;"",Summary!C187,"")</f>
        <v/>
      </c>
      <c r="E191" t="str">
        <f>IF($C$15&gt;=1,IF($C$13="Yes",IF(Summary!B187&lt;&gt;"",Summary!B187,""),""),"")</f>
        <v/>
      </c>
      <c r="F191" t="str">
        <f t="shared" si="25"/>
        <v/>
      </c>
      <c r="G191">
        <f t="shared" si="26"/>
        <v>0</v>
      </c>
      <c r="I191" t="str">
        <f>IF($C$15&gt;=2,IF($C$13="Yes",IF(Summary!B187&lt;&gt;"",Summary!B187,""),""),"")</f>
        <v/>
      </c>
      <c r="J191" t="str">
        <f t="shared" si="27"/>
        <v/>
      </c>
      <c r="K191">
        <f t="shared" si="28"/>
        <v>0</v>
      </c>
      <c r="M191" t="str">
        <f>IF($C$15&gt;=3,IF($C$13="Yes",IF(Summary!B187&lt;&gt;"",Summary!B187,""),""),"")</f>
        <v/>
      </c>
      <c r="N191" t="str">
        <f t="shared" si="29"/>
        <v/>
      </c>
      <c r="O191">
        <f t="shared" si="30"/>
        <v>0</v>
      </c>
      <c r="Q191" t="str">
        <f>IF($C$15&gt;=4,IF($C$13="Yes",IF(Summary!B187&lt;&gt;"",Summary!B187,""),""),"")</f>
        <v/>
      </c>
      <c r="R191" t="str">
        <f t="shared" si="31"/>
        <v/>
      </c>
      <c r="S191">
        <f t="shared" si="32"/>
        <v>0</v>
      </c>
      <c r="U191" t="str">
        <f>IF($C$15&gt;=5,IF($C$13="Yes",IF(Summary!B187&lt;&gt;"",Summary!B187,""),""),"")</f>
        <v/>
      </c>
      <c r="V191" t="str">
        <f t="shared" si="33"/>
        <v/>
      </c>
      <c r="W191">
        <f t="shared" si="34"/>
        <v>0</v>
      </c>
      <c r="Y191" t="str">
        <f>IF($C$13="Yes",IF(Summary!B187&lt;&gt;"",Summary!B187,""),"")</f>
        <v/>
      </c>
      <c r="Z191" s="439" t="str">
        <f t="shared" si="35"/>
        <v/>
      </c>
      <c r="AA191" t="str">
        <f t="shared" si="24"/>
        <v/>
      </c>
    </row>
    <row r="192" spans="2:27">
      <c r="B192" t="str">
        <f>IF(Summary!B188&lt;&gt;"",Summary!B188,"")</f>
        <v/>
      </c>
      <c r="C192" t="str">
        <f>IF(Summary!C188&lt;&gt;"",Summary!C188,"")</f>
        <v/>
      </c>
      <c r="E192" t="str">
        <f>IF($C$15&gt;=1,IF($C$13="Yes",IF(Summary!B188&lt;&gt;"",Summary!B188,""),""),"")</f>
        <v/>
      </c>
      <c r="F192" t="str">
        <f t="shared" si="25"/>
        <v/>
      </c>
      <c r="G192">
        <f t="shared" si="26"/>
        <v>0</v>
      </c>
      <c r="I192" t="str">
        <f>IF($C$15&gt;=2,IF($C$13="Yes",IF(Summary!B188&lt;&gt;"",Summary!B188,""),""),"")</f>
        <v/>
      </c>
      <c r="J192" t="str">
        <f t="shared" si="27"/>
        <v/>
      </c>
      <c r="K192">
        <f t="shared" si="28"/>
        <v>0</v>
      </c>
      <c r="M192" t="str">
        <f>IF($C$15&gt;=3,IF($C$13="Yes",IF(Summary!B188&lt;&gt;"",Summary!B188,""),""),"")</f>
        <v/>
      </c>
      <c r="N192" t="str">
        <f t="shared" si="29"/>
        <v/>
      </c>
      <c r="O192">
        <f t="shared" si="30"/>
        <v>0</v>
      </c>
      <c r="Q192" t="str">
        <f>IF($C$15&gt;=4,IF($C$13="Yes",IF(Summary!B188&lt;&gt;"",Summary!B188,""),""),"")</f>
        <v/>
      </c>
      <c r="R192" t="str">
        <f t="shared" si="31"/>
        <v/>
      </c>
      <c r="S192">
        <f t="shared" si="32"/>
        <v>0</v>
      </c>
      <c r="U192" t="str">
        <f>IF($C$15&gt;=5,IF($C$13="Yes",IF(Summary!B188&lt;&gt;"",Summary!B188,""),""),"")</f>
        <v/>
      </c>
      <c r="V192" t="str">
        <f t="shared" si="33"/>
        <v/>
      </c>
      <c r="W192">
        <f t="shared" si="34"/>
        <v>0</v>
      </c>
      <c r="Y192" t="str">
        <f>IF($C$13="Yes",IF(Summary!B188&lt;&gt;"",Summary!B188,""),"")</f>
        <v/>
      </c>
      <c r="Z192" s="439" t="str">
        <f t="shared" si="35"/>
        <v/>
      </c>
      <c r="AA192" t="str">
        <f t="shared" si="24"/>
        <v/>
      </c>
    </row>
    <row r="193" spans="2:27">
      <c r="B193" t="str">
        <f>IF(Summary!B189&lt;&gt;"",Summary!B189,"")</f>
        <v/>
      </c>
      <c r="C193" t="str">
        <f>IF(Summary!C189&lt;&gt;"",Summary!C189,"")</f>
        <v/>
      </c>
      <c r="E193" t="str">
        <f>IF($C$15&gt;=1,IF($C$13="Yes",IF(Summary!B189&lt;&gt;"",Summary!B189,""),""),"")</f>
        <v/>
      </c>
      <c r="F193" t="str">
        <f t="shared" si="25"/>
        <v/>
      </c>
      <c r="G193">
        <f t="shared" si="26"/>
        <v>0</v>
      </c>
      <c r="I193" t="str">
        <f>IF($C$15&gt;=2,IF($C$13="Yes",IF(Summary!B189&lt;&gt;"",Summary!B189,""),""),"")</f>
        <v/>
      </c>
      <c r="J193" t="str">
        <f t="shared" si="27"/>
        <v/>
      </c>
      <c r="K193">
        <f t="shared" si="28"/>
        <v>0</v>
      </c>
      <c r="M193" t="str">
        <f>IF($C$15&gt;=3,IF($C$13="Yes",IF(Summary!B189&lt;&gt;"",Summary!B189,""),""),"")</f>
        <v/>
      </c>
      <c r="N193" t="str">
        <f t="shared" si="29"/>
        <v/>
      </c>
      <c r="O193">
        <f t="shared" si="30"/>
        <v>0</v>
      </c>
      <c r="Q193" t="str">
        <f>IF($C$15&gt;=4,IF($C$13="Yes",IF(Summary!B189&lt;&gt;"",Summary!B189,""),""),"")</f>
        <v/>
      </c>
      <c r="R193" t="str">
        <f t="shared" si="31"/>
        <v/>
      </c>
      <c r="S193">
        <f t="shared" si="32"/>
        <v>0</v>
      </c>
      <c r="U193" t="str">
        <f>IF($C$15&gt;=5,IF($C$13="Yes",IF(Summary!B189&lt;&gt;"",Summary!B189,""),""),"")</f>
        <v/>
      </c>
      <c r="V193" t="str">
        <f t="shared" si="33"/>
        <v/>
      </c>
      <c r="W193">
        <f t="shared" si="34"/>
        <v>0</v>
      </c>
      <c r="Y193" t="str">
        <f>IF($C$13="Yes",IF(Summary!B189&lt;&gt;"",Summary!B189,""),"")</f>
        <v/>
      </c>
      <c r="Z193" s="439" t="str">
        <f t="shared" si="35"/>
        <v/>
      </c>
      <c r="AA193" t="str">
        <f t="shared" si="24"/>
        <v/>
      </c>
    </row>
    <row r="194" spans="2:27">
      <c r="B194" t="str">
        <f>IF(Summary!B190&lt;&gt;"",Summary!B190,"")</f>
        <v/>
      </c>
      <c r="C194" t="str">
        <f>IF(Summary!C190&lt;&gt;"",Summary!C190,"")</f>
        <v/>
      </c>
      <c r="E194" t="str">
        <f>IF($C$15&gt;=1,IF($C$13="Yes",IF(Summary!B190&lt;&gt;"",Summary!B190,""),""),"")</f>
        <v/>
      </c>
      <c r="F194" t="str">
        <f t="shared" si="25"/>
        <v/>
      </c>
      <c r="G194">
        <f t="shared" si="26"/>
        <v>0</v>
      </c>
      <c r="I194" t="str">
        <f>IF($C$15&gt;=2,IF($C$13="Yes",IF(Summary!B190&lt;&gt;"",Summary!B190,""),""),"")</f>
        <v/>
      </c>
      <c r="J194" t="str">
        <f t="shared" si="27"/>
        <v/>
      </c>
      <c r="K194">
        <f t="shared" si="28"/>
        <v>0</v>
      </c>
      <c r="M194" t="str">
        <f>IF($C$15&gt;=3,IF($C$13="Yes",IF(Summary!B190&lt;&gt;"",Summary!B190,""),""),"")</f>
        <v/>
      </c>
      <c r="N194" t="str">
        <f t="shared" si="29"/>
        <v/>
      </c>
      <c r="O194">
        <f t="shared" si="30"/>
        <v>0</v>
      </c>
      <c r="Q194" t="str">
        <f>IF($C$15&gt;=4,IF($C$13="Yes",IF(Summary!B190&lt;&gt;"",Summary!B190,""),""),"")</f>
        <v/>
      </c>
      <c r="R194" t="str">
        <f t="shared" si="31"/>
        <v/>
      </c>
      <c r="S194">
        <f t="shared" si="32"/>
        <v>0</v>
      </c>
      <c r="U194" t="str">
        <f>IF($C$15&gt;=5,IF($C$13="Yes",IF(Summary!B190&lt;&gt;"",Summary!B190,""),""),"")</f>
        <v/>
      </c>
      <c r="V194" t="str">
        <f t="shared" si="33"/>
        <v/>
      </c>
      <c r="W194">
        <f t="shared" si="34"/>
        <v>0</v>
      </c>
      <c r="Y194" t="str">
        <f>IF($C$13="Yes",IF(Summary!B190&lt;&gt;"",Summary!B190,""),"")</f>
        <v/>
      </c>
      <c r="Z194" s="439" t="str">
        <f t="shared" si="35"/>
        <v/>
      </c>
      <c r="AA194" t="str">
        <f t="shared" si="24"/>
        <v/>
      </c>
    </row>
    <row r="195" spans="2:27">
      <c r="B195" t="str">
        <f>IF(Summary!B191&lt;&gt;"",Summary!B191,"")</f>
        <v/>
      </c>
      <c r="C195" t="str">
        <f>IF(Summary!C191&lt;&gt;"",Summary!C191,"")</f>
        <v/>
      </c>
      <c r="E195" t="str">
        <f>IF($C$15&gt;=1,IF($C$13="Yes",IF(Summary!B191&lt;&gt;"",Summary!B191,""),""),"")</f>
        <v/>
      </c>
      <c r="F195" t="str">
        <f t="shared" si="25"/>
        <v/>
      </c>
      <c r="G195">
        <f t="shared" si="26"/>
        <v>0</v>
      </c>
      <c r="I195" t="str">
        <f>IF($C$15&gt;=2,IF($C$13="Yes",IF(Summary!B191&lt;&gt;"",Summary!B191,""),""),"")</f>
        <v/>
      </c>
      <c r="J195" t="str">
        <f t="shared" si="27"/>
        <v/>
      </c>
      <c r="K195">
        <f t="shared" si="28"/>
        <v>0</v>
      </c>
      <c r="M195" t="str">
        <f>IF($C$15&gt;=3,IF($C$13="Yes",IF(Summary!B191&lt;&gt;"",Summary!B191,""),""),"")</f>
        <v/>
      </c>
      <c r="N195" t="str">
        <f t="shared" si="29"/>
        <v/>
      </c>
      <c r="O195">
        <f t="shared" si="30"/>
        <v>0</v>
      </c>
      <c r="Q195" t="str">
        <f>IF($C$15&gt;=4,IF($C$13="Yes",IF(Summary!B191&lt;&gt;"",Summary!B191,""),""),"")</f>
        <v/>
      </c>
      <c r="R195" t="str">
        <f t="shared" si="31"/>
        <v/>
      </c>
      <c r="S195">
        <f t="shared" si="32"/>
        <v>0</v>
      </c>
      <c r="U195" t="str">
        <f>IF($C$15&gt;=5,IF($C$13="Yes",IF(Summary!B191&lt;&gt;"",Summary!B191,""),""),"")</f>
        <v/>
      </c>
      <c r="V195" t="str">
        <f t="shared" si="33"/>
        <v/>
      </c>
      <c r="W195">
        <f t="shared" si="34"/>
        <v>0</v>
      </c>
      <c r="Y195" t="str">
        <f>IF($C$13="Yes",IF(Summary!B191&lt;&gt;"",Summary!B191,""),"")</f>
        <v/>
      </c>
      <c r="Z195" s="439" t="str">
        <f t="shared" si="35"/>
        <v/>
      </c>
      <c r="AA195" t="str">
        <f t="shared" si="24"/>
        <v/>
      </c>
    </row>
    <row r="196" spans="2:27">
      <c r="B196" t="str">
        <f>IF(Summary!B192&lt;&gt;"",Summary!B192,"")</f>
        <v/>
      </c>
      <c r="C196" t="str">
        <f>IF(Summary!C192&lt;&gt;"",Summary!C192,"")</f>
        <v/>
      </c>
      <c r="E196" t="str">
        <f>IF($C$15&gt;=1,IF($C$13="Yes",IF(Summary!B192&lt;&gt;"",Summary!B192,""),""),"")</f>
        <v/>
      </c>
      <c r="F196" t="str">
        <f t="shared" si="25"/>
        <v/>
      </c>
      <c r="G196">
        <f t="shared" si="26"/>
        <v>0</v>
      </c>
      <c r="I196" t="str">
        <f>IF($C$15&gt;=2,IF($C$13="Yes",IF(Summary!B192&lt;&gt;"",Summary!B192,""),""),"")</f>
        <v/>
      </c>
      <c r="J196" t="str">
        <f t="shared" si="27"/>
        <v/>
      </c>
      <c r="K196">
        <f t="shared" si="28"/>
        <v>0</v>
      </c>
      <c r="M196" t="str">
        <f>IF($C$15&gt;=3,IF($C$13="Yes",IF(Summary!B192&lt;&gt;"",Summary!B192,""),""),"")</f>
        <v/>
      </c>
      <c r="N196" t="str">
        <f t="shared" si="29"/>
        <v/>
      </c>
      <c r="O196">
        <f t="shared" si="30"/>
        <v>0</v>
      </c>
      <c r="Q196" t="str">
        <f>IF($C$15&gt;=4,IF($C$13="Yes",IF(Summary!B192&lt;&gt;"",Summary!B192,""),""),"")</f>
        <v/>
      </c>
      <c r="R196" t="str">
        <f t="shared" si="31"/>
        <v/>
      </c>
      <c r="S196">
        <f t="shared" si="32"/>
        <v>0</v>
      </c>
      <c r="U196" t="str">
        <f>IF($C$15&gt;=5,IF($C$13="Yes",IF(Summary!B192&lt;&gt;"",Summary!B192,""),""),"")</f>
        <v/>
      </c>
      <c r="V196" t="str">
        <f t="shared" si="33"/>
        <v/>
      </c>
      <c r="W196">
        <f t="shared" si="34"/>
        <v>0</v>
      </c>
      <c r="Y196" t="str">
        <f>IF($C$13="Yes",IF(Summary!B192&lt;&gt;"",Summary!B192,""),"")</f>
        <v/>
      </c>
      <c r="Z196" s="439" t="str">
        <f t="shared" si="35"/>
        <v/>
      </c>
      <c r="AA196" t="str">
        <f t="shared" si="24"/>
        <v/>
      </c>
    </row>
    <row r="197" spans="2:27">
      <c r="B197" t="str">
        <f>IF(Summary!B193&lt;&gt;"",Summary!B193,"")</f>
        <v/>
      </c>
      <c r="C197" t="str">
        <f>IF(Summary!C193&lt;&gt;"",Summary!C193,"")</f>
        <v/>
      </c>
      <c r="E197" t="str">
        <f>IF($C$15&gt;=1,IF($C$13="Yes",IF(Summary!B193&lt;&gt;"",Summary!B193,""),""),"")</f>
        <v/>
      </c>
      <c r="F197" t="str">
        <f t="shared" si="25"/>
        <v/>
      </c>
      <c r="G197">
        <f t="shared" si="26"/>
        <v>0</v>
      </c>
      <c r="I197" t="str">
        <f>IF($C$15&gt;=2,IF($C$13="Yes",IF(Summary!B193&lt;&gt;"",Summary!B193,""),""),"")</f>
        <v/>
      </c>
      <c r="J197" t="str">
        <f t="shared" si="27"/>
        <v/>
      </c>
      <c r="K197">
        <f t="shared" si="28"/>
        <v>0</v>
      </c>
      <c r="M197" t="str">
        <f>IF($C$15&gt;=3,IF($C$13="Yes",IF(Summary!B193&lt;&gt;"",Summary!B193,""),""),"")</f>
        <v/>
      </c>
      <c r="N197" t="str">
        <f t="shared" si="29"/>
        <v/>
      </c>
      <c r="O197">
        <f t="shared" si="30"/>
        <v>0</v>
      </c>
      <c r="Q197" t="str">
        <f>IF($C$15&gt;=4,IF($C$13="Yes",IF(Summary!B193&lt;&gt;"",Summary!B193,""),""),"")</f>
        <v/>
      </c>
      <c r="R197" t="str">
        <f t="shared" si="31"/>
        <v/>
      </c>
      <c r="S197">
        <f t="shared" si="32"/>
        <v>0</v>
      </c>
      <c r="U197" t="str">
        <f>IF($C$15&gt;=5,IF($C$13="Yes",IF(Summary!B193&lt;&gt;"",Summary!B193,""),""),"")</f>
        <v/>
      </c>
      <c r="V197" t="str">
        <f t="shared" si="33"/>
        <v/>
      </c>
      <c r="W197">
        <f t="shared" si="34"/>
        <v>0</v>
      </c>
      <c r="Y197" t="str">
        <f>IF($C$13="Yes",IF(Summary!B193&lt;&gt;"",Summary!B193,""),"")</f>
        <v/>
      </c>
      <c r="Z197" s="439" t="str">
        <f t="shared" si="35"/>
        <v/>
      </c>
      <c r="AA197" t="str">
        <f t="shared" si="24"/>
        <v/>
      </c>
    </row>
    <row r="198" spans="2:27">
      <c r="B198" t="str">
        <f>IF(Summary!B194&lt;&gt;"",Summary!B194,"")</f>
        <v/>
      </c>
      <c r="C198" t="str">
        <f>IF(Summary!C194&lt;&gt;"",Summary!C194,"")</f>
        <v/>
      </c>
      <c r="E198" t="str">
        <f>IF($C$15&gt;=1,IF($C$13="Yes",IF(Summary!B194&lt;&gt;"",Summary!B194,""),""),"")</f>
        <v/>
      </c>
      <c r="F198" t="str">
        <f t="shared" si="25"/>
        <v/>
      </c>
      <c r="G198">
        <f t="shared" si="26"/>
        <v>0</v>
      </c>
      <c r="I198" t="str">
        <f>IF($C$15&gt;=2,IF($C$13="Yes",IF(Summary!B194&lt;&gt;"",Summary!B194,""),""),"")</f>
        <v/>
      </c>
      <c r="J198" t="str">
        <f t="shared" si="27"/>
        <v/>
      </c>
      <c r="K198">
        <f t="shared" si="28"/>
        <v>0</v>
      </c>
      <c r="M198" t="str">
        <f>IF($C$15&gt;=3,IF($C$13="Yes",IF(Summary!B194&lt;&gt;"",Summary!B194,""),""),"")</f>
        <v/>
      </c>
      <c r="N198" t="str">
        <f t="shared" si="29"/>
        <v/>
      </c>
      <c r="O198">
        <f t="shared" si="30"/>
        <v>0</v>
      </c>
      <c r="Q198" t="str">
        <f>IF($C$15&gt;=4,IF($C$13="Yes",IF(Summary!B194&lt;&gt;"",Summary!B194,""),""),"")</f>
        <v/>
      </c>
      <c r="R198" t="str">
        <f t="shared" si="31"/>
        <v/>
      </c>
      <c r="S198">
        <f t="shared" si="32"/>
        <v>0</v>
      </c>
      <c r="U198" t="str">
        <f>IF($C$15&gt;=5,IF($C$13="Yes",IF(Summary!B194&lt;&gt;"",Summary!B194,""),""),"")</f>
        <v/>
      </c>
      <c r="V198" t="str">
        <f t="shared" si="33"/>
        <v/>
      </c>
      <c r="W198">
        <f t="shared" si="34"/>
        <v>0</v>
      </c>
      <c r="Y198" t="str">
        <f>IF($C$13="Yes",IF(Summary!B194&lt;&gt;"",Summary!B194,""),"")</f>
        <v/>
      </c>
      <c r="Z198" s="439" t="str">
        <f t="shared" si="35"/>
        <v/>
      </c>
      <c r="AA198" t="str">
        <f t="shared" si="24"/>
        <v/>
      </c>
    </row>
    <row r="199" spans="2:27">
      <c r="B199" t="str">
        <f>IF(Summary!B195&lt;&gt;"",Summary!B195,"")</f>
        <v/>
      </c>
      <c r="C199" t="str">
        <f>IF(Summary!C195&lt;&gt;"",Summary!C195,"")</f>
        <v/>
      </c>
      <c r="E199" t="str">
        <f>IF($C$15&gt;=1,IF($C$13="Yes",IF(Summary!B195&lt;&gt;"",Summary!B195,""),""),"")</f>
        <v/>
      </c>
      <c r="F199" t="str">
        <f t="shared" si="25"/>
        <v/>
      </c>
      <c r="G199">
        <f t="shared" si="26"/>
        <v>0</v>
      </c>
      <c r="I199" t="str">
        <f>IF($C$15&gt;=2,IF($C$13="Yes",IF(Summary!B195&lt;&gt;"",Summary!B195,""),""),"")</f>
        <v/>
      </c>
      <c r="J199" t="str">
        <f t="shared" si="27"/>
        <v/>
      </c>
      <c r="K199">
        <f t="shared" si="28"/>
        <v>0</v>
      </c>
      <c r="M199" t="str">
        <f>IF($C$15&gt;=3,IF($C$13="Yes",IF(Summary!B195&lt;&gt;"",Summary!B195,""),""),"")</f>
        <v/>
      </c>
      <c r="N199" t="str">
        <f t="shared" si="29"/>
        <v/>
      </c>
      <c r="O199">
        <f t="shared" si="30"/>
        <v>0</v>
      </c>
      <c r="Q199" t="str">
        <f>IF($C$15&gt;=4,IF($C$13="Yes",IF(Summary!B195&lt;&gt;"",Summary!B195,""),""),"")</f>
        <v/>
      </c>
      <c r="R199" t="str">
        <f t="shared" si="31"/>
        <v/>
      </c>
      <c r="S199">
        <f t="shared" si="32"/>
        <v>0</v>
      </c>
      <c r="U199" t="str">
        <f>IF($C$15&gt;=5,IF($C$13="Yes",IF(Summary!B195&lt;&gt;"",Summary!B195,""),""),"")</f>
        <v/>
      </c>
      <c r="V199" t="str">
        <f t="shared" si="33"/>
        <v/>
      </c>
      <c r="W199">
        <f t="shared" si="34"/>
        <v>0</v>
      </c>
      <c r="Y199" t="str">
        <f>IF($C$13="Yes",IF(Summary!B195&lt;&gt;"",Summary!B195,""),"")</f>
        <v/>
      </c>
      <c r="Z199" s="439" t="str">
        <f t="shared" si="35"/>
        <v/>
      </c>
      <c r="AA199" t="str">
        <f t="shared" si="24"/>
        <v/>
      </c>
    </row>
    <row r="200" spans="2:27">
      <c r="B200" t="str">
        <f>IF(Summary!B196&lt;&gt;"",Summary!B196,"")</f>
        <v/>
      </c>
      <c r="C200" t="str">
        <f>IF(Summary!C196&lt;&gt;"",Summary!C196,"")</f>
        <v/>
      </c>
      <c r="E200" t="str">
        <f>IF($C$15&gt;=1,IF($C$13="Yes",IF(Summary!B196&lt;&gt;"",Summary!B196,""),""),"")</f>
        <v/>
      </c>
      <c r="F200" t="str">
        <f t="shared" si="25"/>
        <v/>
      </c>
      <c r="G200">
        <f t="shared" si="26"/>
        <v>0</v>
      </c>
      <c r="I200" t="str">
        <f>IF($C$15&gt;=2,IF($C$13="Yes",IF(Summary!B196&lt;&gt;"",Summary!B196,""),""),"")</f>
        <v/>
      </c>
      <c r="J200" t="str">
        <f t="shared" si="27"/>
        <v/>
      </c>
      <c r="K200">
        <f t="shared" si="28"/>
        <v>0</v>
      </c>
      <c r="M200" t="str">
        <f>IF($C$15&gt;=3,IF($C$13="Yes",IF(Summary!B196&lt;&gt;"",Summary!B196,""),""),"")</f>
        <v/>
      </c>
      <c r="N200" t="str">
        <f t="shared" si="29"/>
        <v/>
      </c>
      <c r="O200">
        <f t="shared" si="30"/>
        <v>0</v>
      </c>
      <c r="Q200" t="str">
        <f>IF($C$15&gt;=4,IF($C$13="Yes",IF(Summary!B196&lt;&gt;"",Summary!B196,""),""),"")</f>
        <v/>
      </c>
      <c r="R200" t="str">
        <f t="shared" si="31"/>
        <v/>
      </c>
      <c r="S200">
        <f t="shared" si="32"/>
        <v>0</v>
      </c>
      <c r="U200" t="str">
        <f>IF($C$15&gt;=5,IF($C$13="Yes",IF(Summary!B196&lt;&gt;"",Summary!B196,""),""),"")</f>
        <v/>
      </c>
      <c r="V200" t="str">
        <f t="shared" si="33"/>
        <v/>
      </c>
      <c r="W200">
        <f t="shared" si="34"/>
        <v>0</v>
      </c>
      <c r="Y200" t="str">
        <f>IF($C$13="Yes",IF(Summary!B196&lt;&gt;"",Summary!B196,""),"")</f>
        <v/>
      </c>
      <c r="Z200" s="439" t="str">
        <f t="shared" si="35"/>
        <v/>
      </c>
      <c r="AA200" t="str">
        <f t="shared" si="24"/>
        <v/>
      </c>
    </row>
    <row r="201" spans="2:27">
      <c r="B201" t="str">
        <f>IF(Summary!B197&lt;&gt;"",Summary!B197,"")</f>
        <v/>
      </c>
      <c r="C201" t="str">
        <f>IF(Summary!C197&lt;&gt;"",Summary!C197,"")</f>
        <v/>
      </c>
      <c r="E201" t="str">
        <f>IF($C$15&gt;=1,IF($C$13="Yes",IF(Summary!B197&lt;&gt;"",Summary!B197,""),""),"")</f>
        <v/>
      </c>
      <c r="F201" t="str">
        <f t="shared" si="25"/>
        <v/>
      </c>
      <c r="G201">
        <f t="shared" si="26"/>
        <v>0</v>
      </c>
      <c r="I201" t="str">
        <f>IF($C$15&gt;=2,IF($C$13="Yes",IF(Summary!B197&lt;&gt;"",Summary!B197,""),""),"")</f>
        <v/>
      </c>
      <c r="J201" t="str">
        <f t="shared" si="27"/>
        <v/>
      </c>
      <c r="K201">
        <f t="shared" si="28"/>
        <v>0</v>
      </c>
      <c r="M201" t="str">
        <f>IF($C$15&gt;=3,IF($C$13="Yes",IF(Summary!B197&lt;&gt;"",Summary!B197,""),""),"")</f>
        <v/>
      </c>
      <c r="N201" t="str">
        <f t="shared" si="29"/>
        <v/>
      </c>
      <c r="O201">
        <f t="shared" si="30"/>
        <v>0</v>
      </c>
      <c r="Q201" t="str">
        <f>IF($C$15&gt;=4,IF($C$13="Yes",IF(Summary!B197&lt;&gt;"",Summary!B197,""),""),"")</f>
        <v/>
      </c>
      <c r="R201" t="str">
        <f t="shared" si="31"/>
        <v/>
      </c>
      <c r="S201">
        <f t="shared" si="32"/>
        <v>0</v>
      </c>
      <c r="U201" t="str">
        <f>IF($C$15&gt;=5,IF($C$13="Yes",IF(Summary!B197&lt;&gt;"",Summary!B197,""),""),"")</f>
        <v/>
      </c>
      <c r="V201" t="str">
        <f t="shared" si="33"/>
        <v/>
      </c>
      <c r="W201">
        <f t="shared" si="34"/>
        <v>0</v>
      </c>
      <c r="Y201" t="str">
        <f>IF($C$13="Yes",IF(Summary!B197&lt;&gt;"",Summary!B197,""),"")</f>
        <v/>
      </c>
      <c r="Z201" s="439" t="str">
        <f t="shared" si="35"/>
        <v/>
      </c>
      <c r="AA201" t="str">
        <f t="shared" si="24"/>
        <v/>
      </c>
    </row>
    <row r="202" spans="2:27">
      <c r="B202" t="str">
        <f>IF(Summary!B198&lt;&gt;"",Summary!B198,"")</f>
        <v/>
      </c>
      <c r="C202" t="str">
        <f>IF(Summary!C198&lt;&gt;"",Summary!C198,"")</f>
        <v/>
      </c>
      <c r="E202" t="str">
        <f>IF($C$15&gt;=1,IF($C$13="Yes",IF(Summary!B198&lt;&gt;"",Summary!B198,""),""),"")</f>
        <v/>
      </c>
      <c r="F202" t="str">
        <f t="shared" si="25"/>
        <v/>
      </c>
      <c r="G202">
        <f t="shared" si="26"/>
        <v>0</v>
      </c>
      <c r="I202" t="str">
        <f>IF($C$15&gt;=2,IF($C$13="Yes",IF(Summary!B198&lt;&gt;"",Summary!B198,""),""),"")</f>
        <v/>
      </c>
      <c r="J202" t="str">
        <f t="shared" si="27"/>
        <v/>
      </c>
      <c r="K202">
        <f t="shared" si="28"/>
        <v>0</v>
      </c>
      <c r="M202" t="str">
        <f>IF($C$15&gt;=3,IF($C$13="Yes",IF(Summary!B198&lt;&gt;"",Summary!B198,""),""),"")</f>
        <v/>
      </c>
      <c r="N202" t="str">
        <f t="shared" si="29"/>
        <v/>
      </c>
      <c r="O202">
        <f t="shared" si="30"/>
        <v>0</v>
      </c>
      <c r="Q202" t="str">
        <f>IF($C$15&gt;=4,IF($C$13="Yes",IF(Summary!B198&lt;&gt;"",Summary!B198,""),""),"")</f>
        <v/>
      </c>
      <c r="R202" t="str">
        <f t="shared" si="31"/>
        <v/>
      </c>
      <c r="S202">
        <f t="shared" si="32"/>
        <v>0</v>
      </c>
      <c r="U202" t="str">
        <f>IF($C$15&gt;=5,IF($C$13="Yes",IF(Summary!B198&lt;&gt;"",Summary!B198,""),""),"")</f>
        <v/>
      </c>
      <c r="V202" t="str">
        <f t="shared" si="33"/>
        <v/>
      </c>
      <c r="W202">
        <f t="shared" si="34"/>
        <v>0</v>
      </c>
      <c r="Y202" t="str">
        <f>IF($C$13="Yes",IF(Summary!B198&lt;&gt;"",Summary!B198,""),"")</f>
        <v/>
      </c>
      <c r="Z202" s="439" t="str">
        <f t="shared" si="35"/>
        <v/>
      </c>
      <c r="AA202" t="str">
        <f t="shared" si="24"/>
        <v/>
      </c>
    </row>
    <row r="203" spans="2:27">
      <c r="B203" t="str">
        <f>IF(Summary!B199&lt;&gt;"",Summary!B199,"")</f>
        <v/>
      </c>
      <c r="C203" t="str">
        <f>IF(Summary!C199&lt;&gt;"",Summary!C199,"")</f>
        <v/>
      </c>
      <c r="E203" t="str">
        <f>IF($C$15&gt;=1,IF($C$13="Yes",IF(Summary!B199&lt;&gt;"",Summary!B199,""),""),"")</f>
        <v/>
      </c>
      <c r="F203" t="str">
        <f t="shared" si="25"/>
        <v/>
      </c>
      <c r="G203">
        <f t="shared" si="26"/>
        <v>0</v>
      </c>
      <c r="I203" t="str">
        <f>IF($C$15&gt;=2,IF($C$13="Yes",IF(Summary!B199&lt;&gt;"",Summary!B199,""),""),"")</f>
        <v/>
      </c>
      <c r="J203" t="str">
        <f t="shared" si="27"/>
        <v/>
      </c>
      <c r="K203">
        <f t="shared" si="28"/>
        <v>0</v>
      </c>
      <c r="M203" t="str">
        <f>IF($C$15&gt;=3,IF($C$13="Yes",IF(Summary!B199&lt;&gt;"",Summary!B199,""),""),"")</f>
        <v/>
      </c>
      <c r="N203" t="str">
        <f t="shared" si="29"/>
        <v/>
      </c>
      <c r="O203">
        <f t="shared" si="30"/>
        <v>0</v>
      </c>
      <c r="Q203" t="str">
        <f>IF($C$15&gt;=4,IF($C$13="Yes",IF(Summary!B199&lt;&gt;"",Summary!B199,""),""),"")</f>
        <v/>
      </c>
      <c r="R203" t="str">
        <f t="shared" si="31"/>
        <v/>
      </c>
      <c r="S203">
        <f t="shared" si="32"/>
        <v>0</v>
      </c>
      <c r="U203" t="str">
        <f>IF($C$15&gt;=5,IF($C$13="Yes",IF(Summary!B199&lt;&gt;"",Summary!B199,""),""),"")</f>
        <v/>
      </c>
      <c r="V203" t="str">
        <f t="shared" si="33"/>
        <v/>
      </c>
      <c r="W203">
        <f t="shared" si="34"/>
        <v>0</v>
      </c>
      <c r="Y203" t="str">
        <f>IF($C$13="Yes",IF(Summary!B199&lt;&gt;"",Summary!B199,""),"")</f>
        <v/>
      </c>
      <c r="Z203" s="439" t="str">
        <f t="shared" si="35"/>
        <v/>
      </c>
      <c r="AA203" t="str">
        <f t="shared" si="24"/>
        <v/>
      </c>
    </row>
    <row r="204" spans="2:27">
      <c r="B204" t="str">
        <f>IF(Summary!B200&lt;&gt;"",Summary!B200,"")</f>
        <v/>
      </c>
      <c r="C204" t="str">
        <f>IF(Summary!C200&lt;&gt;"",Summary!C200,"")</f>
        <v/>
      </c>
      <c r="E204" t="str">
        <f>IF($C$15&gt;=1,IF($C$13="Yes",IF(Summary!B200&lt;&gt;"",Summary!B200,""),""),"")</f>
        <v/>
      </c>
      <c r="F204" t="str">
        <f t="shared" si="25"/>
        <v/>
      </c>
      <c r="G204">
        <f t="shared" si="26"/>
        <v>0</v>
      </c>
      <c r="I204" t="str">
        <f>IF($C$15&gt;=2,IF($C$13="Yes",IF(Summary!B200&lt;&gt;"",Summary!B200,""),""),"")</f>
        <v/>
      </c>
      <c r="J204" t="str">
        <f t="shared" si="27"/>
        <v/>
      </c>
      <c r="K204">
        <f t="shared" si="28"/>
        <v>0</v>
      </c>
      <c r="M204" t="str">
        <f>IF($C$15&gt;=3,IF($C$13="Yes",IF(Summary!B200&lt;&gt;"",Summary!B200,""),""),"")</f>
        <v/>
      </c>
      <c r="N204" t="str">
        <f t="shared" si="29"/>
        <v/>
      </c>
      <c r="O204">
        <f t="shared" si="30"/>
        <v>0</v>
      </c>
      <c r="Q204" t="str">
        <f>IF($C$15&gt;=4,IF($C$13="Yes",IF(Summary!B200&lt;&gt;"",Summary!B200,""),""),"")</f>
        <v/>
      </c>
      <c r="R204" t="str">
        <f t="shared" si="31"/>
        <v/>
      </c>
      <c r="S204">
        <f t="shared" si="32"/>
        <v>0</v>
      </c>
      <c r="U204" t="str">
        <f>IF($C$15&gt;=5,IF($C$13="Yes",IF(Summary!B200&lt;&gt;"",Summary!B200,""),""),"")</f>
        <v/>
      </c>
      <c r="V204" t="str">
        <f t="shared" si="33"/>
        <v/>
      </c>
      <c r="W204">
        <f t="shared" si="34"/>
        <v>0</v>
      </c>
      <c r="Y204" t="str">
        <f>IF($C$13="Yes",IF(Summary!B200&lt;&gt;"",Summary!B200,""),"")</f>
        <v/>
      </c>
      <c r="Z204" s="439" t="str">
        <f t="shared" si="35"/>
        <v/>
      </c>
      <c r="AA204" t="str">
        <f t="shared" si="24"/>
        <v/>
      </c>
    </row>
    <row r="205" spans="2:27">
      <c r="B205" t="str">
        <f>IF(Summary!B201&lt;&gt;"",Summary!B201,"")</f>
        <v/>
      </c>
      <c r="C205" t="str">
        <f>IF(Summary!C201&lt;&gt;"",Summary!C201,"")</f>
        <v/>
      </c>
      <c r="E205" t="str">
        <f>IF($C$15&gt;=1,IF($C$13="Yes",IF(Summary!B201&lt;&gt;"",Summary!B201,""),""),"")</f>
        <v/>
      </c>
      <c r="F205" t="str">
        <f t="shared" si="25"/>
        <v/>
      </c>
      <c r="G205">
        <f t="shared" si="26"/>
        <v>0</v>
      </c>
      <c r="I205" t="str">
        <f>IF($C$15&gt;=2,IF($C$13="Yes",IF(Summary!B201&lt;&gt;"",Summary!B201,""),""),"")</f>
        <v/>
      </c>
      <c r="J205" t="str">
        <f t="shared" si="27"/>
        <v/>
      </c>
      <c r="K205">
        <f t="shared" si="28"/>
        <v>0</v>
      </c>
      <c r="M205" t="str">
        <f>IF($C$15&gt;=3,IF($C$13="Yes",IF(Summary!B201&lt;&gt;"",Summary!B201,""),""),"")</f>
        <v/>
      </c>
      <c r="N205" t="str">
        <f t="shared" si="29"/>
        <v/>
      </c>
      <c r="O205">
        <f t="shared" si="30"/>
        <v>0</v>
      </c>
      <c r="Q205" t="str">
        <f>IF($C$15&gt;=4,IF($C$13="Yes",IF(Summary!B201&lt;&gt;"",Summary!B201,""),""),"")</f>
        <v/>
      </c>
      <c r="R205" t="str">
        <f t="shared" si="31"/>
        <v/>
      </c>
      <c r="S205">
        <f t="shared" si="32"/>
        <v>0</v>
      </c>
      <c r="U205" t="str">
        <f>IF($C$15&gt;=5,IF($C$13="Yes",IF(Summary!B201&lt;&gt;"",Summary!B201,""),""),"")</f>
        <v/>
      </c>
      <c r="V205" t="str">
        <f t="shared" si="33"/>
        <v/>
      </c>
      <c r="W205">
        <f t="shared" si="34"/>
        <v>0</v>
      </c>
      <c r="Y205" t="str">
        <f>IF($C$13="Yes",IF(Summary!B201&lt;&gt;"",Summary!B201,""),"")</f>
        <v/>
      </c>
      <c r="Z205" s="439" t="str">
        <f t="shared" si="35"/>
        <v/>
      </c>
      <c r="AA205" t="str">
        <f t="shared" si="24"/>
        <v/>
      </c>
    </row>
    <row r="206" spans="2:27">
      <c r="B206" t="str">
        <f>IF(Summary!B202&lt;&gt;"",Summary!B202,"")</f>
        <v/>
      </c>
      <c r="C206" t="str">
        <f>IF(Summary!C202&lt;&gt;"",Summary!C202,"")</f>
        <v/>
      </c>
      <c r="E206" t="str">
        <f>IF($C$15&gt;=1,IF($C$13="Yes",IF(Summary!B202&lt;&gt;"",Summary!B202,""),""),"")</f>
        <v/>
      </c>
      <c r="F206" t="str">
        <f t="shared" si="25"/>
        <v/>
      </c>
      <c r="G206">
        <f t="shared" si="26"/>
        <v>0</v>
      </c>
      <c r="I206" t="str">
        <f>IF($C$15&gt;=2,IF($C$13="Yes",IF(Summary!B202&lt;&gt;"",Summary!B202,""),""),"")</f>
        <v/>
      </c>
      <c r="J206" t="str">
        <f t="shared" si="27"/>
        <v/>
      </c>
      <c r="K206">
        <f t="shared" si="28"/>
        <v>0</v>
      </c>
      <c r="M206" t="str">
        <f>IF($C$15&gt;=3,IF($C$13="Yes",IF(Summary!B202&lt;&gt;"",Summary!B202,""),""),"")</f>
        <v/>
      </c>
      <c r="N206" t="str">
        <f t="shared" si="29"/>
        <v/>
      </c>
      <c r="O206">
        <f t="shared" si="30"/>
        <v>0</v>
      </c>
      <c r="Q206" t="str">
        <f>IF($C$15&gt;=4,IF($C$13="Yes",IF(Summary!B202&lt;&gt;"",Summary!B202,""),""),"")</f>
        <v/>
      </c>
      <c r="R206" t="str">
        <f t="shared" si="31"/>
        <v/>
      </c>
      <c r="S206">
        <f t="shared" si="32"/>
        <v>0</v>
      </c>
      <c r="U206" t="str">
        <f>IF($C$15&gt;=5,IF($C$13="Yes",IF(Summary!B202&lt;&gt;"",Summary!B202,""),""),"")</f>
        <v/>
      </c>
      <c r="V206" t="str">
        <f t="shared" si="33"/>
        <v/>
      </c>
      <c r="W206">
        <f t="shared" si="34"/>
        <v>0</v>
      </c>
      <c r="Y206" t="str">
        <f>IF($C$13="Yes",IF(Summary!B202&lt;&gt;"",Summary!B202,""),"")</f>
        <v/>
      </c>
      <c r="Z206" s="439" t="str">
        <f t="shared" si="35"/>
        <v/>
      </c>
      <c r="AA206" t="str">
        <f t="shared" si="24"/>
        <v/>
      </c>
    </row>
    <row r="207" spans="2:27">
      <c r="B207" t="str">
        <f>IF(Summary!B203&lt;&gt;"",Summary!B203,"")</f>
        <v/>
      </c>
      <c r="C207" t="str">
        <f>IF(Summary!C203&lt;&gt;"",Summary!C203,"")</f>
        <v/>
      </c>
      <c r="E207" t="str">
        <f>IF($C$15&gt;=1,IF($C$13="Yes",IF(Summary!B203&lt;&gt;"",Summary!B203,""),""),"")</f>
        <v/>
      </c>
      <c r="F207" t="str">
        <f t="shared" si="25"/>
        <v/>
      </c>
      <c r="G207">
        <f t="shared" si="26"/>
        <v>0</v>
      </c>
      <c r="I207" t="str">
        <f>IF($C$15&gt;=2,IF($C$13="Yes",IF(Summary!B203&lt;&gt;"",Summary!B203,""),""),"")</f>
        <v/>
      </c>
      <c r="J207" t="str">
        <f t="shared" si="27"/>
        <v/>
      </c>
      <c r="K207">
        <f t="shared" si="28"/>
        <v>0</v>
      </c>
      <c r="M207" t="str">
        <f>IF($C$15&gt;=3,IF($C$13="Yes",IF(Summary!B203&lt;&gt;"",Summary!B203,""),""),"")</f>
        <v/>
      </c>
      <c r="N207" t="str">
        <f t="shared" si="29"/>
        <v/>
      </c>
      <c r="O207">
        <f t="shared" si="30"/>
        <v>0</v>
      </c>
      <c r="Q207" t="str">
        <f>IF($C$15&gt;=4,IF($C$13="Yes",IF(Summary!B203&lt;&gt;"",Summary!B203,""),""),"")</f>
        <v/>
      </c>
      <c r="R207" t="str">
        <f t="shared" si="31"/>
        <v/>
      </c>
      <c r="S207">
        <f t="shared" si="32"/>
        <v>0</v>
      </c>
      <c r="U207" t="str">
        <f>IF($C$15&gt;=5,IF($C$13="Yes",IF(Summary!B203&lt;&gt;"",Summary!B203,""),""),"")</f>
        <v/>
      </c>
      <c r="V207" t="str">
        <f t="shared" si="33"/>
        <v/>
      </c>
      <c r="W207">
        <f t="shared" si="34"/>
        <v>0</v>
      </c>
      <c r="Y207" t="str">
        <f>IF($C$13="Yes",IF(Summary!B203&lt;&gt;"",Summary!B203,""),"")</f>
        <v/>
      </c>
      <c r="Z207" s="439" t="str">
        <f t="shared" si="35"/>
        <v/>
      </c>
      <c r="AA207" t="str">
        <f t="shared" si="24"/>
        <v/>
      </c>
    </row>
    <row r="208" spans="2:27">
      <c r="B208" t="str">
        <f>IF(Summary!B204&lt;&gt;"",Summary!B204,"")</f>
        <v/>
      </c>
      <c r="C208" t="str">
        <f>IF(Summary!C204&lt;&gt;"",Summary!C204,"")</f>
        <v/>
      </c>
      <c r="E208" t="str">
        <f>IF($C$15&gt;=1,IF($C$13="Yes",IF(Summary!B204&lt;&gt;"",Summary!B204,""),""),"")</f>
        <v/>
      </c>
      <c r="F208" t="str">
        <f t="shared" si="25"/>
        <v/>
      </c>
      <c r="G208">
        <f t="shared" si="26"/>
        <v>0</v>
      </c>
      <c r="I208" t="str">
        <f>IF($C$15&gt;=2,IF($C$13="Yes",IF(Summary!B204&lt;&gt;"",Summary!B204,""),""),"")</f>
        <v/>
      </c>
      <c r="J208" t="str">
        <f t="shared" si="27"/>
        <v/>
      </c>
      <c r="K208">
        <f t="shared" si="28"/>
        <v>0</v>
      </c>
      <c r="M208" t="str">
        <f>IF($C$15&gt;=3,IF($C$13="Yes",IF(Summary!B204&lt;&gt;"",Summary!B204,""),""),"")</f>
        <v/>
      </c>
      <c r="N208" t="str">
        <f t="shared" si="29"/>
        <v/>
      </c>
      <c r="O208">
        <f t="shared" si="30"/>
        <v>0</v>
      </c>
      <c r="Q208" t="str">
        <f>IF($C$15&gt;=4,IF($C$13="Yes",IF(Summary!B204&lt;&gt;"",Summary!B204,""),""),"")</f>
        <v/>
      </c>
      <c r="R208" t="str">
        <f t="shared" si="31"/>
        <v/>
      </c>
      <c r="S208">
        <f t="shared" si="32"/>
        <v>0</v>
      </c>
      <c r="U208" t="str">
        <f>IF($C$15&gt;=5,IF($C$13="Yes",IF(Summary!B204&lt;&gt;"",Summary!B204,""),""),"")</f>
        <v/>
      </c>
      <c r="V208" t="str">
        <f t="shared" si="33"/>
        <v/>
      </c>
      <c r="W208">
        <f t="shared" si="34"/>
        <v>0</v>
      </c>
      <c r="Y208" t="str">
        <f>IF($C$13="Yes",IF(Summary!B204&lt;&gt;"",Summary!B204,""),"")</f>
        <v/>
      </c>
      <c r="Z208" s="439" t="str">
        <f t="shared" si="35"/>
        <v/>
      </c>
      <c r="AA208" t="str">
        <f t="shared" si="24"/>
        <v/>
      </c>
    </row>
    <row r="209" spans="2:27">
      <c r="B209" t="str">
        <f>IF(Summary!B205&lt;&gt;"",Summary!B205,"")</f>
        <v/>
      </c>
      <c r="C209" t="str">
        <f>IF(Summary!C205&lt;&gt;"",Summary!C205,"")</f>
        <v/>
      </c>
      <c r="E209" t="str">
        <f>IF($C$15&gt;=1,IF($C$13="Yes",IF(Summary!B205&lt;&gt;"",Summary!B205,""),""),"")</f>
        <v/>
      </c>
      <c r="F209" t="str">
        <f t="shared" si="25"/>
        <v/>
      </c>
      <c r="G209">
        <f t="shared" si="26"/>
        <v>0</v>
      </c>
      <c r="I209" t="str">
        <f>IF($C$15&gt;=2,IF($C$13="Yes",IF(Summary!B205&lt;&gt;"",Summary!B205,""),""),"")</f>
        <v/>
      </c>
      <c r="J209" t="str">
        <f t="shared" si="27"/>
        <v/>
      </c>
      <c r="K209">
        <f t="shared" si="28"/>
        <v>0</v>
      </c>
      <c r="M209" t="str">
        <f>IF($C$15&gt;=3,IF($C$13="Yes",IF(Summary!B205&lt;&gt;"",Summary!B205,""),""),"")</f>
        <v/>
      </c>
      <c r="N209" t="str">
        <f t="shared" si="29"/>
        <v/>
      </c>
      <c r="O209">
        <f t="shared" si="30"/>
        <v>0</v>
      </c>
      <c r="Q209" t="str">
        <f>IF($C$15&gt;=4,IF($C$13="Yes",IF(Summary!B205&lt;&gt;"",Summary!B205,""),""),"")</f>
        <v/>
      </c>
      <c r="R209" t="str">
        <f t="shared" si="31"/>
        <v/>
      </c>
      <c r="S209">
        <f t="shared" si="32"/>
        <v>0</v>
      </c>
      <c r="U209" t="str">
        <f>IF($C$15&gt;=5,IF($C$13="Yes",IF(Summary!B205&lt;&gt;"",Summary!B205,""),""),"")</f>
        <v/>
      </c>
      <c r="V209" t="str">
        <f t="shared" si="33"/>
        <v/>
      </c>
      <c r="W209">
        <f t="shared" si="34"/>
        <v>0</v>
      </c>
      <c r="Y209" t="str">
        <f>IF($C$13="Yes",IF(Summary!B205&lt;&gt;"",Summary!B205,""),"")</f>
        <v/>
      </c>
      <c r="Z209" s="439" t="str">
        <f t="shared" si="35"/>
        <v/>
      </c>
      <c r="AA209" t="str">
        <f t="shared" si="24"/>
        <v/>
      </c>
    </row>
    <row r="210" spans="2:27">
      <c r="B210" t="str">
        <f>IF(Summary!B206&lt;&gt;"",Summary!B206,"")</f>
        <v/>
      </c>
      <c r="C210" t="str">
        <f>IF(Summary!C206&lt;&gt;"",Summary!C206,"")</f>
        <v/>
      </c>
      <c r="E210" t="str">
        <f>IF($C$15&gt;=1,IF($C$13="Yes",IF(Summary!B206&lt;&gt;"",Summary!B206,""),""),"")</f>
        <v/>
      </c>
      <c r="F210" t="str">
        <f t="shared" si="25"/>
        <v/>
      </c>
      <c r="G210">
        <f t="shared" si="26"/>
        <v>0</v>
      </c>
      <c r="I210" t="str">
        <f>IF($C$15&gt;=2,IF($C$13="Yes",IF(Summary!B206&lt;&gt;"",Summary!B206,""),""),"")</f>
        <v/>
      </c>
      <c r="J210" t="str">
        <f t="shared" si="27"/>
        <v/>
      </c>
      <c r="K210">
        <f t="shared" si="28"/>
        <v>0</v>
      </c>
      <c r="M210" t="str">
        <f>IF($C$15&gt;=3,IF($C$13="Yes",IF(Summary!B206&lt;&gt;"",Summary!B206,""),""),"")</f>
        <v/>
      </c>
      <c r="N210" t="str">
        <f t="shared" si="29"/>
        <v/>
      </c>
      <c r="O210">
        <f t="shared" si="30"/>
        <v>0</v>
      </c>
      <c r="Q210" t="str">
        <f>IF($C$15&gt;=4,IF($C$13="Yes",IF(Summary!B206&lt;&gt;"",Summary!B206,""),""),"")</f>
        <v/>
      </c>
      <c r="R210" t="str">
        <f t="shared" si="31"/>
        <v/>
      </c>
      <c r="S210">
        <f t="shared" si="32"/>
        <v>0</v>
      </c>
      <c r="U210" t="str">
        <f>IF($C$15&gt;=5,IF($C$13="Yes",IF(Summary!B206&lt;&gt;"",Summary!B206,""),""),"")</f>
        <v/>
      </c>
      <c r="V210" t="str">
        <f t="shared" si="33"/>
        <v/>
      </c>
      <c r="W210">
        <f t="shared" si="34"/>
        <v>0</v>
      </c>
      <c r="Y210" t="str">
        <f>IF($C$13="Yes",IF(Summary!B206&lt;&gt;"",Summary!B206,""),"")</f>
        <v/>
      </c>
      <c r="Z210" s="439" t="str">
        <f t="shared" si="35"/>
        <v/>
      </c>
      <c r="AA210" t="str">
        <f t="shared" ref="AA210:AA273" si="36">IF(Y210&lt;&gt;"Total",Z210,0)</f>
        <v/>
      </c>
    </row>
    <row r="211" spans="2:27">
      <c r="B211" t="str">
        <f>IF(Summary!B207&lt;&gt;"",Summary!B207,"")</f>
        <v/>
      </c>
      <c r="C211" t="str">
        <f>IF(Summary!C207&lt;&gt;"",Summary!C207,"")</f>
        <v/>
      </c>
      <c r="E211" t="str">
        <f>IF($C$15&gt;=1,IF($C$13="Yes",IF(Summary!B207&lt;&gt;"",Summary!B207,""),""),"")</f>
        <v/>
      </c>
      <c r="F211" t="str">
        <f t="shared" ref="F211:F274" si="37">IF($C$15&gt;=1,IFERROR(IF($C$13="Yes",(C211*$C$14),""),""),"")</f>
        <v/>
      </c>
      <c r="G211">
        <f t="shared" ref="G211:G274" si="38">IF(F211="",0,F211)</f>
        <v>0</v>
      </c>
      <c r="I211" t="str">
        <f>IF($C$15&gt;=2,IF($C$13="Yes",IF(Summary!B207&lt;&gt;"",Summary!B207,""),""),"")</f>
        <v/>
      </c>
      <c r="J211" t="str">
        <f t="shared" ref="J211:J274" si="39">IF($C$15&gt;=2,IFERROR(IF($C$13="Yes",(C211*$C$14),""),""),"")</f>
        <v/>
      </c>
      <c r="K211">
        <f t="shared" ref="K211:K274" si="40">IF(J211="",0,J211)</f>
        <v>0</v>
      </c>
      <c r="M211" t="str">
        <f>IF($C$15&gt;=3,IF($C$13="Yes",IF(Summary!B207&lt;&gt;"",Summary!B207,""),""),"")</f>
        <v/>
      </c>
      <c r="N211" t="str">
        <f t="shared" ref="N211:N274" si="41">IF($C$15&gt;=3,IFERROR(IF($C$13="Yes",(C211*$C$14),""),""),"")</f>
        <v/>
      </c>
      <c r="O211">
        <f t="shared" ref="O211:O274" si="42">IF(N211="",0,N211)</f>
        <v>0</v>
      </c>
      <c r="Q211" t="str">
        <f>IF($C$15&gt;=4,IF($C$13="Yes",IF(Summary!B207&lt;&gt;"",Summary!B207,""),""),"")</f>
        <v/>
      </c>
      <c r="R211" t="str">
        <f t="shared" ref="R211:R274" si="43">IF($C$15&gt;=4,IFERROR(IF($C$13="Yes",(C211*$C$14),""),""),"")</f>
        <v/>
      </c>
      <c r="S211">
        <f t="shared" ref="S211:S274" si="44">IF(R211="",0,R211)</f>
        <v>0</v>
      </c>
      <c r="U211" t="str">
        <f>IF($C$15&gt;=5,IF($C$13="Yes",IF(Summary!B207&lt;&gt;"",Summary!B207,""),""),"")</f>
        <v/>
      </c>
      <c r="V211" t="str">
        <f t="shared" ref="V211:V274" si="45">IF($C$15&gt;=5,IFERROR(IF($C$13="Yes",(C211*$C$14),""),""),"")</f>
        <v/>
      </c>
      <c r="W211">
        <f t="shared" ref="W211:W274" si="46">IF(V211="",0,V211)</f>
        <v>0</v>
      </c>
      <c r="Y211" t="str">
        <f>IF($C$13="Yes",IF(Summary!B207&lt;&gt;"",Summary!B207,""),"")</f>
        <v/>
      </c>
      <c r="Z211" s="439" t="str">
        <f t="shared" ref="Z211:Z274" si="47">IFERROR((C211+G211+K211+O211+S211+W211),"")</f>
        <v/>
      </c>
      <c r="AA211" t="str">
        <f t="shared" si="36"/>
        <v/>
      </c>
    </row>
    <row r="212" spans="2:27">
      <c r="B212" t="str">
        <f>IF(Summary!B208&lt;&gt;"",Summary!B208,"")</f>
        <v/>
      </c>
      <c r="C212" t="str">
        <f>IF(Summary!C208&lt;&gt;"",Summary!C208,"")</f>
        <v/>
      </c>
      <c r="E212" t="str">
        <f>IF($C$15&gt;=1,IF($C$13="Yes",IF(Summary!B208&lt;&gt;"",Summary!B208,""),""),"")</f>
        <v/>
      </c>
      <c r="F212" t="str">
        <f t="shared" si="37"/>
        <v/>
      </c>
      <c r="G212">
        <f t="shared" si="38"/>
        <v>0</v>
      </c>
      <c r="I212" t="str">
        <f>IF($C$15&gt;=2,IF($C$13="Yes",IF(Summary!B208&lt;&gt;"",Summary!B208,""),""),"")</f>
        <v/>
      </c>
      <c r="J212" t="str">
        <f t="shared" si="39"/>
        <v/>
      </c>
      <c r="K212">
        <f t="shared" si="40"/>
        <v>0</v>
      </c>
      <c r="M212" t="str">
        <f>IF($C$15&gt;=3,IF($C$13="Yes",IF(Summary!B208&lt;&gt;"",Summary!B208,""),""),"")</f>
        <v/>
      </c>
      <c r="N212" t="str">
        <f t="shared" si="41"/>
        <v/>
      </c>
      <c r="O212">
        <f t="shared" si="42"/>
        <v>0</v>
      </c>
      <c r="Q212" t="str">
        <f>IF($C$15&gt;=4,IF($C$13="Yes",IF(Summary!B208&lt;&gt;"",Summary!B208,""),""),"")</f>
        <v/>
      </c>
      <c r="R212" t="str">
        <f t="shared" si="43"/>
        <v/>
      </c>
      <c r="S212">
        <f t="shared" si="44"/>
        <v>0</v>
      </c>
      <c r="U212" t="str">
        <f>IF($C$15&gt;=5,IF($C$13="Yes",IF(Summary!B208&lt;&gt;"",Summary!B208,""),""),"")</f>
        <v/>
      </c>
      <c r="V212" t="str">
        <f t="shared" si="45"/>
        <v/>
      </c>
      <c r="W212">
        <f t="shared" si="46"/>
        <v>0</v>
      </c>
      <c r="Y212" t="str">
        <f>IF($C$13="Yes",IF(Summary!B208&lt;&gt;"",Summary!B208,""),"")</f>
        <v/>
      </c>
      <c r="Z212" s="439" t="str">
        <f t="shared" si="47"/>
        <v/>
      </c>
      <c r="AA212" t="str">
        <f t="shared" si="36"/>
        <v/>
      </c>
    </row>
    <row r="213" spans="2:27">
      <c r="B213" t="str">
        <f>IF(Summary!B209&lt;&gt;"",Summary!B209,"")</f>
        <v/>
      </c>
      <c r="C213" t="str">
        <f>IF(Summary!C209&lt;&gt;"",Summary!C209,"")</f>
        <v/>
      </c>
      <c r="E213" t="str">
        <f>IF($C$15&gt;=1,IF($C$13="Yes",IF(Summary!B209&lt;&gt;"",Summary!B209,""),""),"")</f>
        <v/>
      </c>
      <c r="F213" t="str">
        <f t="shared" si="37"/>
        <v/>
      </c>
      <c r="G213">
        <f t="shared" si="38"/>
        <v>0</v>
      </c>
      <c r="I213" t="str">
        <f>IF($C$15&gt;=2,IF($C$13="Yes",IF(Summary!B209&lt;&gt;"",Summary!B209,""),""),"")</f>
        <v/>
      </c>
      <c r="J213" t="str">
        <f t="shared" si="39"/>
        <v/>
      </c>
      <c r="K213">
        <f t="shared" si="40"/>
        <v>0</v>
      </c>
      <c r="M213" t="str">
        <f>IF($C$15&gt;=3,IF($C$13="Yes",IF(Summary!B209&lt;&gt;"",Summary!B209,""),""),"")</f>
        <v/>
      </c>
      <c r="N213" t="str">
        <f t="shared" si="41"/>
        <v/>
      </c>
      <c r="O213">
        <f t="shared" si="42"/>
        <v>0</v>
      </c>
      <c r="Q213" t="str">
        <f>IF($C$15&gt;=4,IF($C$13="Yes",IF(Summary!B209&lt;&gt;"",Summary!B209,""),""),"")</f>
        <v/>
      </c>
      <c r="R213" t="str">
        <f t="shared" si="43"/>
        <v/>
      </c>
      <c r="S213">
        <f t="shared" si="44"/>
        <v>0</v>
      </c>
      <c r="U213" t="str">
        <f>IF($C$15&gt;=5,IF($C$13="Yes",IF(Summary!B209&lt;&gt;"",Summary!B209,""),""),"")</f>
        <v/>
      </c>
      <c r="V213" t="str">
        <f t="shared" si="45"/>
        <v/>
      </c>
      <c r="W213">
        <f t="shared" si="46"/>
        <v>0</v>
      </c>
      <c r="Y213" t="str">
        <f>IF($C$13="Yes",IF(Summary!B209&lt;&gt;"",Summary!B209,""),"")</f>
        <v/>
      </c>
      <c r="Z213" s="439" t="str">
        <f t="shared" si="47"/>
        <v/>
      </c>
      <c r="AA213" t="str">
        <f t="shared" si="36"/>
        <v/>
      </c>
    </row>
    <row r="214" spans="2:27">
      <c r="B214" t="str">
        <f>IF(Summary!B210&lt;&gt;"",Summary!B210,"")</f>
        <v/>
      </c>
      <c r="C214" t="str">
        <f>IF(Summary!C210&lt;&gt;"",Summary!C210,"")</f>
        <v/>
      </c>
      <c r="E214" t="str">
        <f>IF($C$15&gt;=1,IF($C$13="Yes",IF(Summary!B210&lt;&gt;"",Summary!B210,""),""),"")</f>
        <v/>
      </c>
      <c r="F214" t="str">
        <f t="shared" si="37"/>
        <v/>
      </c>
      <c r="G214">
        <f t="shared" si="38"/>
        <v>0</v>
      </c>
      <c r="I214" t="str">
        <f>IF($C$15&gt;=2,IF($C$13="Yes",IF(Summary!B210&lt;&gt;"",Summary!B210,""),""),"")</f>
        <v/>
      </c>
      <c r="J214" t="str">
        <f t="shared" si="39"/>
        <v/>
      </c>
      <c r="K214">
        <f t="shared" si="40"/>
        <v>0</v>
      </c>
      <c r="M214" t="str">
        <f>IF($C$15&gt;=3,IF($C$13="Yes",IF(Summary!B210&lt;&gt;"",Summary!B210,""),""),"")</f>
        <v/>
      </c>
      <c r="N214" t="str">
        <f t="shared" si="41"/>
        <v/>
      </c>
      <c r="O214">
        <f t="shared" si="42"/>
        <v>0</v>
      </c>
      <c r="Q214" t="str">
        <f>IF($C$15&gt;=4,IF($C$13="Yes",IF(Summary!B210&lt;&gt;"",Summary!B210,""),""),"")</f>
        <v/>
      </c>
      <c r="R214" t="str">
        <f t="shared" si="43"/>
        <v/>
      </c>
      <c r="S214">
        <f t="shared" si="44"/>
        <v>0</v>
      </c>
      <c r="U214" t="str">
        <f>IF($C$15&gt;=5,IF($C$13="Yes",IF(Summary!B210&lt;&gt;"",Summary!B210,""),""),"")</f>
        <v/>
      </c>
      <c r="V214" t="str">
        <f t="shared" si="45"/>
        <v/>
      </c>
      <c r="W214">
        <f t="shared" si="46"/>
        <v>0</v>
      </c>
      <c r="Y214" t="str">
        <f>IF($C$13="Yes",IF(Summary!B210&lt;&gt;"",Summary!B210,""),"")</f>
        <v/>
      </c>
      <c r="Z214" s="439" t="str">
        <f t="shared" si="47"/>
        <v/>
      </c>
      <c r="AA214" t="str">
        <f t="shared" si="36"/>
        <v/>
      </c>
    </row>
    <row r="215" spans="2:27">
      <c r="B215" t="str">
        <f>IF(Summary!B211&lt;&gt;"",Summary!B211,"")</f>
        <v/>
      </c>
      <c r="C215" t="str">
        <f>IF(Summary!C211&lt;&gt;"",Summary!C211,"")</f>
        <v/>
      </c>
      <c r="E215" t="str">
        <f>IF($C$15&gt;=1,IF($C$13="Yes",IF(Summary!B211&lt;&gt;"",Summary!B211,""),""),"")</f>
        <v/>
      </c>
      <c r="F215" t="str">
        <f t="shared" si="37"/>
        <v/>
      </c>
      <c r="G215">
        <f t="shared" si="38"/>
        <v>0</v>
      </c>
      <c r="I215" t="str">
        <f>IF($C$15&gt;=2,IF($C$13="Yes",IF(Summary!B211&lt;&gt;"",Summary!B211,""),""),"")</f>
        <v/>
      </c>
      <c r="J215" t="str">
        <f t="shared" si="39"/>
        <v/>
      </c>
      <c r="K215">
        <f t="shared" si="40"/>
        <v>0</v>
      </c>
      <c r="M215" t="str">
        <f>IF($C$15&gt;=3,IF($C$13="Yes",IF(Summary!B211&lt;&gt;"",Summary!B211,""),""),"")</f>
        <v/>
      </c>
      <c r="N215" t="str">
        <f t="shared" si="41"/>
        <v/>
      </c>
      <c r="O215">
        <f t="shared" si="42"/>
        <v>0</v>
      </c>
      <c r="Q215" t="str">
        <f>IF($C$15&gt;=4,IF($C$13="Yes",IF(Summary!B211&lt;&gt;"",Summary!B211,""),""),"")</f>
        <v/>
      </c>
      <c r="R215" t="str">
        <f t="shared" si="43"/>
        <v/>
      </c>
      <c r="S215">
        <f t="shared" si="44"/>
        <v>0</v>
      </c>
      <c r="U215" t="str">
        <f>IF($C$15&gt;=5,IF($C$13="Yes",IF(Summary!B211&lt;&gt;"",Summary!B211,""),""),"")</f>
        <v/>
      </c>
      <c r="V215" t="str">
        <f t="shared" si="45"/>
        <v/>
      </c>
      <c r="W215">
        <f t="shared" si="46"/>
        <v>0</v>
      </c>
      <c r="Y215" t="str">
        <f>IF($C$13="Yes",IF(Summary!B211&lt;&gt;"",Summary!B211,""),"")</f>
        <v/>
      </c>
      <c r="Z215" s="439" t="str">
        <f t="shared" si="47"/>
        <v/>
      </c>
      <c r="AA215" t="str">
        <f t="shared" si="36"/>
        <v/>
      </c>
    </row>
    <row r="216" spans="2:27">
      <c r="B216" t="str">
        <f>IF(Summary!B212&lt;&gt;"",Summary!B212,"")</f>
        <v/>
      </c>
      <c r="C216" t="str">
        <f>IF(Summary!C212&lt;&gt;"",Summary!C212,"")</f>
        <v/>
      </c>
      <c r="E216" t="str">
        <f>IF($C$15&gt;=1,IF($C$13="Yes",IF(Summary!B212&lt;&gt;"",Summary!B212,""),""),"")</f>
        <v/>
      </c>
      <c r="F216" t="str">
        <f t="shared" si="37"/>
        <v/>
      </c>
      <c r="G216">
        <f t="shared" si="38"/>
        <v>0</v>
      </c>
      <c r="I216" t="str">
        <f>IF($C$15&gt;=2,IF($C$13="Yes",IF(Summary!B212&lt;&gt;"",Summary!B212,""),""),"")</f>
        <v/>
      </c>
      <c r="J216" t="str">
        <f t="shared" si="39"/>
        <v/>
      </c>
      <c r="K216">
        <f t="shared" si="40"/>
        <v>0</v>
      </c>
      <c r="M216" t="str">
        <f>IF($C$15&gt;=3,IF($C$13="Yes",IF(Summary!B212&lt;&gt;"",Summary!B212,""),""),"")</f>
        <v/>
      </c>
      <c r="N216" t="str">
        <f t="shared" si="41"/>
        <v/>
      </c>
      <c r="O216">
        <f t="shared" si="42"/>
        <v>0</v>
      </c>
      <c r="Q216" t="str">
        <f>IF($C$15&gt;=4,IF($C$13="Yes",IF(Summary!B212&lt;&gt;"",Summary!B212,""),""),"")</f>
        <v/>
      </c>
      <c r="R216" t="str">
        <f t="shared" si="43"/>
        <v/>
      </c>
      <c r="S216">
        <f t="shared" si="44"/>
        <v>0</v>
      </c>
      <c r="U216" t="str">
        <f>IF($C$15&gt;=5,IF($C$13="Yes",IF(Summary!B212&lt;&gt;"",Summary!B212,""),""),"")</f>
        <v/>
      </c>
      <c r="V216" t="str">
        <f t="shared" si="45"/>
        <v/>
      </c>
      <c r="W216">
        <f t="shared" si="46"/>
        <v>0</v>
      </c>
      <c r="Y216" t="str">
        <f>IF($C$13="Yes",IF(Summary!B212&lt;&gt;"",Summary!B212,""),"")</f>
        <v/>
      </c>
      <c r="Z216" s="439" t="str">
        <f t="shared" si="47"/>
        <v/>
      </c>
      <c r="AA216" t="str">
        <f t="shared" si="36"/>
        <v/>
      </c>
    </row>
    <row r="217" spans="2:27">
      <c r="B217" t="str">
        <f>IF(Summary!B213&lt;&gt;"",Summary!B213,"")</f>
        <v/>
      </c>
      <c r="C217" t="str">
        <f>IF(Summary!C213&lt;&gt;"",Summary!C213,"")</f>
        <v/>
      </c>
      <c r="E217" t="str">
        <f>IF($C$15&gt;=1,IF($C$13="Yes",IF(Summary!B213&lt;&gt;"",Summary!B213,""),""),"")</f>
        <v/>
      </c>
      <c r="F217" t="str">
        <f t="shared" si="37"/>
        <v/>
      </c>
      <c r="G217">
        <f t="shared" si="38"/>
        <v>0</v>
      </c>
      <c r="I217" t="str">
        <f>IF($C$15&gt;=2,IF($C$13="Yes",IF(Summary!B213&lt;&gt;"",Summary!B213,""),""),"")</f>
        <v/>
      </c>
      <c r="J217" t="str">
        <f t="shared" si="39"/>
        <v/>
      </c>
      <c r="K217">
        <f t="shared" si="40"/>
        <v>0</v>
      </c>
      <c r="M217" t="str">
        <f>IF($C$15&gt;=3,IF($C$13="Yes",IF(Summary!B213&lt;&gt;"",Summary!B213,""),""),"")</f>
        <v/>
      </c>
      <c r="N217" t="str">
        <f t="shared" si="41"/>
        <v/>
      </c>
      <c r="O217">
        <f t="shared" si="42"/>
        <v>0</v>
      </c>
      <c r="Q217" t="str">
        <f>IF($C$15&gt;=4,IF($C$13="Yes",IF(Summary!B213&lt;&gt;"",Summary!B213,""),""),"")</f>
        <v/>
      </c>
      <c r="R217" t="str">
        <f t="shared" si="43"/>
        <v/>
      </c>
      <c r="S217">
        <f t="shared" si="44"/>
        <v>0</v>
      </c>
      <c r="U217" t="str">
        <f>IF($C$15&gt;=5,IF($C$13="Yes",IF(Summary!B213&lt;&gt;"",Summary!B213,""),""),"")</f>
        <v/>
      </c>
      <c r="V217" t="str">
        <f t="shared" si="45"/>
        <v/>
      </c>
      <c r="W217">
        <f t="shared" si="46"/>
        <v>0</v>
      </c>
      <c r="Y217" t="str">
        <f>IF($C$13="Yes",IF(Summary!B213&lt;&gt;"",Summary!B213,""),"")</f>
        <v/>
      </c>
      <c r="Z217" s="439" t="str">
        <f t="shared" si="47"/>
        <v/>
      </c>
      <c r="AA217" t="str">
        <f t="shared" si="36"/>
        <v/>
      </c>
    </row>
    <row r="218" spans="2:27">
      <c r="B218" t="str">
        <f>IF(Summary!B214&lt;&gt;"",Summary!B214,"")</f>
        <v/>
      </c>
      <c r="C218" t="str">
        <f>IF(Summary!C214&lt;&gt;"",Summary!C214,"")</f>
        <v/>
      </c>
      <c r="E218" t="str">
        <f>IF($C$15&gt;=1,IF($C$13="Yes",IF(Summary!B214&lt;&gt;"",Summary!B214,""),""),"")</f>
        <v/>
      </c>
      <c r="F218" t="str">
        <f t="shared" si="37"/>
        <v/>
      </c>
      <c r="G218">
        <f t="shared" si="38"/>
        <v>0</v>
      </c>
      <c r="I218" t="str">
        <f>IF($C$15&gt;=2,IF($C$13="Yes",IF(Summary!B214&lt;&gt;"",Summary!B214,""),""),"")</f>
        <v/>
      </c>
      <c r="J218" t="str">
        <f t="shared" si="39"/>
        <v/>
      </c>
      <c r="K218">
        <f t="shared" si="40"/>
        <v>0</v>
      </c>
      <c r="M218" t="str">
        <f>IF($C$15&gt;=3,IF($C$13="Yes",IF(Summary!B214&lt;&gt;"",Summary!B214,""),""),"")</f>
        <v/>
      </c>
      <c r="N218" t="str">
        <f t="shared" si="41"/>
        <v/>
      </c>
      <c r="O218">
        <f t="shared" si="42"/>
        <v>0</v>
      </c>
      <c r="Q218" t="str">
        <f>IF($C$15&gt;=4,IF($C$13="Yes",IF(Summary!B214&lt;&gt;"",Summary!B214,""),""),"")</f>
        <v/>
      </c>
      <c r="R218" t="str">
        <f t="shared" si="43"/>
        <v/>
      </c>
      <c r="S218">
        <f t="shared" si="44"/>
        <v>0</v>
      </c>
      <c r="U218" t="str">
        <f>IF($C$15&gt;=5,IF($C$13="Yes",IF(Summary!B214&lt;&gt;"",Summary!B214,""),""),"")</f>
        <v/>
      </c>
      <c r="V218" t="str">
        <f t="shared" si="45"/>
        <v/>
      </c>
      <c r="W218">
        <f t="shared" si="46"/>
        <v>0</v>
      </c>
      <c r="Y218" t="str">
        <f>IF($C$13="Yes",IF(Summary!B214&lt;&gt;"",Summary!B214,""),"")</f>
        <v/>
      </c>
      <c r="Z218" s="439" t="str">
        <f t="shared" si="47"/>
        <v/>
      </c>
      <c r="AA218" t="str">
        <f t="shared" si="36"/>
        <v/>
      </c>
    </row>
    <row r="219" spans="2:27">
      <c r="B219" t="str">
        <f>IF(Summary!B215&lt;&gt;"",Summary!B215,"")</f>
        <v/>
      </c>
      <c r="C219" t="str">
        <f>IF(Summary!C215&lt;&gt;"",Summary!C215,"")</f>
        <v/>
      </c>
      <c r="E219" t="str">
        <f>IF($C$15&gt;=1,IF($C$13="Yes",IF(Summary!B215&lt;&gt;"",Summary!B215,""),""),"")</f>
        <v/>
      </c>
      <c r="F219" t="str">
        <f t="shared" si="37"/>
        <v/>
      </c>
      <c r="G219">
        <f t="shared" si="38"/>
        <v>0</v>
      </c>
      <c r="I219" t="str">
        <f>IF($C$15&gt;=2,IF($C$13="Yes",IF(Summary!B215&lt;&gt;"",Summary!B215,""),""),"")</f>
        <v/>
      </c>
      <c r="J219" t="str">
        <f t="shared" si="39"/>
        <v/>
      </c>
      <c r="K219">
        <f t="shared" si="40"/>
        <v>0</v>
      </c>
      <c r="M219" t="str">
        <f>IF($C$15&gt;=3,IF($C$13="Yes",IF(Summary!B215&lt;&gt;"",Summary!B215,""),""),"")</f>
        <v/>
      </c>
      <c r="N219" t="str">
        <f t="shared" si="41"/>
        <v/>
      </c>
      <c r="O219">
        <f t="shared" si="42"/>
        <v>0</v>
      </c>
      <c r="Q219" t="str">
        <f>IF($C$15&gt;=4,IF($C$13="Yes",IF(Summary!B215&lt;&gt;"",Summary!B215,""),""),"")</f>
        <v/>
      </c>
      <c r="R219" t="str">
        <f t="shared" si="43"/>
        <v/>
      </c>
      <c r="S219">
        <f t="shared" si="44"/>
        <v>0</v>
      </c>
      <c r="U219" t="str">
        <f>IF($C$15&gt;=5,IF($C$13="Yes",IF(Summary!B215&lt;&gt;"",Summary!B215,""),""),"")</f>
        <v/>
      </c>
      <c r="V219" t="str">
        <f t="shared" si="45"/>
        <v/>
      </c>
      <c r="W219">
        <f t="shared" si="46"/>
        <v>0</v>
      </c>
      <c r="Y219" t="str">
        <f>IF($C$13="Yes",IF(Summary!B215&lt;&gt;"",Summary!B215,""),"")</f>
        <v/>
      </c>
      <c r="Z219" s="439" t="str">
        <f t="shared" si="47"/>
        <v/>
      </c>
      <c r="AA219" t="str">
        <f t="shared" si="36"/>
        <v/>
      </c>
    </row>
    <row r="220" spans="2:27">
      <c r="B220" t="str">
        <f>IF(Summary!B216&lt;&gt;"",Summary!B216,"")</f>
        <v/>
      </c>
      <c r="C220" t="str">
        <f>IF(Summary!C216&lt;&gt;"",Summary!C216,"")</f>
        <v/>
      </c>
      <c r="E220" t="str">
        <f>IF($C$15&gt;=1,IF($C$13="Yes",IF(Summary!B216&lt;&gt;"",Summary!B216,""),""),"")</f>
        <v/>
      </c>
      <c r="F220" t="str">
        <f t="shared" si="37"/>
        <v/>
      </c>
      <c r="G220">
        <f t="shared" si="38"/>
        <v>0</v>
      </c>
      <c r="I220" t="str">
        <f>IF($C$15&gt;=2,IF($C$13="Yes",IF(Summary!B216&lt;&gt;"",Summary!B216,""),""),"")</f>
        <v/>
      </c>
      <c r="J220" t="str">
        <f t="shared" si="39"/>
        <v/>
      </c>
      <c r="K220">
        <f t="shared" si="40"/>
        <v>0</v>
      </c>
      <c r="M220" t="str">
        <f>IF($C$15&gt;=3,IF($C$13="Yes",IF(Summary!B216&lt;&gt;"",Summary!B216,""),""),"")</f>
        <v/>
      </c>
      <c r="N220" t="str">
        <f t="shared" si="41"/>
        <v/>
      </c>
      <c r="O220">
        <f t="shared" si="42"/>
        <v>0</v>
      </c>
      <c r="Q220" t="str">
        <f>IF($C$15&gt;=4,IF($C$13="Yes",IF(Summary!B216&lt;&gt;"",Summary!B216,""),""),"")</f>
        <v/>
      </c>
      <c r="R220" t="str">
        <f t="shared" si="43"/>
        <v/>
      </c>
      <c r="S220">
        <f t="shared" si="44"/>
        <v>0</v>
      </c>
      <c r="U220" t="str">
        <f>IF($C$15&gt;=5,IF($C$13="Yes",IF(Summary!B216&lt;&gt;"",Summary!B216,""),""),"")</f>
        <v/>
      </c>
      <c r="V220" t="str">
        <f t="shared" si="45"/>
        <v/>
      </c>
      <c r="W220">
        <f t="shared" si="46"/>
        <v>0</v>
      </c>
      <c r="Y220" t="str">
        <f>IF($C$13="Yes",IF(Summary!B216&lt;&gt;"",Summary!B216,""),"")</f>
        <v/>
      </c>
      <c r="Z220" s="439" t="str">
        <f t="shared" si="47"/>
        <v/>
      </c>
      <c r="AA220" t="str">
        <f t="shared" si="36"/>
        <v/>
      </c>
    </row>
    <row r="221" spans="2:27">
      <c r="B221" t="str">
        <f>IF(Summary!B217&lt;&gt;"",Summary!B217,"")</f>
        <v/>
      </c>
      <c r="C221" t="str">
        <f>IF(Summary!C217&lt;&gt;"",Summary!C217,"")</f>
        <v/>
      </c>
      <c r="E221" t="str">
        <f>IF($C$15&gt;=1,IF($C$13="Yes",IF(Summary!B217&lt;&gt;"",Summary!B217,""),""),"")</f>
        <v/>
      </c>
      <c r="F221" t="str">
        <f t="shared" si="37"/>
        <v/>
      </c>
      <c r="G221">
        <f t="shared" si="38"/>
        <v>0</v>
      </c>
      <c r="I221" t="str">
        <f>IF($C$15&gt;=2,IF($C$13="Yes",IF(Summary!B217&lt;&gt;"",Summary!B217,""),""),"")</f>
        <v/>
      </c>
      <c r="J221" t="str">
        <f t="shared" si="39"/>
        <v/>
      </c>
      <c r="K221">
        <f t="shared" si="40"/>
        <v>0</v>
      </c>
      <c r="M221" t="str">
        <f>IF($C$15&gt;=3,IF($C$13="Yes",IF(Summary!B217&lt;&gt;"",Summary!B217,""),""),"")</f>
        <v/>
      </c>
      <c r="N221" t="str">
        <f t="shared" si="41"/>
        <v/>
      </c>
      <c r="O221">
        <f t="shared" si="42"/>
        <v>0</v>
      </c>
      <c r="Q221" t="str">
        <f>IF($C$15&gt;=4,IF($C$13="Yes",IF(Summary!B217&lt;&gt;"",Summary!B217,""),""),"")</f>
        <v/>
      </c>
      <c r="R221" t="str">
        <f t="shared" si="43"/>
        <v/>
      </c>
      <c r="S221">
        <f t="shared" si="44"/>
        <v>0</v>
      </c>
      <c r="U221" t="str">
        <f>IF($C$15&gt;=5,IF($C$13="Yes",IF(Summary!B217&lt;&gt;"",Summary!B217,""),""),"")</f>
        <v/>
      </c>
      <c r="V221" t="str">
        <f t="shared" si="45"/>
        <v/>
      </c>
      <c r="W221">
        <f t="shared" si="46"/>
        <v>0</v>
      </c>
      <c r="Y221" t="str">
        <f>IF($C$13="Yes",IF(Summary!B217&lt;&gt;"",Summary!B217,""),"")</f>
        <v/>
      </c>
      <c r="Z221" s="439" t="str">
        <f t="shared" si="47"/>
        <v/>
      </c>
      <c r="AA221" t="str">
        <f t="shared" si="36"/>
        <v/>
      </c>
    </row>
    <row r="222" spans="2:27">
      <c r="B222" t="str">
        <f>IF(Summary!B218&lt;&gt;"",Summary!B218,"")</f>
        <v/>
      </c>
      <c r="C222" t="str">
        <f>IF(Summary!C218&lt;&gt;"",Summary!C218,"")</f>
        <v/>
      </c>
      <c r="E222" t="str">
        <f>IF($C$15&gt;=1,IF($C$13="Yes",IF(Summary!B218&lt;&gt;"",Summary!B218,""),""),"")</f>
        <v/>
      </c>
      <c r="F222" t="str">
        <f t="shared" si="37"/>
        <v/>
      </c>
      <c r="G222">
        <f t="shared" si="38"/>
        <v>0</v>
      </c>
      <c r="I222" t="str">
        <f>IF($C$15&gt;=2,IF($C$13="Yes",IF(Summary!B218&lt;&gt;"",Summary!B218,""),""),"")</f>
        <v/>
      </c>
      <c r="J222" t="str">
        <f t="shared" si="39"/>
        <v/>
      </c>
      <c r="K222">
        <f t="shared" si="40"/>
        <v>0</v>
      </c>
      <c r="M222" t="str">
        <f>IF($C$15&gt;=3,IF($C$13="Yes",IF(Summary!B218&lt;&gt;"",Summary!B218,""),""),"")</f>
        <v/>
      </c>
      <c r="N222" t="str">
        <f t="shared" si="41"/>
        <v/>
      </c>
      <c r="O222">
        <f t="shared" si="42"/>
        <v>0</v>
      </c>
      <c r="Q222" t="str">
        <f>IF($C$15&gt;=4,IF($C$13="Yes",IF(Summary!B218&lt;&gt;"",Summary!B218,""),""),"")</f>
        <v/>
      </c>
      <c r="R222" t="str">
        <f t="shared" si="43"/>
        <v/>
      </c>
      <c r="S222">
        <f t="shared" si="44"/>
        <v>0</v>
      </c>
      <c r="U222" t="str">
        <f>IF($C$15&gt;=5,IF($C$13="Yes",IF(Summary!B218&lt;&gt;"",Summary!B218,""),""),"")</f>
        <v/>
      </c>
      <c r="V222" t="str">
        <f t="shared" si="45"/>
        <v/>
      </c>
      <c r="W222">
        <f t="shared" si="46"/>
        <v>0</v>
      </c>
      <c r="Y222" t="str">
        <f>IF($C$13="Yes",IF(Summary!B218&lt;&gt;"",Summary!B218,""),"")</f>
        <v/>
      </c>
      <c r="Z222" s="439" t="str">
        <f t="shared" si="47"/>
        <v/>
      </c>
      <c r="AA222" t="str">
        <f t="shared" si="36"/>
        <v/>
      </c>
    </row>
    <row r="223" spans="2:27">
      <c r="B223" t="str">
        <f>IF(Summary!B219&lt;&gt;"",Summary!B219,"")</f>
        <v/>
      </c>
      <c r="C223" t="str">
        <f>IF(Summary!C219&lt;&gt;"",Summary!C219,"")</f>
        <v/>
      </c>
      <c r="E223" t="str">
        <f>IF($C$15&gt;=1,IF($C$13="Yes",IF(Summary!B219&lt;&gt;"",Summary!B219,""),""),"")</f>
        <v/>
      </c>
      <c r="F223" t="str">
        <f t="shared" si="37"/>
        <v/>
      </c>
      <c r="G223">
        <f t="shared" si="38"/>
        <v>0</v>
      </c>
      <c r="I223" t="str">
        <f>IF($C$15&gt;=2,IF($C$13="Yes",IF(Summary!B219&lt;&gt;"",Summary!B219,""),""),"")</f>
        <v/>
      </c>
      <c r="J223" t="str">
        <f t="shared" si="39"/>
        <v/>
      </c>
      <c r="K223">
        <f t="shared" si="40"/>
        <v>0</v>
      </c>
      <c r="M223" t="str">
        <f>IF($C$15&gt;=3,IF($C$13="Yes",IF(Summary!B219&lt;&gt;"",Summary!B219,""),""),"")</f>
        <v/>
      </c>
      <c r="N223" t="str">
        <f t="shared" si="41"/>
        <v/>
      </c>
      <c r="O223">
        <f t="shared" si="42"/>
        <v>0</v>
      </c>
      <c r="Q223" t="str">
        <f>IF($C$15&gt;=4,IF($C$13="Yes",IF(Summary!B219&lt;&gt;"",Summary!B219,""),""),"")</f>
        <v/>
      </c>
      <c r="R223" t="str">
        <f t="shared" si="43"/>
        <v/>
      </c>
      <c r="S223">
        <f t="shared" si="44"/>
        <v>0</v>
      </c>
      <c r="U223" t="str">
        <f>IF($C$15&gt;=5,IF($C$13="Yes",IF(Summary!B219&lt;&gt;"",Summary!B219,""),""),"")</f>
        <v/>
      </c>
      <c r="V223" t="str">
        <f t="shared" si="45"/>
        <v/>
      </c>
      <c r="W223">
        <f t="shared" si="46"/>
        <v>0</v>
      </c>
      <c r="Y223" t="str">
        <f>IF($C$13="Yes",IF(Summary!B219&lt;&gt;"",Summary!B219,""),"")</f>
        <v/>
      </c>
      <c r="Z223" s="439" t="str">
        <f t="shared" si="47"/>
        <v/>
      </c>
      <c r="AA223" t="str">
        <f t="shared" si="36"/>
        <v/>
      </c>
    </row>
    <row r="224" spans="2:27">
      <c r="B224" t="str">
        <f>IF(Summary!B220&lt;&gt;"",Summary!B220,"")</f>
        <v/>
      </c>
      <c r="C224" t="str">
        <f>IF(Summary!C220&lt;&gt;"",Summary!C220,"")</f>
        <v/>
      </c>
      <c r="E224" t="str">
        <f>IF($C$15&gt;=1,IF($C$13="Yes",IF(Summary!B220&lt;&gt;"",Summary!B220,""),""),"")</f>
        <v/>
      </c>
      <c r="F224" t="str">
        <f t="shared" si="37"/>
        <v/>
      </c>
      <c r="G224">
        <f t="shared" si="38"/>
        <v>0</v>
      </c>
      <c r="I224" t="str">
        <f>IF($C$15&gt;=2,IF($C$13="Yes",IF(Summary!B220&lt;&gt;"",Summary!B220,""),""),"")</f>
        <v/>
      </c>
      <c r="J224" t="str">
        <f t="shared" si="39"/>
        <v/>
      </c>
      <c r="K224">
        <f t="shared" si="40"/>
        <v>0</v>
      </c>
      <c r="M224" t="str">
        <f>IF($C$15&gt;=3,IF($C$13="Yes",IF(Summary!B220&lt;&gt;"",Summary!B220,""),""),"")</f>
        <v/>
      </c>
      <c r="N224" t="str">
        <f t="shared" si="41"/>
        <v/>
      </c>
      <c r="O224">
        <f t="shared" si="42"/>
        <v>0</v>
      </c>
      <c r="Q224" t="str">
        <f>IF($C$15&gt;=4,IF($C$13="Yes",IF(Summary!B220&lt;&gt;"",Summary!B220,""),""),"")</f>
        <v/>
      </c>
      <c r="R224" t="str">
        <f t="shared" si="43"/>
        <v/>
      </c>
      <c r="S224">
        <f t="shared" si="44"/>
        <v>0</v>
      </c>
      <c r="U224" t="str">
        <f>IF($C$15&gt;=5,IF($C$13="Yes",IF(Summary!B220&lt;&gt;"",Summary!B220,""),""),"")</f>
        <v/>
      </c>
      <c r="V224" t="str">
        <f t="shared" si="45"/>
        <v/>
      </c>
      <c r="W224">
        <f t="shared" si="46"/>
        <v>0</v>
      </c>
      <c r="Y224" t="str">
        <f>IF($C$13="Yes",IF(Summary!B220&lt;&gt;"",Summary!B220,""),"")</f>
        <v/>
      </c>
      <c r="Z224" s="439" t="str">
        <f t="shared" si="47"/>
        <v/>
      </c>
      <c r="AA224" t="str">
        <f t="shared" si="36"/>
        <v/>
      </c>
    </row>
    <row r="225" spans="2:27">
      <c r="B225" t="str">
        <f>IF(Summary!B221&lt;&gt;"",Summary!B221,"")</f>
        <v/>
      </c>
      <c r="C225" t="str">
        <f>IF(Summary!C221&lt;&gt;"",Summary!C221,"")</f>
        <v/>
      </c>
      <c r="E225" t="str">
        <f>IF($C$15&gt;=1,IF($C$13="Yes",IF(Summary!B221&lt;&gt;"",Summary!B221,""),""),"")</f>
        <v/>
      </c>
      <c r="F225" t="str">
        <f t="shared" si="37"/>
        <v/>
      </c>
      <c r="G225">
        <f t="shared" si="38"/>
        <v>0</v>
      </c>
      <c r="I225" t="str">
        <f>IF($C$15&gt;=2,IF($C$13="Yes",IF(Summary!B221&lt;&gt;"",Summary!B221,""),""),"")</f>
        <v/>
      </c>
      <c r="J225" t="str">
        <f t="shared" si="39"/>
        <v/>
      </c>
      <c r="K225">
        <f t="shared" si="40"/>
        <v>0</v>
      </c>
      <c r="M225" t="str">
        <f>IF($C$15&gt;=3,IF($C$13="Yes",IF(Summary!B221&lt;&gt;"",Summary!B221,""),""),"")</f>
        <v/>
      </c>
      <c r="N225" t="str">
        <f t="shared" si="41"/>
        <v/>
      </c>
      <c r="O225">
        <f t="shared" si="42"/>
        <v>0</v>
      </c>
      <c r="Q225" t="str">
        <f>IF($C$15&gt;=4,IF($C$13="Yes",IF(Summary!B221&lt;&gt;"",Summary!B221,""),""),"")</f>
        <v/>
      </c>
      <c r="R225" t="str">
        <f t="shared" si="43"/>
        <v/>
      </c>
      <c r="S225">
        <f t="shared" si="44"/>
        <v>0</v>
      </c>
      <c r="U225" t="str">
        <f>IF($C$15&gt;=5,IF($C$13="Yes",IF(Summary!B221&lt;&gt;"",Summary!B221,""),""),"")</f>
        <v/>
      </c>
      <c r="V225" t="str">
        <f t="shared" si="45"/>
        <v/>
      </c>
      <c r="W225">
        <f t="shared" si="46"/>
        <v>0</v>
      </c>
      <c r="Y225" t="str">
        <f>IF($C$13="Yes",IF(Summary!B221&lt;&gt;"",Summary!B221,""),"")</f>
        <v/>
      </c>
      <c r="Z225" s="439" t="str">
        <f t="shared" si="47"/>
        <v/>
      </c>
      <c r="AA225" t="str">
        <f t="shared" si="36"/>
        <v/>
      </c>
    </row>
    <row r="226" spans="2:27">
      <c r="B226" t="str">
        <f>IF(Summary!B222&lt;&gt;"",Summary!B222,"")</f>
        <v/>
      </c>
      <c r="C226" t="str">
        <f>IF(Summary!C222&lt;&gt;"",Summary!C222,"")</f>
        <v/>
      </c>
      <c r="E226" t="str">
        <f>IF($C$15&gt;=1,IF($C$13="Yes",IF(Summary!B222&lt;&gt;"",Summary!B222,""),""),"")</f>
        <v/>
      </c>
      <c r="F226" t="str">
        <f t="shared" si="37"/>
        <v/>
      </c>
      <c r="G226">
        <f t="shared" si="38"/>
        <v>0</v>
      </c>
      <c r="I226" t="str">
        <f>IF($C$15&gt;=2,IF($C$13="Yes",IF(Summary!B222&lt;&gt;"",Summary!B222,""),""),"")</f>
        <v/>
      </c>
      <c r="J226" t="str">
        <f t="shared" si="39"/>
        <v/>
      </c>
      <c r="K226">
        <f t="shared" si="40"/>
        <v>0</v>
      </c>
      <c r="M226" t="str">
        <f>IF($C$15&gt;=3,IF($C$13="Yes",IF(Summary!B222&lt;&gt;"",Summary!B222,""),""),"")</f>
        <v/>
      </c>
      <c r="N226" t="str">
        <f t="shared" si="41"/>
        <v/>
      </c>
      <c r="O226">
        <f t="shared" si="42"/>
        <v>0</v>
      </c>
      <c r="Q226" t="str">
        <f>IF($C$15&gt;=4,IF($C$13="Yes",IF(Summary!B222&lt;&gt;"",Summary!B222,""),""),"")</f>
        <v/>
      </c>
      <c r="R226" t="str">
        <f t="shared" si="43"/>
        <v/>
      </c>
      <c r="S226">
        <f t="shared" si="44"/>
        <v>0</v>
      </c>
      <c r="U226" t="str">
        <f>IF($C$15&gt;=5,IF($C$13="Yes",IF(Summary!B222&lt;&gt;"",Summary!B222,""),""),"")</f>
        <v/>
      </c>
      <c r="V226" t="str">
        <f t="shared" si="45"/>
        <v/>
      </c>
      <c r="W226">
        <f t="shared" si="46"/>
        <v>0</v>
      </c>
      <c r="Y226" t="str">
        <f>IF($C$13="Yes",IF(Summary!B222&lt;&gt;"",Summary!B222,""),"")</f>
        <v/>
      </c>
      <c r="Z226" s="439" t="str">
        <f t="shared" si="47"/>
        <v/>
      </c>
      <c r="AA226" t="str">
        <f t="shared" si="36"/>
        <v/>
      </c>
    </row>
    <row r="227" spans="2:27">
      <c r="B227" t="str">
        <f>IF(Summary!B223&lt;&gt;"",Summary!B223,"")</f>
        <v/>
      </c>
      <c r="C227" t="str">
        <f>IF(Summary!C223&lt;&gt;"",Summary!C223,"")</f>
        <v/>
      </c>
      <c r="E227" t="str">
        <f>IF($C$15&gt;=1,IF($C$13="Yes",IF(Summary!B223&lt;&gt;"",Summary!B223,""),""),"")</f>
        <v/>
      </c>
      <c r="F227" t="str">
        <f t="shared" si="37"/>
        <v/>
      </c>
      <c r="G227">
        <f t="shared" si="38"/>
        <v>0</v>
      </c>
      <c r="I227" t="str">
        <f>IF($C$15&gt;=2,IF($C$13="Yes",IF(Summary!B223&lt;&gt;"",Summary!B223,""),""),"")</f>
        <v/>
      </c>
      <c r="J227" t="str">
        <f t="shared" si="39"/>
        <v/>
      </c>
      <c r="K227">
        <f t="shared" si="40"/>
        <v>0</v>
      </c>
      <c r="M227" t="str">
        <f>IF($C$15&gt;=3,IF($C$13="Yes",IF(Summary!B223&lt;&gt;"",Summary!B223,""),""),"")</f>
        <v/>
      </c>
      <c r="N227" t="str">
        <f t="shared" si="41"/>
        <v/>
      </c>
      <c r="O227">
        <f t="shared" si="42"/>
        <v>0</v>
      </c>
      <c r="Q227" t="str">
        <f>IF($C$15&gt;=4,IF($C$13="Yes",IF(Summary!B223&lt;&gt;"",Summary!B223,""),""),"")</f>
        <v/>
      </c>
      <c r="R227" t="str">
        <f t="shared" si="43"/>
        <v/>
      </c>
      <c r="S227">
        <f t="shared" si="44"/>
        <v>0</v>
      </c>
      <c r="U227" t="str">
        <f>IF($C$15&gt;=5,IF($C$13="Yes",IF(Summary!B223&lt;&gt;"",Summary!B223,""),""),"")</f>
        <v/>
      </c>
      <c r="V227" t="str">
        <f t="shared" si="45"/>
        <v/>
      </c>
      <c r="W227">
        <f t="shared" si="46"/>
        <v>0</v>
      </c>
      <c r="Y227" t="str">
        <f>IF($C$13="Yes",IF(Summary!B223&lt;&gt;"",Summary!B223,""),"")</f>
        <v/>
      </c>
      <c r="Z227" s="439" t="str">
        <f t="shared" si="47"/>
        <v/>
      </c>
      <c r="AA227" t="str">
        <f t="shared" si="36"/>
        <v/>
      </c>
    </row>
    <row r="228" spans="2:27">
      <c r="B228" t="str">
        <f>IF(Summary!B224&lt;&gt;"",Summary!B224,"")</f>
        <v/>
      </c>
      <c r="C228" t="str">
        <f>IF(Summary!C224&lt;&gt;"",Summary!C224,"")</f>
        <v/>
      </c>
      <c r="E228" t="str">
        <f>IF($C$15&gt;=1,IF($C$13="Yes",IF(Summary!B224&lt;&gt;"",Summary!B224,""),""),"")</f>
        <v/>
      </c>
      <c r="F228" t="str">
        <f t="shared" si="37"/>
        <v/>
      </c>
      <c r="G228">
        <f t="shared" si="38"/>
        <v>0</v>
      </c>
      <c r="I228" t="str">
        <f>IF($C$15&gt;=2,IF($C$13="Yes",IF(Summary!B224&lt;&gt;"",Summary!B224,""),""),"")</f>
        <v/>
      </c>
      <c r="J228" t="str">
        <f t="shared" si="39"/>
        <v/>
      </c>
      <c r="K228">
        <f t="shared" si="40"/>
        <v>0</v>
      </c>
      <c r="M228" t="str">
        <f>IF($C$15&gt;=3,IF($C$13="Yes",IF(Summary!B224&lt;&gt;"",Summary!B224,""),""),"")</f>
        <v/>
      </c>
      <c r="N228" t="str">
        <f t="shared" si="41"/>
        <v/>
      </c>
      <c r="O228">
        <f t="shared" si="42"/>
        <v>0</v>
      </c>
      <c r="Q228" t="str">
        <f>IF($C$15&gt;=4,IF($C$13="Yes",IF(Summary!B224&lt;&gt;"",Summary!B224,""),""),"")</f>
        <v/>
      </c>
      <c r="R228" t="str">
        <f t="shared" si="43"/>
        <v/>
      </c>
      <c r="S228">
        <f t="shared" si="44"/>
        <v>0</v>
      </c>
      <c r="U228" t="str">
        <f>IF($C$15&gt;=5,IF($C$13="Yes",IF(Summary!B224&lt;&gt;"",Summary!B224,""),""),"")</f>
        <v/>
      </c>
      <c r="V228" t="str">
        <f t="shared" si="45"/>
        <v/>
      </c>
      <c r="W228">
        <f t="shared" si="46"/>
        <v>0</v>
      </c>
      <c r="Y228" t="str">
        <f>IF($C$13="Yes",IF(Summary!B224&lt;&gt;"",Summary!B224,""),"")</f>
        <v/>
      </c>
      <c r="Z228" s="439" t="str">
        <f t="shared" si="47"/>
        <v/>
      </c>
      <c r="AA228" t="str">
        <f t="shared" si="36"/>
        <v/>
      </c>
    </row>
    <row r="229" spans="2:27">
      <c r="B229" t="str">
        <f>IF(Summary!B225&lt;&gt;"",Summary!B225,"")</f>
        <v/>
      </c>
      <c r="C229" t="str">
        <f>IF(Summary!C225&lt;&gt;"",Summary!C225,"")</f>
        <v/>
      </c>
      <c r="E229" t="str">
        <f>IF($C$15&gt;=1,IF($C$13="Yes",IF(Summary!B225&lt;&gt;"",Summary!B225,""),""),"")</f>
        <v/>
      </c>
      <c r="F229" t="str">
        <f t="shared" si="37"/>
        <v/>
      </c>
      <c r="G229">
        <f t="shared" si="38"/>
        <v>0</v>
      </c>
      <c r="I229" t="str">
        <f>IF($C$15&gt;=2,IF($C$13="Yes",IF(Summary!B225&lt;&gt;"",Summary!B225,""),""),"")</f>
        <v/>
      </c>
      <c r="J229" t="str">
        <f t="shared" si="39"/>
        <v/>
      </c>
      <c r="K229">
        <f t="shared" si="40"/>
        <v>0</v>
      </c>
      <c r="M229" t="str">
        <f>IF($C$15&gt;=3,IF($C$13="Yes",IF(Summary!B225&lt;&gt;"",Summary!B225,""),""),"")</f>
        <v/>
      </c>
      <c r="N229" t="str">
        <f t="shared" si="41"/>
        <v/>
      </c>
      <c r="O229">
        <f t="shared" si="42"/>
        <v>0</v>
      </c>
      <c r="Q229" t="str">
        <f>IF($C$15&gt;=4,IF($C$13="Yes",IF(Summary!B225&lt;&gt;"",Summary!B225,""),""),"")</f>
        <v/>
      </c>
      <c r="R229" t="str">
        <f t="shared" si="43"/>
        <v/>
      </c>
      <c r="S229">
        <f t="shared" si="44"/>
        <v>0</v>
      </c>
      <c r="U229" t="str">
        <f>IF($C$15&gt;=5,IF($C$13="Yes",IF(Summary!B225&lt;&gt;"",Summary!B225,""),""),"")</f>
        <v/>
      </c>
      <c r="V229" t="str">
        <f t="shared" si="45"/>
        <v/>
      </c>
      <c r="W229">
        <f t="shared" si="46"/>
        <v>0</v>
      </c>
      <c r="Y229" t="str">
        <f>IF($C$13="Yes",IF(Summary!B225&lt;&gt;"",Summary!B225,""),"")</f>
        <v/>
      </c>
      <c r="Z229" s="439" t="str">
        <f t="shared" si="47"/>
        <v/>
      </c>
      <c r="AA229" t="str">
        <f t="shared" si="36"/>
        <v/>
      </c>
    </row>
    <row r="230" spans="2:27">
      <c r="B230" t="str">
        <f>IF(Summary!B226&lt;&gt;"",Summary!B226,"")</f>
        <v/>
      </c>
      <c r="C230" t="str">
        <f>IF(Summary!C226&lt;&gt;"",Summary!C226,"")</f>
        <v/>
      </c>
      <c r="E230" t="str">
        <f>IF($C$15&gt;=1,IF($C$13="Yes",IF(Summary!B226&lt;&gt;"",Summary!B226,""),""),"")</f>
        <v/>
      </c>
      <c r="F230" t="str">
        <f t="shared" si="37"/>
        <v/>
      </c>
      <c r="G230">
        <f t="shared" si="38"/>
        <v>0</v>
      </c>
      <c r="I230" t="str">
        <f>IF($C$15&gt;=2,IF($C$13="Yes",IF(Summary!B226&lt;&gt;"",Summary!B226,""),""),"")</f>
        <v/>
      </c>
      <c r="J230" t="str">
        <f t="shared" si="39"/>
        <v/>
      </c>
      <c r="K230">
        <f t="shared" si="40"/>
        <v>0</v>
      </c>
      <c r="M230" t="str">
        <f>IF($C$15&gt;=3,IF($C$13="Yes",IF(Summary!B226&lt;&gt;"",Summary!B226,""),""),"")</f>
        <v/>
      </c>
      <c r="N230" t="str">
        <f t="shared" si="41"/>
        <v/>
      </c>
      <c r="O230">
        <f t="shared" si="42"/>
        <v>0</v>
      </c>
      <c r="Q230" t="str">
        <f>IF($C$15&gt;=4,IF($C$13="Yes",IF(Summary!B226&lt;&gt;"",Summary!B226,""),""),"")</f>
        <v/>
      </c>
      <c r="R230" t="str">
        <f t="shared" si="43"/>
        <v/>
      </c>
      <c r="S230">
        <f t="shared" si="44"/>
        <v>0</v>
      </c>
      <c r="U230" t="str">
        <f>IF($C$15&gt;=5,IF($C$13="Yes",IF(Summary!B226&lt;&gt;"",Summary!B226,""),""),"")</f>
        <v/>
      </c>
      <c r="V230" t="str">
        <f t="shared" si="45"/>
        <v/>
      </c>
      <c r="W230">
        <f t="shared" si="46"/>
        <v>0</v>
      </c>
      <c r="Y230" t="str">
        <f>IF($C$13="Yes",IF(Summary!B226&lt;&gt;"",Summary!B226,""),"")</f>
        <v/>
      </c>
      <c r="Z230" s="439" t="str">
        <f t="shared" si="47"/>
        <v/>
      </c>
      <c r="AA230" t="str">
        <f t="shared" si="36"/>
        <v/>
      </c>
    </row>
    <row r="231" spans="2:27">
      <c r="B231" t="str">
        <f>IF(Summary!B227&lt;&gt;"",Summary!B227,"")</f>
        <v/>
      </c>
      <c r="C231" t="str">
        <f>IF(Summary!C227&lt;&gt;"",Summary!C227,"")</f>
        <v/>
      </c>
      <c r="E231" t="str">
        <f>IF($C$15&gt;=1,IF($C$13="Yes",IF(Summary!B227&lt;&gt;"",Summary!B227,""),""),"")</f>
        <v/>
      </c>
      <c r="F231" t="str">
        <f t="shared" si="37"/>
        <v/>
      </c>
      <c r="G231">
        <f t="shared" si="38"/>
        <v>0</v>
      </c>
      <c r="I231" t="str">
        <f>IF($C$15&gt;=2,IF($C$13="Yes",IF(Summary!B227&lt;&gt;"",Summary!B227,""),""),"")</f>
        <v/>
      </c>
      <c r="J231" t="str">
        <f t="shared" si="39"/>
        <v/>
      </c>
      <c r="K231">
        <f t="shared" si="40"/>
        <v>0</v>
      </c>
      <c r="M231" t="str">
        <f>IF($C$15&gt;=3,IF($C$13="Yes",IF(Summary!B227&lt;&gt;"",Summary!B227,""),""),"")</f>
        <v/>
      </c>
      <c r="N231" t="str">
        <f t="shared" si="41"/>
        <v/>
      </c>
      <c r="O231">
        <f t="shared" si="42"/>
        <v>0</v>
      </c>
      <c r="Q231" t="str">
        <f>IF($C$15&gt;=4,IF($C$13="Yes",IF(Summary!B227&lt;&gt;"",Summary!B227,""),""),"")</f>
        <v/>
      </c>
      <c r="R231" t="str">
        <f t="shared" si="43"/>
        <v/>
      </c>
      <c r="S231">
        <f t="shared" si="44"/>
        <v>0</v>
      </c>
      <c r="U231" t="str">
        <f>IF($C$15&gt;=5,IF($C$13="Yes",IF(Summary!B227&lt;&gt;"",Summary!B227,""),""),"")</f>
        <v/>
      </c>
      <c r="V231" t="str">
        <f t="shared" si="45"/>
        <v/>
      </c>
      <c r="W231">
        <f t="shared" si="46"/>
        <v>0</v>
      </c>
      <c r="Y231" t="str">
        <f>IF($C$13="Yes",IF(Summary!B227&lt;&gt;"",Summary!B227,""),"")</f>
        <v/>
      </c>
      <c r="Z231" s="439" t="str">
        <f t="shared" si="47"/>
        <v/>
      </c>
      <c r="AA231" t="str">
        <f t="shared" si="36"/>
        <v/>
      </c>
    </row>
    <row r="232" spans="2:27">
      <c r="B232" t="str">
        <f>IF(Summary!B228&lt;&gt;"",Summary!B228,"")</f>
        <v/>
      </c>
      <c r="C232" t="str">
        <f>IF(Summary!C228&lt;&gt;"",Summary!C228,"")</f>
        <v/>
      </c>
      <c r="E232" t="str">
        <f>IF($C$15&gt;=1,IF($C$13="Yes",IF(Summary!B228&lt;&gt;"",Summary!B228,""),""),"")</f>
        <v/>
      </c>
      <c r="F232" t="str">
        <f t="shared" si="37"/>
        <v/>
      </c>
      <c r="G232">
        <f t="shared" si="38"/>
        <v>0</v>
      </c>
      <c r="I232" t="str">
        <f>IF($C$15&gt;=2,IF($C$13="Yes",IF(Summary!B228&lt;&gt;"",Summary!B228,""),""),"")</f>
        <v/>
      </c>
      <c r="J232" t="str">
        <f t="shared" si="39"/>
        <v/>
      </c>
      <c r="K232">
        <f t="shared" si="40"/>
        <v>0</v>
      </c>
      <c r="M232" t="str">
        <f>IF($C$15&gt;=3,IF($C$13="Yes",IF(Summary!B228&lt;&gt;"",Summary!B228,""),""),"")</f>
        <v/>
      </c>
      <c r="N232" t="str">
        <f t="shared" si="41"/>
        <v/>
      </c>
      <c r="O232">
        <f t="shared" si="42"/>
        <v>0</v>
      </c>
      <c r="Q232" t="str">
        <f>IF($C$15&gt;=4,IF($C$13="Yes",IF(Summary!B228&lt;&gt;"",Summary!B228,""),""),"")</f>
        <v/>
      </c>
      <c r="R232" t="str">
        <f t="shared" si="43"/>
        <v/>
      </c>
      <c r="S232">
        <f t="shared" si="44"/>
        <v>0</v>
      </c>
      <c r="U232" t="str">
        <f>IF($C$15&gt;=5,IF($C$13="Yes",IF(Summary!B228&lt;&gt;"",Summary!B228,""),""),"")</f>
        <v/>
      </c>
      <c r="V232" t="str">
        <f t="shared" si="45"/>
        <v/>
      </c>
      <c r="W232">
        <f t="shared" si="46"/>
        <v>0</v>
      </c>
      <c r="Y232" t="str">
        <f>IF($C$13="Yes",IF(Summary!B228&lt;&gt;"",Summary!B228,""),"")</f>
        <v/>
      </c>
      <c r="Z232" s="439" t="str">
        <f t="shared" si="47"/>
        <v/>
      </c>
      <c r="AA232" t="str">
        <f t="shared" si="36"/>
        <v/>
      </c>
    </row>
    <row r="233" spans="2:27">
      <c r="B233" t="str">
        <f>IF(Summary!B229&lt;&gt;"",Summary!B229,"")</f>
        <v/>
      </c>
      <c r="C233" t="str">
        <f>IF(Summary!C229&lt;&gt;"",Summary!C229,"")</f>
        <v/>
      </c>
      <c r="E233" t="str">
        <f>IF($C$15&gt;=1,IF($C$13="Yes",IF(Summary!B229&lt;&gt;"",Summary!B229,""),""),"")</f>
        <v/>
      </c>
      <c r="F233" t="str">
        <f t="shared" si="37"/>
        <v/>
      </c>
      <c r="G233">
        <f t="shared" si="38"/>
        <v>0</v>
      </c>
      <c r="I233" t="str">
        <f>IF($C$15&gt;=2,IF($C$13="Yes",IF(Summary!B229&lt;&gt;"",Summary!B229,""),""),"")</f>
        <v/>
      </c>
      <c r="J233" t="str">
        <f t="shared" si="39"/>
        <v/>
      </c>
      <c r="K233">
        <f t="shared" si="40"/>
        <v>0</v>
      </c>
      <c r="M233" t="str">
        <f>IF($C$15&gt;=3,IF($C$13="Yes",IF(Summary!B229&lt;&gt;"",Summary!B229,""),""),"")</f>
        <v/>
      </c>
      <c r="N233" t="str">
        <f t="shared" si="41"/>
        <v/>
      </c>
      <c r="O233">
        <f t="shared" si="42"/>
        <v>0</v>
      </c>
      <c r="Q233" t="str">
        <f>IF($C$15&gt;=4,IF($C$13="Yes",IF(Summary!B229&lt;&gt;"",Summary!B229,""),""),"")</f>
        <v/>
      </c>
      <c r="R233" t="str">
        <f t="shared" si="43"/>
        <v/>
      </c>
      <c r="S233">
        <f t="shared" si="44"/>
        <v>0</v>
      </c>
      <c r="U233" t="str">
        <f>IF($C$15&gt;=5,IF($C$13="Yes",IF(Summary!B229&lt;&gt;"",Summary!B229,""),""),"")</f>
        <v/>
      </c>
      <c r="V233" t="str">
        <f t="shared" si="45"/>
        <v/>
      </c>
      <c r="W233">
        <f t="shared" si="46"/>
        <v>0</v>
      </c>
      <c r="Y233" t="str">
        <f>IF($C$13="Yes",IF(Summary!B229&lt;&gt;"",Summary!B229,""),"")</f>
        <v/>
      </c>
      <c r="Z233" s="439" t="str">
        <f t="shared" si="47"/>
        <v/>
      </c>
      <c r="AA233" t="str">
        <f t="shared" si="36"/>
        <v/>
      </c>
    </row>
    <row r="234" spans="2:27">
      <c r="B234" t="str">
        <f>IF(Summary!B230&lt;&gt;"",Summary!B230,"")</f>
        <v/>
      </c>
      <c r="C234" t="str">
        <f>IF(Summary!C230&lt;&gt;"",Summary!C230,"")</f>
        <v/>
      </c>
      <c r="E234" t="str">
        <f>IF($C$15&gt;=1,IF($C$13="Yes",IF(Summary!B230&lt;&gt;"",Summary!B230,""),""),"")</f>
        <v/>
      </c>
      <c r="F234" t="str">
        <f t="shared" si="37"/>
        <v/>
      </c>
      <c r="G234">
        <f t="shared" si="38"/>
        <v>0</v>
      </c>
      <c r="I234" t="str">
        <f>IF($C$15&gt;=2,IF($C$13="Yes",IF(Summary!B230&lt;&gt;"",Summary!B230,""),""),"")</f>
        <v/>
      </c>
      <c r="J234" t="str">
        <f t="shared" si="39"/>
        <v/>
      </c>
      <c r="K234">
        <f t="shared" si="40"/>
        <v>0</v>
      </c>
      <c r="M234" t="str">
        <f>IF($C$15&gt;=3,IF($C$13="Yes",IF(Summary!B230&lt;&gt;"",Summary!B230,""),""),"")</f>
        <v/>
      </c>
      <c r="N234" t="str">
        <f t="shared" si="41"/>
        <v/>
      </c>
      <c r="O234">
        <f t="shared" si="42"/>
        <v>0</v>
      </c>
      <c r="Q234" t="str">
        <f>IF($C$15&gt;=4,IF($C$13="Yes",IF(Summary!B230&lt;&gt;"",Summary!B230,""),""),"")</f>
        <v/>
      </c>
      <c r="R234" t="str">
        <f t="shared" si="43"/>
        <v/>
      </c>
      <c r="S234">
        <f t="shared" si="44"/>
        <v>0</v>
      </c>
      <c r="U234" t="str">
        <f>IF($C$15&gt;=5,IF($C$13="Yes",IF(Summary!B230&lt;&gt;"",Summary!B230,""),""),"")</f>
        <v/>
      </c>
      <c r="V234" t="str">
        <f t="shared" si="45"/>
        <v/>
      </c>
      <c r="W234">
        <f t="shared" si="46"/>
        <v>0</v>
      </c>
      <c r="Y234" t="str">
        <f>IF($C$13="Yes",IF(Summary!B230&lt;&gt;"",Summary!B230,""),"")</f>
        <v/>
      </c>
      <c r="Z234" s="439" t="str">
        <f t="shared" si="47"/>
        <v/>
      </c>
      <c r="AA234" t="str">
        <f t="shared" si="36"/>
        <v/>
      </c>
    </row>
    <row r="235" spans="2:27">
      <c r="B235" t="str">
        <f>IF(Summary!B231&lt;&gt;"",Summary!B231,"")</f>
        <v/>
      </c>
      <c r="C235" t="str">
        <f>IF(Summary!C231&lt;&gt;"",Summary!C231,"")</f>
        <v/>
      </c>
      <c r="E235" t="str">
        <f>IF($C$15&gt;=1,IF($C$13="Yes",IF(Summary!B231&lt;&gt;"",Summary!B231,""),""),"")</f>
        <v/>
      </c>
      <c r="F235" t="str">
        <f t="shared" si="37"/>
        <v/>
      </c>
      <c r="G235">
        <f t="shared" si="38"/>
        <v>0</v>
      </c>
      <c r="I235" t="str">
        <f>IF($C$15&gt;=2,IF($C$13="Yes",IF(Summary!B231&lt;&gt;"",Summary!B231,""),""),"")</f>
        <v/>
      </c>
      <c r="J235" t="str">
        <f t="shared" si="39"/>
        <v/>
      </c>
      <c r="K235">
        <f t="shared" si="40"/>
        <v>0</v>
      </c>
      <c r="M235" t="str">
        <f>IF($C$15&gt;=3,IF($C$13="Yes",IF(Summary!B231&lt;&gt;"",Summary!B231,""),""),"")</f>
        <v/>
      </c>
      <c r="N235" t="str">
        <f t="shared" si="41"/>
        <v/>
      </c>
      <c r="O235">
        <f t="shared" si="42"/>
        <v>0</v>
      </c>
      <c r="Q235" t="str">
        <f>IF($C$15&gt;=4,IF($C$13="Yes",IF(Summary!B231&lt;&gt;"",Summary!B231,""),""),"")</f>
        <v/>
      </c>
      <c r="R235" t="str">
        <f t="shared" si="43"/>
        <v/>
      </c>
      <c r="S235">
        <f t="shared" si="44"/>
        <v>0</v>
      </c>
      <c r="U235" t="str">
        <f>IF($C$15&gt;=5,IF($C$13="Yes",IF(Summary!B231&lt;&gt;"",Summary!B231,""),""),"")</f>
        <v/>
      </c>
      <c r="V235" t="str">
        <f t="shared" si="45"/>
        <v/>
      </c>
      <c r="W235">
        <f t="shared" si="46"/>
        <v>0</v>
      </c>
      <c r="Y235" t="str">
        <f>IF($C$13="Yes",IF(Summary!B231&lt;&gt;"",Summary!B231,""),"")</f>
        <v/>
      </c>
      <c r="Z235" s="439" t="str">
        <f t="shared" si="47"/>
        <v/>
      </c>
      <c r="AA235" t="str">
        <f t="shared" si="36"/>
        <v/>
      </c>
    </row>
    <row r="236" spans="2:27">
      <c r="B236" t="str">
        <f>IF(Summary!B232&lt;&gt;"",Summary!B232,"")</f>
        <v/>
      </c>
      <c r="C236" t="str">
        <f>IF(Summary!C232&lt;&gt;"",Summary!C232,"")</f>
        <v/>
      </c>
      <c r="E236" t="str">
        <f>IF($C$15&gt;=1,IF($C$13="Yes",IF(Summary!B232&lt;&gt;"",Summary!B232,""),""),"")</f>
        <v/>
      </c>
      <c r="F236" t="str">
        <f t="shared" si="37"/>
        <v/>
      </c>
      <c r="G236">
        <f t="shared" si="38"/>
        <v>0</v>
      </c>
      <c r="I236" t="str">
        <f>IF($C$15&gt;=2,IF($C$13="Yes",IF(Summary!B232&lt;&gt;"",Summary!B232,""),""),"")</f>
        <v/>
      </c>
      <c r="J236" t="str">
        <f t="shared" si="39"/>
        <v/>
      </c>
      <c r="K236">
        <f t="shared" si="40"/>
        <v>0</v>
      </c>
      <c r="M236" t="str">
        <f>IF($C$15&gt;=3,IF($C$13="Yes",IF(Summary!B232&lt;&gt;"",Summary!B232,""),""),"")</f>
        <v/>
      </c>
      <c r="N236" t="str">
        <f t="shared" si="41"/>
        <v/>
      </c>
      <c r="O236">
        <f t="shared" si="42"/>
        <v>0</v>
      </c>
      <c r="Q236" t="str">
        <f>IF($C$15&gt;=4,IF($C$13="Yes",IF(Summary!B232&lt;&gt;"",Summary!B232,""),""),"")</f>
        <v/>
      </c>
      <c r="R236" t="str">
        <f t="shared" si="43"/>
        <v/>
      </c>
      <c r="S236">
        <f t="shared" si="44"/>
        <v>0</v>
      </c>
      <c r="U236" t="str">
        <f>IF($C$15&gt;=5,IF($C$13="Yes",IF(Summary!B232&lt;&gt;"",Summary!B232,""),""),"")</f>
        <v/>
      </c>
      <c r="V236" t="str">
        <f t="shared" si="45"/>
        <v/>
      </c>
      <c r="W236">
        <f t="shared" si="46"/>
        <v>0</v>
      </c>
      <c r="Y236" t="str">
        <f>IF($C$13="Yes",IF(Summary!B232&lt;&gt;"",Summary!B232,""),"")</f>
        <v/>
      </c>
      <c r="Z236" s="439" t="str">
        <f t="shared" si="47"/>
        <v/>
      </c>
      <c r="AA236" t="str">
        <f t="shared" si="36"/>
        <v/>
      </c>
    </row>
    <row r="237" spans="2:27">
      <c r="B237" t="str">
        <f>IF(Summary!B233&lt;&gt;"",Summary!B233,"")</f>
        <v/>
      </c>
      <c r="C237" t="str">
        <f>IF(Summary!C233&lt;&gt;"",Summary!C233,"")</f>
        <v/>
      </c>
      <c r="E237" t="str">
        <f>IF($C$15&gt;=1,IF($C$13="Yes",IF(Summary!B233&lt;&gt;"",Summary!B233,""),""),"")</f>
        <v/>
      </c>
      <c r="F237" t="str">
        <f t="shared" si="37"/>
        <v/>
      </c>
      <c r="G237">
        <f t="shared" si="38"/>
        <v>0</v>
      </c>
      <c r="I237" t="str">
        <f>IF($C$15&gt;=2,IF($C$13="Yes",IF(Summary!B233&lt;&gt;"",Summary!B233,""),""),"")</f>
        <v/>
      </c>
      <c r="J237" t="str">
        <f t="shared" si="39"/>
        <v/>
      </c>
      <c r="K237">
        <f t="shared" si="40"/>
        <v>0</v>
      </c>
      <c r="M237" t="str">
        <f>IF($C$15&gt;=3,IF($C$13="Yes",IF(Summary!B233&lt;&gt;"",Summary!B233,""),""),"")</f>
        <v/>
      </c>
      <c r="N237" t="str">
        <f t="shared" si="41"/>
        <v/>
      </c>
      <c r="O237">
        <f t="shared" si="42"/>
        <v>0</v>
      </c>
      <c r="Q237" t="str">
        <f>IF($C$15&gt;=4,IF($C$13="Yes",IF(Summary!B233&lt;&gt;"",Summary!B233,""),""),"")</f>
        <v/>
      </c>
      <c r="R237" t="str">
        <f t="shared" si="43"/>
        <v/>
      </c>
      <c r="S237">
        <f t="shared" si="44"/>
        <v>0</v>
      </c>
      <c r="U237" t="str">
        <f>IF($C$15&gt;=5,IF($C$13="Yes",IF(Summary!B233&lt;&gt;"",Summary!B233,""),""),"")</f>
        <v/>
      </c>
      <c r="V237" t="str">
        <f t="shared" si="45"/>
        <v/>
      </c>
      <c r="W237">
        <f t="shared" si="46"/>
        <v>0</v>
      </c>
      <c r="Y237" t="str">
        <f>IF($C$13="Yes",IF(Summary!B233&lt;&gt;"",Summary!B233,""),"")</f>
        <v/>
      </c>
      <c r="Z237" s="439" t="str">
        <f t="shared" si="47"/>
        <v/>
      </c>
      <c r="AA237" t="str">
        <f t="shared" si="36"/>
        <v/>
      </c>
    </row>
    <row r="238" spans="2:27">
      <c r="B238" t="str">
        <f>IF(Summary!B234&lt;&gt;"",Summary!B234,"")</f>
        <v/>
      </c>
      <c r="C238" t="str">
        <f>IF(Summary!C234&lt;&gt;"",Summary!C234,"")</f>
        <v/>
      </c>
      <c r="E238" t="str">
        <f>IF($C$15&gt;=1,IF($C$13="Yes",IF(Summary!B234&lt;&gt;"",Summary!B234,""),""),"")</f>
        <v/>
      </c>
      <c r="F238" t="str">
        <f t="shared" si="37"/>
        <v/>
      </c>
      <c r="G238">
        <f t="shared" si="38"/>
        <v>0</v>
      </c>
      <c r="I238" t="str">
        <f>IF($C$15&gt;=2,IF($C$13="Yes",IF(Summary!B234&lt;&gt;"",Summary!B234,""),""),"")</f>
        <v/>
      </c>
      <c r="J238" t="str">
        <f t="shared" si="39"/>
        <v/>
      </c>
      <c r="K238">
        <f t="shared" si="40"/>
        <v>0</v>
      </c>
      <c r="M238" t="str">
        <f>IF($C$15&gt;=3,IF($C$13="Yes",IF(Summary!B234&lt;&gt;"",Summary!B234,""),""),"")</f>
        <v/>
      </c>
      <c r="N238" t="str">
        <f t="shared" si="41"/>
        <v/>
      </c>
      <c r="O238">
        <f t="shared" si="42"/>
        <v>0</v>
      </c>
      <c r="Q238" t="str">
        <f>IF($C$15&gt;=4,IF($C$13="Yes",IF(Summary!B234&lt;&gt;"",Summary!B234,""),""),"")</f>
        <v/>
      </c>
      <c r="R238" t="str">
        <f t="shared" si="43"/>
        <v/>
      </c>
      <c r="S238">
        <f t="shared" si="44"/>
        <v>0</v>
      </c>
      <c r="U238" t="str">
        <f>IF($C$15&gt;=5,IF($C$13="Yes",IF(Summary!B234&lt;&gt;"",Summary!B234,""),""),"")</f>
        <v/>
      </c>
      <c r="V238" t="str">
        <f t="shared" si="45"/>
        <v/>
      </c>
      <c r="W238">
        <f t="shared" si="46"/>
        <v>0</v>
      </c>
      <c r="Y238" t="str">
        <f>IF($C$13="Yes",IF(Summary!B234&lt;&gt;"",Summary!B234,""),"")</f>
        <v/>
      </c>
      <c r="Z238" s="439" t="str">
        <f t="shared" si="47"/>
        <v/>
      </c>
      <c r="AA238" t="str">
        <f t="shared" si="36"/>
        <v/>
      </c>
    </row>
    <row r="239" spans="2:27">
      <c r="B239" t="str">
        <f>IF(Summary!B235&lt;&gt;"",Summary!B235,"")</f>
        <v/>
      </c>
      <c r="C239" t="str">
        <f>IF(Summary!C235&lt;&gt;"",Summary!C235,"")</f>
        <v/>
      </c>
      <c r="E239" t="str">
        <f>IF($C$15&gt;=1,IF($C$13="Yes",IF(Summary!B235&lt;&gt;"",Summary!B235,""),""),"")</f>
        <v/>
      </c>
      <c r="F239" t="str">
        <f t="shared" si="37"/>
        <v/>
      </c>
      <c r="G239">
        <f t="shared" si="38"/>
        <v>0</v>
      </c>
      <c r="I239" t="str">
        <f>IF($C$15&gt;=2,IF($C$13="Yes",IF(Summary!B235&lt;&gt;"",Summary!B235,""),""),"")</f>
        <v/>
      </c>
      <c r="J239" t="str">
        <f t="shared" si="39"/>
        <v/>
      </c>
      <c r="K239">
        <f t="shared" si="40"/>
        <v>0</v>
      </c>
      <c r="M239" t="str">
        <f>IF($C$15&gt;=3,IF($C$13="Yes",IF(Summary!B235&lt;&gt;"",Summary!B235,""),""),"")</f>
        <v/>
      </c>
      <c r="N239" t="str">
        <f t="shared" si="41"/>
        <v/>
      </c>
      <c r="O239">
        <f t="shared" si="42"/>
        <v>0</v>
      </c>
      <c r="Q239" t="str">
        <f>IF($C$15&gt;=4,IF($C$13="Yes",IF(Summary!B235&lt;&gt;"",Summary!B235,""),""),"")</f>
        <v/>
      </c>
      <c r="R239" t="str">
        <f t="shared" si="43"/>
        <v/>
      </c>
      <c r="S239">
        <f t="shared" si="44"/>
        <v>0</v>
      </c>
      <c r="U239" t="str">
        <f>IF($C$15&gt;=5,IF($C$13="Yes",IF(Summary!B235&lt;&gt;"",Summary!B235,""),""),"")</f>
        <v/>
      </c>
      <c r="V239" t="str">
        <f t="shared" si="45"/>
        <v/>
      </c>
      <c r="W239">
        <f t="shared" si="46"/>
        <v>0</v>
      </c>
      <c r="Y239" t="str">
        <f>IF($C$13="Yes",IF(Summary!B235&lt;&gt;"",Summary!B235,""),"")</f>
        <v/>
      </c>
      <c r="Z239" s="439" t="str">
        <f t="shared" si="47"/>
        <v/>
      </c>
      <c r="AA239" t="str">
        <f t="shared" si="36"/>
        <v/>
      </c>
    </row>
    <row r="240" spans="2:27">
      <c r="B240" t="str">
        <f>IF(Summary!B236&lt;&gt;"",Summary!B236,"")</f>
        <v/>
      </c>
      <c r="C240" t="str">
        <f>IF(Summary!C236&lt;&gt;"",Summary!C236,"")</f>
        <v/>
      </c>
      <c r="E240" t="str">
        <f>IF($C$15&gt;=1,IF($C$13="Yes",IF(Summary!B236&lt;&gt;"",Summary!B236,""),""),"")</f>
        <v/>
      </c>
      <c r="F240" t="str">
        <f t="shared" si="37"/>
        <v/>
      </c>
      <c r="G240">
        <f t="shared" si="38"/>
        <v>0</v>
      </c>
      <c r="I240" t="str">
        <f>IF($C$15&gt;=2,IF($C$13="Yes",IF(Summary!B236&lt;&gt;"",Summary!B236,""),""),"")</f>
        <v/>
      </c>
      <c r="J240" t="str">
        <f t="shared" si="39"/>
        <v/>
      </c>
      <c r="K240">
        <f t="shared" si="40"/>
        <v>0</v>
      </c>
      <c r="M240" t="str">
        <f>IF($C$15&gt;=3,IF($C$13="Yes",IF(Summary!B236&lt;&gt;"",Summary!B236,""),""),"")</f>
        <v/>
      </c>
      <c r="N240" t="str">
        <f t="shared" si="41"/>
        <v/>
      </c>
      <c r="O240">
        <f t="shared" si="42"/>
        <v>0</v>
      </c>
      <c r="Q240" t="str">
        <f>IF($C$15&gt;=4,IF($C$13="Yes",IF(Summary!B236&lt;&gt;"",Summary!B236,""),""),"")</f>
        <v/>
      </c>
      <c r="R240" t="str">
        <f t="shared" si="43"/>
        <v/>
      </c>
      <c r="S240">
        <f t="shared" si="44"/>
        <v>0</v>
      </c>
      <c r="U240" t="str">
        <f>IF($C$15&gt;=5,IF($C$13="Yes",IF(Summary!B236&lt;&gt;"",Summary!B236,""),""),"")</f>
        <v/>
      </c>
      <c r="V240" t="str">
        <f t="shared" si="45"/>
        <v/>
      </c>
      <c r="W240">
        <f t="shared" si="46"/>
        <v>0</v>
      </c>
      <c r="Y240" t="str">
        <f>IF($C$13="Yes",IF(Summary!B236&lt;&gt;"",Summary!B236,""),"")</f>
        <v/>
      </c>
      <c r="Z240" s="439" t="str">
        <f t="shared" si="47"/>
        <v/>
      </c>
      <c r="AA240" t="str">
        <f t="shared" si="36"/>
        <v/>
      </c>
    </row>
    <row r="241" spans="2:27">
      <c r="B241" t="str">
        <f>IF(Summary!B237&lt;&gt;"",Summary!B237,"")</f>
        <v/>
      </c>
      <c r="C241" t="str">
        <f>IF(Summary!C237&lt;&gt;"",Summary!C237,"")</f>
        <v/>
      </c>
      <c r="E241" t="str">
        <f>IF($C$15&gt;=1,IF($C$13="Yes",IF(Summary!B237&lt;&gt;"",Summary!B237,""),""),"")</f>
        <v/>
      </c>
      <c r="F241" t="str">
        <f t="shared" si="37"/>
        <v/>
      </c>
      <c r="G241">
        <f t="shared" si="38"/>
        <v>0</v>
      </c>
      <c r="I241" t="str">
        <f>IF($C$15&gt;=2,IF($C$13="Yes",IF(Summary!B237&lt;&gt;"",Summary!B237,""),""),"")</f>
        <v/>
      </c>
      <c r="J241" t="str">
        <f t="shared" si="39"/>
        <v/>
      </c>
      <c r="K241">
        <f t="shared" si="40"/>
        <v>0</v>
      </c>
      <c r="M241" t="str">
        <f>IF($C$15&gt;=3,IF($C$13="Yes",IF(Summary!B237&lt;&gt;"",Summary!B237,""),""),"")</f>
        <v/>
      </c>
      <c r="N241" t="str">
        <f t="shared" si="41"/>
        <v/>
      </c>
      <c r="O241">
        <f t="shared" si="42"/>
        <v>0</v>
      </c>
      <c r="Q241" t="str">
        <f>IF($C$15&gt;=4,IF($C$13="Yes",IF(Summary!B237&lt;&gt;"",Summary!B237,""),""),"")</f>
        <v/>
      </c>
      <c r="R241" t="str">
        <f t="shared" si="43"/>
        <v/>
      </c>
      <c r="S241">
        <f t="shared" si="44"/>
        <v>0</v>
      </c>
      <c r="U241" t="str">
        <f>IF($C$15&gt;=5,IF($C$13="Yes",IF(Summary!B237&lt;&gt;"",Summary!B237,""),""),"")</f>
        <v/>
      </c>
      <c r="V241" t="str">
        <f t="shared" si="45"/>
        <v/>
      </c>
      <c r="W241">
        <f t="shared" si="46"/>
        <v>0</v>
      </c>
      <c r="Y241" t="str">
        <f>IF($C$13="Yes",IF(Summary!B237&lt;&gt;"",Summary!B237,""),"")</f>
        <v/>
      </c>
      <c r="Z241" s="439" t="str">
        <f t="shared" si="47"/>
        <v/>
      </c>
      <c r="AA241" t="str">
        <f t="shared" si="36"/>
        <v/>
      </c>
    </row>
    <row r="242" spans="2:27">
      <c r="B242" t="str">
        <f>IF(Summary!B238&lt;&gt;"",Summary!B238,"")</f>
        <v/>
      </c>
      <c r="C242" t="str">
        <f>IF(Summary!C238&lt;&gt;"",Summary!C238,"")</f>
        <v/>
      </c>
      <c r="E242" t="str">
        <f>IF($C$15&gt;=1,IF($C$13="Yes",IF(Summary!B238&lt;&gt;"",Summary!B238,""),""),"")</f>
        <v/>
      </c>
      <c r="F242" t="str">
        <f t="shared" si="37"/>
        <v/>
      </c>
      <c r="G242">
        <f t="shared" si="38"/>
        <v>0</v>
      </c>
      <c r="I242" t="str">
        <f>IF($C$15&gt;=2,IF($C$13="Yes",IF(Summary!B238&lt;&gt;"",Summary!B238,""),""),"")</f>
        <v/>
      </c>
      <c r="J242" t="str">
        <f t="shared" si="39"/>
        <v/>
      </c>
      <c r="K242">
        <f t="shared" si="40"/>
        <v>0</v>
      </c>
      <c r="M242" t="str">
        <f>IF($C$15&gt;=3,IF($C$13="Yes",IF(Summary!B238&lt;&gt;"",Summary!B238,""),""),"")</f>
        <v/>
      </c>
      <c r="N242" t="str">
        <f t="shared" si="41"/>
        <v/>
      </c>
      <c r="O242">
        <f t="shared" si="42"/>
        <v>0</v>
      </c>
      <c r="Q242" t="str">
        <f>IF($C$15&gt;=4,IF($C$13="Yes",IF(Summary!B238&lt;&gt;"",Summary!B238,""),""),"")</f>
        <v/>
      </c>
      <c r="R242" t="str">
        <f t="shared" si="43"/>
        <v/>
      </c>
      <c r="S242">
        <f t="shared" si="44"/>
        <v>0</v>
      </c>
      <c r="U242" t="str">
        <f>IF($C$15&gt;=5,IF($C$13="Yes",IF(Summary!B238&lt;&gt;"",Summary!B238,""),""),"")</f>
        <v/>
      </c>
      <c r="V242" t="str">
        <f t="shared" si="45"/>
        <v/>
      </c>
      <c r="W242">
        <f t="shared" si="46"/>
        <v>0</v>
      </c>
      <c r="Y242" t="str">
        <f>IF($C$13="Yes",IF(Summary!B238&lt;&gt;"",Summary!B238,""),"")</f>
        <v/>
      </c>
      <c r="Z242" s="439" t="str">
        <f t="shared" si="47"/>
        <v/>
      </c>
      <c r="AA242" t="str">
        <f t="shared" si="36"/>
        <v/>
      </c>
    </row>
    <row r="243" spans="2:27">
      <c r="B243" t="str">
        <f>IF(Summary!B239&lt;&gt;"",Summary!B239,"")</f>
        <v/>
      </c>
      <c r="C243" t="str">
        <f>IF(Summary!C239&lt;&gt;"",Summary!C239,"")</f>
        <v/>
      </c>
      <c r="E243" t="str">
        <f>IF($C$15&gt;=1,IF($C$13="Yes",IF(Summary!B239&lt;&gt;"",Summary!B239,""),""),"")</f>
        <v/>
      </c>
      <c r="F243" t="str">
        <f t="shared" si="37"/>
        <v/>
      </c>
      <c r="G243">
        <f t="shared" si="38"/>
        <v>0</v>
      </c>
      <c r="I243" t="str">
        <f>IF($C$15&gt;=2,IF($C$13="Yes",IF(Summary!B239&lt;&gt;"",Summary!B239,""),""),"")</f>
        <v/>
      </c>
      <c r="J243" t="str">
        <f t="shared" si="39"/>
        <v/>
      </c>
      <c r="K243">
        <f t="shared" si="40"/>
        <v>0</v>
      </c>
      <c r="M243" t="str">
        <f>IF($C$15&gt;=3,IF($C$13="Yes",IF(Summary!B239&lt;&gt;"",Summary!B239,""),""),"")</f>
        <v/>
      </c>
      <c r="N243" t="str">
        <f t="shared" si="41"/>
        <v/>
      </c>
      <c r="O243">
        <f t="shared" si="42"/>
        <v>0</v>
      </c>
      <c r="Q243" t="str">
        <f>IF($C$15&gt;=4,IF($C$13="Yes",IF(Summary!B239&lt;&gt;"",Summary!B239,""),""),"")</f>
        <v/>
      </c>
      <c r="R243" t="str">
        <f t="shared" si="43"/>
        <v/>
      </c>
      <c r="S243">
        <f t="shared" si="44"/>
        <v>0</v>
      </c>
      <c r="U243" t="str">
        <f>IF($C$15&gt;=5,IF($C$13="Yes",IF(Summary!B239&lt;&gt;"",Summary!B239,""),""),"")</f>
        <v/>
      </c>
      <c r="V243" t="str">
        <f t="shared" si="45"/>
        <v/>
      </c>
      <c r="W243">
        <f t="shared" si="46"/>
        <v>0</v>
      </c>
      <c r="Y243" t="str">
        <f>IF($C$13="Yes",IF(Summary!B239&lt;&gt;"",Summary!B239,""),"")</f>
        <v/>
      </c>
      <c r="Z243" s="439" t="str">
        <f t="shared" si="47"/>
        <v/>
      </c>
      <c r="AA243" t="str">
        <f t="shared" si="36"/>
        <v/>
      </c>
    </row>
    <row r="244" spans="2:27">
      <c r="B244" t="str">
        <f>IF(Summary!B240&lt;&gt;"",Summary!B240,"")</f>
        <v/>
      </c>
      <c r="C244" t="str">
        <f>IF(Summary!C240&lt;&gt;"",Summary!C240,"")</f>
        <v/>
      </c>
      <c r="E244" t="str">
        <f>IF($C$15&gt;=1,IF($C$13="Yes",IF(Summary!B240&lt;&gt;"",Summary!B240,""),""),"")</f>
        <v/>
      </c>
      <c r="F244" t="str">
        <f t="shared" si="37"/>
        <v/>
      </c>
      <c r="G244">
        <f t="shared" si="38"/>
        <v>0</v>
      </c>
      <c r="I244" t="str">
        <f>IF($C$15&gt;=2,IF($C$13="Yes",IF(Summary!B240&lt;&gt;"",Summary!B240,""),""),"")</f>
        <v/>
      </c>
      <c r="J244" t="str">
        <f t="shared" si="39"/>
        <v/>
      </c>
      <c r="K244">
        <f t="shared" si="40"/>
        <v>0</v>
      </c>
      <c r="M244" t="str">
        <f>IF($C$15&gt;=3,IF($C$13="Yes",IF(Summary!B240&lt;&gt;"",Summary!B240,""),""),"")</f>
        <v/>
      </c>
      <c r="N244" t="str">
        <f t="shared" si="41"/>
        <v/>
      </c>
      <c r="O244">
        <f t="shared" si="42"/>
        <v>0</v>
      </c>
      <c r="Q244" t="str">
        <f>IF($C$15&gt;=4,IF($C$13="Yes",IF(Summary!B240&lt;&gt;"",Summary!B240,""),""),"")</f>
        <v/>
      </c>
      <c r="R244" t="str">
        <f t="shared" si="43"/>
        <v/>
      </c>
      <c r="S244">
        <f t="shared" si="44"/>
        <v>0</v>
      </c>
      <c r="U244" t="str">
        <f>IF($C$15&gt;=5,IF($C$13="Yes",IF(Summary!B240&lt;&gt;"",Summary!B240,""),""),"")</f>
        <v/>
      </c>
      <c r="V244" t="str">
        <f t="shared" si="45"/>
        <v/>
      </c>
      <c r="W244">
        <f t="shared" si="46"/>
        <v>0</v>
      </c>
      <c r="Y244" t="str">
        <f>IF($C$13="Yes",IF(Summary!B240&lt;&gt;"",Summary!B240,""),"")</f>
        <v/>
      </c>
      <c r="Z244" s="439" t="str">
        <f t="shared" si="47"/>
        <v/>
      </c>
      <c r="AA244" t="str">
        <f t="shared" si="36"/>
        <v/>
      </c>
    </row>
    <row r="245" spans="2:27">
      <c r="B245" t="str">
        <f>IF(Summary!B241&lt;&gt;"",Summary!B241,"")</f>
        <v/>
      </c>
      <c r="C245" t="str">
        <f>IF(Summary!C241&lt;&gt;"",Summary!C241,"")</f>
        <v/>
      </c>
      <c r="E245" t="str">
        <f>IF($C$15&gt;=1,IF($C$13="Yes",IF(Summary!B241&lt;&gt;"",Summary!B241,""),""),"")</f>
        <v/>
      </c>
      <c r="F245" t="str">
        <f t="shared" si="37"/>
        <v/>
      </c>
      <c r="G245">
        <f t="shared" si="38"/>
        <v>0</v>
      </c>
      <c r="I245" t="str">
        <f>IF($C$15&gt;=2,IF($C$13="Yes",IF(Summary!B241&lt;&gt;"",Summary!B241,""),""),"")</f>
        <v/>
      </c>
      <c r="J245" t="str">
        <f t="shared" si="39"/>
        <v/>
      </c>
      <c r="K245">
        <f t="shared" si="40"/>
        <v>0</v>
      </c>
      <c r="M245" t="str">
        <f>IF($C$15&gt;=3,IF($C$13="Yes",IF(Summary!B241&lt;&gt;"",Summary!B241,""),""),"")</f>
        <v/>
      </c>
      <c r="N245" t="str">
        <f t="shared" si="41"/>
        <v/>
      </c>
      <c r="O245">
        <f t="shared" si="42"/>
        <v>0</v>
      </c>
      <c r="Q245" t="str">
        <f>IF($C$15&gt;=4,IF($C$13="Yes",IF(Summary!B241&lt;&gt;"",Summary!B241,""),""),"")</f>
        <v/>
      </c>
      <c r="R245" t="str">
        <f t="shared" si="43"/>
        <v/>
      </c>
      <c r="S245">
        <f t="shared" si="44"/>
        <v>0</v>
      </c>
      <c r="U245" t="str">
        <f>IF($C$15&gt;=5,IF($C$13="Yes",IF(Summary!B241&lt;&gt;"",Summary!B241,""),""),"")</f>
        <v/>
      </c>
      <c r="V245" t="str">
        <f t="shared" si="45"/>
        <v/>
      </c>
      <c r="W245">
        <f t="shared" si="46"/>
        <v>0</v>
      </c>
      <c r="Y245" t="str">
        <f>IF($C$13="Yes",IF(Summary!B241&lt;&gt;"",Summary!B241,""),"")</f>
        <v/>
      </c>
      <c r="Z245" s="439" t="str">
        <f t="shared" si="47"/>
        <v/>
      </c>
      <c r="AA245" t="str">
        <f t="shared" si="36"/>
        <v/>
      </c>
    </row>
    <row r="246" spans="2:27">
      <c r="B246" t="str">
        <f>IF(Summary!B242&lt;&gt;"",Summary!B242,"")</f>
        <v/>
      </c>
      <c r="C246" t="str">
        <f>IF(Summary!C242&lt;&gt;"",Summary!C242,"")</f>
        <v/>
      </c>
      <c r="E246" t="str">
        <f>IF($C$15&gt;=1,IF($C$13="Yes",IF(Summary!B242&lt;&gt;"",Summary!B242,""),""),"")</f>
        <v/>
      </c>
      <c r="F246" t="str">
        <f t="shared" si="37"/>
        <v/>
      </c>
      <c r="G246">
        <f t="shared" si="38"/>
        <v>0</v>
      </c>
      <c r="I246" t="str">
        <f>IF($C$15&gt;=2,IF($C$13="Yes",IF(Summary!B242&lt;&gt;"",Summary!B242,""),""),"")</f>
        <v/>
      </c>
      <c r="J246" t="str">
        <f t="shared" si="39"/>
        <v/>
      </c>
      <c r="K246">
        <f t="shared" si="40"/>
        <v>0</v>
      </c>
      <c r="M246" t="str">
        <f>IF($C$15&gt;=3,IF($C$13="Yes",IF(Summary!B242&lt;&gt;"",Summary!B242,""),""),"")</f>
        <v/>
      </c>
      <c r="N246" t="str">
        <f t="shared" si="41"/>
        <v/>
      </c>
      <c r="O246">
        <f t="shared" si="42"/>
        <v>0</v>
      </c>
      <c r="Q246" t="str">
        <f>IF($C$15&gt;=4,IF($C$13="Yes",IF(Summary!B242&lt;&gt;"",Summary!B242,""),""),"")</f>
        <v/>
      </c>
      <c r="R246" t="str">
        <f t="shared" si="43"/>
        <v/>
      </c>
      <c r="S246">
        <f t="shared" si="44"/>
        <v>0</v>
      </c>
      <c r="U246" t="str">
        <f>IF($C$15&gt;=5,IF($C$13="Yes",IF(Summary!B242&lt;&gt;"",Summary!B242,""),""),"")</f>
        <v/>
      </c>
      <c r="V246" t="str">
        <f t="shared" si="45"/>
        <v/>
      </c>
      <c r="W246">
        <f t="shared" si="46"/>
        <v>0</v>
      </c>
      <c r="Y246" t="str">
        <f>IF($C$13="Yes",IF(Summary!B242&lt;&gt;"",Summary!B242,""),"")</f>
        <v/>
      </c>
      <c r="Z246" s="439" t="str">
        <f t="shared" si="47"/>
        <v/>
      </c>
      <c r="AA246" t="str">
        <f t="shared" si="36"/>
        <v/>
      </c>
    </row>
    <row r="247" spans="2:27">
      <c r="B247" t="str">
        <f>IF(Summary!B243&lt;&gt;"",Summary!B243,"")</f>
        <v/>
      </c>
      <c r="C247" t="str">
        <f>IF(Summary!C243&lt;&gt;"",Summary!C243,"")</f>
        <v/>
      </c>
      <c r="E247" t="str">
        <f>IF($C$15&gt;=1,IF($C$13="Yes",IF(Summary!B243&lt;&gt;"",Summary!B243,""),""),"")</f>
        <v/>
      </c>
      <c r="F247" t="str">
        <f t="shared" si="37"/>
        <v/>
      </c>
      <c r="G247">
        <f t="shared" si="38"/>
        <v>0</v>
      </c>
      <c r="I247" t="str">
        <f>IF($C$15&gt;=2,IF($C$13="Yes",IF(Summary!B243&lt;&gt;"",Summary!B243,""),""),"")</f>
        <v/>
      </c>
      <c r="J247" t="str">
        <f t="shared" si="39"/>
        <v/>
      </c>
      <c r="K247">
        <f t="shared" si="40"/>
        <v>0</v>
      </c>
      <c r="M247" t="str">
        <f>IF($C$15&gt;=3,IF($C$13="Yes",IF(Summary!B243&lt;&gt;"",Summary!B243,""),""),"")</f>
        <v/>
      </c>
      <c r="N247" t="str">
        <f t="shared" si="41"/>
        <v/>
      </c>
      <c r="O247">
        <f t="shared" si="42"/>
        <v>0</v>
      </c>
      <c r="Q247" t="str">
        <f>IF($C$15&gt;=4,IF($C$13="Yes",IF(Summary!B243&lt;&gt;"",Summary!B243,""),""),"")</f>
        <v/>
      </c>
      <c r="R247" t="str">
        <f t="shared" si="43"/>
        <v/>
      </c>
      <c r="S247">
        <f t="shared" si="44"/>
        <v>0</v>
      </c>
      <c r="U247" t="str">
        <f>IF($C$15&gt;=5,IF($C$13="Yes",IF(Summary!B243&lt;&gt;"",Summary!B243,""),""),"")</f>
        <v/>
      </c>
      <c r="V247" t="str">
        <f t="shared" si="45"/>
        <v/>
      </c>
      <c r="W247">
        <f t="shared" si="46"/>
        <v>0</v>
      </c>
      <c r="Y247" t="str">
        <f>IF($C$13="Yes",IF(Summary!B243&lt;&gt;"",Summary!B243,""),"")</f>
        <v/>
      </c>
      <c r="Z247" s="439" t="str">
        <f t="shared" si="47"/>
        <v/>
      </c>
      <c r="AA247" t="str">
        <f t="shared" si="36"/>
        <v/>
      </c>
    </row>
    <row r="248" spans="2:27">
      <c r="B248" t="str">
        <f>IF(Summary!B244&lt;&gt;"",Summary!B244,"")</f>
        <v/>
      </c>
      <c r="C248" t="str">
        <f>IF(Summary!C244&lt;&gt;"",Summary!C244,"")</f>
        <v/>
      </c>
      <c r="E248" t="str">
        <f>IF($C$15&gt;=1,IF($C$13="Yes",IF(Summary!B244&lt;&gt;"",Summary!B244,""),""),"")</f>
        <v/>
      </c>
      <c r="F248" t="str">
        <f t="shared" si="37"/>
        <v/>
      </c>
      <c r="G248">
        <f t="shared" si="38"/>
        <v>0</v>
      </c>
      <c r="I248" t="str">
        <f>IF($C$15&gt;=2,IF($C$13="Yes",IF(Summary!B244&lt;&gt;"",Summary!B244,""),""),"")</f>
        <v/>
      </c>
      <c r="J248" t="str">
        <f t="shared" si="39"/>
        <v/>
      </c>
      <c r="K248">
        <f t="shared" si="40"/>
        <v>0</v>
      </c>
      <c r="M248" t="str">
        <f>IF($C$15&gt;=3,IF($C$13="Yes",IF(Summary!B244&lt;&gt;"",Summary!B244,""),""),"")</f>
        <v/>
      </c>
      <c r="N248" t="str">
        <f t="shared" si="41"/>
        <v/>
      </c>
      <c r="O248">
        <f t="shared" si="42"/>
        <v>0</v>
      </c>
      <c r="Q248" t="str">
        <f>IF($C$15&gt;=4,IF($C$13="Yes",IF(Summary!B244&lt;&gt;"",Summary!B244,""),""),"")</f>
        <v/>
      </c>
      <c r="R248" t="str">
        <f t="shared" si="43"/>
        <v/>
      </c>
      <c r="S248">
        <f t="shared" si="44"/>
        <v>0</v>
      </c>
      <c r="U248" t="str">
        <f>IF($C$15&gt;=5,IF($C$13="Yes",IF(Summary!B244&lt;&gt;"",Summary!B244,""),""),"")</f>
        <v/>
      </c>
      <c r="V248" t="str">
        <f t="shared" si="45"/>
        <v/>
      </c>
      <c r="W248">
        <f t="shared" si="46"/>
        <v>0</v>
      </c>
      <c r="Y248" t="str">
        <f>IF($C$13="Yes",IF(Summary!B244&lt;&gt;"",Summary!B244,""),"")</f>
        <v/>
      </c>
      <c r="Z248" s="439" t="str">
        <f t="shared" si="47"/>
        <v/>
      </c>
      <c r="AA248" t="str">
        <f t="shared" si="36"/>
        <v/>
      </c>
    </row>
    <row r="249" spans="2:27">
      <c r="B249" t="str">
        <f>IF(Summary!B245&lt;&gt;"",Summary!B245,"")</f>
        <v/>
      </c>
      <c r="C249" t="str">
        <f>IF(Summary!C245&lt;&gt;"",Summary!C245,"")</f>
        <v/>
      </c>
      <c r="E249" t="str">
        <f>IF($C$15&gt;=1,IF($C$13="Yes",IF(Summary!B245&lt;&gt;"",Summary!B245,""),""),"")</f>
        <v/>
      </c>
      <c r="F249" t="str">
        <f t="shared" si="37"/>
        <v/>
      </c>
      <c r="G249">
        <f t="shared" si="38"/>
        <v>0</v>
      </c>
      <c r="I249" t="str">
        <f>IF($C$15&gt;=2,IF($C$13="Yes",IF(Summary!B245&lt;&gt;"",Summary!B245,""),""),"")</f>
        <v/>
      </c>
      <c r="J249" t="str">
        <f t="shared" si="39"/>
        <v/>
      </c>
      <c r="K249">
        <f t="shared" si="40"/>
        <v>0</v>
      </c>
      <c r="M249" t="str">
        <f>IF($C$15&gt;=3,IF($C$13="Yes",IF(Summary!B245&lt;&gt;"",Summary!B245,""),""),"")</f>
        <v/>
      </c>
      <c r="N249" t="str">
        <f t="shared" si="41"/>
        <v/>
      </c>
      <c r="O249">
        <f t="shared" si="42"/>
        <v>0</v>
      </c>
      <c r="Q249" t="str">
        <f>IF($C$15&gt;=4,IF($C$13="Yes",IF(Summary!B245&lt;&gt;"",Summary!B245,""),""),"")</f>
        <v/>
      </c>
      <c r="R249" t="str">
        <f t="shared" si="43"/>
        <v/>
      </c>
      <c r="S249">
        <f t="shared" si="44"/>
        <v>0</v>
      </c>
      <c r="U249" t="str">
        <f>IF($C$15&gt;=5,IF($C$13="Yes",IF(Summary!B245&lt;&gt;"",Summary!B245,""),""),"")</f>
        <v/>
      </c>
      <c r="V249" t="str">
        <f t="shared" si="45"/>
        <v/>
      </c>
      <c r="W249">
        <f t="shared" si="46"/>
        <v>0</v>
      </c>
      <c r="Y249" t="str">
        <f>IF($C$13="Yes",IF(Summary!B245&lt;&gt;"",Summary!B245,""),"")</f>
        <v/>
      </c>
      <c r="Z249" s="439" t="str">
        <f t="shared" si="47"/>
        <v/>
      </c>
      <c r="AA249" t="str">
        <f t="shared" si="36"/>
        <v/>
      </c>
    </row>
    <row r="250" spans="2:27">
      <c r="B250" t="str">
        <f>IF(Summary!B246&lt;&gt;"",Summary!B246,"")</f>
        <v/>
      </c>
      <c r="C250" t="str">
        <f>IF(Summary!C246&lt;&gt;"",Summary!C246,"")</f>
        <v/>
      </c>
      <c r="E250" t="str">
        <f>IF($C$15&gt;=1,IF($C$13="Yes",IF(Summary!B246&lt;&gt;"",Summary!B246,""),""),"")</f>
        <v/>
      </c>
      <c r="F250" t="str">
        <f t="shared" si="37"/>
        <v/>
      </c>
      <c r="G250">
        <f t="shared" si="38"/>
        <v>0</v>
      </c>
      <c r="I250" t="str">
        <f>IF($C$15&gt;=2,IF($C$13="Yes",IF(Summary!B246&lt;&gt;"",Summary!B246,""),""),"")</f>
        <v/>
      </c>
      <c r="J250" t="str">
        <f t="shared" si="39"/>
        <v/>
      </c>
      <c r="K250">
        <f t="shared" si="40"/>
        <v>0</v>
      </c>
      <c r="M250" t="str">
        <f>IF($C$15&gt;=3,IF($C$13="Yes",IF(Summary!B246&lt;&gt;"",Summary!B246,""),""),"")</f>
        <v/>
      </c>
      <c r="N250" t="str">
        <f t="shared" si="41"/>
        <v/>
      </c>
      <c r="O250">
        <f t="shared" si="42"/>
        <v>0</v>
      </c>
      <c r="Q250" t="str">
        <f>IF($C$15&gt;=4,IF($C$13="Yes",IF(Summary!B246&lt;&gt;"",Summary!B246,""),""),"")</f>
        <v/>
      </c>
      <c r="R250" t="str">
        <f t="shared" si="43"/>
        <v/>
      </c>
      <c r="S250">
        <f t="shared" si="44"/>
        <v>0</v>
      </c>
      <c r="U250" t="str">
        <f>IF($C$15&gt;=5,IF($C$13="Yes",IF(Summary!B246&lt;&gt;"",Summary!B246,""),""),"")</f>
        <v/>
      </c>
      <c r="V250" t="str">
        <f t="shared" si="45"/>
        <v/>
      </c>
      <c r="W250">
        <f t="shared" si="46"/>
        <v>0</v>
      </c>
      <c r="Y250" t="str">
        <f>IF($C$13="Yes",IF(Summary!B246&lt;&gt;"",Summary!B246,""),"")</f>
        <v/>
      </c>
      <c r="Z250" s="439" t="str">
        <f t="shared" si="47"/>
        <v/>
      </c>
      <c r="AA250" t="str">
        <f t="shared" si="36"/>
        <v/>
      </c>
    </row>
    <row r="251" spans="2:27">
      <c r="B251" t="str">
        <f>IF(Summary!B247&lt;&gt;"",Summary!B247,"")</f>
        <v/>
      </c>
      <c r="C251" t="str">
        <f>IF(Summary!C247&lt;&gt;"",Summary!C247,"")</f>
        <v/>
      </c>
      <c r="E251" t="str">
        <f>IF($C$15&gt;=1,IF($C$13="Yes",IF(Summary!B247&lt;&gt;"",Summary!B247,""),""),"")</f>
        <v/>
      </c>
      <c r="F251" t="str">
        <f t="shared" si="37"/>
        <v/>
      </c>
      <c r="G251">
        <f t="shared" si="38"/>
        <v>0</v>
      </c>
      <c r="I251" t="str">
        <f>IF($C$15&gt;=2,IF($C$13="Yes",IF(Summary!B247&lt;&gt;"",Summary!B247,""),""),"")</f>
        <v/>
      </c>
      <c r="J251" t="str">
        <f t="shared" si="39"/>
        <v/>
      </c>
      <c r="K251">
        <f t="shared" si="40"/>
        <v>0</v>
      </c>
      <c r="M251" t="str">
        <f>IF($C$15&gt;=3,IF($C$13="Yes",IF(Summary!B247&lt;&gt;"",Summary!B247,""),""),"")</f>
        <v/>
      </c>
      <c r="N251" t="str">
        <f t="shared" si="41"/>
        <v/>
      </c>
      <c r="O251">
        <f t="shared" si="42"/>
        <v>0</v>
      </c>
      <c r="Q251" t="str">
        <f>IF($C$15&gt;=4,IF($C$13="Yes",IF(Summary!B247&lt;&gt;"",Summary!B247,""),""),"")</f>
        <v/>
      </c>
      <c r="R251" t="str">
        <f t="shared" si="43"/>
        <v/>
      </c>
      <c r="S251">
        <f t="shared" si="44"/>
        <v>0</v>
      </c>
      <c r="U251" t="str">
        <f>IF($C$15&gt;=5,IF($C$13="Yes",IF(Summary!B247&lt;&gt;"",Summary!B247,""),""),"")</f>
        <v/>
      </c>
      <c r="V251" t="str">
        <f t="shared" si="45"/>
        <v/>
      </c>
      <c r="W251">
        <f t="shared" si="46"/>
        <v>0</v>
      </c>
      <c r="Y251" t="str">
        <f>IF($C$13="Yes",IF(Summary!B247&lt;&gt;"",Summary!B247,""),"")</f>
        <v/>
      </c>
      <c r="Z251" s="439" t="str">
        <f t="shared" si="47"/>
        <v/>
      </c>
      <c r="AA251" t="str">
        <f t="shared" si="36"/>
        <v/>
      </c>
    </row>
    <row r="252" spans="2:27">
      <c r="B252" t="str">
        <f>IF(Summary!B248&lt;&gt;"",Summary!B248,"")</f>
        <v/>
      </c>
      <c r="C252" t="str">
        <f>IF(Summary!C248&lt;&gt;"",Summary!C248,"")</f>
        <v/>
      </c>
      <c r="E252" t="str">
        <f>IF($C$15&gt;=1,IF($C$13="Yes",IF(Summary!B248&lt;&gt;"",Summary!B248,""),""),"")</f>
        <v/>
      </c>
      <c r="F252" t="str">
        <f t="shared" si="37"/>
        <v/>
      </c>
      <c r="G252">
        <f t="shared" si="38"/>
        <v>0</v>
      </c>
      <c r="I252" t="str">
        <f>IF($C$15&gt;=2,IF($C$13="Yes",IF(Summary!B248&lt;&gt;"",Summary!B248,""),""),"")</f>
        <v/>
      </c>
      <c r="J252" t="str">
        <f t="shared" si="39"/>
        <v/>
      </c>
      <c r="K252">
        <f t="shared" si="40"/>
        <v>0</v>
      </c>
      <c r="M252" t="str">
        <f>IF($C$15&gt;=3,IF($C$13="Yes",IF(Summary!B248&lt;&gt;"",Summary!B248,""),""),"")</f>
        <v/>
      </c>
      <c r="N252" t="str">
        <f t="shared" si="41"/>
        <v/>
      </c>
      <c r="O252">
        <f t="shared" si="42"/>
        <v>0</v>
      </c>
      <c r="Q252" t="str">
        <f>IF($C$15&gt;=4,IF($C$13="Yes",IF(Summary!B248&lt;&gt;"",Summary!B248,""),""),"")</f>
        <v/>
      </c>
      <c r="R252" t="str">
        <f t="shared" si="43"/>
        <v/>
      </c>
      <c r="S252">
        <f t="shared" si="44"/>
        <v>0</v>
      </c>
      <c r="U252" t="str">
        <f>IF($C$15&gt;=5,IF($C$13="Yes",IF(Summary!B248&lt;&gt;"",Summary!B248,""),""),"")</f>
        <v/>
      </c>
      <c r="V252" t="str">
        <f t="shared" si="45"/>
        <v/>
      </c>
      <c r="W252">
        <f t="shared" si="46"/>
        <v>0</v>
      </c>
      <c r="Y252" t="str">
        <f>IF($C$13="Yes",IF(Summary!B248&lt;&gt;"",Summary!B248,""),"")</f>
        <v/>
      </c>
      <c r="Z252" s="439" t="str">
        <f t="shared" si="47"/>
        <v/>
      </c>
      <c r="AA252" t="str">
        <f t="shared" si="36"/>
        <v/>
      </c>
    </row>
    <row r="253" spans="2:27">
      <c r="B253" t="str">
        <f>IF(Summary!B249&lt;&gt;"",Summary!B249,"")</f>
        <v/>
      </c>
      <c r="C253" t="str">
        <f>IF(Summary!C249&lt;&gt;"",Summary!C249,"")</f>
        <v/>
      </c>
      <c r="E253" t="str">
        <f>IF($C$15&gt;=1,IF($C$13="Yes",IF(Summary!B249&lt;&gt;"",Summary!B249,""),""),"")</f>
        <v/>
      </c>
      <c r="F253" t="str">
        <f t="shared" si="37"/>
        <v/>
      </c>
      <c r="G253">
        <f t="shared" si="38"/>
        <v>0</v>
      </c>
      <c r="I253" t="str">
        <f>IF($C$15&gt;=2,IF($C$13="Yes",IF(Summary!B249&lt;&gt;"",Summary!B249,""),""),"")</f>
        <v/>
      </c>
      <c r="J253" t="str">
        <f t="shared" si="39"/>
        <v/>
      </c>
      <c r="K253">
        <f t="shared" si="40"/>
        <v>0</v>
      </c>
      <c r="M253" t="str">
        <f>IF($C$15&gt;=3,IF($C$13="Yes",IF(Summary!B249&lt;&gt;"",Summary!B249,""),""),"")</f>
        <v/>
      </c>
      <c r="N253" t="str">
        <f t="shared" si="41"/>
        <v/>
      </c>
      <c r="O253">
        <f t="shared" si="42"/>
        <v>0</v>
      </c>
      <c r="Q253" t="str">
        <f>IF($C$15&gt;=4,IF($C$13="Yes",IF(Summary!B249&lt;&gt;"",Summary!B249,""),""),"")</f>
        <v/>
      </c>
      <c r="R253" t="str">
        <f t="shared" si="43"/>
        <v/>
      </c>
      <c r="S253">
        <f t="shared" si="44"/>
        <v>0</v>
      </c>
      <c r="U253" t="str">
        <f>IF($C$15&gt;=5,IF($C$13="Yes",IF(Summary!B249&lt;&gt;"",Summary!B249,""),""),"")</f>
        <v/>
      </c>
      <c r="V253" t="str">
        <f t="shared" si="45"/>
        <v/>
      </c>
      <c r="W253">
        <f t="shared" si="46"/>
        <v>0</v>
      </c>
      <c r="Y253" t="str">
        <f>IF($C$13="Yes",IF(Summary!B249&lt;&gt;"",Summary!B249,""),"")</f>
        <v/>
      </c>
      <c r="Z253" s="439" t="str">
        <f t="shared" si="47"/>
        <v/>
      </c>
      <c r="AA253" t="str">
        <f t="shared" si="36"/>
        <v/>
      </c>
    </row>
    <row r="254" spans="2:27">
      <c r="B254" t="str">
        <f>IF(Summary!B250&lt;&gt;"",Summary!B250,"")</f>
        <v/>
      </c>
      <c r="C254" t="str">
        <f>IF(Summary!C250&lt;&gt;"",Summary!C250,"")</f>
        <v/>
      </c>
      <c r="E254" t="str">
        <f>IF($C$15&gt;=1,IF($C$13="Yes",IF(Summary!B250&lt;&gt;"",Summary!B250,""),""),"")</f>
        <v/>
      </c>
      <c r="F254" t="str">
        <f t="shared" si="37"/>
        <v/>
      </c>
      <c r="G254">
        <f t="shared" si="38"/>
        <v>0</v>
      </c>
      <c r="I254" t="str">
        <f>IF($C$15&gt;=2,IF($C$13="Yes",IF(Summary!B250&lt;&gt;"",Summary!B250,""),""),"")</f>
        <v/>
      </c>
      <c r="J254" t="str">
        <f t="shared" si="39"/>
        <v/>
      </c>
      <c r="K254">
        <f t="shared" si="40"/>
        <v>0</v>
      </c>
      <c r="M254" t="str">
        <f>IF($C$15&gt;=3,IF($C$13="Yes",IF(Summary!B250&lt;&gt;"",Summary!B250,""),""),"")</f>
        <v/>
      </c>
      <c r="N254" t="str">
        <f t="shared" si="41"/>
        <v/>
      </c>
      <c r="O254">
        <f t="shared" si="42"/>
        <v>0</v>
      </c>
      <c r="Q254" t="str">
        <f>IF($C$15&gt;=4,IF($C$13="Yes",IF(Summary!B250&lt;&gt;"",Summary!B250,""),""),"")</f>
        <v/>
      </c>
      <c r="R254" t="str">
        <f t="shared" si="43"/>
        <v/>
      </c>
      <c r="S254">
        <f t="shared" si="44"/>
        <v>0</v>
      </c>
      <c r="U254" t="str">
        <f>IF($C$15&gt;=5,IF($C$13="Yes",IF(Summary!B250&lt;&gt;"",Summary!B250,""),""),"")</f>
        <v/>
      </c>
      <c r="V254" t="str">
        <f t="shared" si="45"/>
        <v/>
      </c>
      <c r="W254">
        <f t="shared" si="46"/>
        <v>0</v>
      </c>
      <c r="Y254" t="str">
        <f>IF($C$13="Yes",IF(Summary!B250&lt;&gt;"",Summary!B250,""),"")</f>
        <v/>
      </c>
      <c r="Z254" s="439" t="str">
        <f t="shared" si="47"/>
        <v/>
      </c>
      <c r="AA254" t="str">
        <f t="shared" si="36"/>
        <v/>
      </c>
    </row>
    <row r="255" spans="2:27">
      <c r="B255" t="str">
        <f>IF(Summary!B251&lt;&gt;"",Summary!B251,"")</f>
        <v/>
      </c>
      <c r="C255" t="str">
        <f>IF(Summary!C251&lt;&gt;"",Summary!C251,"")</f>
        <v/>
      </c>
      <c r="E255" t="str">
        <f>IF($C$15&gt;=1,IF($C$13="Yes",IF(Summary!B251&lt;&gt;"",Summary!B251,""),""),"")</f>
        <v/>
      </c>
      <c r="F255" t="str">
        <f t="shared" si="37"/>
        <v/>
      </c>
      <c r="G255">
        <f t="shared" si="38"/>
        <v>0</v>
      </c>
      <c r="I255" t="str">
        <f>IF($C$15&gt;=2,IF($C$13="Yes",IF(Summary!B251&lt;&gt;"",Summary!B251,""),""),"")</f>
        <v/>
      </c>
      <c r="J255" t="str">
        <f t="shared" si="39"/>
        <v/>
      </c>
      <c r="K255">
        <f t="shared" si="40"/>
        <v>0</v>
      </c>
      <c r="M255" t="str">
        <f>IF($C$15&gt;=3,IF($C$13="Yes",IF(Summary!B251&lt;&gt;"",Summary!B251,""),""),"")</f>
        <v/>
      </c>
      <c r="N255" t="str">
        <f t="shared" si="41"/>
        <v/>
      </c>
      <c r="O255">
        <f t="shared" si="42"/>
        <v>0</v>
      </c>
      <c r="Q255" t="str">
        <f>IF($C$15&gt;=4,IF($C$13="Yes",IF(Summary!B251&lt;&gt;"",Summary!B251,""),""),"")</f>
        <v/>
      </c>
      <c r="R255" t="str">
        <f t="shared" si="43"/>
        <v/>
      </c>
      <c r="S255">
        <f t="shared" si="44"/>
        <v>0</v>
      </c>
      <c r="U255" t="str">
        <f>IF($C$15&gt;=5,IF($C$13="Yes",IF(Summary!B251&lt;&gt;"",Summary!B251,""),""),"")</f>
        <v/>
      </c>
      <c r="V255" t="str">
        <f t="shared" si="45"/>
        <v/>
      </c>
      <c r="W255">
        <f t="shared" si="46"/>
        <v>0</v>
      </c>
      <c r="Y255" t="str">
        <f>IF($C$13="Yes",IF(Summary!B251&lt;&gt;"",Summary!B251,""),"")</f>
        <v/>
      </c>
      <c r="Z255" s="439" t="str">
        <f t="shared" si="47"/>
        <v/>
      </c>
      <c r="AA255" t="str">
        <f t="shared" si="36"/>
        <v/>
      </c>
    </row>
    <row r="256" spans="2:27">
      <c r="B256" t="str">
        <f>IF(Summary!B252&lt;&gt;"",Summary!B252,"")</f>
        <v/>
      </c>
      <c r="C256" t="str">
        <f>IF(Summary!C252&lt;&gt;"",Summary!C252,"")</f>
        <v/>
      </c>
      <c r="E256" t="str">
        <f>IF($C$15&gt;=1,IF($C$13="Yes",IF(Summary!B252&lt;&gt;"",Summary!B252,""),""),"")</f>
        <v/>
      </c>
      <c r="F256" t="str">
        <f t="shared" si="37"/>
        <v/>
      </c>
      <c r="G256">
        <f t="shared" si="38"/>
        <v>0</v>
      </c>
      <c r="I256" t="str">
        <f>IF($C$15&gt;=2,IF($C$13="Yes",IF(Summary!B252&lt;&gt;"",Summary!B252,""),""),"")</f>
        <v/>
      </c>
      <c r="J256" t="str">
        <f t="shared" si="39"/>
        <v/>
      </c>
      <c r="K256">
        <f t="shared" si="40"/>
        <v>0</v>
      </c>
      <c r="M256" t="str">
        <f>IF($C$15&gt;=3,IF($C$13="Yes",IF(Summary!B252&lt;&gt;"",Summary!B252,""),""),"")</f>
        <v/>
      </c>
      <c r="N256" t="str">
        <f t="shared" si="41"/>
        <v/>
      </c>
      <c r="O256">
        <f t="shared" si="42"/>
        <v>0</v>
      </c>
      <c r="Q256" t="str">
        <f>IF($C$15&gt;=4,IF($C$13="Yes",IF(Summary!B252&lt;&gt;"",Summary!B252,""),""),"")</f>
        <v/>
      </c>
      <c r="R256" t="str">
        <f t="shared" si="43"/>
        <v/>
      </c>
      <c r="S256">
        <f t="shared" si="44"/>
        <v>0</v>
      </c>
      <c r="U256" t="str">
        <f>IF($C$15&gt;=5,IF($C$13="Yes",IF(Summary!B252&lt;&gt;"",Summary!B252,""),""),"")</f>
        <v/>
      </c>
      <c r="V256" t="str">
        <f t="shared" si="45"/>
        <v/>
      </c>
      <c r="W256">
        <f t="shared" si="46"/>
        <v>0</v>
      </c>
      <c r="Y256" t="str">
        <f>IF($C$13="Yes",IF(Summary!B252&lt;&gt;"",Summary!B252,""),"")</f>
        <v/>
      </c>
      <c r="Z256" s="439" t="str">
        <f t="shared" si="47"/>
        <v/>
      </c>
      <c r="AA256" t="str">
        <f t="shared" si="36"/>
        <v/>
      </c>
    </row>
    <row r="257" spans="2:27">
      <c r="B257" t="str">
        <f>IF(Summary!B253&lt;&gt;"",Summary!B253,"")</f>
        <v/>
      </c>
      <c r="C257" t="str">
        <f>IF(Summary!C253&lt;&gt;"",Summary!C253,"")</f>
        <v/>
      </c>
      <c r="E257" t="str">
        <f>IF($C$15&gt;=1,IF($C$13="Yes",IF(Summary!B253&lt;&gt;"",Summary!B253,""),""),"")</f>
        <v/>
      </c>
      <c r="F257" t="str">
        <f t="shared" si="37"/>
        <v/>
      </c>
      <c r="G257">
        <f t="shared" si="38"/>
        <v>0</v>
      </c>
      <c r="I257" t="str">
        <f>IF($C$15&gt;=2,IF($C$13="Yes",IF(Summary!B253&lt;&gt;"",Summary!B253,""),""),"")</f>
        <v/>
      </c>
      <c r="J257" t="str">
        <f t="shared" si="39"/>
        <v/>
      </c>
      <c r="K257">
        <f t="shared" si="40"/>
        <v>0</v>
      </c>
      <c r="M257" t="str">
        <f>IF($C$15&gt;=3,IF($C$13="Yes",IF(Summary!B253&lt;&gt;"",Summary!B253,""),""),"")</f>
        <v/>
      </c>
      <c r="N257" t="str">
        <f t="shared" si="41"/>
        <v/>
      </c>
      <c r="O257">
        <f t="shared" si="42"/>
        <v>0</v>
      </c>
      <c r="Q257" t="str">
        <f>IF($C$15&gt;=4,IF($C$13="Yes",IF(Summary!B253&lt;&gt;"",Summary!B253,""),""),"")</f>
        <v/>
      </c>
      <c r="R257" t="str">
        <f t="shared" si="43"/>
        <v/>
      </c>
      <c r="S257">
        <f t="shared" si="44"/>
        <v>0</v>
      </c>
      <c r="U257" t="str">
        <f>IF($C$15&gt;=5,IF($C$13="Yes",IF(Summary!B253&lt;&gt;"",Summary!B253,""),""),"")</f>
        <v/>
      </c>
      <c r="V257" t="str">
        <f t="shared" si="45"/>
        <v/>
      </c>
      <c r="W257">
        <f t="shared" si="46"/>
        <v>0</v>
      </c>
      <c r="Y257" t="str">
        <f>IF($C$13="Yes",IF(Summary!B253&lt;&gt;"",Summary!B253,""),"")</f>
        <v/>
      </c>
      <c r="Z257" s="439" t="str">
        <f t="shared" si="47"/>
        <v/>
      </c>
      <c r="AA257" t="str">
        <f t="shared" si="36"/>
        <v/>
      </c>
    </row>
    <row r="258" spans="2:27">
      <c r="B258" t="str">
        <f>IF(Summary!B254&lt;&gt;"",Summary!B254,"")</f>
        <v/>
      </c>
      <c r="C258" t="str">
        <f>IF(Summary!C254&lt;&gt;"",Summary!C254,"")</f>
        <v/>
      </c>
      <c r="E258" t="str">
        <f>IF($C$15&gt;=1,IF($C$13="Yes",IF(Summary!B254&lt;&gt;"",Summary!B254,""),""),"")</f>
        <v/>
      </c>
      <c r="F258" t="str">
        <f t="shared" si="37"/>
        <v/>
      </c>
      <c r="G258">
        <f t="shared" si="38"/>
        <v>0</v>
      </c>
      <c r="I258" t="str">
        <f>IF($C$15&gt;=2,IF($C$13="Yes",IF(Summary!B254&lt;&gt;"",Summary!B254,""),""),"")</f>
        <v/>
      </c>
      <c r="J258" t="str">
        <f t="shared" si="39"/>
        <v/>
      </c>
      <c r="K258">
        <f t="shared" si="40"/>
        <v>0</v>
      </c>
      <c r="M258" t="str">
        <f>IF($C$15&gt;=3,IF($C$13="Yes",IF(Summary!B254&lt;&gt;"",Summary!B254,""),""),"")</f>
        <v/>
      </c>
      <c r="N258" t="str">
        <f t="shared" si="41"/>
        <v/>
      </c>
      <c r="O258">
        <f t="shared" si="42"/>
        <v>0</v>
      </c>
      <c r="Q258" t="str">
        <f>IF($C$15&gt;=4,IF($C$13="Yes",IF(Summary!B254&lt;&gt;"",Summary!B254,""),""),"")</f>
        <v/>
      </c>
      <c r="R258" t="str">
        <f t="shared" si="43"/>
        <v/>
      </c>
      <c r="S258">
        <f t="shared" si="44"/>
        <v>0</v>
      </c>
      <c r="U258" t="str">
        <f>IF($C$15&gt;=5,IF($C$13="Yes",IF(Summary!B254&lt;&gt;"",Summary!B254,""),""),"")</f>
        <v/>
      </c>
      <c r="V258" t="str">
        <f t="shared" si="45"/>
        <v/>
      </c>
      <c r="W258">
        <f t="shared" si="46"/>
        <v>0</v>
      </c>
      <c r="Y258" t="str">
        <f>IF($C$13="Yes",IF(Summary!B254&lt;&gt;"",Summary!B254,""),"")</f>
        <v/>
      </c>
      <c r="Z258" s="439" t="str">
        <f t="shared" si="47"/>
        <v/>
      </c>
      <c r="AA258" t="str">
        <f t="shared" si="36"/>
        <v/>
      </c>
    </row>
    <row r="259" spans="2:27">
      <c r="B259" t="str">
        <f>IF(Summary!B255&lt;&gt;"",Summary!B255,"")</f>
        <v/>
      </c>
      <c r="C259" t="str">
        <f>IF(Summary!C255&lt;&gt;"",Summary!C255,"")</f>
        <v/>
      </c>
      <c r="E259" t="str">
        <f>IF($C$15&gt;=1,IF($C$13="Yes",IF(Summary!B255&lt;&gt;"",Summary!B255,""),""),"")</f>
        <v/>
      </c>
      <c r="F259" t="str">
        <f t="shared" si="37"/>
        <v/>
      </c>
      <c r="G259">
        <f t="shared" si="38"/>
        <v>0</v>
      </c>
      <c r="I259" t="str">
        <f>IF($C$15&gt;=2,IF($C$13="Yes",IF(Summary!B255&lt;&gt;"",Summary!B255,""),""),"")</f>
        <v/>
      </c>
      <c r="J259" t="str">
        <f t="shared" si="39"/>
        <v/>
      </c>
      <c r="K259">
        <f t="shared" si="40"/>
        <v>0</v>
      </c>
      <c r="M259" t="str">
        <f>IF($C$15&gt;=3,IF($C$13="Yes",IF(Summary!B255&lt;&gt;"",Summary!B255,""),""),"")</f>
        <v/>
      </c>
      <c r="N259" t="str">
        <f t="shared" si="41"/>
        <v/>
      </c>
      <c r="O259">
        <f t="shared" si="42"/>
        <v>0</v>
      </c>
      <c r="Q259" t="str">
        <f>IF($C$15&gt;=4,IF($C$13="Yes",IF(Summary!B255&lt;&gt;"",Summary!B255,""),""),"")</f>
        <v/>
      </c>
      <c r="R259" t="str">
        <f t="shared" si="43"/>
        <v/>
      </c>
      <c r="S259">
        <f t="shared" si="44"/>
        <v>0</v>
      </c>
      <c r="U259" t="str">
        <f>IF($C$15&gt;=5,IF($C$13="Yes",IF(Summary!B255&lt;&gt;"",Summary!B255,""),""),"")</f>
        <v/>
      </c>
      <c r="V259" t="str">
        <f t="shared" si="45"/>
        <v/>
      </c>
      <c r="W259">
        <f t="shared" si="46"/>
        <v>0</v>
      </c>
      <c r="Y259" t="str">
        <f>IF($C$13="Yes",IF(Summary!B255&lt;&gt;"",Summary!B255,""),"")</f>
        <v/>
      </c>
      <c r="Z259" s="439" t="str">
        <f t="shared" si="47"/>
        <v/>
      </c>
      <c r="AA259" t="str">
        <f t="shared" si="36"/>
        <v/>
      </c>
    </row>
    <row r="260" spans="2:27">
      <c r="B260" t="str">
        <f>IF(Summary!B256&lt;&gt;"",Summary!B256,"")</f>
        <v/>
      </c>
      <c r="C260" t="str">
        <f>IF(Summary!C256&lt;&gt;"",Summary!C256,"")</f>
        <v/>
      </c>
      <c r="E260" t="str">
        <f>IF($C$15&gt;=1,IF($C$13="Yes",IF(Summary!B256&lt;&gt;"",Summary!B256,""),""),"")</f>
        <v/>
      </c>
      <c r="F260" t="str">
        <f t="shared" si="37"/>
        <v/>
      </c>
      <c r="G260">
        <f t="shared" si="38"/>
        <v>0</v>
      </c>
      <c r="I260" t="str">
        <f>IF($C$15&gt;=2,IF($C$13="Yes",IF(Summary!B256&lt;&gt;"",Summary!B256,""),""),"")</f>
        <v/>
      </c>
      <c r="J260" t="str">
        <f t="shared" si="39"/>
        <v/>
      </c>
      <c r="K260">
        <f t="shared" si="40"/>
        <v>0</v>
      </c>
      <c r="M260" t="str">
        <f>IF($C$15&gt;=3,IF($C$13="Yes",IF(Summary!B256&lt;&gt;"",Summary!B256,""),""),"")</f>
        <v/>
      </c>
      <c r="N260" t="str">
        <f t="shared" si="41"/>
        <v/>
      </c>
      <c r="O260">
        <f t="shared" si="42"/>
        <v>0</v>
      </c>
      <c r="Q260" t="str">
        <f>IF($C$15&gt;=4,IF($C$13="Yes",IF(Summary!B256&lt;&gt;"",Summary!B256,""),""),"")</f>
        <v/>
      </c>
      <c r="R260" t="str">
        <f t="shared" si="43"/>
        <v/>
      </c>
      <c r="S260">
        <f t="shared" si="44"/>
        <v>0</v>
      </c>
      <c r="U260" t="str">
        <f>IF($C$15&gt;=5,IF($C$13="Yes",IF(Summary!B256&lt;&gt;"",Summary!B256,""),""),"")</f>
        <v/>
      </c>
      <c r="V260" t="str">
        <f t="shared" si="45"/>
        <v/>
      </c>
      <c r="W260">
        <f t="shared" si="46"/>
        <v>0</v>
      </c>
      <c r="Y260" t="str">
        <f>IF($C$13="Yes",IF(Summary!B256&lt;&gt;"",Summary!B256,""),"")</f>
        <v/>
      </c>
      <c r="Z260" s="439" t="str">
        <f t="shared" si="47"/>
        <v/>
      </c>
      <c r="AA260" t="str">
        <f t="shared" si="36"/>
        <v/>
      </c>
    </row>
    <row r="261" spans="2:27">
      <c r="B261" t="str">
        <f>IF(Summary!B257&lt;&gt;"",Summary!B257,"")</f>
        <v/>
      </c>
      <c r="C261" t="str">
        <f>IF(Summary!C257&lt;&gt;"",Summary!C257,"")</f>
        <v/>
      </c>
      <c r="E261" t="str">
        <f>IF($C$15&gt;=1,IF($C$13="Yes",IF(Summary!B257&lt;&gt;"",Summary!B257,""),""),"")</f>
        <v/>
      </c>
      <c r="F261" t="str">
        <f t="shared" si="37"/>
        <v/>
      </c>
      <c r="G261">
        <f t="shared" si="38"/>
        <v>0</v>
      </c>
      <c r="I261" t="str">
        <f>IF($C$15&gt;=2,IF($C$13="Yes",IF(Summary!B257&lt;&gt;"",Summary!B257,""),""),"")</f>
        <v/>
      </c>
      <c r="J261" t="str">
        <f t="shared" si="39"/>
        <v/>
      </c>
      <c r="K261">
        <f t="shared" si="40"/>
        <v>0</v>
      </c>
      <c r="M261" t="str">
        <f>IF($C$15&gt;=3,IF($C$13="Yes",IF(Summary!B257&lt;&gt;"",Summary!B257,""),""),"")</f>
        <v/>
      </c>
      <c r="N261" t="str">
        <f t="shared" si="41"/>
        <v/>
      </c>
      <c r="O261">
        <f t="shared" si="42"/>
        <v>0</v>
      </c>
      <c r="Q261" t="str">
        <f>IF($C$15&gt;=4,IF($C$13="Yes",IF(Summary!B257&lt;&gt;"",Summary!B257,""),""),"")</f>
        <v/>
      </c>
      <c r="R261" t="str">
        <f t="shared" si="43"/>
        <v/>
      </c>
      <c r="S261">
        <f t="shared" si="44"/>
        <v>0</v>
      </c>
      <c r="U261" t="str">
        <f>IF($C$15&gt;=5,IF($C$13="Yes",IF(Summary!B257&lt;&gt;"",Summary!B257,""),""),"")</f>
        <v/>
      </c>
      <c r="V261" t="str">
        <f t="shared" si="45"/>
        <v/>
      </c>
      <c r="W261">
        <f t="shared" si="46"/>
        <v>0</v>
      </c>
      <c r="Y261" t="str">
        <f>IF($C$13="Yes",IF(Summary!B257&lt;&gt;"",Summary!B257,""),"")</f>
        <v/>
      </c>
      <c r="Z261" s="439" t="str">
        <f t="shared" si="47"/>
        <v/>
      </c>
      <c r="AA261" t="str">
        <f t="shared" si="36"/>
        <v/>
      </c>
    </row>
    <row r="262" spans="2:27">
      <c r="B262" t="str">
        <f>IF(Summary!B258&lt;&gt;"",Summary!B258,"")</f>
        <v/>
      </c>
      <c r="C262" t="str">
        <f>IF(Summary!C258&lt;&gt;"",Summary!C258,"")</f>
        <v/>
      </c>
      <c r="E262" t="str">
        <f>IF($C$15&gt;=1,IF($C$13="Yes",IF(Summary!B258&lt;&gt;"",Summary!B258,""),""),"")</f>
        <v/>
      </c>
      <c r="F262" t="str">
        <f t="shared" si="37"/>
        <v/>
      </c>
      <c r="G262">
        <f t="shared" si="38"/>
        <v>0</v>
      </c>
      <c r="I262" t="str">
        <f>IF($C$15&gt;=2,IF($C$13="Yes",IF(Summary!B258&lt;&gt;"",Summary!B258,""),""),"")</f>
        <v/>
      </c>
      <c r="J262" t="str">
        <f t="shared" si="39"/>
        <v/>
      </c>
      <c r="K262">
        <f t="shared" si="40"/>
        <v>0</v>
      </c>
      <c r="M262" t="str">
        <f>IF($C$15&gt;=3,IF($C$13="Yes",IF(Summary!B258&lt;&gt;"",Summary!B258,""),""),"")</f>
        <v/>
      </c>
      <c r="N262" t="str">
        <f t="shared" si="41"/>
        <v/>
      </c>
      <c r="O262">
        <f t="shared" si="42"/>
        <v>0</v>
      </c>
      <c r="Q262" t="str">
        <f>IF($C$15&gt;=4,IF($C$13="Yes",IF(Summary!B258&lt;&gt;"",Summary!B258,""),""),"")</f>
        <v/>
      </c>
      <c r="R262" t="str">
        <f t="shared" si="43"/>
        <v/>
      </c>
      <c r="S262">
        <f t="shared" si="44"/>
        <v>0</v>
      </c>
      <c r="U262" t="str">
        <f>IF($C$15&gt;=5,IF($C$13="Yes",IF(Summary!B258&lt;&gt;"",Summary!B258,""),""),"")</f>
        <v/>
      </c>
      <c r="V262" t="str">
        <f t="shared" si="45"/>
        <v/>
      </c>
      <c r="W262">
        <f t="shared" si="46"/>
        <v>0</v>
      </c>
      <c r="Y262" t="str">
        <f>IF($C$13="Yes",IF(Summary!B258&lt;&gt;"",Summary!B258,""),"")</f>
        <v/>
      </c>
      <c r="Z262" s="439" t="str">
        <f t="shared" si="47"/>
        <v/>
      </c>
      <c r="AA262" t="str">
        <f t="shared" si="36"/>
        <v/>
      </c>
    </row>
    <row r="263" spans="2:27">
      <c r="B263" t="str">
        <f>IF(Summary!B259&lt;&gt;"",Summary!B259,"")</f>
        <v/>
      </c>
      <c r="C263" t="str">
        <f>IF(Summary!C259&lt;&gt;"",Summary!C259,"")</f>
        <v/>
      </c>
      <c r="E263" t="str">
        <f>IF($C$15&gt;=1,IF($C$13="Yes",IF(Summary!B259&lt;&gt;"",Summary!B259,""),""),"")</f>
        <v/>
      </c>
      <c r="F263" t="str">
        <f t="shared" si="37"/>
        <v/>
      </c>
      <c r="G263">
        <f t="shared" si="38"/>
        <v>0</v>
      </c>
      <c r="I263" t="str">
        <f>IF($C$15&gt;=2,IF($C$13="Yes",IF(Summary!B259&lt;&gt;"",Summary!B259,""),""),"")</f>
        <v/>
      </c>
      <c r="J263" t="str">
        <f t="shared" si="39"/>
        <v/>
      </c>
      <c r="K263">
        <f t="shared" si="40"/>
        <v>0</v>
      </c>
      <c r="M263" t="str">
        <f>IF($C$15&gt;=3,IF($C$13="Yes",IF(Summary!B259&lt;&gt;"",Summary!B259,""),""),"")</f>
        <v/>
      </c>
      <c r="N263" t="str">
        <f t="shared" si="41"/>
        <v/>
      </c>
      <c r="O263">
        <f t="shared" si="42"/>
        <v>0</v>
      </c>
      <c r="Q263" t="str">
        <f>IF($C$15&gt;=4,IF($C$13="Yes",IF(Summary!B259&lt;&gt;"",Summary!B259,""),""),"")</f>
        <v/>
      </c>
      <c r="R263" t="str">
        <f t="shared" si="43"/>
        <v/>
      </c>
      <c r="S263">
        <f t="shared" si="44"/>
        <v>0</v>
      </c>
      <c r="U263" t="str">
        <f>IF($C$15&gt;=5,IF($C$13="Yes",IF(Summary!B259&lt;&gt;"",Summary!B259,""),""),"")</f>
        <v/>
      </c>
      <c r="V263" t="str">
        <f t="shared" si="45"/>
        <v/>
      </c>
      <c r="W263">
        <f t="shared" si="46"/>
        <v>0</v>
      </c>
      <c r="Y263" t="str">
        <f>IF($C$13="Yes",IF(Summary!B259&lt;&gt;"",Summary!B259,""),"")</f>
        <v/>
      </c>
      <c r="Z263" s="439" t="str">
        <f t="shared" si="47"/>
        <v/>
      </c>
      <c r="AA263" t="str">
        <f t="shared" si="36"/>
        <v/>
      </c>
    </row>
    <row r="264" spans="2:27">
      <c r="B264" t="str">
        <f>IF(Summary!B260&lt;&gt;"",Summary!B260,"")</f>
        <v/>
      </c>
      <c r="C264" t="str">
        <f>IF(Summary!C260&lt;&gt;"",Summary!C260,"")</f>
        <v/>
      </c>
      <c r="E264" t="str">
        <f>IF($C$15&gt;=1,IF($C$13="Yes",IF(Summary!B260&lt;&gt;"",Summary!B260,""),""),"")</f>
        <v/>
      </c>
      <c r="F264" t="str">
        <f t="shared" si="37"/>
        <v/>
      </c>
      <c r="G264">
        <f t="shared" si="38"/>
        <v>0</v>
      </c>
      <c r="I264" t="str">
        <f>IF($C$15&gt;=2,IF($C$13="Yes",IF(Summary!B260&lt;&gt;"",Summary!B260,""),""),"")</f>
        <v/>
      </c>
      <c r="J264" t="str">
        <f t="shared" si="39"/>
        <v/>
      </c>
      <c r="K264">
        <f t="shared" si="40"/>
        <v>0</v>
      </c>
      <c r="M264" t="str">
        <f>IF($C$15&gt;=3,IF($C$13="Yes",IF(Summary!B260&lt;&gt;"",Summary!B260,""),""),"")</f>
        <v/>
      </c>
      <c r="N264" t="str">
        <f t="shared" si="41"/>
        <v/>
      </c>
      <c r="O264">
        <f t="shared" si="42"/>
        <v>0</v>
      </c>
      <c r="Q264" t="str">
        <f>IF($C$15&gt;=4,IF($C$13="Yes",IF(Summary!B260&lt;&gt;"",Summary!B260,""),""),"")</f>
        <v/>
      </c>
      <c r="R264" t="str">
        <f t="shared" si="43"/>
        <v/>
      </c>
      <c r="S264">
        <f t="shared" si="44"/>
        <v>0</v>
      </c>
      <c r="U264" t="str">
        <f>IF($C$15&gt;=5,IF($C$13="Yes",IF(Summary!B260&lt;&gt;"",Summary!B260,""),""),"")</f>
        <v/>
      </c>
      <c r="V264" t="str">
        <f t="shared" si="45"/>
        <v/>
      </c>
      <c r="W264">
        <f t="shared" si="46"/>
        <v>0</v>
      </c>
      <c r="Y264" t="str">
        <f>IF($C$13="Yes",IF(Summary!B260&lt;&gt;"",Summary!B260,""),"")</f>
        <v/>
      </c>
      <c r="Z264" s="439" t="str">
        <f t="shared" si="47"/>
        <v/>
      </c>
      <c r="AA264" t="str">
        <f t="shared" si="36"/>
        <v/>
      </c>
    </row>
    <row r="265" spans="2:27">
      <c r="B265" t="str">
        <f>IF(Summary!B261&lt;&gt;"",Summary!B261,"")</f>
        <v/>
      </c>
      <c r="C265" t="str">
        <f>IF(Summary!C261&lt;&gt;"",Summary!C261,"")</f>
        <v/>
      </c>
      <c r="E265" t="str">
        <f>IF($C$15&gt;=1,IF($C$13="Yes",IF(Summary!B261&lt;&gt;"",Summary!B261,""),""),"")</f>
        <v/>
      </c>
      <c r="F265" t="str">
        <f t="shared" si="37"/>
        <v/>
      </c>
      <c r="G265">
        <f t="shared" si="38"/>
        <v>0</v>
      </c>
      <c r="I265" t="str">
        <f>IF($C$15&gt;=2,IF($C$13="Yes",IF(Summary!B261&lt;&gt;"",Summary!B261,""),""),"")</f>
        <v/>
      </c>
      <c r="J265" t="str">
        <f t="shared" si="39"/>
        <v/>
      </c>
      <c r="K265">
        <f t="shared" si="40"/>
        <v>0</v>
      </c>
      <c r="M265" t="str">
        <f>IF($C$15&gt;=3,IF($C$13="Yes",IF(Summary!B261&lt;&gt;"",Summary!B261,""),""),"")</f>
        <v/>
      </c>
      <c r="N265" t="str">
        <f t="shared" si="41"/>
        <v/>
      </c>
      <c r="O265">
        <f t="shared" si="42"/>
        <v>0</v>
      </c>
      <c r="Q265" t="str">
        <f>IF($C$15&gt;=4,IF($C$13="Yes",IF(Summary!B261&lt;&gt;"",Summary!B261,""),""),"")</f>
        <v/>
      </c>
      <c r="R265" t="str">
        <f t="shared" si="43"/>
        <v/>
      </c>
      <c r="S265">
        <f t="shared" si="44"/>
        <v>0</v>
      </c>
      <c r="U265" t="str">
        <f>IF($C$15&gt;=5,IF($C$13="Yes",IF(Summary!B261&lt;&gt;"",Summary!B261,""),""),"")</f>
        <v/>
      </c>
      <c r="V265" t="str">
        <f t="shared" si="45"/>
        <v/>
      </c>
      <c r="W265">
        <f t="shared" si="46"/>
        <v>0</v>
      </c>
      <c r="Y265" t="str">
        <f>IF($C$13="Yes",IF(Summary!B261&lt;&gt;"",Summary!B261,""),"")</f>
        <v/>
      </c>
      <c r="Z265" s="439" t="str">
        <f t="shared" si="47"/>
        <v/>
      </c>
      <c r="AA265" t="str">
        <f t="shared" si="36"/>
        <v/>
      </c>
    </row>
    <row r="266" spans="2:27">
      <c r="B266" t="str">
        <f>IF(Summary!B262&lt;&gt;"",Summary!B262,"")</f>
        <v/>
      </c>
      <c r="C266" t="str">
        <f>IF(Summary!C262&lt;&gt;"",Summary!C262,"")</f>
        <v/>
      </c>
      <c r="E266" t="str">
        <f>IF($C$15&gt;=1,IF($C$13="Yes",IF(Summary!B262&lt;&gt;"",Summary!B262,""),""),"")</f>
        <v/>
      </c>
      <c r="F266" t="str">
        <f t="shared" si="37"/>
        <v/>
      </c>
      <c r="G266">
        <f t="shared" si="38"/>
        <v>0</v>
      </c>
      <c r="I266" t="str">
        <f>IF($C$15&gt;=2,IF($C$13="Yes",IF(Summary!B262&lt;&gt;"",Summary!B262,""),""),"")</f>
        <v/>
      </c>
      <c r="J266" t="str">
        <f t="shared" si="39"/>
        <v/>
      </c>
      <c r="K266">
        <f t="shared" si="40"/>
        <v>0</v>
      </c>
      <c r="M266" t="str">
        <f>IF($C$15&gt;=3,IF($C$13="Yes",IF(Summary!B262&lt;&gt;"",Summary!B262,""),""),"")</f>
        <v/>
      </c>
      <c r="N266" t="str">
        <f t="shared" si="41"/>
        <v/>
      </c>
      <c r="O266">
        <f t="shared" si="42"/>
        <v>0</v>
      </c>
      <c r="Q266" t="str">
        <f>IF($C$15&gt;=4,IF($C$13="Yes",IF(Summary!B262&lt;&gt;"",Summary!B262,""),""),"")</f>
        <v/>
      </c>
      <c r="R266" t="str">
        <f t="shared" si="43"/>
        <v/>
      </c>
      <c r="S266">
        <f t="shared" si="44"/>
        <v>0</v>
      </c>
      <c r="U266" t="str">
        <f>IF($C$15&gt;=5,IF($C$13="Yes",IF(Summary!B262&lt;&gt;"",Summary!B262,""),""),"")</f>
        <v/>
      </c>
      <c r="V266" t="str">
        <f t="shared" si="45"/>
        <v/>
      </c>
      <c r="W266">
        <f t="shared" si="46"/>
        <v>0</v>
      </c>
      <c r="Y266" t="str">
        <f>IF($C$13="Yes",IF(Summary!B262&lt;&gt;"",Summary!B262,""),"")</f>
        <v/>
      </c>
      <c r="Z266" s="439" t="str">
        <f t="shared" si="47"/>
        <v/>
      </c>
      <c r="AA266" t="str">
        <f t="shared" si="36"/>
        <v/>
      </c>
    </row>
    <row r="267" spans="2:27">
      <c r="B267" t="str">
        <f>IF(Summary!B263&lt;&gt;"",Summary!B263,"")</f>
        <v/>
      </c>
      <c r="C267" t="str">
        <f>IF(Summary!C263&lt;&gt;"",Summary!C263,"")</f>
        <v/>
      </c>
      <c r="E267" t="str">
        <f>IF($C$15&gt;=1,IF($C$13="Yes",IF(Summary!B263&lt;&gt;"",Summary!B263,""),""),"")</f>
        <v/>
      </c>
      <c r="F267" t="str">
        <f t="shared" si="37"/>
        <v/>
      </c>
      <c r="G267">
        <f t="shared" si="38"/>
        <v>0</v>
      </c>
      <c r="I267" t="str">
        <f>IF($C$15&gt;=2,IF($C$13="Yes",IF(Summary!B263&lt;&gt;"",Summary!B263,""),""),"")</f>
        <v/>
      </c>
      <c r="J267" t="str">
        <f t="shared" si="39"/>
        <v/>
      </c>
      <c r="K267">
        <f t="shared" si="40"/>
        <v>0</v>
      </c>
      <c r="M267" t="str">
        <f>IF($C$15&gt;=3,IF($C$13="Yes",IF(Summary!B263&lt;&gt;"",Summary!B263,""),""),"")</f>
        <v/>
      </c>
      <c r="N267" t="str">
        <f t="shared" si="41"/>
        <v/>
      </c>
      <c r="O267">
        <f t="shared" si="42"/>
        <v>0</v>
      </c>
      <c r="Q267" t="str">
        <f>IF($C$15&gt;=4,IF($C$13="Yes",IF(Summary!B263&lt;&gt;"",Summary!B263,""),""),"")</f>
        <v/>
      </c>
      <c r="R267" t="str">
        <f t="shared" si="43"/>
        <v/>
      </c>
      <c r="S267">
        <f t="shared" si="44"/>
        <v>0</v>
      </c>
      <c r="U267" t="str">
        <f>IF($C$15&gt;=5,IF($C$13="Yes",IF(Summary!B263&lt;&gt;"",Summary!B263,""),""),"")</f>
        <v/>
      </c>
      <c r="V267" t="str">
        <f t="shared" si="45"/>
        <v/>
      </c>
      <c r="W267">
        <f t="shared" si="46"/>
        <v>0</v>
      </c>
      <c r="Y267" t="str">
        <f>IF($C$13="Yes",IF(Summary!B263&lt;&gt;"",Summary!B263,""),"")</f>
        <v/>
      </c>
      <c r="Z267" s="439" t="str">
        <f t="shared" si="47"/>
        <v/>
      </c>
      <c r="AA267" t="str">
        <f t="shared" si="36"/>
        <v/>
      </c>
    </row>
    <row r="268" spans="2:27">
      <c r="B268" t="str">
        <f>IF(Summary!B264&lt;&gt;"",Summary!B264,"")</f>
        <v/>
      </c>
      <c r="C268" t="str">
        <f>IF(Summary!C264&lt;&gt;"",Summary!C264,"")</f>
        <v/>
      </c>
      <c r="E268" t="str">
        <f>IF($C$15&gt;=1,IF($C$13="Yes",IF(Summary!B264&lt;&gt;"",Summary!B264,""),""),"")</f>
        <v/>
      </c>
      <c r="F268" t="str">
        <f t="shared" si="37"/>
        <v/>
      </c>
      <c r="G268">
        <f t="shared" si="38"/>
        <v>0</v>
      </c>
      <c r="I268" t="str">
        <f>IF($C$15&gt;=2,IF($C$13="Yes",IF(Summary!B264&lt;&gt;"",Summary!B264,""),""),"")</f>
        <v/>
      </c>
      <c r="J268" t="str">
        <f t="shared" si="39"/>
        <v/>
      </c>
      <c r="K268">
        <f t="shared" si="40"/>
        <v>0</v>
      </c>
      <c r="M268" t="str">
        <f>IF($C$15&gt;=3,IF($C$13="Yes",IF(Summary!B264&lt;&gt;"",Summary!B264,""),""),"")</f>
        <v/>
      </c>
      <c r="N268" t="str">
        <f t="shared" si="41"/>
        <v/>
      </c>
      <c r="O268">
        <f t="shared" si="42"/>
        <v>0</v>
      </c>
      <c r="Q268" t="str">
        <f>IF($C$15&gt;=4,IF($C$13="Yes",IF(Summary!B264&lt;&gt;"",Summary!B264,""),""),"")</f>
        <v/>
      </c>
      <c r="R268" t="str">
        <f t="shared" si="43"/>
        <v/>
      </c>
      <c r="S268">
        <f t="shared" si="44"/>
        <v>0</v>
      </c>
      <c r="U268" t="str">
        <f>IF($C$15&gt;=5,IF($C$13="Yes",IF(Summary!B264&lt;&gt;"",Summary!B264,""),""),"")</f>
        <v/>
      </c>
      <c r="V268" t="str">
        <f t="shared" si="45"/>
        <v/>
      </c>
      <c r="W268">
        <f t="shared" si="46"/>
        <v>0</v>
      </c>
      <c r="Y268" t="str">
        <f>IF($C$13="Yes",IF(Summary!B264&lt;&gt;"",Summary!B264,""),"")</f>
        <v/>
      </c>
      <c r="Z268" s="439" t="str">
        <f t="shared" si="47"/>
        <v/>
      </c>
      <c r="AA268" t="str">
        <f t="shared" si="36"/>
        <v/>
      </c>
    </row>
    <row r="269" spans="2:27">
      <c r="B269" t="str">
        <f>IF(Summary!B265&lt;&gt;"",Summary!B265,"")</f>
        <v/>
      </c>
      <c r="C269" t="str">
        <f>IF(Summary!C265&lt;&gt;"",Summary!C265,"")</f>
        <v/>
      </c>
      <c r="E269" t="str">
        <f>IF($C$15&gt;=1,IF($C$13="Yes",IF(Summary!B265&lt;&gt;"",Summary!B265,""),""),"")</f>
        <v/>
      </c>
      <c r="F269" t="str">
        <f t="shared" si="37"/>
        <v/>
      </c>
      <c r="G269">
        <f t="shared" si="38"/>
        <v>0</v>
      </c>
      <c r="I269" t="str">
        <f>IF($C$15&gt;=2,IF($C$13="Yes",IF(Summary!B265&lt;&gt;"",Summary!B265,""),""),"")</f>
        <v/>
      </c>
      <c r="J269" t="str">
        <f t="shared" si="39"/>
        <v/>
      </c>
      <c r="K269">
        <f t="shared" si="40"/>
        <v>0</v>
      </c>
      <c r="M269" t="str">
        <f>IF($C$15&gt;=3,IF($C$13="Yes",IF(Summary!B265&lt;&gt;"",Summary!B265,""),""),"")</f>
        <v/>
      </c>
      <c r="N269" t="str">
        <f t="shared" si="41"/>
        <v/>
      </c>
      <c r="O269">
        <f t="shared" si="42"/>
        <v>0</v>
      </c>
      <c r="Q269" t="str">
        <f>IF($C$15&gt;=4,IF($C$13="Yes",IF(Summary!B265&lt;&gt;"",Summary!B265,""),""),"")</f>
        <v/>
      </c>
      <c r="R269" t="str">
        <f t="shared" si="43"/>
        <v/>
      </c>
      <c r="S269">
        <f t="shared" si="44"/>
        <v>0</v>
      </c>
      <c r="U269" t="str">
        <f>IF($C$15&gt;=5,IF($C$13="Yes",IF(Summary!B265&lt;&gt;"",Summary!B265,""),""),"")</f>
        <v/>
      </c>
      <c r="V269" t="str">
        <f t="shared" si="45"/>
        <v/>
      </c>
      <c r="W269">
        <f t="shared" si="46"/>
        <v>0</v>
      </c>
      <c r="Y269" t="str">
        <f>IF($C$13="Yes",IF(Summary!B265&lt;&gt;"",Summary!B265,""),"")</f>
        <v/>
      </c>
      <c r="Z269" s="439" t="str">
        <f t="shared" si="47"/>
        <v/>
      </c>
      <c r="AA269" t="str">
        <f t="shared" si="36"/>
        <v/>
      </c>
    </row>
    <row r="270" spans="2:27">
      <c r="B270" t="str">
        <f>IF(Summary!B266&lt;&gt;"",Summary!B266,"")</f>
        <v/>
      </c>
      <c r="C270" t="str">
        <f>IF(Summary!C266&lt;&gt;"",Summary!C266,"")</f>
        <v/>
      </c>
      <c r="E270" t="str">
        <f>IF($C$15&gt;=1,IF($C$13="Yes",IF(Summary!B266&lt;&gt;"",Summary!B266,""),""),"")</f>
        <v/>
      </c>
      <c r="F270" t="str">
        <f t="shared" si="37"/>
        <v/>
      </c>
      <c r="G270">
        <f t="shared" si="38"/>
        <v>0</v>
      </c>
      <c r="I270" t="str">
        <f>IF($C$15&gt;=2,IF($C$13="Yes",IF(Summary!B266&lt;&gt;"",Summary!B266,""),""),"")</f>
        <v/>
      </c>
      <c r="J270" t="str">
        <f t="shared" si="39"/>
        <v/>
      </c>
      <c r="K270">
        <f t="shared" si="40"/>
        <v>0</v>
      </c>
      <c r="M270" t="str">
        <f>IF($C$15&gt;=3,IF($C$13="Yes",IF(Summary!B266&lt;&gt;"",Summary!B266,""),""),"")</f>
        <v/>
      </c>
      <c r="N270" t="str">
        <f t="shared" si="41"/>
        <v/>
      </c>
      <c r="O270">
        <f t="shared" si="42"/>
        <v>0</v>
      </c>
      <c r="Q270" t="str">
        <f>IF($C$15&gt;=4,IF($C$13="Yes",IF(Summary!B266&lt;&gt;"",Summary!B266,""),""),"")</f>
        <v/>
      </c>
      <c r="R270" t="str">
        <f t="shared" si="43"/>
        <v/>
      </c>
      <c r="S270">
        <f t="shared" si="44"/>
        <v>0</v>
      </c>
      <c r="U270" t="str">
        <f>IF($C$15&gt;=5,IF($C$13="Yes",IF(Summary!B266&lt;&gt;"",Summary!B266,""),""),"")</f>
        <v/>
      </c>
      <c r="V270" t="str">
        <f t="shared" si="45"/>
        <v/>
      </c>
      <c r="W270">
        <f t="shared" si="46"/>
        <v>0</v>
      </c>
      <c r="Y270" t="str">
        <f>IF($C$13="Yes",IF(Summary!B266&lt;&gt;"",Summary!B266,""),"")</f>
        <v/>
      </c>
      <c r="Z270" s="439" t="str">
        <f t="shared" si="47"/>
        <v/>
      </c>
      <c r="AA270" t="str">
        <f t="shared" si="36"/>
        <v/>
      </c>
    </row>
    <row r="271" spans="2:27">
      <c r="B271" t="str">
        <f>IF(Summary!B267&lt;&gt;"",Summary!B267,"")</f>
        <v/>
      </c>
      <c r="C271" t="str">
        <f>IF(Summary!C267&lt;&gt;"",Summary!C267,"")</f>
        <v/>
      </c>
      <c r="E271" t="str">
        <f>IF($C$15&gt;=1,IF($C$13="Yes",IF(Summary!B267&lt;&gt;"",Summary!B267,""),""),"")</f>
        <v/>
      </c>
      <c r="F271" t="str">
        <f t="shared" si="37"/>
        <v/>
      </c>
      <c r="G271">
        <f t="shared" si="38"/>
        <v>0</v>
      </c>
      <c r="I271" t="str">
        <f>IF($C$15&gt;=2,IF($C$13="Yes",IF(Summary!B267&lt;&gt;"",Summary!B267,""),""),"")</f>
        <v/>
      </c>
      <c r="J271" t="str">
        <f t="shared" si="39"/>
        <v/>
      </c>
      <c r="K271">
        <f t="shared" si="40"/>
        <v>0</v>
      </c>
      <c r="M271" t="str">
        <f>IF($C$15&gt;=3,IF($C$13="Yes",IF(Summary!B267&lt;&gt;"",Summary!B267,""),""),"")</f>
        <v/>
      </c>
      <c r="N271" t="str">
        <f t="shared" si="41"/>
        <v/>
      </c>
      <c r="O271">
        <f t="shared" si="42"/>
        <v>0</v>
      </c>
      <c r="Q271" t="str">
        <f>IF($C$15&gt;=4,IF($C$13="Yes",IF(Summary!B267&lt;&gt;"",Summary!B267,""),""),"")</f>
        <v/>
      </c>
      <c r="R271" t="str">
        <f t="shared" si="43"/>
        <v/>
      </c>
      <c r="S271">
        <f t="shared" si="44"/>
        <v>0</v>
      </c>
      <c r="U271" t="str">
        <f>IF($C$15&gt;=5,IF($C$13="Yes",IF(Summary!B267&lt;&gt;"",Summary!B267,""),""),"")</f>
        <v/>
      </c>
      <c r="V271" t="str">
        <f t="shared" si="45"/>
        <v/>
      </c>
      <c r="W271">
        <f t="shared" si="46"/>
        <v>0</v>
      </c>
      <c r="Y271" t="str">
        <f>IF($C$13="Yes",IF(Summary!B267&lt;&gt;"",Summary!B267,""),"")</f>
        <v/>
      </c>
      <c r="Z271" s="439" t="str">
        <f t="shared" si="47"/>
        <v/>
      </c>
      <c r="AA271" t="str">
        <f t="shared" si="36"/>
        <v/>
      </c>
    </row>
    <row r="272" spans="2:27">
      <c r="B272" t="str">
        <f>IF(Summary!B268&lt;&gt;"",Summary!B268,"")</f>
        <v/>
      </c>
      <c r="C272" t="str">
        <f>IF(Summary!C268&lt;&gt;"",Summary!C268,"")</f>
        <v/>
      </c>
      <c r="E272" t="str">
        <f>IF($C$15&gt;=1,IF($C$13="Yes",IF(Summary!B268&lt;&gt;"",Summary!B268,""),""),"")</f>
        <v/>
      </c>
      <c r="F272" t="str">
        <f t="shared" si="37"/>
        <v/>
      </c>
      <c r="G272">
        <f t="shared" si="38"/>
        <v>0</v>
      </c>
      <c r="I272" t="str">
        <f>IF($C$15&gt;=2,IF($C$13="Yes",IF(Summary!B268&lt;&gt;"",Summary!B268,""),""),"")</f>
        <v/>
      </c>
      <c r="J272" t="str">
        <f t="shared" si="39"/>
        <v/>
      </c>
      <c r="K272">
        <f t="shared" si="40"/>
        <v>0</v>
      </c>
      <c r="M272" t="str">
        <f>IF($C$15&gt;=3,IF($C$13="Yes",IF(Summary!B268&lt;&gt;"",Summary!B268,""),""),"")</f>
        <v/>
      </c>
      <c r="N272" t="str">
        <f t="shared" si="41"/>
        <v/>
      </c>
      <c r="O272">
        <f t="shared" si="42"/>
        <v>0</v>
      </c>
      <c r="Q272" t="str">
        <f>IF($C$15&gt;=4,IF($C$13="Yes",IF(Summary!B268&lt;&gt;"",Summary!B268,""),""),"")</f>
        <v/>
      </c>
      <c r="R272" t="str">
        <f t="shared" si="43"/>
        <v/>
      </c>
      <c r="S272">
        <f t="shared" si="44"/>
        <v>0</v>
      </c>
      <c r="U272" t="str">
        <f>IF($C$15&gt;=5,IF($C$13="Yes",IF(Summary!B268&lt;&gt;"",Summary!B268,""),""),"")</f>
        <v/>
      </c>
      <c r="V272" t="str">
        <f t="shared" si="45"/>
        <v/>
      </c>
      <c r="W272">
        <f t="shared" si="46"/>
        <v>0</v>
      </c>
      <c r="Y272" t="str">
        <f>IF($C$13="Yes",IF(Summary!B268&lt;&gt;"",Summary!B268,""),"")</f>
        <v/>
      </c>
      <c r="Z272" s="439" t="str">
        <f t="shared" si="47"/>
        <v/>
      </c>
      <c r="AA272" t="str">
        <f t="shared" si="36"/>
        <v/>
      </c>
    </row>
    <row r="273" spans="2:27">
      <c r="B273" t="str">
        <f>IF(Summary!B269&lt;&gt;"",Summary!B269,"")</f>
        <v/>
      </c>
      <c r="C273" t="str">
        <f>IF(Summary!C269&lt;&gt;"",Summary!C269,"")</f>
        <v/>
      </c>
      <c r="E273" t="str">
        <f>IF($C$15&gt;=1,IF($C$13="Yes",IF(Summary!B269&lt;&gt;"",Summary!B269,""),""),"")</f>
        <v/>
      </c>
      <c r="F273" t="str">
        <f t="shared" si="37"/>
        <v/>
      </c>
      <c r="G273">
        <f t="shared" si="38"/>
        <v>0</v>
      </c>
      <c r="I273" t="str">
        <f>IF($C$15&gt;=2,IF($C$13="Yes",IF(Summary!B269&lt;&gt;"",Summary!B269,""),""),"")</f>
        <v/>
      </c>
      <c r="J273" t="str">
        <f t="shared" si="39"/>
        <v/>
      </c>
      <c r="K273">
        <f t="shared" si="40"/>
        <v>0</v>
      </c>
      <c r="M273" t="str">
        <f>IF($C$15&gt;=3,IF($C$13="Yes",IF(Summary!B269&lt;&gt;"",Summary!B269,""),""),"")</f>
        <v/>
      </c>
      <c r="N273" t="str">
        <f t="shared" si="41"/>
        <v/>
      </c>
      <c r="O273">
        <f t="shared" si="42"/>
        <v>0</v>
      </c>
      <c r="Q273" t="str">
        <f>IF($C$15&gt;=4,IF($C$13="Yes",IF(Summary!B269&lt;&gt;"",Summary!B269,""),""),"")</f>
        <v/>
      </c>
      <c r="R273" t="str">
        <f t="shared" si="43"/>
        <v/>
      </c>
      <c r="S273">
        <f t="shared" si="44"/>
        <v>0</v>
      </c>
      <c r="U273" t="str">
        <f>IF($C$15&gt;=5,IF($C$13="Yes",IF(Summary!B269&lt;&gt;"",Summary!B269,""),""),"")</f>
        <v/>
      </c>
      <c r="V273" t="str">
        <f t="shared" si="45"/>
        <v/>
      </c>
      <c r="W273">
        <f t="shared" si="46"/>
        <v>0</v>
      </c>
      <c r="Y273" t="str">
        <f>IF($C$13="Yes",IF(Summary!B269&lt;&gt;"",Summary!B269,""),"")</f>
        <v/>
      </c>
      <c r="Z273" s="439" t="str">
        <f t="shared" si="47"/>
        <v/>
      </c>
      <c r="AA273" t="str">
        <f t="shared" si="36"/>
        <v/>
      </c>
    </row>
    <row r="274" spans="2:27">
      <c r="B274" t="str">
        <f>IF(Summary!B270&lt;&gt;"",Summary!B270,"")</f>
        <v/>
      </c>
      <c r="C274" t="str">
        <f>IF(Summary!C270&lt;&gt;"",Summary!C270,"")</f>
        <v/>
      </c>
      <c r="E274" t="str">
        <f>IF($C$15&gt;=1,IF($C$13="Yes",IF(Summary!B270&lt;&gt;"",Summary!B270,""),""),"")</f>
        <v/>
      </c>
      <c r="F274" t="str">
        <f t="shared" si="37"/>
        <v/>
      </c>
      <c r="G274">
        <f t="shared" si="38"/>
        <v>0</v>
      </c>
      <c r="I274" t="str">
        <f>IF($C$15&gt;=2,IF($C$13="Yes",IF(Summary!B270&lt;&gt;"",Summary!B270,""),""),"")</f>
        <v/>
      </c>
      <c r="J274" t="str">
        <f t="shared" si="39"/>
        <v/>
      </c>
      <c r="K274">
        <f t="shared" si="40"/>
        <v>0</v>
      </c>
      <c r="M274" t="str">
        <f>IF($C$15&gt;=3,IF($C$13="Yes",IF(Summary!B270&lt;&gt;"",Summary!B270,""),""),"")</f>
        <v/>
      </c>
      <c r="N274" t="str">
        <f t="shared" si="41"/>
        <v/>
      </c>
      <c r="O274">
        <f t="shared" si="42"/>
        <v>0</v>
      </c>
      <c r="Q274" t="str">
        <f>IF($C$15&gt;=4,IF($C$13="Yes",IF(Summary!B270&lt;&gt;"",Summary!B270,""),""),"")</f>
        <v/>
      </c>
      <c r="R274" t="str">
        <f t="shared" si="43"/>
        <v/>
      </c>
      <c r="S274">
        <f t="shared" si="44"/>
        <v>0</v>
      </c>
      <c r="U274" t="str">
        <f>IF($C$15&gt;=5,IF($C$13="Yes",IF(Summary!B270&lt;&gt;"",Summary!B270,""),""),"")</f>
        <v/>
      </c>
      <c r="V274" t="str">
        <f t="shared" si="45"/>
        <v/>
      </c>
      <c r="W274">
        <f t="shared" si="46"/>
        <v>0</v>
      </c>
      <c r="Y274" t="str">
        <f>IF($C$13="Yes",IF(Summary!B270&lt;&gt;"",Summary!B270,""),"")</f>
        <v/>
      </c>
      <c r="Z274" s="439" t="str">
        <f t="shared" si="47"/>
        <v/>
      </c>
      <c r="AA274" t="str">
        <f t="shared" ref="AA274:AA337" si="48">IF(Y274&lt;&gt;"Total",Z274,0)</f>
        <v/>
      </c>
    </row>
    <row r="275" spans="2:27">
      <c r="B275" t="str">
        <f>IF(Summary!B271&lt;&gt;"",Summary!B271,"")</f>
        <v/>
      </c>
      <c r="C275" t="str">
        <f>IF(Summary!C271&lt;&gt;"",Summary!C271,"")</f>
        <v/>
      </c>
      <c r="E275" t="str">
        <f>IF($C$15&gt;=1,IF($C$13="Yes",IF(Summary!B271&lt;&gt;"",Summary!B271,""),""),"")</f>
        <v/>
      </c>
      <c r="F275" t="str">
        <f t="shared" ref="F275:F338" si="49">IF($C$15&gt;=1,IFERROR(IF($C$13="Yes",(C275*$C$14),""),""),"")</f>
        <v/>
      </c>
      <c r="G275">
        <f t="shared" ref="G275:G338" si="50">IF(F275="",0,F275)</f>
        <v>0</v>
      </c>
      <c r="I275" t="str">
        <f>IF($C$15&gt;=2,IF($C$13="Yes",IF(Summary!B271&lt;&gt;"",Summary!B271,""),""),"")</f>
        <v/>
      </c>
      <c r="J275" t="str">
        <f t="shared" ref="J275:J338" si="51">IF($C$15&gt;=2,IFERROR(IF($C$13="Yes",(C275*$C$14),""),""),"")</f>
        <v/>
      </c>
      <c r="K275">
        <f t="shared" ref="K275:K338" si="52">IF(J275="",0,J275)</f>
        <v>0</v>
      </c>
      <c r="M275" t="str">
        <f>IF($C$15&gt;=3,IF($C$13="Yes",IF(Summary!B271&lt;&gt;"",Summary!B271,""),""),"")</f>
        <v/>
      </c>
      <c r="N275" t="str">
        <f t="shared" ref="N275:N338" si="53">IF($C$15&gt;=3,IFERROR(IF($C$13="Yes",(C275*$C$14),""),""),"")</f>
        <v/>
      </c>
      <c r="O275">
        <f t="shared" ref="O275:O338" si="54">IF(N275="",0,N275)</f>
        <v>0</v>
      </c>
      <c r="Q275" t="str">
        <f>IF($C$15&gt;=4,IF($C$13="Yes",IF(Summary!B271&lt;&gt;"",Summary!B271,""),""),"")</f>
        <v/>
      </c>
      <c r="R275" t="str">
        <f t="shared" ref="R275:R338" si="55">IF($C$15&gt;=4,IFERROR(IF($C$13="Yes",(C275*$C$14),""),""),"")</f>
        <v/>
      </c>
      <c r="S275">
        <f t="shared" ref="S275:S338" si="56">IF(R275="",0,R275)</f>
        <v>0</v>
      </c>
      <c r="U275" t="str">
        <f>IF($C$15&gt;=5,IF($C$13="Yes",IF(Summary!B271&lt;&gt;"",Summary!B271,""),""),"")</f>
        <v/>
      </c>
      <c r="V275" t="str">
        <f t="shared" ref="V275:V338" si="57">IF($C$15&gt;=5,IFERROR(IF($C$13="Yes",(C275*$C$14),""),""),"")</f>
        <v/>
      </c>
      <c r="W275">
        <f t="shared" ref="W275:W338" si="58">IF(V275="",0,V275)</f>
        <v>0</v>
      </c>
      <c r="Y275" t="str">
        <f>IF($C$13="Yes",IF(Summary!B271&lt;&gt;"",Summary!B271,""),"")</f>
        <v/>
      </c>
      <c r="Z275" s="439" t="str">
        <f t="shared" ref="Z275:Z338" si="59">IFERROR((C275+G275+K275+O275+S275+W275),"")</f>
        <v/>
      </c>
      <c r="AA275" t="str">
        <f t="shared" si="48"/>
        <v/>
      </c>
    </row>
    <row r="276" spans="2:27">
      <c r="B276" t="str">
        <f>IF(Summary!B272&lt;&gt;"",Summary!B272,"")</f>
        <v/>
      </c>
      <c r="C276" t="str">
        <f>IF(Summary!C272&lt;&gt;"",Summary!C272,"")</f>
        <v/>
      </c>
      <c r="E276" t="str">
        <f>IF($C$15&gt;=1,IF($C$13="Yes",IF(Summary!B272&lt;&gt;"",Summary!B272,""),""),"")</f>
        <v/>
      </c>
      <c r="F276" t="str">
        <f t="shared" si="49"/>
        <v/>
      </c>
      <c r="G276">
        <f t="shared" si="50"/>
        <v>0</v>
      </c>
      <c r="I276" t="str">
        <f>IF($C$15&gt;=2,IF($C$13="Yes",IF(Summary!B272&lt;&gt;"",Summary!B272,""),""),"")</f>
        <v/>
      </c>
      <c r="J276" t="str">
        <f t="shared" si="51"/>
        <v/>
      </c>
      <c r="K276">
        <f t="shared" si="52"/>
        <v>0</v>
      </c>
      <c r="M276" t="str">
        <f>IF($C$15&gt;=3,IF($C$13="Yes",IF(Summary!B272&lt;&gt;"",Summary!B272,""),""),"")</f>
        <v/>
      </c>
      <c r="N276" t="str">
        <f t="shared" si="53"/>
        <v/>
      </c>
      <c r="O276">
        <f t="shared" si="54"/>
        <v>0</v>
      </c>
      <c r="Q276" t="str">
        <f>IF($C$15&gt;=4,IF($C$13="Yes",IF(Summary!B272&lt;&gt;"",Summary!B272,""),""),"")</f>
        <v/>
      </c>
      <c r="R276" t="str">
        <f t="shared" si="55"/>
        <v/>
      </c>
      <c r="S276">
        <f t="shared" si="56"/>
        <v>0</v>
      </c>
      <c r="U276" t="str">
        <f>IF($C$15&gt;=5,IF($C$13="Yes",IF(Summary!B272&lt;&gt;"",Summary!B272,""),""),"")</f>
        <v/>
      </c>
      <c r="V276" t="str">
        <f t="shared" si="57"/>
        <v/>
      </c>
      <c r="W276">
        <f t="shared" si="58"/>
        <v>0</v>
      </c>
      <c r="Y276" t="str">
        <f>IF($C$13="Yes",IF(Summary!B272&lt;&gt;"",Summary!B272,""),"")</f>
        <v/>
      </c>
      <c r="Z276" s="439" t="str">
        <f t="shared" si="59"/>
        <v/>
      </c>
      <c r="AA276" t="str">
        <f t="shared" si="48"/>
        <v/>
      </c>
    </row>
    <row r="277" spans="2:27">
      <c r="B277" t="str">
        <f>IF(Summary!B273&lt;&gt;"",Summary!B273,"")</f>
        <v/>
      </c>
      <c r="C277" t="str">
        <f>IF(Summary!C273&lt;&gt;"",Summary!C273,"")</f>
        <v/>
      </c>
      <c r="E277" t="str">
        <f>IF($C$15&gt;=1,IF($C$13="Yes",IF(Summary!B273&lt;&gt;"",Summary!B273,""),""),"")</f>
        <v/>
      </c>
      <c r="F277" t="str">
        <f t="shared" si="49"/>
        <v/>
      </c>
      <c r="G277">
        <f t="shared" si="50"/>
        <v>0</v>
      </c>
      <c r="I277" t="str">
        <f>IF($C$15&gt;=2,IF($C$13="Yes",IF(Summary!B273&lt;&gt;"",Summary!B273,""),""),"")</f>
        <v/>
      </c>
      <c r="J277" t="str">
        <f t="shared" si="51"/>
        <v/>
      </c>
      <c r="K277">
        <f t="shared" si="52"/>
        <v>0</v>
      </c>
      <c r="M277" t="str">
        <f>IF($C$15&gt;=3,IF($C$13="Yes",IF(Summary!B273&lt;&gt;"",Summary!B273,""),""),"")</f>
        <v/>
      </c>
      <c r="N277" t="str">
        <f t="shared" si="53"/>
        <v/>
      </c>
      <c r="O277">
        <f t="shared" si="54"/>
        <v>0</v>
      </c>
      <c r="Q277" t="str">
        <f>IF($C$15&gt;=4,IF($C$13="Yes",IF(Summary!B273&lt;&gt;"",Summary!B273,""),""),"")</f>
        <v/>
      </c>
      <c r="R277" t="str">
        <f t="shared" si="55"/>
        <v/>
      </c>
      <c r="S277">
        <f t="shared" si="56"/>
        <v>0</v>
      </c>
      <c r="U277" t="str">
        <f>IF($C$15&gt;=5,IF($C$13="Yes",IF(Summary!B273&lt;&gt;"",Summary!B273,""),""),"")</f>
        <v/>
      </c>
      <c r="V277" t="str">
        <f t="shared" si="57"/>
        <v/>
      </c>
      <c r="W277">
        <f t="shared" si="58"/>
        <v>0</v>
      </c>
      <c r="Y277" t="str">
        <f>IF($C$13="Yes",IF(Summary!B273&lt;&gt;"",Summary!B273,""),"")</f>
        <v/>
      </c>
      <c r="Z277" s="439" t="str">
        <f t="shared" si="59"/>
        <v/>
      </c>
      <c r="AA277" t="str">
        <f t="shared" si="48"/>
        <v/>
      </c>
    </row>
    <row r="278" spans="2:27">
      <c r="B278" t="str">
        <f>IF(Summary!B274&lt;&gt;"",Summary!B274,"")</f>
        <v/>
      </c>
      <c r="C278" t="str">
        <f>IF(Summary!C274&lt;&gt;"",Summary!C274,"")</f>
        <v/>
      </c>
      <c r="E278" t="str">
        <f>IF($C$15&gt;=1,IF($C$13="Yes",IF(Summary!B274&lt;&gt;"",Summary!B274,""),""),"")</f>
        <v/>
      </c>
      <c r="F278" t="str">
        <f t="shared" si="49"/>
        <v/>
      </c>
      <c r="G278">
        <f t="shared" si="50"/>
        <v>0</v>
      </c>
      <c r="I278" t="str">
        <f>IF($C$15&gt;=2,IF($C$13="Yes",IF(Summary!B274&lt;&gt;"",Summary!B274,""),""),"")</f>
        <v/>
      </c>
      <c r="J278" t="str">
        <f t="shared" si="51"/>
        <v/>
      </c>
      <c r="K278">
        <f t="shared" si="52"/>
        <v>0</v>
      </c>
      <c r="M278" t="str">
        <f>IF($C$15&gt;=3,IF($C$13="Yes",IF(Summary!B274&lt;&gt;"",Summary!B274,""),""),"")</f>
        <v/>
      </c>
      <c r="N278" t="str">
        <f t="shared" si="53"/>
        <v/>
      </c>
      <c r="O278">
        <f t="shared" si="54"/>
        <v>0</v>
      </c>
      <c r="Q278" t="str">
        <f>IF($C$15&gt;=4,IF($C$13="Yes",IF(Summary!B274&lt;&gt;"",Summary!B274,""),""),"")</f>
        <v/>
      </c>
      <c r="R278" t="str">
        <f t="shared" si="55"/>
        <v/>
      </c>
      <c r="S278">
        <f t="shared" si="56"/>
        <v>0</v>
      </c>
      <c r="U278" t="str">
        <f>IF($C$15&gt;=5,IF($C$13="Yes",IF(Summary!B274&lt;&gt;"",Summary!B274,""),""),"")</f>
        <v/>
      </c>
      <c r="V278" t="str">
        <f t="shared" si="57"/>
        <v/>
      </c>
      <c r="W278">
        <f t="shared" si="58"/>
        <v>0</v>
      </c>
      <c r="Y278" t="str">
        <f>IF($C$13="Yes",IF(Summary!B274&lt;&gt;"",Summary!B274,""),"")</f>
        <v/>
      </c>
      <c r="Z278" s="439" t="str">
        <f t="shared" si="59"/>
        <v/>
      </c>
      <c r="AA278" t="str">
        <f t="shared" si="48"/>
        <v/>
      </c>
    </row>
    <row r="279" spans="2:27">
      <c r="B279" t="str">
        <f>IF(Summary!B275&lt;&gt;"",Summary!B275,"")</f>
        <v/>
      </c>
      <c r="C279" t="str">
        <f>IF(Summary!C275&lt;&gt;"",Summary!C275,"")</f>
        <v/>
      </c>
      <c r="E279" t="str">
        <f>IF($C$15&gt;=1,IF($C$13="Yes",IF(Summary!B275&lt;&gt;"",Summary!B275,""),""),"")</f>
        <v/>
      </c>
      <c r="F279" t="str">
        <f t="shared" si="49"/>
        <v/>
      </c>
      <c r="G279">
        <f t="shared" si="50"/>
        <v>0</v>
      </c>
      <c r="I279" t="str">
        <f>IF($C$15&gt;=2,IF($C$13="Yes",IF(Summary!B275&lt;&gt;"",Summary!B275,""),""),"")</f>
        <v/>
      </c>
      <c r="J279" t="str">
        <f t="shared" si="51"/>
        <v/>
      </c>
      <c r="K279">
        <f t="shared" si="52"/>
        <v>0</v>
      </c>
      <c r="M279" t="str">
        <f>IF($C$15&gt;=3,IF($C$13="Yes",IF(Summary!B275&lt;&gt;"",Summary!B275,""),""),"")</f>
        <v/>
      </c>
      <c r="N279" t="str">
        <f t="shared" si="53"/>
        <v/>
      </c>
      <c r="O279">
        <f t="shared" si="54"/>
        <v>0</v>
      </c>
      <c r="Q279" t="str">
        <f>IF($C$15&gt;=4,IF($C$13="Yes",IF(Summary!B275&lt;&gt;"",Summary!B275,""),""),"")</f>
        <v/>
      </c>
      <c r="R279" t="str">
        <f t="shared" si="55"/>
        <v/>
      </c>
      <c r="S279">
        <f t="shared" si="56"/>
        <v>0</v>
      </c>
      <c r="U279" t="str">
        <f>IF($C$15&gt;=5,IF($C$13="Yes",IF(Summary!B275&lt;&gt;"",Summary!B275,""),""),"")</f>
        <v/>
      </c>
      <c r="V279" t="str">
        <f t="shared" si="57"/>
        <v/>
      </c>
      <c r="W279">
        <f t="shared" si="58"/>
        <v>0</v>
      </c>
      <c r="Y279" t="str">
        <f>IF($C$13="Yes",IF(Summary!B275&lt;&gt;"",Summary!B275,""),"")</f>
        <v/>
      </c>
      <c r="Z279" s="439" t="str">
        <f t="shared" si="59"/>
        <v/>
      </c>
      <c r="AA279" t="str">
        <f t="shared" si="48"/>
        <v/>
      </c>
    </row>
    <row r="280" spans="2:27">
      <c r="B280" t="str">
        <f>IF(Summary!B276&lt;&gt;"",Summary!B276,"")</f>
        <v/>
      </c>
      <c r="C280" t="str">
        <f>IF(Summary!C276&lt;&gt;"",Summary!C276,"")</f>
        <v/>
      </c>
      <c r="E280" t="str">
        <f>IF($C$15&gt;=1,IF($C$13="Yes",IF(Summary!B276&lt;&gt;"",Summary!B276,""),""),"")</f>
        <v/>
      </c>
      <c r="F280" t="str">
        <f t="shared" si="49"/>
        <v/>
      </c>
      <c r="G280">
        <f t="shared" si="50"/>
        <v>0</v>
      </c>
      <c r="I280" t="str">
        <f>IF($C$15&gt;=2,IF($C$13="Yes",IF(Summary!B276&lt;&gt;"",Summary!B276,""),""),"")</f>
        <v/>
      </c>
      <c r="J280" t="str">
        <f t="shared" si="51"/>
        <v/>
      </c>
      <c r="K280">
        <f t="shared" si="52"/>
        <v>0</v>
      </c>
      <c r="M280" t="str">
        <f>IF($C$15&gt;=3,IF($C$13="Yes",IF(Summary!B276&lt;&gt;"",Summary!B276,""),""),"")</f>
        <v/>
      </c>
      <c r="N280" t="str">
        <f t="shared" si="53"/>
        <v/>
      </c>
      <c r="O280">
        <f t="shared" si="54"/>
        <v>0</v>
      </c>
      <c r="Q280" t="str">
        <f>IF($C$15&gt;=4,IF($C$13="Yes",IF(Summary!B276&lt;&gt;"",Summary!B276,""),""),"")</f>
        <v/>
      </c>
      <c r="R280" t="str">
        <f t="shared" si="55"/>
        <v/>
      </c>
      <c r="S280">
        <f t="shared" si="56"/>
        <v>0</v>
      </c>
      <c r="U280" t="str">
        <f>IF($C$15&gt;=5,IF($C$13="Yes",IF(Summary!B276&lt;&gt;"",Summary!B276,""),""),"")</f>
        <v/>
      </c>
      <c r="V280" t="str">
        <f t="shared" si="57"/>
        <v/>
      </c>
      <c r="W280">
        <f t="shared" si="58"/>
        <v>0</v>
      </c>
      <c r="Y280" t="str">
        <f>IF($C$13="Yes",IF(Summary!B276&lt;&gt;"",Summary!B276,""),"")</f>
        <v/>
      </c>
      <c r="Z280" s="439" t="str">
        <f t="shared" si="59"/>
        <v/>
      </c>
      <c r="AA280" t="str">
        <f t="shared" si="48"/>
        <v/>
      </c>
    </row>
    <row r="281" spans="2:27">
      <c r="B281" t="str">
        <f>IF(Summary!B277&lt;&gt;"",Summary!B277,"")</f>
        <v/>
      </c>
      <c r="C281" t="str">
        <f>IF(Summary!C277&lt;&gt;"",Summary!C277,"")</f>
        <v/>
      </c>
      <c r="E281" t="str">
        <f>IF($C$15&gt;=1,IF($C$13="Yes",IF(Summary!B277&lt;&gt;"",Summary!B277,""),""),"")</f>
        <v/>
      </c>
      <c r="F281" t="str">
        <f t="shared" si="49"/>
        <v/>
      </c>
      <c r="G281">
        <f t="shared" si="50"/>
        <v>0</v>
      </c>
      <c r="I281" t="str">
        <f>IF($C$15&gt;=2,IF($C$13="Yes",IF(Summary!B277&lt;&gt;"",Summary!B277,""),""),"")</f>
        <v/>
      </c>
      <c r="J281" t="str">
        <f t="shared" si="51"/>
        <v/>
      </c>
      <c r="K281">
        <f t="shared" si="52"/>
        <v>0</v>
      </c>
      <c r="M281" t="str">
        <f>IF($C$15&gt;=3,IF($C$13="Yes",IF(Summary!B277&lt;&gt;"",Summary!B277,""),""),"")</f>
        <v/>
      </c>
      <c r="N281" t="str">
        <f t="shared" si="53"/>
        <v/>
      </c>
      <c r="O281">
        <f t="shared" si="54"/>
        <v>0</v>
      </c>
      <c r="Q281" t="str">
        <f>IF($C$15&gt;=4,IF($C$13="Yes",IF(Summary!B277&lt;&gt;"",Summary!B277,""),""),"")</f>
        <v/>
      </c>
      <c r="R281" t="str">
        <f t="shared" si="55"/>
        <v/>
      </c>
      <c r="S281">
        <f t="shared" si="56"/>
        <v>0</v>
      </c>
      <c r="U281" t="str">
        <f>IF($C$15&gt;=5,IF($C$13="Yes",IF(Summary!B277&lt;&gt;"",Summary!B277,""),""),"")</f>
        <v/>
      </c>
      <c r="V281" t="str">
        <f t="shared" si="57"/>
        <v/>
      </c>
      <c r="W281">
        <f t="shared" si="58"/>
        <v>0</v>
      </c>
      <c r="Y281" t="str">
        <f>IF($C$13="Yes",IF(Summary!B277&lt;&gt;"",Summary!B277,""),"")</f>
        <v/>
      </c>
      <c r="Z281" s="439" t="str">
        <f t="shared" si="59"/>
        <v/>
      </c>
      <c r="AA281" t="str">
        <f t="shared" si="48"/>
        <v/>
      </c>
    </row>
    <row r="282" spans="2:27">
      <c r="B282" t="str">
        <f>IF(Summary!B278&lt;&gt;"",Summary!B278,"")</f>
        <v/>
      </c>
      <c r="C282" t="str">
        <f>IF(Summary!C278&lt;&gt;"",Summary!C278,"")</f>
        <v/>
      </c>
      <c r="E282" t="str">
        <f>IF($C$15&gt;=1,IF($C$13="Yes",IF(Summary!B278&lt;&gt;"",Summary!B278,""),""),"")</f>
        <v/>
      </c>
      <c r="F282" t="str">
        <f t="shared" si="49"/>
        <v/>
      </c>
      <c r="G282">
        <f t="shared" si="50"/>
        <v>0</v>
      </c>
      <c r="I282" t="str">
        <f>IF($C$15&gt;=2,IF($C$13="Yes",IF(Summary!B278&lt;&gt;"",Summary!B278,""),""),"")</f>
        <v/>
      </c>
      <c r="J282" t="str">
        <f t="shared" si="51"/>
        <v/>
      </c>
      <c r="K282">
        <f t="shared" si="52"/>
        <v>0</v>
      </c>
      <c r="M282" t="str">
        <f>IF($C$15&gt;=3,IF($C$13="Yes",IF(Summary!B278&lt;&gt;"",Summary!B278,""),""),"")</f>
        <v/>
      </c>
      <c r="N282" t="str">
        <f t="shared" si="53"/>
        <v/>
      </c>
      <c r="O282">
        <f t="shared" si="54"/>
        <v>0</v>
      </c>
      <c r="Q282" t="str">
        <f>IF($C$15&gt;=4,IF($C$13="Yes",IF(Summary!B278&lt;&gt;"",Summary!B278,""),""),"")</f>
        <v/>
      </c>
      <c r="R282" t="str">
        <f t="shared" si="55"/>
        <v/>
      </c>
      <c r="S282">
        <f t="shared" si="56"/>
        <v>0</v>
      </c>
      <c r="U282" t="str">
        <f>IF($C$15&gt;=5,IF($C$13="Yes",IF(Summary!B278&lt;&gt;"",Summary!B278,""),""),"")</f>
        <v/>
      </c>
      <c r="V282" t="str">
        <f t="shared" si="57"/>
        <v/>
      </c>
      <c r="W282">
        <f t="shared" si="58"/>
        <v>0</v>
      </c>
      <c r="Y282" t="str">
        <f>IF($C$13="Yes",IF(Summary!B278&lt;&gt;"",Summary!B278,""),"")</f>
        <v/>
      </c>
      <c r="Z282" s="439" t="str">
        <f t="shared" si="59"/>
        <v/>
      </c>
      <c r="AA282" t="str">
        <f t="shared" si="48"/>
        <v/>
      </c>
    </row>
    <row r="283" spans="2:27">
      <c r="B283" t="str">
        <f>IF(Summary!B279&lt;&gt;"",Summary!B279,"")</f>
        <v/>
      </c>
      <c r="C283" t="str">
        <f>IF(Summary!C279&lt;&gt;"",Summary!C279,"")</f>
        <v/>
      </c>
      <c r="E283" t="str">
        <f>IF($C$15&gt;=1,IF($C$13="Yes",IF(Summary!B279&lt;&gt;"",Summary!B279,""),""),"")</f>
        <v/>
      </c>
      <c r="F283" t="str">
        <f t="shared" si="49"/>
        <v/>
      </c>
      <c r="G283">
        <f t="shared" si="50"/>
        <v>0</v>
      </c>
      <c r="I283" t="str">
        <f>IF($C$15&gt;=2,IF($C$13="Yes",IF(Summary!B279&lt;&gt;"",Summary!B279,""),""),"")</f>
        <v/>
      </c>
      <c r="J283" t="str">
        <f t="shared" si="51"/>
        <v/>
      </c>
      <c r="K283">
        <f t="shared" si="52"/>
        <v>0</v>
      </c>
      <c r="M283" t="str">
        <f>IF($C$15&gt;=3,IF($C$13="Yes",IF(Summary!B279&lt;&gt;"",Summary!B279,""),""),"")</f>
        <v/>
      </c>
      <c r="N283" t="str">
        <f t="shared" si="53"/>
        <v/>
      </c>
      <c r="O283">
        <f t="shared" si="54"/>
        <v>0</v>
      </c>
      <c r="Q283" t="str">
        <f>IF($C$15&gt;=4,IF($C$13="Yes",IF(Summary!B279&lt;&gt;"",Summary!B279,""),""),"")</f>
        <v/>
      </c>
      <c r="R283" t="str">
        <f t="shared" si="55"/>
        <v/>
      </c>
      <c r="S283">
        <f t="shared" si="56"/>
        <v>0</v>
      </c>
      <c r="U283" t="str">
        <f>IF($C$15&gt;=5,IF($C$13="Yes",IF(Summary!B279&lt;&gt;"",Summary!B279,""),""),"")</f>
        <v/>
      </c>
      <c r="V283" t="str">
        <f t="shared" si="57"/>
        <v/>
      </c>
      <c r="W283">
        <f t="shared" si="58"/>
        <v>0</v>
      </c>
      <c r="Y283" t="str">
        <f>IF($C$13="Yes",IF(Summary!B279&lt;&gt;"",Summary!B279,""),"")</f>
        <v/>
      </c>
      <c r="Z283" s="439" t="str">
        <f t="shared" si="59"/>
        <v/>
      </c>
      <c r="AA283" t="str">
        <f t="shared" si="48"/>
        <v/>
      </c>
    </row>
    <row r="284" spans="2:27">
      <c r="B284" t="str">
        <f>IF(Summary!B280&lt;&gt;"",Summary!B280,"")</f>
        <v/>
      </c>
      <c r="C284" t="str">
        <f>IF(Summary!C280&lt;&gt;"",Summary!C280,"")</f>
        <v/>
      </c>
      <c r="E284" t="str">
        <f>IF($C$15&gt;=1,IF($C$13="Yes",IF(Summary!B280&lt;&gt;"",Summary!B280,""),""),"")</f>
        <v/>
      </c>
      <c r="F284" t="str">
        <f t="shared" si="49"/>
        <v/>
      </c>
      <c r="G284">
        <f t="shared" si="50"/>
        <v>0</v>
      </c>
      <c r="I284" t="str">
        <f>IF($C$15&gt;=2,IF($C$13="Yes",IF(Summary!B280&lt;&gt;"",Summary!B280,""),""),"")</f>
        <v/>
      </c>
      <c r="J284" t="str">
        <f t="shared" si="51"/>
        <v/>
      </c>
      <c r="K284">
        <f t="shared" si="52"/>
        <v>0</v>
      </c>
      <c r="M284" t="str">
        <f>IF($C$15&gt;=3,IF($C$13="Yes",IF(Summary!B280&lt;&gt;"",Summary!B280,""),""),"")</f>
        <v/>
      </c>
      <c r="N284" t="str">
        <f t="shared" si="53"/>
        <v/>
      </c>
      <c r="O284">
        <f t="shared" si="54"/>
        <v>0</v>
      </c>
      <c r="Q284" t="str">
        <f>IF($C$15&gt;=4,IF($C$13="Yes",IF(Summary!B280&lt;&gt;"",Summary!B280,""),""),"")</f>
        <v/>
      </c>
      <c r="R284" t="str">
        <f t="shared" si="55"/>
        <v/>
      </c>
      <c r="S284">
        <f t="shared" si="56"/>
        <v>0</v>
      </c>
      <c r="U284" t="str">
        <f>IF($C$15&gt;=5,IF($C$13="Yes",IF(Summary!B280&lt;&gt;"",Summary!B280,""),""),"")</f>
        <v/>
      </c>
      <c r="V284" t="str">
        <f t="shared" si="57"/>
        <v/>
      </c>
      <c r="W284">
        <f t="shared" si="58"/>
        <v>0</v>
      </c>
      <c r="Y284" t="str">
        <f>IF($C$13="Yes",IF(Summary!B280&lt;&gt;"",Summary!B280,""),"")</f>
        <v/>
      </c>
      <c r="Z284" s="439" t="str">
        <f t="shared" si="59"/>
        <v/>
      </c>
      <c r="AA284" t="str">
        <f t="shared" si="48"/>
        <v/>
      </c>
    </row>
    <row r="285" spans="2:27">
      <c r="B285" t="str">
        <f>IF(Summary!B281&lt;&gt;"",Summary!B281,"")</f>
        <v/>
      </c>
      <c r="C285" t="str">
        <f>IF(Summary!C281&lt;&gt;"",Summary!C281,"")</f>
        <v/>
      </c>
      <c r="E285" t="str">
        <f>IF($C$15&gt;=1,IF($C$13="Yes",IF(Summary!B281&lt;&gt;"",Summary!B281,""),""),"")</f>
        <v/>
      </c>
      <c r="F285" t="str">
        <f t="shared" si="49"/>
        <v/>
      </c>
      <c r="G285">
        <f t="shared" si="50"/>
        <v>0</v>
      </c>
      <c r="I285" t="str">
        <f>IF($C$15&gt;=2,IF($C$13="Yes",IF(Summary!B281&lt;&gt;"",Summary!B281,""),""),"")</f>
        <v/>
      </c>
      <c r="J285" t="str">
        <f t="shared" si="51"/>
        <v/>
      </c>
      <c r="K285">
        <f t="shared" si="52"/>
        <v>0</v>
      </c>
      <c r="M285" t="str">
        <f>IF($C$15&gt;=3,IF($C$13="Yes",IF(Summary!B281&lt;&gt;"",Summary!B281,""),""),"")</f>
        <v/>
      </c>
      <c r="N285" t="str">
        <f t="shared" si="53"/>
        <v/>
      </c>
      <c r="O285">
        <f t="shared" si="54"/>
        <v>0</v>
      </c>
      <c r="Q285" t="str">
        <f>IF($C$15&gt;=4,IF($C$13="Yes",IF(Summary!B281&lt;&gt;"",Summary!B281,""),""),"")</f>
        <v/>
      </c>
      <c r="R285" t="str">
        <f t="shared" si="55"/>
        <v/>
      </c>
      <c r="S285">
        <f t="shared" si="56"/>
        <v>0</v>
      </c>
      <c r="U285" t="str">
        <f>IF($C$15&gt;=5,IF($C$13="Yes",IF(Summary!B281&lt;&gt;"",Summary!B281,""),""),"")</f>
        <v/>
      </c>
      <c r="V285" t="str">
        <f t="shared" si="57"/>
        <v/>
      </c>
      <c r="W285">
        <f t="shared" si="58"/>
        <v>0</v>
      </c>
      <c r="Y285" t="str">
        <f>IF($C$13="Yes",IF(Summary!B281&lt;&gt;"",Summary!B281,""),"")</f>
        <v/>
      </c>
      <c r="Z285" s="439" t="str">
        <f t="shared" si="59"/>
        <v/>
      </c>
      <c r="AA285" t="str">
        <f t="shared" si="48"/>
        <v/>
      </c>
    </row>
    <row r="286" spans="2:27">
      <c r="B286" t="str">
        <f>IF(Summary!B282&lt;&gt;"",Summary!B282,"")</f>
        <v/>
      </c>
      <c r="C286" t="str">
        <f>IF(Summary!C282&lt;&gt;"",Summary!C282,"")</f>
        <v/>
      </c>
      <c r="E286" t="str">
        <f>IF($C$15&gt;=1,IF($C$13="Yes",IF(Summary!B282&lt;&gt;"",Summary!B282,""),""),"")</f>
        <v/>
      </c>
      <c r="F286" t="str">
        <f t="shared" si="49"/>
        <v/>
      </c>
      <c r="G286">
        <f t="shared" si="50"/>
        <v>0</v>
      </c>
      <c r="I286" t="str">
        <f>IF($C$15&gt;=2,IF($C$13="Yes",IF(Summary!B282&lt;&gt;"",Summary!B282,""),""),"")</f>
        <v/>
      </c>
      <c r="J286" t="str">
        <f t="shared" si="51"/>
        <v/>
      </c>
      <c r="K286">
        <f t="shared" si="52"/>
        <v>0</v>
      </c>
      <c r="M286" t="str">
        <f>IF($C$15&gt;=3,IF($C$13="Yes",IF(Summary!B282&lt;&gt;"",Summary!B282,""),""),"")</f>
        <v/>
      </c>
      <c r="N286" t="str">
        <f t="shared" si="53"/>
        <v/>
      </c>
      <c r="O286">
        <f t="shared" si="54"/>
        <v>0</v>
      </c>
      <c r="Q286" t="str">
        <f>IF($C$15&gt;=4,IF($C$13="Yes",IF(Summary!B282&lt;&gt;"",Summary!B282,""),""),"")</f>
        <v/>
      </c>
      <c r="R286" t="str">
        <f t="shared" si="55"/>
        <v/>
      </c>
      <c r="S286">
        <f t="shared" si="56"/>
        <v>0</v>
      </c>
      <c r="U286" t="str">
        <f>IF($C$15&gt;=5,IF($C$13="Yes",IF(Summary!B282&lt;&gt;"",Summary!B282,""),""),"")</f>
        <v/>
      </c>
      <c r="V286" t="str">
        <f t="shared" si="57"/>
        <v/>
      </c>
      <c r="W286">
        <f t="shared" si="58"/>
        <v>0</v>
      </c>
      <c r="Y286" t="str">
        <f>IF($C$13="Yes",IF(Summary!B282&lt;&gt;"",Summary!B282,""),"")</f>
        <v/>
      </c>
      <c r="Z286" s="439" t="str">
        <f t="shared" si="59"/>
        <v/>
      </c>
      <c r="AA286" t="str">
        <f t="shared" si="48"/>
        <v/>
      </c>
    </row>
    <row r="287" spans="2:27">
      <c r="B287" t="str">
        <f>IF(Summary!B283&lt;&gt;"",Summary!B283,"")</f>
        <v/>
      </c>
      <c r="C287" t="str">
        <f>IF(Summary!C283&lt;&gt;"",Summary!C283,"")</f>
        <v/>
      </c>
      <c r="E287" t="str">
        <f>IF($C$15&gt;=1,IF($C$13="Yes",IF(Summary!B283&lt;&gt;"",Summary!B283,""),""),"")</f>
        <v/>
      </c>
      <c r="F287" t="str">
        <f t="shared" si="49"/>
        <v/>
      </c>
      <c r="G287">
        <f t="shared" si="50"/>
        <v>0</v>
      </c>
      <c r="I287" t="str">
        <f>IF($C$15&gt;=2,IF($C$13="Yes",IF(Summary!B283&lt;&gt;"",Summary!B283,""),""),"")</f>
        <v/>
      </c>
      <c r="J287" t="str">
        <f t="shared" si="51"/>
        <v/>
      </c>
      <c r="K287">
        <f t="shared" si="52"/>
        <v>0</v>
      </c>
      <c r="M287" t="str">
        <f>IF($C$15&gt;=3,IF($C$13="Yes",IF(Summary!B283&lt;&gt;"",Summary!B283,""),""),"")</f>
        <v/>
      </c>
      <c r="N287" t="str">
        <f t="shared" si="53"/>
        <v/>
      </c>
      <c r="O287">
        <f t="shared" si="54"/>
        <v>0</v>
      </c>
      <c r="Q287" t="str">
        <f>IF($C$15&gt;=4,IF($C$13="Yes",IF(Summary!B283&lt;&gt;"",Summary!B283,""),""),"")</f>
        <v/>
      </c>
      <c r="R287" t="str">
        <f t="shared" si="55"/>
        <v/>
      </c>
      <c r="S287">
        <f t="shared" si="56"/>
        <v>0</v>
      </c>
      <c r="U287" t="str">
        <f>IF($C$15&gt;=5,IF($C$13="Yes",IF(Summary!B283&lt;&gt;"",Summary!B283,""),""),"")</f>
        <v/>
      </c>
      <c r="V287" t="str">
        <f t="shared" si="57"/>
        <v/>
      </c>
      <c r="W287">
        <f t="shared" si="58"/>
        <v>0</v>
      </c>
      <c r="Y287" t="str">
        <f>IF($C$13="Yes",IF(Summary!B283&lt;&gt;"",Summary!B283,""),"")</f>
        <v/>
      </c>
      <c r="Z287" s="439" t="str">
        <f t="shared" si="59"/>
        <v/>
      </c>
      <c r="AA287" t="str">
        <f t="shared" si="48"/>
        <v/>
      </c>
    </row>
    <row r="288" spans="2:27">
      <c r="B288" t="str">
        <f>IF(Summary!B284&lt;&gt;"",Summary!B284,"")</f>
        <v/>
      </c>
      <c r="C288" t="str">
        <f>IF(Summary!C284&lt;&gt;"",Summary!C284,"")</f>
        <v/>
      </c>
      <c r="E288" t="str">
        <f>IF($C$15&gt;=1,IF($C$13="Yes",IF(Summary!B284&lt;&gt;"",Summary!B284,""),""),"")</f>
        <v/>
      </c>
      <c r="F288" t="str">
        <f t="shared" si="49"/>
        <v/>
      </c>
      <c r="G288">
        <f t="shared" si="50"/>
        <v>0</v>
      </c>
      <c r="I288" t="str">
        <f>IF($C$15&gt;=2,IF($C$13="Yes",IF(Summary!B284&lt;&gt;"",Summary!B284,""),""),"")</f>
        <v/>
      </c>
      <c r="J288" t="str">
        <f t="shared" si="51"/>
        <v/>
      </c>
      <c r="K288">
        <f t="shared" si="52"/>
        <v>0</v>
      </c>
      <c r="M288" t="str">
        <f>IF($C$15&gt;=3,IF($C$13="Yes",IF(Summary!B284&lt;&gt;"",Summary!B284,""),""),"")</f>
        <v/>
      </c>
      <c r="N288" t="str">
        <f t="shared" si="53"/>
        <v/>
      </c>
      <c r="O288">
        <f t="shared" si="54"/>
        <v>0</v>
      </c>
      <c r="Q288" t="str">
        <f>IF($C$15&gt;=4,IF($C$13="Yes",IF(Summary!B284&lt;&gt;"",Summary!B284,""),""),"")</f>
        <v/>
      </c>
      <c r="R288" t="str">
        <f t="shared" si="55"/>
        <v/>
      </c>
      <c r="S288">
        <f t="shared" si="56"/>
        <v>0</v>
      </c>
      <c r="U288" t="str">
        <f>IF($C$15&gt;=5,IF($C$13="Yes",IF(Summary!B284&lt;&gt;"",Summary!B284,""),""),"")</f>
        <v/>
      </c>
      <c r="V288" t="str">
        <f t="shared" si="57"/>
        <v/>
      </c>
      <c r="W288">
        <f t="shared" si="58"/>
        <v>0</v>
      </c>
      <c r="Y288" t="str">
        <f>IF($C$13="Yes",IF(Summary!B284&lt;&gt;"",Summary!B284,""),"")</f>
        <v/>
      </c>
      <c r="Z288" s="439" t="str">
        <f t="shared" si="59"/>
        <v/>
      </c>
      <c r="AA288" t="str">
        <f t="shared" si="48"/>
        <v/>
      </c>
    </row>
    <row r="289" spans="2:27">
      <c r="B289" t="str">
        <f>IF(Summary!B285&lt;&gt;"",Summary!B285,"")</f>
        <v/>
      </c>
      <c r="C289" t="str">
        <f>IF(Summary!C285&lt;&gt;"",Summary!C285,"")</f>
        <v/>
      </c>
      <c r="E289" t="str">
        <f>IF($C$15&gt;=1,IF($C$13="Yes",IF(Summary!B285&lt;&gt;"",Summary!B285,""),""),"")</f>
        <v/>
      </c>
      <c r="F289" t="str">
        <f t="shared" si="49"/>
        <v/>
      </c>
      <c r="G289">
        <f t="shared" si="50"/>
        <v>0</v>
      </c>
      <c r="I289" t="str">
        <f>IF($C$15&gt;=2,IF($C$13="Yes",IF(Summary!B285&lt;&gt;"",Summary!B285,""),""),"")</f>
        <v/>
      </c>
      <c r="J289" t="str">
        <f t="shared" si="51"/>
        <v/>
      </c>
      <c r="K289">
        <f t="shared" si="52"/>
        <v>0</v>
      </c>
      <c r="M289" t="str">
        <f>IF($C$15&gt;=3,IF($C$13="Yes",IF(Summary!B285&lt;&gt;"",Summary!B285,""),""),"")</f>
        <v/>
      </c>
      <c r="N289" t="str">
        <f t="shared" si="53"/>
        <v/>
      </c>
      <c r="O289">
        <f t="shared" si="54"/>
        <v>0</v>
      </c>
      <c r="Q289" t="str">
        <f>IF($C$15&gt;=4,IF($C$13="Yes",IF(Summary!B285&lt;&gt;"",Summary!B285,""),""),"")</f>
        <v/>
      </c>
      <c r="R289" t="str">
        <f t="shared" si="55"/>
        <v/>
      </c>
      <c r="S289">
        <f t="shared" si="56"/>
        <v>0</v>
      </c>
      <c r="U289" t="str">
        <f>IF($C$15&gt;=5,IF($C$13="Yes",IF(Summary!B285&lt;&gt;"",Summary!B285,""),""),"")</f>
        <v/>
      </c>
      <c r="V289" t="str">
        <f t="shared" si="57"/>
        <v/>
      </c>
      <c r="W289">
        <f t="shared" si="58"/>
        <v>0</v>
      </c>
      <c r="Y289" t="str">
        <f>IF($C$13="Yes",IF(Summary!B285&lt;&gt;"",Summary!B285,""),"")</f>
        <v/>
      </c>
      <c r="Z289" s="439" t="str">
        <f t="shared" si="59"/>
        <v/>
      </c>
      <c r="AA289" t="str">
        <f t="shared" si="48"/>
        <v/>
      </c>
    </row>
    <row r="290" spans="2:27">
      <c r="B290" t="str">
        <f>IF(Summary!B286&lt;&gt;"",Summary!B286,"")</f>
        <v/>
      </c>
      <c r="C290" t="str">
        <f>IF(Summary!C286&lt;&gt;"",Summary!C286,"")</f>
        <v/>
      </c>
      <c r="E290" t="str">
        <f>IF($C$15&gt;=1,IF($C$13="Yes",IF(Summary!B286&lt;&gt;"",Summary!B286,""),""),"")</f>
        <v/>
      </c>
      <c r="F290" t="str">
        <f t="shared" si="49"/>
        <v/>
      </c>
      <c r="G290">
        <f t="shared" si="50"/>
        <v>0</v>
      </c>
      <c r="I290" t="str">
        <f>IF($C$15&gt;=2,IF($C$13="Yes",IF(Summary!B286&lt;&gt;"",Summary!B286,""),""),"")</f>
        <v/>
      </c>
      <c r="J290" t="str">
        <f t="shared" si="51"/>
        <v/>
      </c>
      <c r="K290">
        <f t="shared" si="52"/>
        <v>0</v>
      </c>
      <c r="M290" t="str">
        <f>IF($C$15&gt;=3,IF($C$13="Yes",IF(Summary!B286&lt;&gt;"",Summary!B286,""),""),"")</f>
        <v/>
      </c>
      <c r="N290" t="str">
        <f t="shared" si="53"/>
        <v/>
      </c>
      <c r="O290">
        <f t="shared" si="54"/>
        <v>0</v>
      </c>
      <c r="Q290" t="str">
        <f>IF($C$15&gt;=4,IF($C$13="Yes",IF(Summary!B286&lt;&gt;"",Summary!B286,""),""),"")</f>
        <v/>
      </c>
      <c r="R290" t="str">
        <f t="shared" si="55"/>
        <v/>
      </c>
      <c r="S290">
        <f t="shared" si="56"/>
        <v>0</v>
      </c>
      <c r="U290" t="str">
        <f>IF($C$15&gt;=5,IF($C$13="Yes",IF(Summary!B286&lt;&gt;"",Summary!B286,""),""),"")</f>
        <v/>
      </c>
      <c r="V290" t="str">
        <f t="shared" si="57"/>
        <v/>
      </c>
      <c r="W290">
        <f t="shared" si="58"/>
        <v>0</v>
      </c>
      <c r="Y290" t="str">
        <f>IF($C$13="Yes",IF(Summary!B286&lt;&gt;"",Summary!B286,""),"")</f>
        <v/>
      </c>
      <c r="Z290" s="439" t="str">
        <f t="shared" si="59"/>
        <v/>
      </c>
      <c r="AA290" t="str">
        <f t="shared" si="48"/>
        <v/>
      </c>
    </row>
    <row r="291" spans="2:27">
      <c r="B291" t="str">
        <f>IF(Summary!B287&lt;&gt;"",Summary!B287,"")</f>
        <v/>
      </c>
      <c r="C291" t="str">
        <f>IF(Summary!C287&lt;&gt;"",Summary!C287,"")</f>
        <v/>
      </c>
      <c r="E291" t="str">
        <f>IF($C$15&gt;=1,IF($C$13="Yes",IF(Summary!B287&lt;&gt;"",Summary!B287,""),""),"")</f>
        <v/>
      </c>
      <c r="F291" t="str">
        <f t="shared" si="49"/>
        <v/>
      </c>
      <c r="G291">
        <f t="shared" si="50"/>
        <v>0</v>
      </c>
      <c r="I291" t="str">
        <f>IF($C$15&gt;=2,IF($C$13="Yes",IF(Summary!B287&lt;&gt;"",Summary!B287,""),""),"")</f>
        <v/>
      </c>
      <c r="J291" t="str">
        <f t="shared" si="51"/>
        <v/>
      </c>
      <c r="K291">
        <f t="shared" si="52"/>
        <v>0</v>
      </c>
      <c r="M291" t="str">
        <f>IF($C$15&gt;=3,IF($C$13="Yes",IF(Summary!B287&lt;&gt;"",Summary!B287,""),""),"")</f>
        <v/>
      </c>
      <c r="N291" t="str">
        <f t="shared" si="53"/>
        <v/>
      </c>
      <c r="O291">
        <f t="shared" si="54"/>
        <v>0</v>
      </c>
      <c r="Q291" t="str">
        <f>IF($C$15&gt;=4,IF($C$13="Yes",IF(Summary!B287&lt;&gt;"",Summary!B287,""),""),"")</f>
        <v/>
      </c>
      <c r="R291" t="str">
        <f t="shared" si="55"/>
        <v/>
      </c>
      <c r="S291">
        <f t="shared" si="56"/>
        <v>0</v>
      </c>
      <c r="U291" t="str">
        <f>IF($C$15&gt;=5,IF($C$13="Yes",IF(Summary!B287&lt;&gt;"",Summary!B287,""),""),"")</f>
        <v/>
      </c>
      <c r="V291" t="str">
        <f t="shared" si="57"/>
        <v/>
      </c>
      <c r="W291">
        <f t="shared" si="58"/>
        <v>0</v>
      </c>
      <c r="Y291" t="str">
        <f>IF($C$13="Yes",IF(Summary!B287&lt;&gt;"",Summary!B287,""),"")</f>
        <v/>
      </c>
      <c r="Z291" s="439" t="str">
        <f t="shared" si="59"/>
        <v/>
      </c>
      <c r="AA291" t="str">
        <f t="shared" si="48"/>
        <v/>
      </c>
    </row>
    <row r="292" spans="2:27">
      <c r="B292" t="str">
        <f>IF(Summary!B288&lt;&gt;"",Summary!B288,"")</f>
        <v/>
      </c>
      <c r="C292" t="str">
        <f>IF(Summary!C288&lt;&gt;"",Summary!C288,"")</f>
        <v/>
      </c>
      <c r="E292" t="str">
        <f>IF($C$15&gt;=1,IF($C$13="Yes",IF(Summary!B288&lt;&gt;"",Summary!B288,""),""),"")</f>
        <v/>
      </c>
      <c r="F292" t="str">
        <f t="shared" si="49"/>
        <v/>
      </c>
      <c r="G292">
        <f t="shared" si="50"/>
        <v>0</v>
      </c>
      <c r="I292" t="str">
        <f>IF($C$15&gt;=2,IF($C$13="Yes",IF(Summary!B288&lt;&gt;"",Summary!B288,""),""),"")</f>
        <v/>
      </c>
      <c r="J292" t="str">
        <f t="shared" si="51"/>
        <v/>
      </c>
      <c r="K292">
        <f t="shared" si="52"/>
        <v>0</v>
      </c>
      <c r="M292" t="str">
        <f>IF($C$15&gt;=3,IF($C$13="Yes",IF(Summary!B288&lt;&gt;"",Summary!B288,""),""),"")</f>
        <v/>
      </c>
      <c r="N292" t="str">
        <f t="shared" si="53"/>
        <v/>
      </c>
      <c r="O292">
        <f t="shared" si="54"/>
        <v>0</v>
      </c>
      <c r="Q292" t="str">
        <f>IF($C$15&gt;=4,IF($C$13="Yes",IF(Summary!B288&lt;&gt;"",Summary!B288,""),""),"")</f>
        <v/>
      </c>
      <c r="R292" t="str">
        <f t="shared" si="55"/>
        <v/>
      </c>
      <c r="S292">
        <f t="shared" si="56"/>
        <v>0</v>
      </c>
      <c r="U292" t="str">
        <f>IF($C$15&gt;=5,IF($C$13="Yes",IF(Summary!B288&lt;&gt;"",Summary!B288,""),""),"")</f>
        <v/>
      </c>
      <c r="V292" t="str">
        <f t="shared" si="57"/>
        <v/>
      </c>
      <c r="W292">
        <f t="shared" si="58"/>
        <v>0</v>
      </c>
      <c r="Y292" t="str">
        <f>IF($C$13="Yes",IF(Summary!B288&lt;&gt;"",Summary!B288,""),"")</f>
        <v/>
      </c>
      <c r="Z292" s="439" t="str">
        <f t="shared" si="59"/>
        <v/>
      </c>
      <c r="AA292" t="str">
        <f t="shared" si="48"/>
        <v/>
      </c>
    </row>
    <row r="293" spans="2:27">
      <c r="B293" t="str">
        <f>IF(Summary!B289&lt;&gt;"",Summary!B289,"")</f>
        <v/>
      </c>
      <c r="C293" t="str">
        <f>IF(Summary!C289&lt;&gt;"",Summary!C289,"")</f>
        <v/>
      </c>
      <c r="E293" t="str">
        <f>IF($C$15&gt;=1,IF($C$13="Yes",IF(Summary!B289&lt;&gt;"",Summary!B289,""),""),"")</f>
        <v/>
      </c>
      <c r="F293" t="str">
        <f t="shared" si="49"/>
        <v/>
      </c>
      <c r="G293">
        <f t="shared" si="50"/>
        <v>0</v>
      </c>
      <c r="I293" t="str">
        <f>IF($C$15&gt;=2,IF($C$13="Yes",IF(Summary!B289&lt;&gt;"",Summary!B289,""),""),"")</f>
        <v/>
      </c>
      <c r="J293" t="str">
        <f t="shared" si="51"/>
        <v/>
      </c>
      <c r="K293">
        <f t="shared" si="52"/>
        <v>0</v>
      </c>
      <c r="M293" t="str">
        <f>IF($C$15&gt;=3,IF($C$13="Yes",IF(Summary!B289&lt;&gt;"",Summary!B289,""),""),"")</f>
        <v/>
      </c>
      <c r="N293" t="str">
        <f t="shared" si="53"/>
        <v/>
      </c>
      <c r="O293">
        <f t="shared" si="54"/>
        <v>0</v>
      </c>
      <c r="Q293" t="str">
        <f>IF($C$15&gt;=4,IF($C$13="Yes",IF(Summary!B289&lt;&gt;"",Summary!B289,""),""),"")</f>
        <v/>
      </c>
      <c r="R293" t="str">
        <f t="shared" si="55"/>
        <v/>
      </c>
      <c r="S293">
        <f t="shared" si="56"/>
        <v>0</v>
      </c>
      <c r="U293" t="str">
        <f>IF($C$15&gt;=5,IF($C$13="Yes",IF(Summary!B289&lt;&gt;"",Summary!B289,""),""),"")</f>
        <v/>
      </c>
      <c r="V293" t="str">
        <f t="shared" si="57"/>
        <v/>
      </c>
      <c r="W293">
        <f t="shared" si="58"/>
        <v>0</v>
      </c>
      <c r="Y293" t="str">
        <f>IF($C$13="Yes",IF(Summary!B289&lt;&gt;"",Summary!B289,""),"")</f>
        <v/>
      </c>
      <c r="Z293" s="439" t="str">
        <f t="shared" si="59"/>
        <v/>
      </c>
      <c r="AA293" t="str">
        <f t="shared" si="48"/>
        <v/>
      </c>
    </row>
    <row r="294" spans="2:27">
      <c r="B294" t="str">
        <f>IF(Summary!B290&lt;&gt;"",Summary!B290,"")</f>
        <v/>
      </c>
      <c r="C294" t="str">
        <f>IF(Summary!C290&lt;&gt;"",Summary!C290,"")</f>
        <v/>
      </c>
      <c r="E294" t="str">
        <f>IF($C$15&gt;=1,IF($C$13="Yes",IF(Summary!B290&lt;&gt;"",Summary!B290,""),""),"")</f>
        <v/>
      </c>
      <c r="F294" t="str">
        <f t="shared" si="49"/>
        <v/>
      </c>
      <c r="G294">
        <f t="shared" si="50"/>
        <v>0</v>
      </c>
      <c r="I294" t="str">
        <f>IF($C$15&gt;=2,IF($C$13="Yes",IF(Summary!B290&lt;&gt;"",Summary!B290,""),""),"")</f>
        <v/>
      </c>
      <c r="J294" t="str">
        <f t="shared" si="51"/>
        <v/>
      </c>
      <c r="K294">
        <f t="shared" si="52"/>
        <v>0</v>
      </c>
      <c r="M294" t="str">
        <f>IF($C$15&gt;=3,IF($C$13="Yes",IF(Summary!B290&lt;&gt;"",Summary!B290,""),""),"")</f>
        <v/>
      </c>
      <c r="N294" t="str">
        <f t="shared" si="53"/>
        <v/>
      </c>
      <c r="O294">
        <f t="shared" si="54"/>
        <v>0</v>
      </c>
      <c r="Q294" t="str">
        <f>IF($C$15&gt;=4,IF($C$13="Yes",IF(Summary!B290&lt;&gt;"",Summary!B290,""),""),"")</f>
        <v/>
      </c>
      <c r="R294" t="str">
        <f t="shared" si="55"/>
        <v/>
      </c>
      <c r="S294">
        <f t="shared" si="56"/>
        <v>0</v>
      </c>
      <c r="U294" t="str">
        <f>IF($C$15&gt;=5,IF($C$13="Yes",IF(Summary!B290&lt;&gt;"",Summary!B290,""),""),"")</f>
        <v/>
      </c>
      <c r="V294" t="str">
        <f t="shared" si="57"/>
        <v/>
      </c>
      <c r="W294">
        <f t="shared" si="58"/>
        <v>0</v>
      </c>
      <c r="Y294" t="str">
        <f>IF($C$13="Yes",IF(Summary!B290&lt;&gt;"",Summary!B290,""),"")</f>
        <v/>
      </c>
      <c r="Z294" s="439" t="str">
        <f t="shared" si="59"/>
        <v/>
      </c>
      <c r="AA294" t="str">
        <f t="shared" si="48"/>
        <v/>
      </c>
    </row>
    <row r="295" spans="2:27">
      <c r="B295" t="str">
        <f>IF(Summary!B291&lt;&gt;"",Summary!B291,"")</f>
        <v/>
      </c>
      <c r="C295" t="str">
        <f>IF(Summary!C291&lt;&gt;"",Summary!C291,"")</f>
        <v/>
      </c>
      <c r="E295" t="str">
        <f>IF($C$15&gt;=1,IF($C$13="Yes",IF(Summary!B291&lt;&gt;"",Summary!B291,""),""),"")</f>
        <v/>
      </c>
      <c r="F295" t="str">
        <f t="shared" si="49"/>
        <v/>
      </c>
      <c r="G295">
        <f t="shared" si="50"/>
        <v>0</v>
      </c>
      <c r="I295" t="str">
        <f>IF($C$15&gt;=2,IF($C$13="Yes",IF(Summary!B291&lt;&gt;"",Summary!B291,""),""),"")</f>
        <v/>
      </c>
      <c r="J295" t="str">
        <f t="shared" si="51"/>
        <v/>
      </c>
      <c r="K295">
        <f t="shared" si="52"/>
        <v>0</v>
      </c>
      <c r="M295" t="str">
        <f>IF($C$15&gt;=3,IF($C$13="Yes",IF(Summary!B291&lt;&gt;"",Summary!B291,""),""),"")</f>
        <v/>
      </c>
      <c r="N295" t="str">
        <f t="shared" si="53"/>
        <v/>
      </c>
      <c r="O295">
        <f t="shared" si="54"/>
        <v>0</v>
      </c>
      <c r="Q295" t="str">
        <f>IF($C$15&gt;=4,IF($C$13="Yes",IF(Summary!B291&lt;&gt;"",Summary!B291,""),""),"")</f>
        <v/>
      </c>
      <c r="R295" t="str">
        <f t="shared" si="55"/>
        <v/>
      </c>
      <c r="S295">
        <f t="shared" si="56"/>
        <v>0</v>
      </c>
      <c r="U295" t="str">
        <f>IF($C$15&gt;=5,IF($C$13="Yes",IF(Summary!B291&lt;&gt;"",Summary!B291,""),""),"")</f>
        <v/>
      </c>
      <c r="V295" t="str">
        <f t="shared" si="57"/>
        <v/>
      </c>
      <c r="W295">
        <f t="shared" si="58"/>
        <v>0</v>
      </c>
      <c r="Y295" t="str">
        <f>IF($C$13="Yes",IF(Summary!B291&lt;&gt;"",Summary!B291,""),"")</f>
        <v/>
      </c>
      <c r="Z295" s="439" t="str">
        <f t="shared" si="59"/>
        <v/>
      </c>
      <c r="AA295" t="str">
        <f t="shared" si="48"/>
        <v/>
      </c>
    </row>
    <row r="296" spans="2:27">
      <c r="B296" t="str">
        <f>IF(Summary!B292&lt;&gt;"",Summary!B292,"")</f>
        <v/>
      </c>
      <c r="C296" t="str">
        <f>IF(Summary!C292&lt;&gt;"",Summary!C292,"")</f>
        <v/>
      </c>
      <c r="E296" t="str">
        <f>IF($C$15&gt;=1,IF($C$13="Yes",IF(Summary!B292&lt;&gt;"",Summary!B292,""),""),"")</f>
        <v/>
      </c>
      <c r="F296" t="str">
        <f t="shared" si="49"/>
        <v/>
      </c>
      <c r="G296">
        <f t="shared" si="50"/>
        <v>0</v>
      </c>
      <c r="I296" t="str">
        <f>IF($C$15&gt;=2,IF($C$13="Yes",IF(Summary!B292&lt;&gt;"",Summary!B292,""),""),"")</f>
        <v/>
      </c>
      <c r="J296" t="str">
        <f t="shared" si="51"/>
        <v/>
      </c>
      <c r="K296">
        <f t="shared" si="52"/>
        <v>0</v>
      </c>
      <c r="M296" t="str">
        <f>IF($C$15&gt;=3,IF($C$13="Yes",IF(Summary!B292&lt;&gt;"",Summary!B292,""),""),"")</f>
        <v/>
      </c>
      <c r="N296" t="str">
        <f t="shared" si="53"/>
        <v/>
      </c>
      <c r="O296">
        <f t="shared" si="54"/>
        <v>0</v>
      </c>
      <c r="Q296" t="str">
        <f>IF($C$15&gt;=4,IF($C$13="Yes",IF(Summary!B292&lt;&gt;"",Summary!B292,""),""),"")</f>
        <v/>
      </c>
      <c r="R296" t="str">
        <f t="shared" si="55"/>
        <v/>
      </c>
      <c r="S296">
        <f t="shared" si="56"/>
        <v>0</v>
      </c>
      <c r="U296" t="str">
        <f>IF($C$15&gt;=5,IF($C$13="Yes",IF(Summary!B292&lt;&gt;"",Summary!B292,""),""),"")</f>
        <v/>
      </c>
      <c r="V296" t="str">
        <f t="shared" si="57"/>
        <v/>
      </c>
      <c r="W296">
        <f t="shared" si="58"/>
        <v>0</v>
      </c>
      <c r="Y296" t="str">
        <f>IF($C$13="Yes",IF(Summary!B292&lt;&gt;"",Summary!B292,""),"")</f>
        <v/>
      </c>
      <c r="Z296" s="439" t="str">
        <f t="shared" si="59"/>
        <v/>
      </c>
      <c r="AA296" t="str">
        <f t="shared" si="48"/>
        <v/>
      </c>
    </row>
    <row r="297" spans="2:27">
      <c r="B297" t="str">
        <f>IF(Summary!B293&lt;&gt;"",Summary!B293,"")</f>
        <v/>
      </c>
      <c r="C297" t="str">
        <f>IF(Summary!C293&lt;&gt;"",Summary!C293,"")</f>
        <v/>
      </c>
      <c r="E297" t="str">
        <f>IF($C$15&gt;=1,IF($C$13="Yes",IF(Summary!B293&lt;&gt;"",Summary!B293,""),""),"")</f>
        <v/>
      </c>
      <c r="F297" t="str">
        <f t="shared" si="49"/>
        <v/>
      </c>
      <c r="G297">
        <f t="shared" si="50"/>
        <v>0</v>
      </c>
      <c r="I297" t="str">
        <f>IF($C$15&gt;=2,IF($C$13="Yes",IF(Summary!B293&lt;&gt;"",Summary!B293,""),""),"")</f>
        <v/>
      </c>
      <c r="J297" t="str">
        <f t="shared" si="51"/>
        <v/>
      </c>
      <c r="K297">
        <f t="shared" si="52"/>
        <v>0</v>
      </c>
      <c r="M297" t="str">
        <f>IF($C$15&gt;=3,IF($C$13="Yes",IF(Summary!B293&lt;&gt;"",Summary!B293,""),""),"")</f>
        <v/>
      </c>
      <c r="N297" t="str">
        <f t="shared" si="53"/>
        <v/>
      </c>
      <c r="O297">
        <f t="shared" si="54"/>
        <v>0</v>
      </c>
      <c r="Q297" t="str">
        <f>IF($C$15&gt;=4,IF($C$13="Yes",IF(Summary!B293&lt;&gt;"",Summary!B293,""),""),"")</f>
        <v/>
      </c>
      <c r="R297" t="str">
        <f t="shared" si="55"/>
        <v/>
      </c>
      <c r="S297">
        <f t="shared" si="56"/>
        <v>0</v>
      </c>
      <c r="U297" t="str">
        <f>IF($C$15&gt;=5,IF($C$13="Yes",IF(Summary!B293&lt;&gt;"",Summary!B293,""),""),"")</f>
        <v/>
      </c>
      <c r="V297" t="str">
        <f t="shared" si="57"/>
        <v/>
      </c>
      <c r="W297">
        <f t="shared" si="58"/>
        <v>0</v>
      </c>
      <c r="Y297" t="str">
        <f>IF($C$13="Yes",IF(Summary!B293&lt;&gt;"",Summary!B293,""),"")</f>
        <v/>
      </c>
      <c r="Z297" s="439" t="str">
        <f t="shared" si="59"/>
        <v/>
      </c>
      <c r="AA297" t="str">
        <f t="shared" si="48"/>
        <v/>
      </c>
    </row>
    <row r="298" spans="2:27">
      <c r="B298" t="str">
        <f>IF(Summary!B294&lt;&gt;"",Summary!B294,"")</f>
        <v/>
      </c>
      <c r="C298" t="str">
        <f>IF(Summary!C294&lt;&gt;"",Summary!C294,"")</f>
        <v/>
      </c>
      <c r="E298" t="str">
        <f>IF($C$15&gt;=1,IF($C$13="Yes",IF(Summary!B294&lt;&gt;"",Summary!B294,""),""),"")</f>
        <v/>
      </c>
      <c r="F298" t="str">
        <f t="shared" si="49"/>
        <v/>
      </c>
      <c r="G298">
        <f t="shared" si="50"/>
        <v>0</v>
      </c>
      <c r="I298" t="str">
        <f>IF($C$15&gt;=2,IF($C$13="Yes",IF(Summary!B294&lt;&gt;"",Summary!B294,""),""),"")</f>
        <v/>
      </c>
      <c r="J298" t="str">
        <f t="shared" si="51"/>
        <v/>
      </c>
      <c r="K298">
        <f t="shared" si="52"/>
        <v>0</v>
      </c>
      <c r="M298" t="str">
        <f>IF($C$15&gt;=3,IF($C$13="Yes",IF(Summary!B294&lt;&gt;"",Summary!B294,""),""),"")</f>
        <v/>
      </c>
      <c r="N298" t="str">
        <f t="shared" si="53"/>
        <v/>
      </c>
      <c r="O298">
        <f t="shared" si="54"/>
        <v>0</v>
      </c>
      <c r="Q298" t="str">
        <f>IF($C$15&gt;=4,IF($C$13="Yes",IF(Summary!B294&lt;&gt;"",Summary!B294,""),""),"")</f>
        <v/>
      </c>
      <c r="R298" t="str">
        <f t="shared" si="55"/>
        <v/>
      </c>
      <c r="S298">
        <f t="shared" si="56"/>
        <v>0</v>
      </c>
      <c r="U298" t="str">
        <f>IF($C$15&gt;=5,IF($C$13="Yes",IF(Summary!B294&lt;&gt;"",Summary!B294,""),""),"")</f>
        <v/>
      </c>
      <c r="V298" t="str">
        <f t="shared" si="57"/>
        <v/>
      </c>
      <c r="W298">
        <f t="shared" si="58"/>
        <v>0</v>
      </c>
      <c r="Y298" t="str">
        <f>IF($C$13="Yes",IF(Summary!B294&lt;&gt;"",Summary!B294,""),"")</f>
        <v/>
      </c>
      <c r="Z298" s="439" t="str">
        <f t="shared" si="59"/>
        <v/>
      </c>
      <c r="AA298" t="str">
        <f t="shared" si="48"/>
        <v/>
      </c>
    </row>
    <row r="299" spans="2:27">
      <c r="B299" t="str">
        <f>IF(Summary!B295&lt;&gt;"",Summary!B295,"")</f>
        <v/>
      </c>
      <c r="C299" t="str">
        <f>IF(Summary!C295&lt;&gt;"",Summary!C295,"")</f>
        <v/>
      </c>
      <c r="E299" t="str">
        <f>IF($C$15&gt;=1,IF($C$13="Yes",IF(Summary!B295&lt;&gt;"",Summary!B295,""),""),"")</f>
        <v/>
      </c>
      <c r="F299" t="str">
        <f t="shared" si="49"/>
        <v/>
      </c>
      <c r="G299">
        <f t="shared" si="50"/>
        <v>0</v>
      </c>
      <c r="I299" t="str">
        <f>IF($C$15&gt;=2,IF($C$13="Yes",IF(Summary!B295&lt;&gt;"",Summary!B295,""),""),"")</f>
        <v/>
      </c>
      <c r="J299" t="str">
        <f t="shared" si="51"/>
        <v/>
      </c>
      <c r="K299">
        <f t="shared" si="52"/>
        <v>0</v>
      </c>
      <c r="M299" t="str">
        <f>IF($C$15&gt;=3,IF($C$13="Yes",IF(Summary!B295&lt;&gt;"",Summary!B295,""),""),"")</f>
        <v/>
      </c>
      <c r="N299" t="str">
        <f t="shared" si="53"/>
        <v/>
      </c>
      <c r="O299">
        <f t="shared" si="54"/>
        <v>0</v>
      </c>
      <c r="Q299" t="str">
        <f>IF($C$15&gt;=4,IF($C$13="Yes",IF(Summary!B295&lt;&gt;"",Summary!B295,""),""),"")</f>
        <v/>
      </c>
      <c r="R299" t="str">
        <f t="shared" si="55"/>
        <v/>
      </c>
      <c r="S299">
        <f t="shared" si="56"/>
        <v>0</v>
      </c>
      <c r="U299" t="str">
        <f>IF($C$15&gt;=5,IF($C$13="Yes",IF(Summary!B295&lt;&gt;"",Summary!B295,""),""),"")</f>
        <v/>
      </c>
      <c r="V299" t="str">
        <f t="shared" si="57"/>
        <v/>
      </c>
      <c r="W299">
        <f t="shared" si="58"/>
        <v>0</v>
      </c>
      <c r="Y299" t="str">
        <f>IF($C$13="Yes",IF(Summary!B295&lt;&gt;"",Summary!B295,""),"")</f>
        <v/>
      </c>
      <c r="Z299" s="439" t="str">
        <f t="shared" si="59"/>
        <v/>
      </c>
      <c r="AA299" t="str">
        <f t="shared" si="48"/>
        <v/>
      </c>
    </row>
    <row r="300" spans="2:27">
      <c r="B300" t="str">
        <f>IF(Summary!B296&lt;&gt;"",Summary!B296,"")</f>
        <v/>
      </c>
      <c r="C300" t="str">
        <f>IF(Summary!C296&lt;&gt;"",Summary!C296,"")</f>
        <v/>
      </c>
      <c r="E300" t="str">
        <f>IF($C$15&gt;=1,IF($C$13="Yes",IF(Summary!B296&lt;&gt;"",Summary!B296,""),""),"")</f>
        <v/>
      </c>
      <c r="F300" t="str">
        <f t="shared" si="49"/>
        <v/>
      </c>
      <c r="G300">
        <f t="shared" si="50"/>
        <v>0</v>
      </c>
      <c r="I300" t="str">
        <f>IF($C$15&gt;=2,IF($C$13="Yes",IF(Summary!B296&lt;&gt;"",Summary!B296,""),""),"")</f>
        <v/>
      </c>
      <c r="J300" t="str">
        <f t="shared" si="51"/>
        <v/>
      </c>
      <c r="K300">
        <f t="shared" si="52"/>
        <v>0</v>
      </c>
      <c r="M300" t="str">
        <f>IF($C$15&gt;=3,IF($C$13="Yes",IF(Summary!B296&lt;&gt;"",Summary!B296,""),""),"")</f>
        <v/>
      </c>
      <c r="N300" t="str">
        <f t="shared" si="53"/>
        <v/>
      </c>
      <c r="O300">
        <f t="shared" si="54"/>
        <v>0</v>
      </c>
      <c r="Q300" t="str">
        <f>IF($C$15&gt;=4,IF($C$13="Yes",IF(Summary!B296&lt;&gt;"",Summary!B296,""),""),"")</f>
        <v/>
      </c>
      <c r="R300" t="str">
        <f t="shared" si="55"/>
        <v/>
      </c>
      <c r="S300">
        <f t="shared" si="56"/>
        <v>0</v>
      </c>
      <c r="U300" t="str">
        <f>IF($C$15&gt;=5,IF($C$13="Yes",IF(Summary!B296&lt;&gt;"",Summary!B296,""),""),"")</f>
        <v/>
      </c>
      <c r="V300" t="str">
        <f t="shared" si="57"/>
        <v/>
      </c>
      <c r="W300">
        <f t="shared" si="58"/>
        <v>0</v>
      </c>
      <c r="Y300" t="str">
        <f>IF($C$13="Yes",IF(Summary!B296&lt;&gt;"",Summary!B296,""),"")</f>
        <v/>
      </c>
      <c r="Z300" s="439" t="str">
        <f t="shared" si="59"/>
        <v/>
      </c>
      <c r="AA300" t="str">
        <f t="shared" si="48"/>
        <v/>
      </c>
    </row>
    <row r="301" spans="2:27">
      <c r="B301" t="str">
        <f>IF(Summary!B297&lt;&gt;"",Summary!B297,"")</f>
        <v/>
      </c>
      <c r="C301" t="str">
        <f>IF(Summary!C297&lt;&gt;"",Summary!C297,"")</f>
        <v/>
      </c>
      <c r="E301" t="str">
        <f>IF($C$15&gt;=1,IF($C$13="Yes",IF(Summary!B297&lt;&gt;"",Summary!B297,""),""),"")</f>
        <v/>
      </c>
      <c r="F301" t="str">
        <f t="shared" si="49"/>
        <v/>
      </c>
      <c r="G301">
        <f t="shared" si="50"/>
        <v>0</v>
      </c>
      <c r="I301" t="str">
        <f>IF($C$15&gt;=2,IF($C$13="Yes",IF(Summary!B297&lt;&gt;"",Summary!B297,""),""),"")</f>
        <v/>
      </c>
      <c r="J301" t="str">
        <f t="shared" si="51"/>
        <v/>
      </c>
      <c r="K301">
        <f t="shared" si="52"/>
        <v>0</v>
      </c>
      <c r="M301" t="str">
        <f>IF($C$15&gt;=3,IF($C$13="Yes",IF(Summary!B297&lt;&gt;"",Summary!B297,""),""),"")</f>
        <v/>
      </c>
      <c r="N301" t="str">
        <f t="shared" si="53"/>
        <v/>
      </c>
      <c r="O301">
        <f t="shared" si="54"/>
        <v>0</v>
      </c>
      <c r="Q301" t="str">
        <f>IF($C$15&gt;=4,IF($C$13="Yes",IF(Summary!B297&lt;&gt;"",Summary!B297,""),""),"")</f>
        <v/>
      </c>
      <c r="R301" t="str">
        <f t="shared" si="55"/>
        <v/>
      </c>
      <c r="S301">
        <f t="shared" si="56"/>
        <v>0</v>
      </c>
      <c r="U301" t="str">
        <f>IF($C$15&gt;=5,IF($C$13="Yes",IF(Summary!B297&lt;&gt;"",Summary!B297,""),""),"")</f>
        <v/>
      </c>
      <c r="V301" t="str">
        <f t="shared" si="57"/>
        <v/>
      </c>
      <c r="W301">
        <f t="shared" si="58"/>
        <v>0</v>
      </c>
      <c r="Y301" t="str">
        <f>IF($C$13="Yes",IF(Summary!B297&lt;&gt;"",Summary!B297,""),"")</f>
        <v/>
      </c>
      <c r="Z301" s="439" t="str">
        <f t="shared" si="59"/>
        <v/>
      </c>
      <c r="AA301" t="str">
        <f t="shared" si="48"/>
        <v/>
      </c>
    </row>
    <row r="302" spans="2:27">
      <c r="B302" t="str">
        <f>IF(Summary!B298&lt;&gt;"",Summary!B298,"")</f>
        <v/>
      </c>
      <c r="C302" t="str">
        <f>IF(Summary!C298&lt;&gt;"",Summary!C298,"")</f>
        <v/>
      </c>
      <c r="E302" t="str">
        <f>IF($C$15&gt;=1,IF($C$13="Yes",IF(Summary!B298&lt;&gt;"",Summary!B298,""),""),"")</f>
        <v/>
      </c>
      <c r="F302" t="str">
        <f t="shared" si="49"/>
        <v/>
      </c>
      <c r="G302">
        <f t="shared" si="50"/>
        <v>0</v>
      </c>
      <c r="I302" t="str">
        <f>IF($C$15&gt;=2,IF($C$13="Yes",IF(Summary!B298&lt;&gt;"",Summary!B298,""),""),"")</f>
        <v/>
      </c>
      <c r="J302" t="str">
        <f t="shared" si="51"/>
        <v/>
      </c>
      <c r="K302">
        <f t="shared" si="52"/>
        <v>0</v>
      </c>
      <c r="M302" t="str">
        <f>IF($C$15&gt;=3,IF($C$13="Yes",IF(Summary!B298&lt;&gt;"",Summary!B298,""),""),"")</f>
        <v/>
      </c>
      <c r="N302" t="str">
        <f t="shared" si="53"/>
        <v/>
      </c>
      <c r="O302">
        <f t="shared" si="54"/>
        <v>0</v>
      </c>
      <c r="Q302" t="str">
        <f>IF($C$15&gt;=4,IF($C$13="Yes",IF(Summary!B298&lt;&gt;"",Summary!B298,""),""),"")</f>
        <v/>
      </c>
      <c r="R302" t="str">
        <f t="shared" si="55"/>
        <v/>
      </c>
      <c r="S302">
        <f t="shared" si="56"/>
        <v>0</v>
      </c>
      <c r="U302" t="str">
        <f>IF($C$15&gt;=5,IF($C$13="Yes",IF(Summary!B298&lt;&gt;"",Summary!B298,""),""),"")</f>
        <v/>
      </c>
      <c r="V302" t="str">
        <f t="shared" si="57"/>
        <v/>
      </c>
      <c r="W302">
        <f t="shared" si="58"/>
        <v>0</v>
      </c>
      <c r="Y302" t="str">
        <f>IF($C$13="Yes",IF(Summary!B298&lt;&gt;"",Summary!B298,""),"")</f>
        <v/>
      </c>
      <c r="Z302" s="439" t="str">
        <f t="shared" si="59"/>
        <v/>
      </c>
      <c r="AA302" t="str">
        <f t="shared" si="48"/>
        <v/>
      </c>
    </row>
    <row r="303" spans="2:27">
      <c r="B303" t="str">
        <f>IF(Summary!B299&lt;&gt;"",Summary!B299,"")</f>
        <v/>
      </c>
      <c r="C303" t="str">
        <f>IF(Summary!C299&lt;&gt;"",Summary!C299,"")</f>
        <v/>
      </c>
      <c r="E303" t="str">
        <f>IF($C$15&gt;=1,IF($C$13="Yes",IF(Summary!B299&lt;&gt;"",Summary!B299,""),""),"")</f>
        <v/>
      </c>
      <c r="F303" t="str">
        <f t="shared" si="49"/>
        <v/>
      </c>
      <c r="G303">
        <f t="shared" si="50"/>
        <v>0</v>
      </c>
      <c r="I303" t="str">
        <f>IF($C$15&gt;=2,IF($C$13="Yes",IF(Summary!B299&lt;&gt;"",Summary!B299,""),""),"")</f>
        <v/>
      </c>
      <c r="J303" t="str">
        <f t="shared" si="51"/>
        <v/>
      </c>
      <c r="K303">
        <f t="shared" si="52"/>
        <v>0</v>
      </c>
      <c r="M303" t="str">
        <f>IF($C$15&gt;=3,IF($C$13="Yes",IF(Summary!B299&lt;&gt;"",Summary!B299,""),""),"")</f>
        <v/>
      </c>
      <c r="N303" t="str">
        <f t="shared" si="53"/>
        <v/>
      </c>
      <c r="O303">
        <f t="shared" si="54"/>
        <v>0</v>
      </c>
      <c r="Q303" t="str">
        <f>IF($C$15&gt;=4,IF($C$13="Yes",IF(Summary!B299&lt;&gt;"",Summary!B299,""),""),"")</f>
        <v/>
      </c>
      <c r="R303" t="str">
        <f t="shared" si="55"/>
        <v/>
      </c>
      <c r="S303">
        <f t="shared" si="56"/>
        <v>0</v>
      </c>
      <c r="U303" t="str">
        <f>IF($C$15&gt;=5,IF($C$13="Yes",IF(Summary!B299&lt;&gt;"",Summary!B299,""),""),"")</f>
        <v/>
      </c>
      <c r="V303" t="str">
        <f t="shared" si="57"/>
        <v/>
      </c>
      <c r="W303">
        <f t="shared" si="58"/>
        <v>0</v>
      </c>
      <c r="Y303" t="str">
        <f>IF($C$13="Yes",IF(Summary!B299&lt;&gt;"",Summary!B299,""),"")</f>
        <v/>
      </c>
      <c r="Z303" s="439" t="str">
        <f t="shared" si="59"/>
        <v/>
      </c>
      <c r="AA303" t="str">
        <f t="shared" si="48"/>
        <v/>
      </c>
    </row>
    <row r="304" spans="2:27">
      <c r="B304" t="str">
        <f>IF(Summary!B300&lt;&gt;"",Summary!B300,"")</f>
        <v/>
      </c>
      <c r="C304" t="str">
        <f>IF(Summary!C300&lt;&gt;"",Summary!C300,"")</f>
        <v/>
      </c>
      <c r="E304" t="str">
        <f>IF($C$15&gt;=1,IF($C$13="Yes",IF(Summary!B300&lt;&gt;"",Summary!B300,""),""),"")</f>
        <v/>
      </c>
      <c r="F304" t="str">
        <f t="shared" si="49"/>
        <v/>
      </c>
      <c r="G304">
        <f t="shared" si="50"/>
        <v>0</v>
      </c>
      <c r="I304" t="str">
        <f>IF($C$15&gt;=2,IF($C$13="Yes",IF(Summary!B300&lt;&gt;"",Summary!B300,""),""),"")</f>
        <v/>
      </c>
      <c r="J304" t="str">
        <f t="shared" si="51"/>
        <v/>
      </c>
      <c r="K304">
        <f t="shared" si="52"/>
        <v>0</v>
      </c>
      <c r="M304" t="str">
        <f>IF($C$15&gt;=3,IF($C$13="Yes",IF(Summary!B300&lt;&gt;"",Summary!B300,""),""),"")</f>
        <v/>
      </c>
      <c r="N304" t="str">
        <f t="shared" si="53"/>
        <v/>
      </c>
      <c r="O304">
        <f t="shared" si="54"/>
        <v>0</v>
      </c>
      <c r="Q304" t="str">
        <f>IF($C$15&gt;=4,IF($C$13="Yes",IF(Summary!B300&lt;&gt;"",Summary!B300,""),""),"")</f>
        <v/>
      </c>
      <c r="R304" t="str">
        <f t="shared" si="55"/>
        <v/>
      </c>
      <c r="S304">
        <f t="shared" si="56"/>
        <v>0</v>
      </c>
      <c r="U304" t="str">
        <f>IF($C$15&gt;=5,IF($C$13="Yes",IF(Summary!B300&lt;&gt;"",Summary!B300,""),""),"")</f>
        <v/>
      </c>
      <c r="V304" t="str">
        <f t="shared" si="57"/>
        <v/>
      </c>
      <c r="W304">
        <f t="shared" si="58"/>
        <v>0</v>
      </c>
      <c r="Y304" t="str">
        <f>IF($C$13="Yes",IF(Summary!B300&lt;&gt;"",Summary!B300,""),"")</f>
        <v/>
      </c>
      <c r="Z304" s="439" t="str">
        <f t="shared" si="59"/>
        <v/>
      </c>
      <c r="AA304" t="str">
        <f t="shared" si="48"/>
        <v/>
      </c>
    </row>
    <row r="305" spans="2:27">
      <c r="B305" t="str">
        <f>IF(Summary!B301&lt;&gt;"",Summary!B301,"")</f>
        <v/>
      </c>
      <c r="C305" t="str">
        <f>IF(Summary!C301&lt;&gt;"",Summary!C301,"")</f>
        <v/>
      </c>
      <c r="E305" t="str">
        <f>IF($C$15&gt;=1,IF($C$13="Yes",IF(Summary!B301&lt;&gt;"",Summary!B301,""),""),"")</f>
        <v/>
      </c>
      <c r="F305" t="str">
        <f t="shared" si="49"/>
        <v/>
      </c>
      <c r="G305">
        <f t="shared" si="50"/>
        <v>0</v>
      </c>
      <c r="I305" t="str">
        <f>IF($C$15&gt;=2,IF($C$13="Yes",IF(Summary!B301&lt;&gt;"",Summary!B301,""),""),"")</f>
        <v/>
      </c>
      <c r="J305" t="str">
        <f t="shared" si="51"/>
        <v/>
      </c>
      <c r="K305">
        <f t="shared" si="52"/>
        <v>0</v>
      </c>
      <c r="M305" t="str">
        <f>IF($C$15&gt;=3,IF($C$13="Yes",IF(Summary!B301&lt;&gt;"",Summary!B301,""),""),"")</f>
        <v/>
      </c>
      <c r="N305" t="str">
        <f t="shared" si="53"/>
        <v/>
      </c>
      <c r="O305">
        <f t="shared" si="54"/>
        <v>0</v>
      </c>
      <c r="Q305" t="str">
        <f>IF($C$15&gt;=4,IF($C$13="Yes",IF(Summary!B301&lt;&gt;"",Summary!B301,""),""),"")</f>
        <v/>
      </c>
      <c r="R305" t="str">
        <f t="shared" si="55"/>
        <v/>
      </c>
      <c r="S305">
        <f t="shared" si="56"/>
        <v>0</v>
      </c>
      <c r="U305" t="str">
        <f>IF($C$15&gt;=5,IF($C$13="Yes",IF(Summary!B301&lt;&gt;"",Summary!B301,""),""),"")</f>
        <v/>
      </c>
      <c r="V305" t="str">
        <f t="shared" si="57"/>
        <v/>
      </c>
      <c r="W305">
        <f t="shared" si="58"/>
        <v>0</v>
      </c>
      <c r="Y305" t="str">
        <f>IF($C$13="Yes",IF(Summary!B301&lt;&gt;"",Summary!B301,""),"")</f>
        <v/>
      </c>
      <c r="Z305" s="439" t="str">
        <f t="shared" si="59"/>
        <v/>
      </c>
      <c r="AA305" t="str">
        <f t="shared" si="48"/>
        <v/>
      </c>
    </row>
    <row r="306" spans="2:27">
      <c r="B306" t="str">
        <f>IF(Summary!B302&lt;&gt;"",Summary!B302,"")</f>
        <v/>
      </c>
      <c r="C306" t="str">
        <f>IF(Summary!C302&lt;&gt;"",Summary!C302,"")</f>
        <v/>
      </c>
      <c r="E306" t="str">
        <f>IF($C$15&gt;=1,IF($C$13="Yes",IF(Summary!B302&lt;&gt;"",Summary!B302,""),""),"")</f>
        <v/>
      </c>
      <c r="F306" t="str">
        <f t="shared" si="49"/>
        <v/>
      </c>
      <c r="G306">
        <f t="shared" si="50"/>
        <v>0</v>
      </c>
      <c r="I306" t="str">
        <f>IF($C$15&gt;=2,IF($C$13="Yes",IF(Summary!B302&lt;&gt;"",Summary!B302,""),""),"")</f>
        <v/>
      </c>
      <c r="J306" t="str">
        <f t="shared" si="51"/>
        <v/>
      </c>
      <c r="K306">
        <f t="shared" si="52"/>
        <v>0</v>
      </c>
      <c r="M306" t="str">
        <f>IF($C$15&gt;=3,IF($C$13="Yes",IF(Summary!B302&lt;&gt;"",Summary!B302,""),""),"")</f>
        <v/>
      </c>
      <c r="N306" t="str">
        <f t="shared" si="53"/>
        <v/>
      </c>
      <c r="O306">
        <f t="shared" si="54"/>
        <v>0</v>
      </c>
      <c r="Q306" t="str">
        <f>IF($C$15&gt;=4,IF($C$13="Yes",IF(Summary!B302&lt;&gt;"",Summary!B302,""),""),"")</f>
        <v/>
      </c>
      <c r="R306" t="str">
        <f t="shared" si="55"/>
        <v/>
      </c>
      <c r="S306">
        <f t="shared" si="56"/>
        <v>0</v>
      </c>
      <c r="U306" t="str">
        <f>IF($C$15&gt;=5,IF($C$13="Yes",IF(Summary!B302&lt;&gt;"",Summary!B302,""),""),"")</f>
        <v/>
      </c>
      <c r="V306" t="str">
        <f t="shared" si="57"/>
        <v/>
      </c>
      <c r="W306">
        <f t="shared" si="58"/>
        <v>0</v>
      </c>
      <c r="Y306" t="str">
        <f>IF($C$13="Yes",IF(Summary!B302&lt;&gt;"",Summary!B302,""),"")</f>
        <v/>
      </c>
      <c r="Z306" s="439" t="str">
        <f t="shared" si="59"/>
        <v/>
      </c>
      <c r="AA306" t="str">
        <f t="shared" si="48"/>
        <v/>
      </c>
    </row>
    <row r="307" spans="2:27">
      <c r="B307" t="str">
        <f>IF(Summary!B303&lt;&gt;"",Summary!B303,"")</f>
        <v/>
      </c>
      <c r="C307" t="str">
        <f>IF(Summary!C303&lt;&gt;"",Summary!C303,"")</f>
        <v/>
      </c>
      <c r="E307" t="str">
        <f>IF($C$15&gt;=1,IF($C$13="Yes",IF(Summary!B303&lt;&gt;"",Summary!B303,""),""),"")</f>
        <v/>
      </c>
      <c r="F307" t="str">
        <f t="shared" si="49"/>
        <v/>
      </c>
      <c r="G307">
        <f t="shared" si="50"/>
        <v>0</v>
      </c>
      <c r="I307" t="str">
        <f>IF($C$15&gt;=2,IF($C$13="Yes",IF(Summary!B303&lt;&gt;"",Summary!B303,""),""),"")</f>
        <v/>
      </c>
      <c r="J307" t="str">
        <f t="shared" si="51"/>
        <v/>
      </c>
      <c r="K307">
        <f t="shared" si="52"/>
        <v>0</v>
      </c>
      <c r="M307" t="str">
        <f>IF($C$15&gt;=3,IF($C$13="Yes",IF(Summary!B303&lt;&gt;"",Summary!B303,""),""),"")</f>
        <v/>
      </c>
      <c r="N307" t="str">
        <f t="shared" si="53"/>
        <v/>
      </c>
      <c r="O307">
        <f t="shared" si="54"/>
        <v>0</v>
      </c>
      <c r="Q307" t="str">
        <f>IF($C$15&gt;=4,IF($C$13="Yes",IF(Summary!B303&lt;&gt;"",Summary!B303,""),""),"")</f>
        <v/>
      </c>
      <c r="R307" t="str">
        <f t="shared" si="55"/>
        <v/>
      </c>
      <c r="S307">
        <f t="shared" si="56"/>
        <v>0</v>
      </c>
      <c r="U307" t="str">
        <f>IF($C$15&gt;=5,IF($C$13="Yes",IF(Summary!B303&lt;&gt;"",Summary!B303,""),""),"")</f>
        <v/>
      </c>
      <c r="V307" t="str">
        <f t="shared" si="57"/>
        <v/>
      </c>
      <c r="W307">
        <f t="shared" si="58"/>
        <v>0</v>
      </c>
      <c r="Y307" t="str">
        <f>IF($C$13="Yes",IF(Summary!B303&lt;&gt;"",Summary!B303,""),"")</f>
        <v/>
      </c>
      <c r="Z307" s="439" t="str">
        <f t="shared" si="59"/>
        <v/>
      </c>
      <c r="AA307" t="str">
        <f t="shared" si="48"/>
        <v/>
      </c>
    </row>
    <row r="308" spans="2:27">
      <c r="B308" t="str">
        <f>IF(Summary!B304&lt;&gt;"",Summary!B304,"")</f>
        <v/>
      </c>
      <c r="C308" t="str">
        <f>IF(Summary!C304&lt;&gt;"",Summary!C304,"")</f>
        <v/>
      </c>
      <c r="E308" t="str">
        <f>IF($C$15&gt;=1,IF($C$13="Yes",IF(Summary!B304&lt;&gt;"",Summary!B304,""),""),"")</f>
        <v/>
      </c>
      <c r="F308" t="str">
        <f t="shared" si="49"/>
        <v/>
      </c>
      <c r="G308">
        <f t="shared" si="50"/>
        <v>0</v>
      </c>
      <c r="I308" t="str">
        <f>IF($C$15&gt;=2,IF($C$13="Yes",IF(Summary!B304&lt;&gt;"",Summary!B304,""),""),"")</f>
        <v/>
      </c>
      <c r="J308" t="str">
        <f t="shared" si="51"/>
        <v/>
      </c>
      <c r="K308">
        <f t="shared" si="52"/>
        <v>0</v>
      </c>
      <c r="M308" t="str">
        <f>IF($C$15&gt;=3,IF($C$13="Yes",IF(Summary!B304&lt;&gt;"",Summary!B304,""),""),"")</f>
        <v/>
      </c>
      <c r="N308" t="str">
        <f t="shared" si="53"/>
        <v/>
      </c>
      <c r="O308">
        <f t="shared" si="54"/>
        <v>0</v>
      </c>
      <c r="Q308" t="str">
        <f>IF($C$15&gt;=4,IF($C$13="Yes",IF(Summary!B304&lt;&gt;"",Summary!B304,""),""),"")</f>
        <v/>
      </c>
      <c r="R308" t="str">
        <f t="shared" si="55"/>
        <v/>
      </c>
      <c r="S308">
        <f t="shared" si="56"/>
        <v>0</v>
      </c>
      <c r="U308" t="str">
        <f>IF($C$15&gt;=5,IF($C$13="Yes",IF(Summary!B304&lt;&gt;"",Summary!B304,""),""),"")</f>
        <v/>
      </c>
      <c r="V308" t="str">
        <f t="shared" si="57"/>
        <v/>
      </c>
      <c r="W308">
        <f t="shared" si="58"/>
        <v>0</v>
      </c>
      <c r="Y308" t="str">
        <f>IF($C$13="Yes",IF(Summary!B304&lt;&gt;"",Summary!B304,""),"")</f>
        <v/>
      </c>
      <c r="Z308" s="439" t="str">
        <f t="shared" si="59"/>
        <v/>
      </c>
      <c r="AA308" t="str">
        <f t="shared" si="48"/>
        <v/>
      </c>
    </row>
    <row r="309" spans="2:27">
      <c r="B309" t="str">
        <f>IF(Summary!B305&lt;&gt;"",Summary!B305,"")</f>
        <v/>
      </c>
      <c r="C309" t="str">
        <f>IF(Summary!C305&lt;&gt;"",Summary!C305,"")</f>
        <v/>
      </c>
      <c r="E309" t="str">
        <f>IF($C$15&gt;=1,IF($C$13="Yes",IF(Summary!B305&lt;&gt;"",Summary!B305,""),""),"")</f>
        <v/>
      </c>
      <c r="F309" t="str">
        <f t="shared" si="49"/>
        <v/>
      </c>
      <c r="G309">
        <f t="shared" si="50"/>
        <v>0</v>
      </c>
      <c r="I309" t="str">
        <f>IF($C$15&gt;=2,IF($C$13="Yes",IF(Summary!B305&lt;&gt;"",Summary!B305,""),""),"")</f>
        <v/>
      </c>
      <c r="J309" t="str">
        <f t="shared" si="51"/>
        <v/>
      </c>
      <c r="K309">
        <f t="shared" si="52"/>
        <v>0</v>
      </c>
      <c r="M309" t="str">
        <f>IF($C$15&gt;=3,IF($C$13="Yes",IF(Summary!B305&lt;&gt;"",Summary!B305,""),""),"")</f>
        <v/>
      </c>
      <c r="N309" t="str">
        <f t="shared" si="53"/>
        <v/>
      </c>
      <c r="O309">
        <f t="shared" si="54"/>
        <v>0</v>
      </c>
      <c r="Q309" t="str">
        <f>IF($C$15&gt;=4,IF($C$13="Yes",IF(Summary!B305&lt;&gt;"",Summary!B305,""),""),"")</f>
        <v/>
      </c>
      <c r="R309" t="str">
        <f t="shared" si="55"/>
        <v/>
      </c>
      <c r="S309">
        <f t="shared" si="56"/>
        <v>0</v>
      </c>
      <c r="U309" t="str">
        <f>IF($C$15&gt;=5,IF($C$13="Yes",IF(Summary!B305&lt;&gt;"",Summary!B305,""),""),"")</f>
        <v/>
      </c>
      <c r="V309" t="str">
        <f t="shared" si="57"/>
        <v/>
      </c>
      <c r="W309">
        <f t="shared" si="58"/>
        <v>0</v>
      </c>
      <c r="Y309" t="str">
        <f>IF($C$13="Yes",IF(Summary!B305&lt;&gt;"",Summary!B305,""),"")</f>
        <v/>
      </c>
      <c r="Z309" s="439" t="str">
        <f t="shared" si="59"/>
        <v/>
      </c>
      <c r="AA309" t="str">
        <f t="shared" si="48"/>
        <v/>
      </c>
    </row>
    <row r="310" spans="2:27">
      <c r="B310" t="str">
        <f>IF(Summary!B306&lt;&gt;"",Summary!B306,"")</f>
        <v/>
      </c>
      <c r="C310" t="str">
        <f>IF(Summary!C306&lt;&gt;"",Summary!C306,"")</f>
        <v/>
      </c>
      <c r="E310" t="str">
        <f>IF($C$15&gt;=1,IF($C$13="Yes",IF(Summary!B306&lt;&gt;"",Summary!B306,""),""),"")</f>
        <v/>
      </c>
      <c r="F310" t="str">
        <f t="shared" si="49"/>
        <v/>
      </c>
      <c r="G310">
        <f t="shared" si="50"/>
        <v>0</v>
      </c>
      <c r="I310" t="str">
        <f>IF($C$15&gt;=2,IF($C$13="Yes",IF(Summary!B306&lt;&gt;"",Summary!B306,""),""),"")</f>
        <v/>
      </c>
      <c r="J310" t="str">
        <f t="shared" si="51"/>
        <v/>
      </c>
      <c r="K310">
        <f t="shared" si="52"/>
        <v>0</v>
      </c>
      <c r="M310" t="str">
        <f>IF($C$15&gt;=3,IF($C$13="Yes",IF(Summary!B306&lt;&gt;"",Summary!B306,""),""),"")</f>
        <v/>
      </c>
      <c r="N310" t="str">
        <f t="shared" si="53"/>
        <v/>
      </c>
      <c r="O310">
        <f t="shared" si="54"/>
        <v>0</v>
      </c>
      <c r="Q310" t="str">
        <f>IF($C$15&gt;=4,IF($C$13="Yes",IF(Summary!B306&lt;&gt;"",Summary!B306,""),""),"")</f>
        <v/>
      </c>
      <c r="R310" t="str">
        <f t="shared" si="55"/>
        <v/>
      </c>
      <c r="S310">
        <f t="shared" si="56"/>
        <v>0</v>
      </c>
      <c r="U310" t="str">
        <f>IF($C$15&gt;=5,IF($C$13="Yes",IF(Summary!B306&lt;&gt;"",Summary!B306,""),""),"")</f>
        <v/>
      </c>
      <c r="V310" t="str">
        <f t="shared" si="57"/>
        <v/>
      </c>
      <c r="W310">
        <f t="shared" si="58"/>
        <v>0</v>
      </c>
      <c r="Y310" t="str">
        <f>IF($C$13="Yes",IF(Summary!B306&lt;&gt;"",Summary!B306,""),"")</f>
        <v/>
      </c>
      <c r="Z310" s="439" t="str">
        <f t="shared" si="59"/>
        <v/>
      </c>
      <c r="AA310" t="str">
        <f t="shared" si="48"/>
        <v/>
      </c>
    </row>
    <row r="311" spans="2:27">
      <c r="B311" t="str">
        <f>IF(Summary!B307&lt;&gt;"",Summary!B307,"")</f>
        <v/>
      </c>
      <c r="C311" t="str">
        <f>IF(Summary!C307&lt;&gt;"",Summary!C307,"")</f>
        <v/>
      </c>
      <c r="E311" t="str">
        <f>IF($C$15&gt;=1,IF($C$13="Yes",IF(Summary!B307&lt;&gt;"",Summary!B307,""),""),"")</f>
        <v/>
      </c>
      <c r="F311" t="str">
        <f t="shared" si="49"/>
        <v/>
      </c>
      <c r="G311">
        <f t="shared" si="50"/>
        <v>0</v>
      </c>
      <c r="I311" t="str">
        <f>IF($C$15&gt;=2,IF($C$13="Yes",IF(Summary!B307&lt;&gt;"",Summary!B307,""),""),"")</f>
        <v/>
      </c>
      <c r="J311" t="str">
        <f t="shared" si="51"/>
        <v/>
      </c>
      <c r="K311">
        <f t="shared" si="52"/>
        <v>0</v>
      </c>
      <c r="M311" t="str">
        <f>IF($C$15&gt;=3,IF($C$13="Yes",IF(Summary!B307&lt;&gt;"",Summary!B307,""),""),"")</f>
        <v/>
      </c>
      <c r="N311" t="str">
        <f t="shared" si="53"/>
        <v/>
      </c>
      <c r="O311">
        <f t="shared" si="54"/>
        <v>0</v>
      </c>
      <c r="Q311" t="str">
        <f>IF($C$15&gt;=4,IF($C$13="Yes",IF(Summary!B307&lt;&gt;"",Summary!B307,""),""),"")</f>
        <v/>
      </c>
      <c r="R311" t="str">
        <f t="shared" si="55"/>
        <v/>
      </c>
      <c r="S311">
        <f t="shared" si="56"/>
        <v>0</v>
      </c>
      <c r="U311" t="str">
        <f>IF($C$15&gt;=5,IF($C$13="Yes",IF(Summary!B307&lt;&gt;"",Summary!B307,""),""),"")</f>
        <v/>
      </c>
      <c r="V311" t="str">
        <f t="shared" si="57"/>
        <v/>
      </c>
      <c r="W311">
        <f t="shared" si="58"/>
        <v>0</v>
      </c>
      <c r="Y311" t="str">
        <f>IF($C$13="Yes",IF(Summary!B307&lt;&gt;"",Summary!B307,""),"")</f>
        <v/>
      </c>
      <c r="Z311" s="439" t="str">
        <f t="shared" si="59"/>
        <v/>
      </c>
      <c r="AA311" t="str">
        <f t="shared" si="48"/>
        <v/>
      </c>
    </row>
    <row r="312" spans="2:27">
      <c r="B312" t="str">
        <f>IF(Summary!B308&lt;&gt;"",Summary!B308,"")</f>
        <v/>
      </c>
      <c r="C312" t="str">
        <f>IF(Summary!C308&lt;&gt;"",Summary!C308,"")</f>
        <v/>
      </c>
      <c r="E312" t="str">
        <f>IF($C$15&gt;=1,IF($C$13="Yes",IF(Summary!B308&lt;&gt;"",Summary!B308,""),""),"")</f>
        <v/>
      </c>
      <c r="F312" t="str">
        <f t="shared" si="49"/>
        <v/>
      </c>
      <c r="G312">
        <f t="shared" si="50"/>
        <v>0</v>
      </c>
      <c r="I312" t="str">
        <f>IF($C$15&gt;=2,IF($C$13="Yes",IF(Summary!B308&lt;&gt;"",Summary!B308,""),""),"")</f>
        <v/>
      </c>
      <c r="J312" t="str">
        <f t="shared" si="51"/>
        <v/>
      </c>
      <c r="K312">
        <f t="shared" si="52"/>
        <v>0</v>
      </c>
      <c r="M312" t="str">
        <f>IF($C$15&gt;=3,IF($C$13="Yes",IF(Summary!B308&lt;&gt;"",Summary!B308,""),""),"")</f>
        <v/>
      </c>
      <c r="N312" t="str">
        <f t="shared" si="53"/>
        <v/>
      </c>
      <c r="O312">
        <f t="shared" si="54"/>
        <v>0</v>
      </c>
      <c r="Q312" t="str">
        <f>IF($C$15&gt;=4,IF($C$13="Yes",IF(Summary!B308&lt;&gt;"",Summary!B308,""),""),"")</f>
        <v/>
      </c>
      <c r="R312" t="str">
        <f t="shared" si="55"/>
        <v/>
      </c>
      <c r="S312">
        <f t="shared" si="56"/>
        <v>0</v>
      </c>
      <c r="U312" t="str">
        <f>IF($C$15&gt;=5,IF($C$13="Yes",IF(Summary!B308&lt;&gt;"",Summary!B308,""),""),"")</f>
        <v/>
      </c>
      <c r="V312" t="str">
        <f t="shared" si="57"/>
        <v/>
      </c>
      <c r="W312">
        <f t="shared" si="58"/>
        <v>0</v>
      </c>
      <c r="Y312" t="str">
        <f>IF($C$13="Yes",IF(Summary!B308&lt;&gt;"",Summary!B308,""),"")</f>
        <v/>
      </c>
      <c r="Z312" s="439" t="str">
        <f t="shared" si="59"/>
        <v/>
      </c>
      <c r="AA312" t="str">
        <f t="shared" si="48"/>
        <v/>
      </c>
    </row>
    <row r="313" spans="2:27">
      <c r="B313" t="str">
        <f>IF(Summary!B309&lt;&gt;"",Summary!B309,"")</f>
        <v/>
      </c>
      <c r="C313" t="str">
        <f>IF(Summary!C309&lt;&gt;"",Summary!C309,"")</f>
        <v/>
      </c>
      <c r="E313" t="str">
        <f>IF($C$15&gt;=1,IF($C$13="Yes",IF(Summary!B309&lt;&gt;"",Summary!B309,""),""),"")</f>
        <v/>
      </c>
      <c r="F313" t="str">
        <f t="shared" si="49"/>
        <v/>
      </c>
      <c r="G313">
        <f t="shared" si="50"/>
        <v>0</v>
      </c>
      <c r="I313" t="str">
        <f>IF($C$15&gt;=2,IF($C$13="Yes",IF(Summary!B309&lt;&gt;"",Summary!B309,""),""),"")</f>
        <v/>
      </c>
      <c r="J313" t="str">
        <f t="shared" si="51"/>
        <v/>
      </c>
      <c r="K313">
        <f t="shared" si="52"/>
        <v>0</v>
      </c>
      <c r="M313" t="str">
        <f>IF($C$15&gt;=3,IF($C$13="Yes",IF(Summary!B309&lt;&gt;"",Summary!B309,""),""),"")</f>
        <v/>
      </c>
      <c r="N313" t="str">
        <f t="shared" si="53"/>
        <v/>
      </c>
      <c r="O313">
        <f t="shared" si="54"/>
        <v>0</v>
      </c>
      <c r="Q313" t="str">
        <f>IF($C$15&gt;=4,IF($C$13="Yes",IF(Summary!B309&lt;&gt;"",Summary!B309,""),""),"")</f>
        <v/>
      </c>
      <c r="R313" t="str">
        <f t="shared" si="55"/>
        <v/>
      </c>
      <c r="S313">
        <f t="shared" si="56"/>
        <v>0</v>
      </c>
      <c r="U313" t="str">
        <f>IF($C$15&gt;=5,IF($C$13="Yes",IF(Summary!B309&lt;&gt;"",Summary!B309,""),""),"")</f>
        <v/>
      </c>
      <c r="V313" t="str">
        <f t="shared" si="57"/>
        <v/>
      </c>
      <c r="W313">
        <f t="shared" si="58"/>
        <v>0</v>
      </c>
      <c r="Y313" t="str">
        <f>IF($C$13="Yes",IF(Summary!B309&lt;&gt;"",Summary!B309,""),"")</f>
        <v/>
      </c>
      <c r="Z313" s="439" t="str">
        <f t="shared" si="59"/>
        <v/>
      </c>
      <c r="AA313" t="str">
        <f t="shared" si="48"/>
        <v/>
      </c>
    </row>
    <row r="314" spans="2:27">
      <c r="B314" t="str">
        <f>IF(Summary!B310&lt;&gt;"",Summary!B310,"")</f>
        <v/>
      </c>
      <c r="C314" t="str">
        <f>IF(Summary!C310&lt;&gt;"",Summary!C310,"")</f>
        <v/>
      </c>
      <c r="E314" t="str">
        <f>IF($C$15&gt;=1,IF($C$13="Yes",IF(Summary!B310&lt;&gt;"",Summary!B310,""),""),"")</f>
        <v/>
      </c>
      <c r="F314" t="str">
        <f t="shared" si="49"/>
        <v/>
      </c>
      <c r="G314">
        <f t="shared" si="50"/>
        <v>0</v>
      </c>
      <c r="I314" t="str">
        <f>IF($C$15&gt;=2,IF($C$13="Yes",IF(Summary!B310&lt;&gt;"",Summary!B310,""),""),"")</f>
        <v/>
      </c>
      <c r="J314" t="str">
        <f t="shared" si="51"/>
        <v/>
      </c>
      <c r="K314">
        <f t="shared" si="52"/>
        <v>0</v>
      </c>
      <c r="M314" t="str">
        <f>IF($C$15&gt;=3,IF($C$13="Yes",IF(Summary!B310&lt;&gt;"",Summary!B310,""),""),"")</f>
        <v/>
      </c>
      <c r="N314" t="str">
        <f t="shared" si="53"/>
        <v/>
      </c>
      <c r="O314">
        <f t="shared" si="54"/>
        <v>0</v>
      </c>
      <c r="Q314" t="str">
        <f>IF($C$15&gt;=4,IF($C$13="Yes",IF(Summary!B310&lt;&gt;"",Summary!B310,""),""),"")</f>
        <v/>
      </c>
      <c r="R314" t="str">
        <f t="shared" si="55"/>
        <v/>
      </c>
      <c r="S314">
        <f t="shared" si="56"/>
        <v>0</v>
      </c>
      <c r="U314" t="str">
        <f>IF($C$15&gt;=5,IF($C$13="Yes",IF(Summary!B310&lt;&gt;"",Summary!B310,""),""),"")</f>
        <v/>
      </c>
      <c r="V314" t="str">
        <f t="shared" si="57"/>
        <v/>
      </c>
      <c r="W314">
        <f t="shared" si="58"/>
        <v>0</v>
      </c>
      <c r="Y314" t="str">
        <f>IF($C$13="Yes",IF(Summary!B310&lt;&gt;"",Summary!B310,""),"")</f>
        <v/>
      </c>
      <c r="Z314" s="439" t="str">
        <f t="shared" si="59"/>
        <v/>
      </c>
      <c r="AA314" t="str">
        <f t="shared" si="48"/>
        <v/>
      </c>
    </row>
    <row r="315" spans="2:27">
      <c r="B315" t="str">
        <f>IF(Summary!B311&lt;&gt;"",Summary!B311,"")</f>
        <v/>
      </c>
      <c r="C315" t="str">
        <f>IF(Summary!C311&lt;&gt;"",Summary!C311,"")</f>
        <v/>
      </c>
      <c r="E315" t="str">
        <f>IF($C$15&gt;=1,IF($C$13="Yes",IF(Summary!B311&lt;&gt;"",Summary!B311,""),""),"")</f>
        <v/>
      </c>
      <c r="F315" t="str">
        <f t="shared" si="49"/>
        <v/>
      </c>
      <c r="G315">
        <f t="shared" si="50"/>
        <v>0</v>
      </c>
      <c r="I315" t="str">
        <f>IF($C$15&gt;=2,IF($C$13="Yes",IF(Summary!B311&lt;&gt;"",Summary!B311,""),""),"")</f>
        <v/>
      </c>
      <c r="J315" t="str">
        <f t="shared" si="51"/>
        <v/>
      </c>
      <c r="K315">
        <f t="shared" si="52"/>
        <v>0</v>
      </c>
      <c r="M315" t="str">
        <f>IF($C$15&gt;=3,IF($C$13="Yes",IF(Summary!B311&lt;&gt;"",Summary!B311,""),""),"")</f>
        <v/>
      </c>
      <c r="N315" t="str">
        <f t="shared" si="53"/>
        <v/>
      </c>
      <c r="O315">
        <f t="shared" si="54"/>
        <v>0</v>
      </c>
      <c r="Q315" t="str">
        <f>IF($C$15&gt;=4,IF($C$13="Yes",IF(Summary!B311&lt;&gt;"",Summary!B311,""),""),"")</f>
        <v/>
      </c>
      <c r="R315" t="str">
        <f t="shared" si="55"/>
        <v/>
      </c>
      <c r="S315">
        <f t="shared" si="56"/>
        <v>0</v>
      </c>
      <c r="U315" t="str">
        <f>IF($C$15&gt;=5,IF($C$13="Yes",IF(Summary!B311&lt;&gt;"",Summary!B311,""),""),"")</f>
        <v/>
      </c>
      <c r="V315" t="str">
        <f t="shared" si="57"/>
        <v/>
      </c>
      <c r="W315">
        <f t="shared" si="58"/>
        <v>0</v>
      </c>
      <c r="Y315" t="str">
        <f>IF($C$13="Yes",IF(Summary!B311&lt;&gt;"",Summary!B311,""),"")</f>
        <v/>
      </c>
      <c r="Z315" s="439" t="str">
        <f t="shared" si="59"/>
        <v/>
      </c>
      <c r="AA315" t="str">
        <f t="shared" si="48"/>
        <v/>
      </c>
    </row>
    <row r="316" spans="2:27">
      <c r="B316" t="str">
        <f>IF(Summary!B312&lt;&gt;"",Summary!B312,"")</f>
        <v/>
      </c>
      <c r="C316" t="str">
        <f>IF(Summary!C312&lt;&gt;"",Summary!C312,"")</f>
        <v/>
      </c>
      <c r="E316" t="str">
        <f>IF($C$15&gt;=1,IF($C$13="Yes",IF(Summary!B312&lt;&gt;"",Summary!B312,""),""),"")</f>
        <v/>
      </c>
      <c r="F316" t="str">
        <f t="shared" si="49"/>
        <v/>
      </c>
      <c r="G316">
        <f t="shared" si="50"/>
        <v>0</v>
      </c>
      <c r="I316" t="str">
        <f>IF($C$15&gt;=2,IF($C$13="Yes",IF(Summary!B312&lt;&gt;"",Summary!B312,""),""),"")</f>
        <v/>
      </c>
      <c r="J316" t="str">
        <f t="shared" si="51"/>
        <v/>
      </c>
      <c r="K316">
        <f t="shared" si="52"/>
        <v>0</v>
      </c>
      <c r="M316" t="str">
        <f>IF($C$15&gt;=3,IF($C$13="Yes",IF(Summary!B312&lt;&gt;"",Summary!B312,""),""),"")</f>
        <v/>
      </c>
      <c r="N316" t="str">
        <f t="shared" si="53"/>
        <v/>
      </c>
      <c r="O316">
        <f t="shared" si="54"/>
        <v>0</v>
      </c>
      <c r="Q316" t="str">
        <f>IF($C$15&gt;=4,IF($C$13="Yes",IF(Summary!B312&lt;&gt;"",Summary!B312,""),""),"")</f>
        <v/>
      </c>
      <c r="R316" t="str">
        <f t="shared" si="55"/>
        <v/>
      </c>
      <c r="S316">
        <f t="shared" si="56"/>
        <v>0</v>
      </c>
      <c r="U316" t="str">
        <f>IF($C$15&gt;=5,IF($C$13="Yes",IF(Summary!B312&lt;&gt;"",Summary!B312,""),""),"")</f>
        <v/>
      </c>
      <c r="V316" t="str">
        <f t="shared" si="57"/>
        <v/>
      </c>
      <c r="W316">
        <f t="shared" si="58"/>
        <v>0</v>
      </c>
      <c r="Y316" t="str">
        <f>IF($C$13="Yes",IF(Summary!B312&lt;&gt;"",Summary!B312,""),"")</f>
        <v/>
      </c>
      <c r="Z316" s="439" t="str">
        <f t="shared" si="59"/>
        <v/>
      </c>
      <c r="AA316" t="str">
        <f t="shared" si="48"/>
        <v/>
      </c>
    </row>
    <row r="317" spans="2:27">
      <c r="B317" t="str">
        <f>IF(Summary!B313&lt;&gt;"",Summary!B313,"")</f>
        <v/>
      </c>
      <c r="C317" t="str">
        <f>IF(Summary!C313&lt;&gt;"",Summary!C313,"")</f>
        <v/>
      </c>
      <c r="E317" t="str">
        <f>IF($C$15&gt;=1,IF($C$13="Yes",IF(Summary!B313&lt;&gt;"",Summary!B313,""),""),"")</f>
        <v/>
      </c>
      <c r="F317" t="str">
        <f t="shared" si="49"/>
        <v/>
      </c>
      <c r="G317">
        <f t="shared" si="50"/>
        <v>0</v>
      </c>
      <c r="I317" t="str">
        <f>IF($C$15&gt;=2,IF($C$13="Yes",IF(Summary!B313&lt;&gt;"",Summary!B313,""),""),"")</f>
        <v/>
      </c>
      <c r="J317" t="str">
        <f t="shared" si="51"/>
        <v/>
      </c>
      <c r="K317">
        <f t="shared" si="52"/>
        <v>0</v>
      </c>
      <c r="M317" t="str">
        <f>IF($C$15&gt;=3,IF($C$13="Yes",IF(Summary!B313&lt;&gt;"",Summary!B313,""),""),"")</f>
        <v/>
      </c>
      <c r="N317" t="str">
        <f t="shared" si="53"/>
        <v/>
      </c>
      <c r="O317">
        <f t="shared" si="54"/>
        <v>0</v>
      </c>
      <c r="Q317" t="str">
        <f>IF($C$15&gt;=4,IF($C$13="Yes",IF(Summary!B313&lt;&gt;"",Summary!B313,""),""),"")</f>
        <v/>
      </c>
      <c r="R317" t="str">
        <f t="shared" si="55"/>
        <v/>
      </c>
      <c r="S317">
        <f t="shared" si="56"/>
        <v>0</v>
      </c>
      <c r="U317" t="str">
        <f>IF($C$15&gt;=5,IF($C$13="Yes",IF(Summary!B313&lt;&gt;"",Summary!B313,""),""),"")</f>
        <v/>
      </c>
      <c r="V317" t="str">
        <f t="shared" si="57"/>
        <v/>
      </c>
      <c r="W317">
        <f t="shared" si="58"/>
        <v>0</v>
      </c>
      <c r="Y317" t="str">
        <f>IF($C$13="Yes",IF(Summary!B313&lt;&gt;"",Summary!B313,""),"")</f>
        <v/>
      </c>
      <c r="Z317" s="439" t="str">
        <f t="shared" si="59"/>
        <v/>
      </c>
      <c r="AA317" t="str">
        <f t="shared" si="48"/>
        <v/>
      </c>
    </row>
    <row r="318" spans="2:27">
      <c r="B318" t="str">
        <f>IF(Summary!B314&lt;&gt;"",Summary!B314,"")</f>
        <v/>
      </c>
      <c r="C318" t="str">
        <f>IF(Summary!C314&lt;&gt;"",Summary!C314,"")</f>
        <v/>
      </c>
      <c r="E318" t="str">
        <f>IF($C$15&gt;=1,IF($C$13="Yes",IF(Summary!B314&lt;&gt;"",Summary!B314,""),""),"")</f>
        <v/>
      </c>
      <c r="F318" t="str">
        <f t="shared" si="49"/>
        <v/>
      </c>
      <c r="G318">
        <f t="shared" si="50"/>
        <v>0</v>
      </c>
      <c r="I318" t="str">
        <f>IF($C$15&gt;=2,IF($C$13="Yes",IF(Summary!B314&lt;&gt;"",Summary!B314,""),""),"")</f>
        <v/>
      </c>
      <c r="J318" t="str">
        <f t="shared" si="51"/>
        <v/>
      </c>
      <c r="K318">
        <f t="shared" si="52"/>
        <v>0</v>
      </c>
      <c r="M318" t="str">
        <f>IF($C$15&gt;=3,IF($C$13="Yes",IF(Summary!B314&lt;&gt;"",Summary!B314,""),""),"")</f>
        <v/>
      </c>
      <c r="N318" t="str">
        <f t="shared" si="53"/>
        <v/>
      </c>
      <c r="O318">
        <f t="shared" si="54"/>
        <v>0</v>
      </c>
      <c r="Q318" t="str">
        <f>IF($C$15&gt;=4,IF($C$13="Yes",IF(Summary!B314&lt;&gt;"",Summary!B314,""),""),"")</f>
        <v/>
      </c>
      <c r="R318" t="str">
        <f t="shared" si="55"/>
        <v/>
      </c>
      <c r="S318">
        <f t="shared" si="56"/>
        <v>0</v>
      </c>
      <c r="U318" t="str">
        <f>IF($C$15&gt;=5,IF($C$13="Yes",IF(Summary!B314&lt;&gt;"",Summary!B314,""),""),"")</f>
        <v/>
      </c>
      <c r="V318" t="str">
        <f t="shared" si="57"/>
        <v/>
      </c>
      <c r="W318">
        <f t="shared" si="58"/>
        <v>0</v>
      </c>
      <c r="Y318" t="str">
        <f>IF($C$13="Yes",IF(Summary!B314&lt;&gt;"",Summary!B314,""),"")</f>
        <v/>
      </c>
      <c r="Z318" s="439" t="str">
        <f t="shared" si="59"/>
        <v/>
      </c>
      <c r="AA318" t="str">
        <f t="shared" si="48"/>
        <v/>
      </c>
    </row>
    <row r="319" spans="2:27">
      <c r="B319" t="str">
        <f>IF(Summary!B315&lt;&gt;"",Summary!B315,"")</f>
        <v/>
      </c>
      <c r="C319" t="str">
        <f>IF(Summary!C315&lt;&gt;"",Summary!C315,"")</f>
        <v/>
      </c>
      <c r="E319" t="str">
        <f>IF($C$15&gt;=1,IF($C$13="Yes",IF(Summary!B315&lt;&gt;"",Summary!B315,""),""),"")</f>
        <v/>
      </c>
      <c r="F319" t="str">
        <f t="shared" si="49"/>
        <v/>
      </c>
      <c r="G319">
        <f t="shared" si="50"/>
        <v>0</v>
      </c>
      <c r="I319" t="str">
        <f>IF($C$15&gt;=2,IF($C$13="Yes",IF(Summary!B315&lt;&gt;"",Summary!B315,""),""),"")</f>
        <v/>
      </c>
      <c r="J319" t="str">
        <f t="shared" si="51"/>
        <v/>
      </c>
      <c r="K319">
        <f t="shared" si="52"/>
        <v>0</v>
      </c>
      <c r="M319" t="str">
        <f>IF($C$15&gt;=3,IF($C$13="Yes",IF(Summary!B315&lt;&gt;"",Summary!B315,""),""),"")</f>
        <v/>
      </c>
      <c r="N319" t="str">
        <f t="shared" si="53"/>
        <v/>
      </c>
      <c r="O319">
        <f t="shared" si="54"/>
        <v>0</v>
      </c>
      <c r="Q319" t="str">
        <f>IF($C$15&gt;=4,IF($C$13="Yes",IF(Summary!B315&lt;&gt;"",Summary!B315,""),""),"")</f>
        <v/>
      </c>
      <c r="R319" t="str">
        <f t="shared" si="55"/>
        <v/>
      </c>
      <c r="S319">
        <f t="shared" si="56"/>
        <v>0</v>
      </c>
      <c r="U319" t="str">
        <f>IF($C$15&gt;=5,IF($C$13="Yes",IF(Summary!B315&lt;&gt;"",Summary!B315,""),""),"")</f>
        <v/>
      </c>
      <c r="V319" t="str">
        <f t="shared" si="57"/>
        <v/>
      </c>
      <c r="W319">
        <f t="shared" si="58"/>
        <v>0</v>
      </c>
      <c r="Y319" t="str">
        <f>IF($C$13="Yes",IF(Summary!B315&lt;&gt;"",Summary!B315,""),"")</f>
        <v/>
      </c>
      <c r="Z319" s="439" t="str">
        <f t="shared" si="59"/>
        <v/>
      </c>
      <c r="AA319" t="str">
        <f t="shared" si="48"/>
        <v/>
      </c>
    </row>
    <row r="320" spans="2:27">
      <c r="B320" t="str">
        <f>IF(Summary!B316&lt;&gt;"",Summary!B316,"")</f>
        <v/>
      </c>
      <c r="C320" t="str">
        <f>IF(Summary!C316&lt;&gt;"",Summary!C316,"")</f>
        <v/>
      </c>
      <c r="E320" t="str">
        <f>IF($C$15&gt;=1,IF($C$13="Yes",IF(Summary!B316&lt;&gt;"",Summary!B316,""),""),"")</f>
        <v/>
      </c>
      <c r="F320" t="str">
        <f t="shared" si="49"/>
        <v/>
      </c>
      <c r="G320">
        <f t="shared" si="50"/>
        <v>0</v>
      </c>
      <c r="I320" t="str">
        <f>IF($C$15&gt;=2,IF($C$13="Yes",IF(Summary!B316&lt;&gt;"",Summary!B316,""),""),"")</f>
        <v/>
      </c>
      <c r="J320" t="str">
        <f t="shared" si="51"/>
        <v/>
      </c>
      <c r="K320">
        <f t="shared" si="52"/>
        <v>0</v>
      </c>
      <c r="M320" t="str">
        <f>IF($C$15&gt;=3,IF($C$13="Yes",IF(Summary!B316&lt;&gt;"",Summary!B316,""),""),"")</f>
        <v/>
      </c>
      <c r="N320" t="str">
        <f t="shared" si="53"/>
        <v/>
      </c>
      <c r="O320">
        <f t="shared" si="54"/>
        <v>0</v>
      </c>
      <c r="Q320" t="str">
        <f>IF($C$15&gt;=4,IF($C$13="Yes",IF(Summary!B316&lt;&gt;"",Summary!B316,""),""),"")</f>
        <v/>
      </c>
      <c r="R320" t="str">
        <f t="shared" si="55"/>
        <v/>
      </c>
      <c r="S320">
        <f t="shared" si="56"/>
        <v>0</v>
      </c>
      <c r="U320" t="str">
        <f>IF($C$15&gt;=5,IF($C$13="Yes",IF(Summary!B316&lt;&gt;"",Summary!B316,""),""),"")</f>
        <v/>
      </c>
      <c r="V320" t="str">
        <f t="shared" si="57"/>
        <v/>
      </c>
      <c r="W320">
        <f t="shared" si="58"/>
        <v>0</v>
      </c>
      <c r="Y320" t="str">
        <f>IF($C$13="Yes",IF(Summary!B316&lt;&gt;"",Summary!B316,""),"")</f>
        <v/>
      </c>
      <c r="Z320" s="439" t="str">
        <f t="shared" si="59"/>
        <v/>
      </c>
      <c r="AA320" t="str">
        <f t="shared" si="48"/>
        <v/>
      </c>
    </row>
    <row r="321" spans="2:27">
      <c r="B321" t="str">
        <f>IF(Summary!B317&lt;&gt;"",Summary!B317,"")</f>
        <v/>
      </c>
      <c r="C321" t="str">
        <f>IF(Summary!C317&lt;&gt;"",Summary!C317,"")</f>
        <v/>
      </c>
      <c r="E321" t="str">
        <f>IF($C$15&gt;=1,IF($C$13="Yes",IF(Summary!B317&lt;&gt;"",Summary!B317,""),""),"")</f>
        <v/>
      </c>
      <c r="F321" t="str">
        <f t="shared" si="49"/>
        <v/>
      </c>
      <c r="G321">
        <f t="shared" si="50"/>
        <v>0</v>
      </c>
      <c r="I321" t="str">
        <f>IF($C$15&gt;=2,IF($C$13="Yes",IF(Summary!B317&lt;&gt;"",Summary!B317,""),""),"")</f>
        <v/>
      </c>
      <c r="J321" t="str">
        <f t="shared" si="51"/>
        <v/>
      </c>
      <c r="K321">
        <f t="shared" si="52"/>
        <v>0</v>
      </c>
      <c r="M321" t="str">
        <f>IF($C$15&gt;=3,IF($C$13="Yes",IF(Summary!B317&lt;&gt;"",Summary!B317,""),""),"")</f>
        <v/>
      </c>
      <c r="N321" t="str">
        <f t="shared" si="53"/>
        <v/>
      </c>
      <c r="O321">
        <f t="shared" si="54"/>
        <v>0</v>
      </c>
      <c r="Q321" t="str">
        <f>IF($C$15&gt;=4,IF($C$13="Yes",IF(Summary!B317&lt;&gt;"",Summary!B317,""),""),"")</f>
        <v/>
      </c>
      <c r="R321" t="str">
        <f t="shared" si="55"/>
        <v/>
      </c>
      <c r="S321">
        <f t="shared" si="56"/>
        <v>0</v>
      </c>
      <c r="U321" t="str">
        <f>IF($C$15&gt;=5,IF($C$13="Yes",IF(Summary!B317&lt;&gt;"",Summary!B317,""),""),"")</f>
        <v/>
      </c>
      <c r="V321" t="str">
        <f t="shared" si="57"/>
        <v/>
      </c>
      <c r="W321">
        <f t="shared" si="58"/>
        <v>0</v>
      </c>
      <c r="Y321" t="str">
        <f>IF($C$13="Yes",IF(Summary!B317&lt;&gt;"",Summary!B317,""),"")</f>
        <v/>
      </c>
      <c r="Z321" s="439" t="str">
        <f t="shared" si="59"/>
        <v/>
      </c>
      <c r="AA321" t="str">
        <f t="shared" si="48"/>
        <v/>
      </c>
    </row>
    <row r="322" spans="2:27">
      <c r="B322" t="str">
        <f>IF(Summary!B318&lt;&gt;"",Summary!B318,"")</f>
        <v/>
      </c>
      <c r="C322" t="str">
        <f>IF(Summary!C318&lt;&gt;"",Summary!C318,"")</f>
        <v/>
      </c>
      <c r="E322" t="str">
        <f>IF($C$15&gt;=1,IF($C$13="Yes",IF(Summary!B318&lt;&gt;"",Summary!B318,""),""),"")</f>
        <v/>
      </c>
      <c r="F322" t="str">
        <f t="shared" si="49"/>
        <v/>
      </c>
      <c r="G322">
        <f t="shared" si="50"/>
        <v>0</v>
      </c>
      <c r="I322" t="str">
        <f>IF($C$15&gt;=2,IF($C$13="Yes",IF(Summary!B318&lt;&gt;"",Summary!B318,""),""),"")</f>
        <v/>
      </c>
      <c r="J322" t="str">
        <f t="shared" si="51"/>
        <v/>
      </c>
      <c r="K322">
        <f t="shared" si="52"/>
        <v>0</v>
      </c>
      <c r="M322" t="str">
        <f>IF($C$15&gt;=3,IF($C$13="Yes",IF(Summary!B318&lt;&gt;"",Summary!B318,""),""),"")</f>
        <v/>
      </c>
      <c r="N322" t="str">
        <f t="shared" si="53"/>
        <v/>
      </c>
      <c r="O322">
        <f t="shared" si="54"/>
        <v>0</v>
      </c>
      <c r="Q322" t="str">
        <f>IF($C$15&gt;=4,IF($C$13="Yes",IF(Summary!B318&lt;&gt;"",Summary!B318,""),""),"")</f>
        <v/>
      </c>
      <c r="R322" t="str">
        <f t="shared" si="55"/>
        <v/>
      </c>
      <c r="S322">
        <f t="shared" si="56"/>
        <v>0</v>
      </c>
      <c r="U322" t="str">
        <f>IF($C$15&gt;=5,IF($C$13="Yes",IF(Summary!B318&lt;&gt;"",Summary!B318,""),""),"")</f>
        <v/>
      </c>
      <c r="V322" t="str">
        <f t="shared" si="57"/>
        <v/>
      </c>
      <c r="W322">
        <f t="shared" si="58"/>
        <v>0</v>
      </c>
      <c r="Y322" t="str">
        <f>IF($C$13="Yes",IF(Summary!B318&lt;&gt;"",Summary!B318,""),"")</f>
        <v/>
      </c>
      <c r="Z322" s="439" t="str">
        <f t="shared" si="59"/>
        <v/>
      </c>
      <c r="AA322" t="str">
        <f t="shared" si="48"/>
        <v/>
      </c>
    </row>
    <row r="323" spans="2:27">
      <c r="B323" t="str">
        <f>IF(Summary!B319&lt;&gt;"",Summary!B319,"")</f>
        <v/>
      </c>
      <c r="C323" t="str">
        <f>IF(Summary!C319&lt;&gt;"",Summary!C319,"")</f>
        <v/>
      </c>
      <c r="E323" t="str">
        <f>IF($C$15&gt;=1,IF($C$13="Yes",IF(Summary!B319&lt;&gt;"",Summary!B319,""),""),"")</f>
        <v/>
      </c>
      <c r="F323" t="str">
        <f t="shared" si="49"/>
        <v/>
      </c>
      <c r="G323">
        <f t="shared" si="50"/>
        <v>0</v>
      </c>
      <c r="I323" t="str">
        <f>IF($C$15&gt;=2,IF($C$13="Yes",IF(Summary!B319&lt;&gt;"",Summary!B319,""),""),"")</f>
        <v/>
      </c>
      <c r="J323" t="str">
        <f t="shared" si="51"/>
        <v/>
      </c>
      <c r="K323">
        <f t="shared" si="52"/>
        <v>0</v>
      </c>
      <c r="M323" t="str">
        <f>IF($C$15&gt;=3,IF($C$13="Yes",IF(Summary!B319&lt;&gt;"",Summary!B319,""),""),"")</f>
        <v/>
      </c>
      <c r="N323" t="str">
        <f t="shared" si="53"/>
        <v/>
      </c>
      <c r="O323">
        <f t="shared" si="54"/>
        <v>0</v>
      </c>
      <c r="Q323" t="str">
        <f>IF($C$15&gt;=4,IF($C$13="Yes",IF(Summary!B319&lt;&gt;"",Summary!B319,""),""),"")</f>
        <v/>
      </c>
      <c r="R323" t="str">
        <f t="shared" si="55"/>
        <v/>
      </c>
      <c r="S323">
        <f t="shared" si="56"/>
        <v>0</v>
      </c>
      <c r="U323" t="str">
        <f>IF($C$15&gt;=5,IF($C$13="Yes",IF(Summary!B319&lt;&gt;"",Summary!B319,""),""),"")</f>
        <v/>
      </c>
      <c r="V323" t="str">
        <f t="shared" si="57"/>
        <v/>
      </c>
      <c r="W323">
        <f t="shared" si="58"/>
        <v>0</v>
      </c>
      <c r="Y323" t="str">
        <f>IF($C$13="Yes",IF(Summary!B319&lt;&gt;"",Summary!B319,""),"")</f>
        <v/>
      </c>
      <c r="Z323" s="439" t="str">
        <f t="shared" si="59"/>
        <v/>
      </c>
      <c r="AA323" t="str">
        <f t="shared" si="48"/>
        <v/>
      </c>
    </row>
    <row r="324" spans="2:27">
      <c r="B324" t="str">
        <f>IF(Summary!B320&lt;&gt;"",Summary!B320,"")</f>
        <v/>
      </c>
      <c r="C324" t="str">
        <f>IF(Summary!C320&lt;&gt;"",Summary!C320,"")</f>
        <v/>
      </c>
      <c r="E324" t="str">
        <f>IF($C$15&gt;=1,IF($C$13="Yes",IF(Summary!B320&lt;&gt;"",Summary!B320,""),""),"")</f>
        <v/>
      </c>
      <c r="F324" t="str">
        <f t="shared" si="49"/>
        <v/>
      </c>
      <c r="G324">
        <f t="shared" si="50"/>
        <v>0</v>
      </c>
      <c r="I324" t="str">
        <f>IF($C$15&gt;=2,IF($C$13="Yes",IF(Summary!B320&lt;&gt;"",Summary!B320,""),""),"")</f>
        <v/>
      </c>
      <c r="J324" t="str">
        <f t="shared" si="51"/>
        <v/>
      </c>
      <c r="K324">
        <f t="shared" si="52"/>
        <v>0</v>
      </c>
      <c r="M324" t="str">
        <f>IF($C$15&gt;=3,IF($C$13="Yes",IF(Summary!B320&lt;&gt;"",Summary!B320,""),""),"")</f>
        <v/>
      </c>
      <c r="N324" t="str">
        <f t="shared" si="53"/>
        <v/>
      </c>
      <c r="O324">
        <f t="shared" si="54"/>
        <v>0</v>
      </c>
      <c r="Q324" t="str">
        <f>IF($C$15&gt;=4,IF($C$13="Yes",IF(Summary!B320&lt;&gt;"",Summary!B320,""),""),"")</f>
        <v/>
      </c>
      <c r="R324" t="str">
        <f t="shared" si="55"/>
        <v/>
      </c>
      <c r="S324">
        <f t="shared" si="56"/>
        <v>0</v>
      </c>
      <c r="U324" t="str">
        <f>IF($C$15&gt;=5,IF($C$13="Yes",IF(Summary!B320&lt;&gt;"",Summary!B320,""),""),"")</f>
        <v/>
      </c>
      <c r="V324" t="str">
        <f t="shared" si="57"/>
        <v/>
      </c>
      <c r="W324">
        <f t="shared" si="58"/>
        <v>0</v>
      </c>
      <c r="Y324" t="str">
        <f>IF($C$13="Yes",IF(Summary!B320&lt;&gt;"",Summary!B320,""),"")</f>
        <v/>
      </c>
      <c r="Z324" s="439" t="str">
        <f t="shared" si="59"/>
        <v/>
      </c>
      <c r="AA324" t="str">
        <f t="shared" si="48"/>
        <v/>
      </c>
    </row>
    <row r="325" spans="2:27">
      <c r="B325" t="str">
        <f>IF(Summary!B321&lt;&gt;"",Summary!B321,"")</f>
        <v/>
      </c>
      <c r="C325" t="str">
        <f>IF(Summary!C321&lt;&gt;"",Summary!C321,"")</f>
        <v/>
      </c>
      <c r="E325" t="str">
        <f>IF($C$15&gt;=1,IF($C$13="Yes",IF(Summary!B321&lt;&gt;"",Summary!B321,""),""),"")</f>
        <v/>
      </c>
      <c r="F325" t="str">
        <f t="shared" si="49"/>
        <v/>
      </c>
      <c r="G325">
        <f t="shared" si="50"/>
        <v>0</v>
      </c>
      <c r="I325" t="str">
        <f>IF($C$15&gt;=2,IF($C$13="Yes",IF(Summary!B321&lt;&gt;"",Summary!B321,""),""),"")</f>
        <v/>
      </c>
      <c r="J325" t="str">
        <f t="shared" si="51"/>
        <v/>
      </c>
      <c r="K325">
        <f t="shared" si="52"/>
        <v>0</v>
      </c>
      <c r="M325" t="str">
        <f>IF($C$15&gt;=3,IF($C$13="Yes",IF(Summary!B321&lt;&gt;"",Summary!B321,""),""),"")</f>
        <v/>
      </c>
      <c r="N325" t="str">
        <f t="shared" si="53"/>
        <v/>
      </c>
      <c r="O325">
        <f t="shared" si="54"/>
        <v>0</v>
      </c>
      <c r="Q325" t="str">
        <f>IF($C$15&gt;=4,IF($C$13="Yes",IF(Summary!B321&lt;&gt;"",Summary!B321,""),""),"")</f>
        <v/>
      </c>
      <c r="R325" t="str">
        <f t="shared" si="55"/>
        <v/>
      </c>
      <c r="S325">
        <f t="shared" si="56"/>
        <v>0</v>
      </c>
      <c r="U325" t="str">
        <f>IF($C$15&gt;=5,IF($C$13="Yes",IF(Summary!B321&lt;&gt;"",Summary!B321,""),""),"")</f>
        <v/>
      </c>
      <c r="V325" t="str">
        <f t="shared" si="57"/>
        <v/>
      </c>
      <c r="W325">
        <f t="shared" si="58"/>
        <v>0</v>
      </c>
      <c r="Y325" t="str">
        <f>IF($C$13="Yes",IF(Summary!B321&lt;&gt;"",Summary!B321,""),"")</f>
        <v/>
      </c>
      <c r="Z325" s="439" t="str">
        <f t="shared" si="59"/>
        <v/>
      </c>
      <c r="AA325" t="str">
        <f t="shared" si="48"/>
        <v/>
      </c>
    </row>
    <row r="326" spans="2:27">
      <c r="B326" t="str">
        <f>IF(Summary!B322&lt;&gt;"",Summary!B322,"")</f>
        <v/>
      </c>
      <c r="C326" t="str">
        <f>IF(Summary!C322&lt;&gt;"",Summary!C322,"")</f>
        <v/>
      </c>
      <c r="E326" t="str">
        <f>IF($C$15&gt;=1,IF($C$13="Yes",IF(Summary!B322&lt;&gt;"",Summary!B322,""),""),"")</f>
        <v/>
      </c>
      <c r="F326" t="str">
        <f t="shared" si="49"/>
        <v/>
      </c>
      <c r="G326">
        <f t="shared" si="50"/>
        <v>0</v>
      </c>
      <c r="I326" t="str">
        <f>IF($C$15&gt;=2,IF($C$13="Yes",IF(Summary!B322&lt;&gt;"",Summary!B322,""),""),"")</f>
        <v/>
      </c>
      <c r="J326" t="str">
        <f t="shared" si="51"/>
        <v/>
      </c>
      <c r="K326">
        <f t="shared" si="52"/>
        <v>0</v>
      </c>
      <c r="M326" t="str">
        <f>IF($C$15&gt;=3,IF($C$13="Yes",IF(Summary!B322&lt;&gt;"",Summary!B322,""),""),"")</f>
        <v/>
      </c>
      <c r="N326" t="str">
        <f t="shared" si="53"/>
        <v/>
      </c>
      <c r="O326">
        <f t="shared" si="54"/>
        <v>0</v>
      </c>
      <c r="Q326" t="str">
        <f>IF($C$15&gt;=4,IF($C$13="Yes",IF(Summary!B322&lt;&gt;"",Summary!B322,""),""),"")</f>
        <v/>
      </c>
      <c r="R326" t="str">
        <f t="shared" si="55"/>
        <v/>
      </c>
      <c r="S326">
        <f t="shared" si="56"/>
        <v>0</v>
      </c>
      <c r="U326" t="str">
        <f>IF($C$15&gt;=5,IF($C$13="Yes",IF(Summary!B322&lt;&gt;"",Summary!B322,""),""),"")</f>
        <v/>
      </c>
      <c r="V326" t="str">
        <f t="shared" si="57"/>
        <v/>
      </c>
      <c r="W326">
        <f t="shared" si="58"/>
        <v>0</v>
      </c>
      <c r="Y326" t="str">
        <f>IF($C$13="Yes",IF(Summary!B322&lt;&gt;"",Summary!B322,""),"")</f>
        <v/>
      </c>
      <c r="Z326" s="439" t="str">
        <f t="shared" si="59"/>
        <v/>
      </c>
      <c r="AA326" t="str">
        <f t="shared" si="48"/>
        <v/>
      </c>
    </row>
    <row r="327" spans="2:27">
      <c r="B327" t="str">
        <f>IF(Summary!B323&lt;&gt;"",Summary!B323,"")</f>
        <v/>
      </c>
      <c r="C327" t="str">
        <f>IF(Summary!C323&lt;&gt;"",Summary!C323,"")</f>
        <v/>
      </c>
      <c r="E327" t="str">
        <f>IF($C$15&gt;=1,IF($C$13="Yes",IF(Summary!B323&lt;&gt;"",Summary!B323,""),""),"")</f>
        <v/>
      </c>
      <c r="F327" t="str">
        <f t="shared" si="49"/>
        <v/>
      </c>
      <c r="G327">
        <f t="shared" si="50"/>
        <v>0</v>
      </c>
      <c r="I327" t="str">
        <f>IF($C$15&gt;=2,IF($C$13="Yes",IF(Summary!B323&lt;&gt;"",Summary!B323,""),""),"")</f>
        <v/>
      </c>
      <c r="J327" t="str">
        <f t="shared" si="51"/>
        <v/>
      </c>
      <c r="K327">
        <f t="shared" si="52"/>
        <v>0</v>
      </c>
      <c r="M327" t="str">
        <f>IF($C$15&gt;=3,IF($C$13="Yes",IF(Summary!B323&lt;&gt;"",Summary!B323,""),""),"")</f>
        <v/>
      </c>
      <c r="N327" t="str">
        <f t="shared" si="53"/>
        <v/>
      </c>
      <c r="O327">
        <f t="shared" si="54"/>
        <v>0</v>
      </c>
      <c r="Q327" t="str">
        <f>IF($C$15&gt;=4,IF($C$13="Yes",IF(Summary!B323&lt;&gt;"",Summary!B323,""),""),"")</f>
        <v/>
      </c>
      <c r="R327" t="str">
        <f t="shared" si="55"/>
        <v/>
      </c>
      <c r="S327">
        <f t="shared" si="56"/>
        <v>0</v>
      </c>
      <c r="U327" t="str">
        <f>IF($C$15&gt;=5,IF($C$13="Yes",IF(Summary!B323&lt;&gt;"",Summary!B323,""),""),"")</f>
        <v/>
      </c>
      <c r="V327" t="str">
        <f t="shared" si="57"/>
        <v/>
      </c>
      <c r="W327">
        <f t="shared" si="58"/>
        <v>0</v>
      </c>
      <c r="Y327" t="str">
        <f>IF($C$13="Yes",IF(Summary!B323&lt;&gt;"",Summary!B323,""),"")</f>
        <v/>
      </c>
      <c r="Z327" s="439" t="str">
        <f t="shared" si="59"/>
        <v/>
      </c>
      <c r="AA327" t="str">
        <f t="shared" si="48"/>
        <v/>
      </c>
    </row>
    <row r="328" spans="2:27">
      <c r="B328" t="str">
        <f>IF(Summary!B324&lt;&gt;"",Summary!B324,"")</f>
        <v/>
      </c>
      <c r="C328" t="str">
        <f>IF(Summary!C324&lt;&gt;"",Summary!C324,"")</f>
        <v/>
      </c>
      <c r="E328" t="str">
        <f>IF($C$15&gt;=1,IF($C$13="Yes",IF(Summary!B324&lt;&gt;"",Summary!B324,""),""),"")</f>
        <v/>
      </c>
      <c r="F328" t="str">
        <f t="shared" si="49"/>
        <v/>
      </c>
      <c r="G328">
        <f t="shared" si="50"/>
        <v>0</v>
      </c>
      <c r="I328" t="str">
        <f>IF($C$15&gt;=2,IF($C$13="Yes",IF(Summary!B324&lt;&gt;"",Summary!B324,""),""),"")</f>
        <v/>
      </c>
      <c r="J328" t="str">
        <f t="shared" si="51"/>
        <v/>
      </c>
      <c r="K328">
        <f t="shared" si="52"/>
        <v>0</v>
      </c>
      <c r="M328" t="str">
        <f>IF($C$15&gt;=3,IF($C$13="Yes",IF(Summary!B324&lt;&gt;"",Summary!B324,""),""),"")</f>
        <v/>
      </c>
      <c r="N328" t="str">
        <f t="shared" si="53"/>
        <v/>
      </c>
      <c r="O328">
        <f t="shared" si="54"/>
        <v>0</v>
      </c>
      <c r="Q328" t="str">
        <f>IF($C$15&gt;=4,IF($C$13="Yes",IF(Summary!B324&lt;&gt;"",Summary!B324,""),""),"")</f>
        <v/>
      </c>
      <c r="R328" t="str">
        <f t="shared" si="55"/>
        <v/>
      </c>
      <c r="S328">
        <f t="shared" si="56"/>
        <v>0</v>
      </c>
      <c r="U328" t="str">
        <f>IF($C$15&gt;=5,IF($C$13="Yes",IF(Summary!B324&lt;&gt;"",Summary!B324,""),""),"")</f>
        <v/>
      </c>
      <c r="V328" t="str">
        <f t="shared" si="57"/>
        <v/>
      </c>
      <c r="W328">
        <f t="shared" si="58"/>
        <v>0</v>
      </c>
      <c r="Y328" t="str">
        <f>IF($C$13="Yes",IF(Summary!B324&lt;&gt;"",Summary!B324,""),"")</f>
        <v/>
      </c>
      <c r="Z328" s="439" t="str">
        <f t="shared" si="59"/>
        <v/>
      </c>
      <c r="AA328" t="str">
        <f t="shared" si="48"/>
        <v/>
      </c>
    </row>
    <row r="329" spans="2:27">
      <c r="B329" t="str">
        <f>IF(Summary!B325&lt;&gt;"",Summary!B325,"")</f>
        <v/>
      </c>
      <c r="C329" t="str">
        <f>IF(Summary!C325&lt;&gt;"",Summary!C325,"")</f>
        <v/>
      </c>
      <c r="E329" t="str">
        <f>IF($C$15&gt;=1,IF($C$13="Yes",IF(Summary!B325&lt;&gt;"",Summary!B325,""),""),"")</f>
        <v/>
      </c>
      <c r="F329" t="str">
        <f t="shared" si="49"/>
        <v/>
      </c>
      <c r="G329">
        <f t="shared" si="50"/>
        <v>0</v>
      </c>
      <c r="I329" t="str">
        <f>IF($C$15&gt;=2,IF($C$13="Yes",IF(Summary!B325&lt;&gt;"",Summary!B325,""),""),"")</f>
        <v/>
      </c>
      <c r="J329" t="str">
        <f t="shared" si="51"/>
        <v/>
      </c>
      <c r="K329">
        <f t="shared" si="52"/>
        <v>0</v>
      </c>
      <c r="M329" t="str">
        <f>IF($C$15&gt;=3,IF($C$13="Yes",IF(Summary!B325&lt;&gt;"",Summary!B325,""),""),"")</f>
        <v/>
      </c>
      <c r="N329" t="str">
        <f t="shared" si="53"/>
        <v/>
      </c>
      <c r="O329">
        <f t="shared" si="54"/>
        <v>0</v>
      </c>
      <c r="Q329" t="str">
        <f>IF($C$15&gt;=4,IF($C$13="Yes",IF(Summary!B325&lt;&gt;"",Summary!B325,""),""),"")</f>
        <v/>
      </c>
      <c r="R329" t="str">
        <f t="shared" si="55"/>
        <v/>
      </c>
      <c r="S329">
        <f t="shared" si="56"/>
        <v>0</v>
      </c>
      <c r="U329" t="str">
        <f>IF($C$15&gt;=5,IF($C$13="Yes",IF(Summary!B325&lt;&gt;"",Summary!B325,""),""),"")</f>
        <v/>
      </c>
      <c r="V329" t="str">
        <f t="shared" si="57"/>
        <v/>
      </c>
      <c r="W329">
        <f t="shared" si="58"/>
        <v>0</v>
      </c>
      <c r="Y329" t="str">
        <f>IF($C$13="Yes",IF(Summary!B325&lt;&gt;"",Summary!B325,""),"")</f>
        <v/>
      </c>
      <c r="Z329" s="439" t="str">
        <f t="shared" si="59"/>
        <v/>
      </c>
      <c r="AA329" t="str">
        <f t="shared" si="48"/>
        <v/>
      </c>
    </row>
    <row r="330" spans="2:27">
      <c r="B330" t="str">
        <f>IF(Summary!B326&lt;&gt;"",Summary!B326,"")</f>
        <v/>
      </c>
      <c r="C330" t="str">
        <f>IF(Summary!C326&lt;&gt;"",Summary!C326,"")</f>
        <v/>
      </c>
      <c r="E330" t="str">
        <f>IF($C$15&gt;=1,IF($C$13="Yes",IF(Summary!B326&lt;&gt;"",Summary!B326,""),""),"")</f>
        <v/>
      </c>
      <c r="F330" t="str">
        <f t="shared" si="49"/>
        <v/>
      </c>
      <c r="G330">
        <f t="shared" si="50"/>
        <v>0</v>
      </c>
      <c r="I330" t="str">
        <f>IF($C$15&gt;=2,IF($C$13="Yes",IF(Summary!B326&lt;&gt;"",Summary!B326,""),""),"")</f>
        <v/>
      </c>
      <c r="J330" t="str">
        <f t="shared" si="51"/>
        <v/>
      </c>
      <c r="K330">
        <f t="shared" si="52"/>
        <v>0</v>
      </c>
      <c r="M330" t="str">
        <f>IF($C$15&gt;=3,IF($C$13="Yes",IF(Summary!B326&lt;&gt;"",Summary!B326,""),""),"")</f>
        <v/>
      </c>
      <c r="N330" t="str">
        <f t="shared" si="53"/>
        <v/>
      </c>
      <c r="O330">
        <f t="shared" si="54"/>
        <v>0</v>
      </c>
      <c r="Q330" t="str">
        <f>IF($C$15&gt;=4,IF($C$13="Yes",IF(Summary!B326&lt;&gt;"",Summary!B326,""),""),"")</f>
        <v/>
      </c>
      <c r="R330" t="str">
        <f t="shared" si="55"/>
        <v/>
      </c>
      <c r="S330">
        <f t="shared" si="56"/>
        <v>0</v>
      </c>
      <c r="U330" t="str">
        <f>IF($C$15&gt;=5,IF($C$13="Yes",IF(Summary!B326&lt;&gt;"",Summary!B326,""),""),"")</f>
        <v/>
      </c>
      <c r="V330" t="str">
        <f t="shared" si="57"/>
        <v/>
      </c>
      <c r="W330">
        <f t="shared" si="58"/>
        <v>0</v>
      </c>
      <c r="Y330" t="str">
        <f>IF($C$13="Yes",IF(Summary!B326&lt;&gt;"",Summary!B326,""),"")</f>
        <v/>
      </c>
      <c r="Z330" s="439" t="str">
        <f t="shared" si="59"/>
        <v/>
      </c>
      <c r="AA330" t="str">
        <f t="shared" si="48"/>
        <v/>
      </c>
    </row>
    <row r="331" spans="2:27">
      <c r="B331" t="str">
        <f>IF(Summary!B327&lt;&gt;"",Summary!B327,"")</f>
        <v/>
      </c>
      <c r="C331" t="str">
        <f>IF(Summary!C327&lt;&gt;"",Summary!C327,"")</f>
        <v/>
      </c>
      <c r="E331" t="str">
        <f>IF($C$15&gt;=1,IF($C$13="Yes",IF(Summary!B327&lt;&gt;"",Summary!B327,""),""),"")</f>
        <v/>
      </c>
      <c r="F331" t="str">
        <f t="shared" si="49"/>
        <v/>
      </c>
      <c r="G331">
        <f t="shared" si="50"/>
        <v>0</v>
      </c>
      <c r="I331" t="str">
        <f>IF($C$15&gt;=2,IF($C$13="Yes",IF(Summary!B327&lt;&gt;"",Summary!B327,""),""),"")</f>
        <v/>
      </c>
      <c r="J331" t="str">
        <f t="shared" si="51"/>
        <v/>
      </c>
      <c r="K331">
        <f t="shared" si="52"/>
        <v>0</v>
      </c>
      <c r="M331" t="str">
        <f>IF($C$15&gt;=3,IF($C$13="Yes",IF(Summary!B327&lt;&gt;"",Summary!B327,""),""),"")</f>
        <v/>
      </c>
      <c r="N331" t="str">
        <f t="shared" si="53"/>
        <v/>
      </c>
      <c r="O331">
        <f t="shared" si="54"/>
        <v>0</v>
      </c>
      <c r="Q331" t="str">
        <f>IF($C$15&gt;=4,IF($C$13="Yes",IF(Summary!B327&lt;&gt;"",Summary!B327,""),""),"")</f>
        <v/>
      </c>
      <c r="R331" t="str">
        <f t="shared" si="55"/>
        <v/>
      </c>
      <c r="S331">
        <f t="shared" si="56"/>
        <v>0</v>
      </c>
      <c r="U331" t="str">
        <f>IF($C$15&gt;=5,IF($C$13="Yes",IF(Summary!B327&lt;&gt;"",Summary!B327,""),""),"")</f>
        <v/>
      </c>
      <c r="V331" t="str">
        <f t="shared" si="57"/>
        <v/>
      </c>
      <c r="W331">
        <f t="shared" si="58"/>
        <v>0</v>
      </c>
      <c r="Y331" t="str">
        <f>IF($C$13="Yes",IF(Summary!B327&lt;&gt;"",Summary!B327,""),"")</f>
        <v/>
      </c>
      <c r="Z331" s="439" t="str">
        <f t="shared" si="59"/>
        <v/>
      </c>
      <c r="AA331" t="str">
        <f t="shared" si="48"/>
        <v/>
      </c>
    </row>
    <row r="332" spans="2:27">
      <c r="B332" t="str">
        <f>IF(Summary!B328&lt;&gt;"",Summary!B328,"")</f>
        <v/>
      </c>
      <c r="C332" t="str">
        <f>IF(Summary!C328&lt;&gt;"",Summary!C328,"")</f>
        <v/>
      </c>
      <c r="E332" t="str">
        <f>IF($C$15&gt;=1,IF($C$13="Yes",IF(Summary!B328&lt;&gt;"",Summary!B328,""),""),"")</f>
        <v/>
      </c>
      <c r="F332" t="str">
        <f t="shared" si="49"/>
        <v/>
      </c>
      <c r="G332">
        <f t="shared" si="50"/>
        <v>0</v>
      </c>
      <c r="I332" t="str">
        <f>IF($C$15&gt;=2,IF($C$13="Yes",IF(Summary!B328&lt;&gt;"",Summary!B328,""),""),"")</f>
        <v/>
      </c>
      <c r="J332" t="str">
        <f t="shared" si="51"/>
        <v/>
      </c>
      <c r="K332">
        <f t="shared" si="52"/>
        <v>0</v>
      </c>
      <c r="M332" t="str">
        <f>IF($C$15&gt;=3,IF($C$13="Yes",IF(Summary!B328&lt;&gt;"",Summary!B328,""),""),"")</f>
        <v/>
      </c>
      <c r="N332" t="str">
        <f t="shared" si="53"/>
        <v/>
      </c>
      <c r="O332">
        <f t="shared" si="54"/>
        <v>0</v>
      </c>
      <c r="Q332" t="str">
        <f>IF($C$15&gt;=4,IF($C$13="Yes",IF(Summary!B328&lt;&gt;"",Summary!B328,""),""),"")</f>
        <v/>
      </c>
      <c r="R332" t="str">
        <f t="shared" si="55"/>
        <v/>
      </c>
      <c r="S332">
        <f t="shared" si="56"/>
        <v>0</v>
      </c>
      <c r="U332" t="str">
        <f>IF($C$15&gt;=5,IF($C$13="Yes",IF(Summary!B328&lt;&gt;"",Summary!B328,""),""),"")</f>
        <v/>
      </c>
      <c r="V332" t="str">
        <f t="shared" si="57"/>
        <v/>
      </c>
      <c r="W332">
        <f t="shared" si="58"/>
        <v>0</v>
      </c>
      <c r="Y332" t="str">
        <f>IF($C$13="Yes",IF(Summary!B328&lt;&gt;"",Summary!B328,""),"")</f>
        <v/>
      </c>
      <c r="Z332" s="439" t="str">
        <f t="shared" si="59"/>
        <v/>
      </c>
      <c r="AA332" t="str">
        <f t="shared" si="48"/>
        <v/>
      </c>
    </row>
    <row r="333" spans="2:27">
      <c r="B333" t="str">
        <f>IF(Summary!B329&lt;&gt;"",Summary!B329,"")</f>
        <v/>
      </c>
      <c r="C333" t="str">
        <f>IF(Summary!C329&lt;&gt;"",Summary!C329,"")</f>
        <v/>
      </c>
      <c r="E333" t="str">
        <f>IF($C$15&gt;=1,IF($C$13="Yes",IF(Summary!B329&lt;&gt;"",Summary!B329,""),""),"")</f>
        <v/>
      </c>
      <c r="F333" t="str">
        <f t="shared" si="49"/>
        <v/>
      </c>
      <c r="G333">
        <f t="shared" si="50"/>
        <v>0</v>
      </c>
      <c r="I333" t="str">
        <f>IF($C$15&gt;=2,IF($C$13="Yes",IF(Summary!B329&lt;&gt;"",Summary!B329,""),""),"")</f>
        <v/>
      </c>
      <c r="J333" t="str">
        <f t="shared" si="51"/>
        <v/>
      </c>
      <c r="K333">
        <f t="shared" si="52"/>
        <v>0</v>
      </c>
      <c r="M333" t="str">
        <f>IF($C$15&gt;=3,IF($C$13="Yes",IF(Summary!B329&lt;&gt;"",Summary!B329,""),""),"")</f>
        <v/>
      </c>
      <c r="N333" t="str">
        <f t="shared" si="53"/>
        <v/>
      </c>
      <c r="O333">
        <f t="shared" si="54"/>
        <v>0</v>
      </c>
      <c r="Q333" t="str">
        <f>IF($C$15&gt;=4,IF($C$13="Yes",IF(Summary!B329&lt;&gt;"",Summary!B329,""),""),"")</f>
        <v/>
      </c>
      <c r="R333" t="str">
        <f t="shared" si="55"/>
        <v/>
      </c>
      <c r="S333">
        <f t="shared" si="56"/>
        <v>0</v>
      </c>
      <c r="U333" t="str">
        <f>IF($C$15&gt;=5,IF($C$13="Yes",IF(Summary!B329&lt;&gt;"",Summary!B329,""),""),"")</f>
        <v/>
      </c>
      <c r="V333" t="str">
        <f t="shared" si="57"/>
        <v/>
      </c>
      <c r="W333">
        <f t="shared" si="58"/>
        <v>0</v>
      </c>
      <c r="Y333" t="str">
        <f>IF($C$13="Yes",IF(Summary!B329&lt;&gt;"",Summary!B329,""),"")</f>
        <v/>
      </c>
      <c r="Z333" s="439" t="str">
        <f t="shared" si="59"/>
        <v/>
      </c>
      <c r="AA333" t="str">
        <f t="shared" si="48"/>
        <v/>
      </c>
    </row>
    <row r="334" spans="2:27">
      <c r="B334" t="str">
        <f>IF(Summary!B330&lt;&gt;"",Summary!B330,"")</f>
        <v/>
      </c>
      <c r="C334" t="str">
        <f>IF(Summary!C330&lt;&gt;"",Summary!C330,"")</f>
        <v/>
      </c>
      <c r="E334" t="str">
        <f>IF($C$15&gt;=1,IF($C$13="Yes",IF(Summary!B330&lt;&gt;"",Summary!B330,""),""),"")</f>
        <v/>
      </c>
      <c r="F334" t="str">
        <f t="shared" si="49"/>
        <v/>
      </c>
      <c r="G334">
        <f t="shared" si="50"/>
        <v>0</v>
      </c>
      <c r="I334" t="str">
        <f>IF($C$15&gt;=2,IF($C$13="Yes",IF(Summary!B330&lt;&gt;"",Summary!B330,""),""),"")</f>
        <v/>
      </c>
      <c r="J334" t="str">
        <f t="shared" si="51"/>
        <v/>
      </c>
      <c r="K334">
        <f t="shared" si="52"/>
        <v>0</v>
      </c>
      <c r="M334" t="str">
        <f>IF($C$15&gt;=3,IF($C$13="Yes",IF(Summary!B330&lt;&gt;"",Summary!B330,""),""),"")</f>
        <v/>
      </c>
      <c r="N334" t="str">
        <f t="shared" si="53"/>
        <v/>
      </c>
      <c r="O334">
        <f t="shared" si="54"/>
        <v>0</v>
      </c>
      <c r="Q334" t="str">
        <f>IF($C$15&gt;=4,IF($C$13="Yes",IF(Summary!B330&lt;&gt;"",Summary!B330,""),""),"")</f>
        <v/>
      </c>
      <c r="R334" t="str">
        <f t="shared" si="55"/>
        <v/>
      </c>
      <c r="S334">
        <f t="shared" si="56"/>
        <v>0</v>
      </c>
      <c r="U334" t="str">
        <f>IF($C$15&gt;=5,IF($C$13="Yes",IF(Summary!B330&lt;&gt;"",Summary!B330,""),""),"")</f>
        <v/>
      </c>
      <c r="V334" t="str">
        <f t="shared" si="57"/>
        <v/>
      </c>
      <c r="W334">
        <f t="shared" si="58"/>
        <v>0</v>
      </c>
      <c r="Y334" t="str">
        <f>IF($C$13="Yes",IF(Summary!B330&lt;&gt;"",Summary!B330,""),"")</f>
        <v/>
      </c>
      <c r="Z334" s="439" t="str">
        <f t="shared" si="59"/>
        <v/>
      </c>
      <c r="AA334" t="str">
        <f t="shared" si="48"/>
        <v/>
      </c>
    </row>
    <row r="335" spans="2:27">
      <c r="B335" t="str">
        <f>IF(Summary!B331&lt;&gt;"",Summary!B331,"")</f>
        <v/>
      </c>
      <c r="C335" t="str">
        <f>IF(Summary!C331&lt;&gt;"",Summary!C331,"")</f>
        <v/>
      </c>
      <c r="E335" t="str">
        <f>IF($C$15&gt;=1,IF($C$13="Yes",IF(Summary!B331&lt;&gt;"",Summary!B331,""),""),"")</f>
        <v/>
      </c>
      <c r="F335" t="str">
        <f t="shared" si="49"/>
        <v/>
      </c>
      <c r="G335">
        <f t="shared" si="50"/>
        <v>0</v>
      </c>
      <c r="I335" t="str">
        <f>IF($C$15&gt;=2,IF($C$13="Yes",IF(Summary!B331&lt;&gt;"",Summary!B331,""),""),"")</f>
        <v/>
      </c>
      <c r="J335" t="str">
        <f t="shared" si="51"/>
        <v/>
      </c>
      <c r="K335">
        <f t="shared" si="52"/>
        <v>0</v>
      </c>
      <c r="M335" t="str">
        <f>IF($C$15&gt;=3,IF($C$13="Yes",IF(Summary!B331&lt;&gt;"",Summary!B331,""),""),"")</f>
        <v/>
      </c>
      <c r="N335" t="str">
        <f t="shared" si="53"/>
        <v/>
      </c>
      <c r="O335">
        <f t="shared" si="54"/>
        <v>0</v>
      </c>
      <c r="Q335" t="str">
        <f>IF($C$15&gt;=4,IF($C$13="Yes",IF(Summary!B331&lt;&gt;"",Summary!B331,""),""),"")</f>
        <v/>
      </c>
      <c r="R335" t="str">
        <f t="shared" si="55"/>
        <v/>
      </c>
      <c r="S335">
        <f t="shared" si="56"/>
        <v>0</v>
      </c>
      <c r="U335" t="str">
        <f>IF($C$15&gt;=5,IF($C$13="Yes",IF(Summary!B331&lt;&gt;"",Summary!B331,""),""),"")</f>
        <v/>
      </c>
      <c r="V335" t="str">
        <f t="shared" si="57"/>
        <v/>
      </c>
      <c r="W335">
        <f t="shared" si="58"/>
        <v>0</v>
      </c>
      <c r="Y335" t="str">
        <f>IF($C$13="Yes",IF(Summary!B331&lt;&gt;"",Summary!B331,""),"")</f>
        <v/>
      </c>
      <c r="Z335" s="439" t="str">
        <f t="shared" si="59"/>
        <v/>
      </c>
      <c r="AA335" t="str">
        <f t="shared" si="48"/>
        <v/>
      </c>
    </row>
    <row r="336" spans="2:27">
      <c r="B336" t="str">
        <f>IF(Summary!B332&lt;&gt;"",Summary!B332,"")</f>
        <v/>
      </c>
      <c r="C336" t="str">
        <f>IF(Summary!C332&lt;&gt;"",Summary!C332,"")</f>
        <v/>
      </c>
      <c r="E336" t="str">
        <f>IF($C$15&gt;=1,IF($C$13="Yes",IF(Summary!B332&lt;&gt;"",Summary!B332,""),""),"")</f>
        <v/>
      </c>
      <c r="F336" t="str">
        <f t="shared" si="49"/>
        <v/>
      </c>
      <c r="G336">
        <f t="shared" si="50"/>
        <v>0</v>
      </c>
      <c r="I336" t="str">
        <f>IF($C$15&gt;=2,IF($C$13="Yes",IF(Summary!B332&lt;&gt;"",Summary!B332,""),""),"")</f>
        <v/>
      </c>
      <c r="J336" t="str">
        <f t="shared" si="51"/>
        <v/>
      </c>
      <c r="K336">
        <f t="shared" si="52"/>
        <v>0</v>
      </c>
      <c r="M336" t="str">
        <f>IF($C$15&gt;=3,IF($C$13="Yes",IF(Summary!B332&lt;&gt;"",Summary!B332,""),""),"")</f>
        <v/>
      </c>
      <c r="N336" t="str">
        <f t="shared" si="53"/>
        <v/>
      </c>
      <c r="O336">
        <f t="shared" si="54"/>
        <v>0</v>
      </c>
      <c r="Q336" t="str">
        <f>IF($C$15&gt;=4,IF($C$13="Yes",IF(Summary!B332&lt;&gt;"",Summary!B332,""),""),"")</f>
        <v/>
      </c>
      <c r="R336" t="str">
        <f t="shared" si="55"/>
        <v/>
      </c>
      <c r="S336">
        <f t="shared" si="56"/>
        <v>0</v>
      </c>
      <c r="U336" t="str">
        <f>IF($C$15&gt;=5,IF($C$13="Yes",IF(Summary!B332&lt;&gt;"",Summary!B332,""),""),"")</f>
        <v/>
      </c>
      <c r="V336" t="str">
        <f t="shared" si="57"/>
        <v/>
      </c>
      <c r="W336">
        <f t="shared" si="58"/>
        <v>0</v>
      </c>
      <c r="Y336" t="str">
        <f>IF($C$13="Yes",IF(Summary!B332&lt;&gt;"",Summary!B332,""),"")</f>
        <v/>
      </c>
      <c r="Z336" s="439" t="str">
        <f t="shared" si="59"/>
        <v/>
      </c>
      <c r="AA336" t="str">
        <f t="shared" si="48"/>
        <v/>
      </c>
    </row>
    <row r="337" spans="2:27">
      <c r="B337" t="str">
        <f>IF(Summary!B333&lt;&gt;"",Summary!B333,"")</f>
        <v/>
      </c>
      <c r="C337" t="str">
        <f>IF(Summary!C333&lt;&gt;"",Summary!C333,"")</f>
        <v/>
      </c>
      <c r="E337" t="str">
        <f>IF($C$15&gt;=1,IF($C$13="Yes",IF(Summary!B333&lt;&gt;"",Summary!B333,""),""),"")</f>
        <v/>
      </c>
      <c r="F337" t="str">
        <f t="shared" si="49"/>
        <v/>
      </c>
      <c r="G337">
        <f t="shared" si="50"/>
        <v>0</v>
      </c>
      <c r="I337" t="str">
        <f>IF($C$15&gt;=2,IF($C$13="Yes",IF(Summary!B333&lt;&gt;"",Summary!B333,""),""),"")</f>
        <v/>
      </c>
      <c r="J337" t="str">
        <f t="shared" si="51"/>
        <v/>
      </c>
      <c r="K337">
        <f t="shared" si="52"/>
        <v>0</v>
      </c>
      <c r="M337" t="str">
        <f>IF($C$15&gt;=3,IF($C$13="Yes",IF(Summary!B333&lt;&gt;"",Summary!B333,""),""),"")</f>
        <v/>
      </c>
      <c r="N337" t="str">
        <f t="shared" si="53"/>
        <v/>
      </c>
      <c r="O337">
        <f t="shared" si="54"/>
        <v>0</v>
      </c>
      <c r="Q337" t="str">
        <f>IF($C$15&gt;=4,IF($C$13="Yes",IF(Summary!B333&lt;&gt;"",Summary!B333,""),""),"")</f>
        <v/>
      </c>
      <c r="R337" t="str">
        <f t="shared" si="55"/>
        <v/>
      </c>
      <c r="S337">
        <f t="shared" si="56"/>
        <v>0</v>
      </c>
      <c r="U337" t="str">
        <f>IF($C$15&gt;=5,IF($C$13="Yes",IF(Summary!B333&lt;&gt;"",Summary!B333,""),""),"")</f>
        <v/>
      </c>
      <c r="V337" t="str">
        <f t="shared" si="57"/>
        <v/>
      </c>
      <c r="W337">
        <f t="shared" si="58"/>
        <v>0</v>
      </c>
      <c r="Y337" t="str">
        <f>IF($C$13="Yes",IF(Summary!B333&lt;&gt;"",Summary!B333,""),"")</f>
        <v/>
      </c>
      <c r="Z337" s="439" t="str">
        <f t="shared" si="59"/>
        <v/>
      </c>
      <c r="AA337" t="str">
        <f t="shared" si="48"/>
        <v/>
      </c>
    </row>
    <row r="338" spans="2:27">
      <c r="B338" t="str">
        <f>IF(Summary!B334&lt;&gt;"",Summary!B334,"")</f>
        <v/>
      </c>
      <c r="C338" t="str">
        <f>IF(Summary!C334&lt;&gt;"",Summary!C334,"")</f>
        <v/>
      </c>
      <c r="E338" t="str">
        <f>IF($C$15&gt;=1,IF($C$13="Yes",IF(Summary!B334&lt;&gt;"",Summary!B334,""),""),"")</f>
        <v/>
      </c>
      <c r="F338" t="str">
        <f t="shared" si="49"/>
        <v/>
      </c>
      <c r="G338">
        <f t="shared" si="50"/>
        <v>0</v>
      </c>
      <c r="I338" t="str">
        <f>IF($C$15&gt;=2,IF($C$13="Yes",IF(Summary!B334&lt;&gt;"",Summary!B334,""),""),"")</f>
        <v/>
      </c>
      <c r="J338" t="str">
        <f t="shared" si="51"/>
        <v/>
      </c>
      <c r="K338">
        <f t="shared" si="52"/>
        <v>0</v>
      </c>
      <c r="M338" t="str">
        <f>IF($C$15&gt;=3,IF($C$13="Yes",IF(Summary!B334&lt;&gt;"",Summary!B334,""),""),"")</f>
        <v/>
      </c>
      <c r="N338" t="str">
        <f t="shared" si="53"/>
        <v/>
      </c>
      <c r="O338">
        <f t="shared" si="54"/>
        <v>0</v>
      </c>
      <c r="Q338" t="str">
        <f>IF($C$15&gt;=4,IF($C$13="Yes",IF(Summary!B334&lt;&gt;"",Summary!B334,""),""),"")</f>
        <v/>
      </c>
      <c r="R338" t="str">
        <f t="shared" si="55"/>
        <v/>
      </c>
      <c r="S338">
        <f t="shared" si="56"/>
        <v>0</v>
      </c>
      <c r="U338" t="str">
        <f>IF($C$15&gt;=5,IF($C$13="Yes",IF(Summary!B334&lt;&gt;"",Summary!B334,""),""),"")</f>
        <v/>
      </c>
      <c r="V338" t="str">
        <f t="shared" si="57"/>
        <v/>
      </c>
      <c r="W338">
        <f t="shared" si="58"/>
        <v>0</v>
      </c>
      <c r="Y338" t="str">
        <f>IF($C$13="Yes",IF(Summary!B334&lt;&gt;"",Summary!B334,""),"")</f>
        <v/>
      </c>
      <c r="Z338" s="439" t="str">
        <f t="shared" si="59"/>
        <v/>
      </c>
      <c r="AA338" t="str">
        <f t="shared" ref="AA338:AA401" si="60">IF(Y338&lt;&gt;"Total",Z338,0)</f>
        <v/>
      </c>
    </row>
    <row r="339" spans="2:27">
      <c r="B339" t="str">
        <f>IF(Summary!B335&lt;&gt;"",Summary!B335,"")</f>
        <v/>
      </c>
      <c r="C339" t="str">
        <f>IF(Summary!C335&lt;&gt;"",Summary!C335,"")</f>
        <v/>
      </c>
      <c r="E339" t="str">
        <f>IF($C$15&gt;=1,IF($C$13="Yes",IF(Summary!B335&lt;&gt;"",Summary!B335,""),""),"")</f>
        <v/>
      </c>
      <c r="F339" t="str">
        <f t="shared" ref="F339:F402" si="61">IF($C$15&gt;=1,IFERROR(IF($C$13="Yes",(C339*$C$14),""),""),"")</f>
        <v/>
      </c>
      <c r="G339">
        <f t="shared" ref="G339:G402" si="62">IF(F339="",0,F339)</f>
        <v>0</v>
      </c>
      <c r="I339" t="str">
        <f>IF($C$15&gt;=2,IF($C$13="Yes",IF(Summary!B335&lt;&gt;"",Summary!B335,""),""),"")</f>
        <v/>
      </c>
      <c r="J339" t="str">
        <f t="shared" ref="J339:J402" si="63">IF($C$15&gt;=2,IFERROR(IF($C$13="Yes",(C339*$C$14),""),""),"")</f>
        <v/>
      </c>
      <c r="K339">
        <f t="shared" ref="K339:K402" si="64">IF(J339="",0,J339)</f>
        <v>0</v>
      </c>
      <c r="M339" t="str">
        <f>IF($C$15&gt;=3,IF($C$13="Yes",IF(Summary!B335&lt;&gt;"",Summary!B335,""),""),"")</f>
        <v/>
      </c>
      <c r="N339" t="str">
        <f t="shared" ref="N339:N402" si="65">IF($C$15&gt;=3,IFERROR(IF($C$13="Yes",(C339*$C$14),""),""),"")</f>
        <v/>
      </c>
      <c r="O339">
        <f t="shared" ref="O339:O402" si="66">IF(N339="",0,N339)</f>
        <v>0</v>
      </c>
      <c r="Q339" t="str">
        <f>IF($C$15&gt;=4,IF($C$13="Yes",IF(Summary!B335&lt;&gt;"",Summary!B335,""),""),"")</f>
        <v/>
      </c>
      <c r="R339" t="str">
        <f t="shared" ref="R339:R402" si="67">IF($C$15&gt;=4,IFERROR(IF($C$13="Yes",(C339*$C$14),""),""),"")</f>
        <v/>
      </c>
      <c r="S339">
        <f t="shared" ref="S339:S402" si="68">IF(R339="",0,R339)</f>
        <v>0</v>
      </c>
      <c r="U339" t="str">
        <f>IF($C$15&gt;=5,IF($C$13="Yes",IF(Summary!B335&lt;&gt;"",Summary!B335,""),""),"")</f>
        <v/>
      </c>
      <c r="V339" t="str">
        <f t="shared" ref="V339:V402" si="69">IF($C$15&gt;=5,IFERROR(IF($C$13="Yes",(C339*$C$14),""),""),"")</f>
        <v/>
      </c>
      <c r="W339">
        <f t="shared" ref="W339:W402" si="70">IF(V339="",0,V339)</f>
        <v>0</v>
      </c>
      <c r="Y339" t="str">
        <f>IF($C$13="Yes",IF(Summary!B335&lt;&gt;"",Summary!B335,""),"")</f>
        <v/>
      </c>
      <c r="Z339" s="439" t="str">
        <f t="shared" ref="Z339:Z402" si="71">IFERROR((C339+G339+K339+O339+S339+W339),"")</f>
        <v/>
      </c>
      <c r="AA339" t="str">
        <f t="shared" si="60"/>
        <v/>
      </c>
    </row>
    <row r="340" spans="2:27">
      <c r="B340" t="str">
        <f>IF(Summary!B336&lt;&gt;"",Summary!B336,"")</f>
        <v/>
      </c>
      <c r="C340" t="str">
        <f>IF(Summary!C336&lt;&gt;"",Summary!C336,"")</f>
        <v/>
      </c>
      <c r="E340" t="str">
        <f>IF($C$15&gt;=1,IF($C$13="Yes",IF(Summary!B336&lt;&gt;"",Summary!B336,""),""),"")</f>
        <v/>
      </c>
      <c r="F340" t="str">
        <f t="shared" si="61"/>
        <v/>
      </c>
      <c r="G340">
        <f t="shared" si="62"/>
        <v>0</v>
      </c>
      <c r="I340" t="str">
        <f>IF($C$15&gt;=2,IF($C$13="Yes",IF(Summary!B336&lt;&gt;"",Summary!B336,""),""),"")</f>
        <v/>
      </c>
      <c r="J340" t="str">
        <f t="shared" si="63"/>
        <v/>
      </c>
      <c r="K340">
        <f t="shared" si="64"/>
        <v>0</v>
      </c>
      <c r="M340" t="str">
        <f>IF($C$15&gt;=3,IF($C$13="Yes",IF(Summary!B336&lt;&gt;"",Summary!B336,""),""),"")</f>
        <v/>
      </c>
      <c r="N340" t="str">
        <f t="shared" si="65"/>
        <v/>
      </c>
      <c r="O340">
        <f t="shared" si="66"/>
        <v>0</v>
      </c>
      <c r="Q340" t="str">
        <f>IF($C$15&gt;=4,IF($C$13="Yes",IF(Summary!B336&lt;&gt;"",Summary!B336,""),""),"")</f>
        <v/>
      </c>
      <c r="R340" t="str">
        <f t="shared" si="67"/>
        <v/>
      </c>
      <c r="S340">
        <f t="shared" si="68"/>
        <v>0</v>
      </c>
      <c r="U340" t="str">
        <f>IF($C$15&gt;=5,IF($C$13="Yes",IF(Summary!B336&lt;&gt;"",Summary!B336,""),""),"")</f>
        <v/>
      </c>
      <c r="V340" t="str">
        <f t="shared" si="69"/>
        <v/>
      </c>
      <c r="W340">
        <f t="shared" si="70"/>
        <v>0</v>
      </c>
      <c r="Y340" t="str">
        <f>IF($C$13="Yes",IF(Summary!B336&lt;&gt;"",Summary!B336,""),"")</f>
        <v/>
      </c>
      <c r="Z340" s="439" t="str">
        <f t="shared" si="71"/>
        <v/>
      </c>
      <c r="AA340" t="str">
        <f t="shared" si="60"/>
        <v/>
      </c>
    </row>
    <row r="341" spans="2:27">
      <c r="B341" t="str">
        <f>IF(Summary!B337&lt;&gt;"",Summary!B337,"")</f>
        <v/>
      </c>
      <c r="C341" t="str">
        <f>IF(Summary!C337&lt;&gt;"",Summary!C337,"")</f>
        <v/>
      </c>
      <c r="E341" t="str">
        <f>IF($C$15&gt;=1,IF($C$13="Yes",IF(Summary!B337&lt;&gt;"",Summary!B337,""),""),"")</f>
        <v/>
      </c>
      <c r="F341" t="str">
        <f t="shared" si="61"/>
        <v/>
      </c>
      <c r="G341">
        <f t="shared" si="62"/>
        <v>0</v>
      </c>
      <c r="I341" t="str">
        <f>IF($C$15&gt;=2,IF($C$13="Yes",IF(Summary!B337&lt;&gt;"",Summary!B337,""),""),"")</f>
        <v/>
      </c>
      <c r="J341" t="str">
        <f t="shared" si="63"/>
        <v/>
      </c>
      <c r="K341">
        <f t="shared" si="64"/>
        <v>0</v>
      </c>
      <c r="M341" t="str">
        <f>IF($C$15&gt;=3,IF($C$13="Yes",IF(Summary!B337&lt;&gt;"",Summary!B337,""),""),"")</f>
        <v/>
      </c>
      <c r="N341" t="str">
        <f t="shared" si="65"/>
        <v/>
      </c>
      <c r="O341">
        <f t="shared" si="66"/>
        <v>0</v>
      </c>
      <c r="Q341" t="str">
        <f>IF($C$15&gt;=4,IF($C$13="Yes",IF(Summary!B337&lt;&gt;"",Summary!B337,""),""),"")</f>
        <v/>
      </c>
      <c r="R341" t="str">
        <f t="shared" si="67"/>
        <v/>
      </c>
      <c r="S341">
        <f t="shared" si="68"/>
        <v>0</v>
      </c>
      <c r="U341" t="str">
        <f>IF($C$15&gt;=5,IF($C$13="Yes",IF(Summary!B337&lt;&gt;"",Summary!B337,""),""),"")</f>
        <v/>
      </c>
      <c r="V341" t="str">
        <f t="shared" si="69"/>
        <v/>
      </c>
      <c r="W341">
        <f t="shared" si="70"/>
        <v>0</v>
      </c>
      <c r="Y341" t="str">
        <f>IF($C$13="Yes",IF(Summary!B337&lt;&gt;"",Summary!B337,""),"")</f>
        <v/>
      </c>
      <c r="Z341" s="439" t="str">
        <f t="shared" si="71"/>
        <v/>
      </c>
      <c r="AA341" t="str">
        <f t="shared" si="60"/>
        <v/>
      </c>
    </row>
    <row r="342" spans="2:27">
      <c r="B342" t="str">
        <f>IF(Summary!B338&lt;&gt;"",Summary!B338,"")</f>
        <v/>
      </c>
      <c r="C342" t="str">
        <f>IF(Summary!C338&lt;&gt;"",Summary!C338,"")</f>
        <v/>
      </c>
      <c r="E342" t="str">
        <f>IF($C$15&gt;=1,IF($C$13="Yes",IF(Summary!B338&lt;&gt;"",Summary!B338,""),""),"")</f>
        <v/>
      </c>
      <c r="F342" t="str">
        <f t="shared" si="61"/>
        <v/>
      </c>
      <c r="G342">
        <f t="shared" si="62"/>
        <v>0</v>
      </c>
      <c r="I342" t="str">
        <f>IF($C$15&gt;=2,IF($C$13="Yes",IF(Summary!B338&lt;&gt;"",Summary!B338,""),""),"")</f>
        <v/>
      </c>
      <c r="J342" t="str">
        <f t="shared" si="63"/>
        <v/>
      </c>
      <c r="K342">
        <f t="shared" si="64"/>
        <v>0</v>
      </c>
      <c r="M342" t="str">
        <f>IF($C$15&gt;=3,IF($C$13="Yes",IF(Summary!B338&lt;&gt;"",Summary!B338,""),""),"")</f>
        <v/>
      </c>
      <c r="N342" t="str">
        <f t="shared" si="65"/>
        <v/>
      </c>
      <c r="O342">
        <f t="shared" si="66"/>
        <v>0</v>
      </c>
      <c r="Q342" t="str">
        <f>IF($C$15&gt;=4,IF($C$13="Yes",IF(Summary!B338&lt;&gt;"",Summary!B338,""),""),"")</f>
        <v/>
      </c>
      <c r="R342" t="str">
        <f t="shared" si="67"/>
        <v/>
      </c>
      <c r="S342">
        <f t="shared" si="68"/>
        <v>0</v>
      </c>
      <c r="U342" t="str">
        <f>IF($C$15&gt;=5,IF($C$13="Yes",IF(Summary!B338&lt;&gt;"",Summary!B338,""),""),"")</f>
        <v/>
      </c>
      <c r="V342" t="str">
        <f t="shared" si="69"/>
        <v/>
      </c>
      <c r="W342">
        <f t="shared" si="70"/>
        <v>0</v>
      </c>
      <c r="Y342" t="str">
        <f>IF($C$13="Yes",IF(Summary!B338&lt;&gt;"",Summary!B338,""),"")</f>
        <v/>
      </c>
      <c r="Z342" s="439" t="str">
        <f t="shared" si="71"/>
        <v/>
      </c>
      <c r="AA342" t="str">
        <f t="shared" si="60"/>
        <v/>
      </c>
    </row>
    <row r="343" spans="2:27">
      <c r="B343" t="str">
        <f>IF(Summary!B339&lt;&gt;"",Summary!B339,"")</f>
        <v/>
      </c>
      <c r="C343" t="str">
        <f>IF(Summary!C339&lt;&gt;"",Summary!C339,"")</f>
        <v/>
      </c>
      <c r="E343" t="str">
        <f>IF($C$15&gt;=1,IF($C$13="Yes",IF(Summary!B339&lt;&gt;"",Summary!B339,""),""),"")</f>
        <v/>
      </c>
      <c r="F343" t="str">
        <f t="shared" si="61"/>
        <v/>
      </c>
      <c r="G343">
        <f t="shared" si="62"/>
        <v>0</v>
      </c>
      <c r="I343" t="str">
        <f>IF($C$15&gt;=2,IF($C$13="Yes",IF(Summary!B339&lt;&gt;"",Summary!B339,""),""),"")</f>
        <v/>
      </c>
      <c r="J343" t="str">
        <f t="shared" si="63"/>
        <v/>
      </c>
      <c r="K343">
        <f t="shared" si="64"/>
        <v>0</v>
      </c>
      <c r="M343" t="str">
        <f>IF($C$15&gt;=3,IF($C$13="Yes",IF(Summary!B339&lt;&gt;"",Summary!B339,""),""),"")</f>
        <v/>
      </c>
      <c r="N343" t="str">
        <f t="shared" si="65"/>
        <v/>
      </c>
      <c r="O343">
        <f t="shared" si="66"/>
        <v>0</v>
      </c>
      <c r="Q343" t="str">
        <f>IF($C$15&gt;=4,IF($C$13="Yes",IF(Summary!B339&lt;&gt;"",Summary!B339,""),""),"")</f>
        <v/>
      </c>
      <c r="R343" t="str">
        <f t="shared" si="67"/>
        <v/>
      </c>
      <c r="S343">
        <f t="shared" si="68"/>
        <v>0</v>
      </c>
      <c r="U343" t="str">
        <f>IF($C$15&gt;=5,IF($C$13="Yes",IF(Summary!B339&lt;&gt;"",Summary!B339,""),""),"")</f>
        <v/>
      </c>
      <c r="V343" t="str">
        <f t="shared" si="69"/>
        <v/>
      </c>
      <c r="W343">
        <f t="shared" si="70"/>
        <v>0</v>
      </c>
      <c r="Y343" t="str">
        <f>IF($C$13="Yes",IF(Summary!B339&lt;&gt;"",Summary!B339,""),"")</f>
        <v/>
      </c>
      <c r="Z343" s="439" t="str">
        <f t="shared" si="71"/>
        <v/>
      </c>
      <c r="AA343" t="str">
        <f t="shared" si="60"/>
        <v/>
      </c>
    </row>
    <row r="344" spans="2:27">
      <c r="B344" t="str">
        <f>IF(Summary!B340&lt;&gt;"",Summary!B340,"")</f>
        <v/>
      </c>
      <c r="C344" t="str">
        <f>IF(Summary!C340&lt;&gt;"",Summary!C340,"")</f>
        <v/>
      </c>
      <c r="E344" t="str">
        <f>IF($C$15&gt;=1,IF($C$13="Yes",IF(Summary!B340&lt;&gt;"",Summary!B340,""),""),"")</f>
        <v/>
      </c>
      <c r="F344" t="str">
        <f t="shared" si="61"/>
        <v/>
      </c>
      <c r="G344">
        <f t="shared" si="62"/>
        <v>0</v>
      </c>
      <c r="I344" t="str">
        <f>IF($C$15&gt;=2,IF($C$13="Yes",IF(Summary!B340&lt;&gt;"",Summary!B340,""),""),"")</f>
        <v/>
      </c>
      <c r="J344" t="str">
        <f t="shared" si="63"/>
        <v/>
      </c>
      <c r="K344">
        <f t="shared" si="64"/>
        <v>0</v>
      </c>
      <c r="M344" t="str">
        <f>IF($C$15&gt;=3,IF($C$13="Yes",IF(Summary!B340&lt;&gt;"",Summary!B340,""),""),"")</f>
        <v/>
      </c>
      <c r="N344" t="str">
        <f t="shared" si="65"/>
        <v/>
      </c>
      <c r="O344">
        <f t="shared" si="66"/>
        <v>0</v>
      </c>
      <c r="Q344" t="str">
        <f>IF($C$15&gt;=4,IF($C$13="Yes",IF(Summary!B340&lt;&gt;"",Summary!B340,""),""),"")</f>
        <v/>
      </c>
      <c r="R344" t="str">
        <f t="shared" si="67"/>
        <v/>
      </c>
      <c r="S344">
        <f t="shared" si="68"/>
        <v>0</v>
      </c>
      <c r="U344" t="str">
        <f>IF($C$15&gt;=5,IF($C$13="Yes",IF(Summary!B340&lt;&gt;"",Summary!B340,""),""),"")</f>
        <v/>
      </c>
      <c r="V344" t="str">
        <f t="shared" si="69"/>
        <v/>
      </c>
      <c r="W344">
        <f t="shared" si="70"/>
        <v>0</v>
      </c>
      <c r="Y344" t="str">
        <f>IF($C$13="Yes",IF(Summary!B340&lt;&gt;"",Summary!B340,""),"")</f>
        <v/>
      </c>
      <c r="Z344" s="439" t="str">
        <f t="shared" si="71"/>
        <v/>
      </c>
      <c r="AA344" t="str">
        <f t="shared" si="60"/>
        <v/>
      </c>
    </row>
    <row r="345" spans="2:27">
      <c r="B345" t="str">
        <f>IF(Summary!B341&lt;&gt;"",Summary!B341,"")</f>
        <v/>
      </c>
      <c r="C345" t="str">
        <f>IF(Summary!C341&lt;&gt;"",Summary!C341,"")</f>
        <v/>
      </c>
      <c r="E345" t="str">
        <f>IF($C$15&gt;=1,IF($C$13="Yes",IF(Summary!B341&lt;&gt;"",Summary!B341,""),""),"")</f>
        <v/>
      </c>
      <c r="F345" t="str">
        <f t="shared" si="61"/>
        <v/>
      </c>
      <c r="G345">
        <f t="shared" si="62"/>
        <v>0</v>
      </c>
      <c r="I345" t="str">
        <f>IF($C$15&gt;=2,IF($C$13="Yes",IF(Summary!B341&lt;&gt;"",Summary!B341,""),""),"")</f>
        <v/>
      </c>
      <c r="J345" t="str">
        <f t="shared" si="63"/>
        <v/>
      </c>
      <c r="K345">
        <f t="shared" si="64"/>
        <v>0</v>
      </c>
      <c r="M345" t="str">
        <f>IF($C$15&gt;=3,IF($C$13="Yes",IF(Summary!B341&lt;&gt;"",Summary!B341,""),""),"")</f>
        <v/>
      </c>
      <c r="N345" t="str">
        <f t="shared" si="65"/>
        <v/>
      </c>
      <c r="O345">
        <f t="shared" si="66"/>
        <v>0</v>
      </c>
      <c r="Q345" t="str">
        <f>IF($C$15&gt;=4,IF($C$13="Yes",IF(Summary!B341&lt;&gt;"",Summary!B341,""),""),"")</f>
        <v/>
      </c>
      <c r="R345" t="str">
        <f t="shared" si="67"/>
        <v/>
      </c>
      <c r="S345">
        <f t="shared" si="68"/>
        <v>0</v>
      </c>
      <c r="U345" t="str">
        <f>IF($C$15&gt;=5,IF($C$13="Yes",IF(Summary!B341&lt;&gt;"",Summary!B341,""),""),"")</f>
        <v/>
      </c>
      <c r="V345" t="str">
        <f t="shared" si="69"/>
        <v/>
      </c>
      <c r="W345">
        <f t="shared" si="70"/>
        <v>0</v>
      </c>
      <c r="Y345" t="str">
        <f>IF($C$13="Yes",IF(Summary!B341&lt;&gt;"",Summary!B341,""),"")</f>
        <v/>
      </c>
      <c r="Z345" s="439" t="str">
        <f t="shared" si="71"/>
        <v/>
      </c>
      <c r="AA345" t="str">
        <f t="shared" si="60"/>
        <v/>
      </c>
    </row>
    <row r="346" spans="2:27">
      <c r="B346" t="str">
        <f>IF(Summary!B342&lt;&gt;"",Summary!B342,"")</f>
        <v/>
      </c>
      <c r="C346" t="str">
        <f>IF(Summary!C342&lt;&gt;"",Summary!C342,"")</f>
        <v/>
      </c>
      <c r="E346" t="str">
        <f>IF($C$15&gt;=1,IF($C$13="Yes",IF(Summary!B342&lt;&gt;"",Summary!B342,""),""),"")</f>
        <v/>
      </c>
      <c r="F346" t="str">
        <f t="shared" si="61"/>
        <v/>
      </c>
      <c r="G346">
        <f t="shared" si="62"/>
        <v>0</v>
      </c>
      <c r="I346" t="str">
        <f>IF($C$15&gt;=2,IF($C$13="Yes",IF(Summary!B342&lt;&gt;"",Summary!B342,""),""),"")</f>
        <v/>
      </c>
      <c r="J346" t="str">
        <f t="shared" si="63"/>
        <v/>
      </c>
      <c r="K346">
        <f t="shared" si="64"/>
        <v>0</v>
      </c>
      <c r="M346" t="str">
        <f>IF($C$15&gt;=3,IF($C$13="Yes",IF(Summary!B342&lt;&gt;"",Summary!B342,""),""),"")</f>
        <v/>
      </c>
      <c r="N346" t="str">
        <f t="shared" si="65"/>
        <v/>
      </c>
      <c r="O346">
        <f t="shared" si="66"/>
        <v>0</v>
      </c>
      <c r="Q346" t="str">
        <f>IF($C$15&gt;=4,IF($C$13="Yes",IF(Summary!B342&lt;&gt;"",Summary!B342,""),""),"")</f>
        <v/>
      </c>
      <c r="R346" t="str">
        <f t="shared" si="67"/>
        <v/>
      </c>
      <c r="S346">
        <f t="shared" si="68"/>
        <v>0</v>
      </c>
      <c r="U346" t="str">
        <f>IF($C$15&gt;=5,IF($C$13="Yes",IF(Summary!B342&lt;&gt;"",Summary!B342,""),""),"")</f>
        <v/>
      </c>
      <c r="V346" t="str">
        <f t="shared" si="69"/>
        <v/>
      </c>
      <c r="W346">
        <f t="shared" si="70"/>
        <v>0</v>
      </c>
      <c r="Y346" t="str">
        <f>IF($C$13="Yes",IF(Summary!B342&lt;&gt;"",Summary!B342,""),"")</f>
        <v/>
      </c>
      <c r="Z346" s="439" t="str">
        <f t="shared" si="71"/>
        <v/>
      </c>
      <c r="AA346" t="str">
        <f t="shared" si="60"/>
        <v/>
      </c>
    </row>
    <row r="347" spans="2:27">
      <c r="B347" t="str">
        <f>IF(Summary!B343&lt;&gt;"",Summary!B343,"")</f>
        <v/>
      </c>
      <c r="C347" t="str">
        <f>IF(Summary!C343&lt;&gt;"",Summary!C343,"")</f>
        <v/>
      </c>
      <c r="E347" t="str">
        <f>IF($C$15&gt;=1,IF($C$13="Yes",IF(Summary!B343&lt;&gt;"",Summary!B343,""),""),"")</f>
        <v/>
      </c>
      <c r="F347" t="str">
        <f t="shared" si="61"/>
        <v/>
      </c>
      <c r="G347">
        <f t="shared" si="62"/>
        <v>0</v>
      </c>
      <c r="I347" t="str">
        <f>IF($C$15&gt;=2,IF($C$13="Yes",IF(Summary!B343&lt;&gt;"",Summary!B343,""),""),"")</f>
        <v/>
      </c>
      <c r="J347" t="str">
        <f t="shared" si="63"/>
        <v/>
      </c>
      <c r="K347">
        <f t="shared" si="64"/>
        <v>0</v>
      </c>
      <c r="M347" t="str">
        <f>IF($C$15&gt;=3,IF($C$13="Yes",IF(Summary!B343&lt;&gt;"",Summary!B343,""),""),"")</f>
        <v/>
      </c>
      <c r="N347" t="str">
        <f t="shared" si="65"/>
        <v/>
      </c>
      <c r="O347">
        <f t="shared" si="66"/>
        <v>0</v>
      </c>
      <c r="Q347" t="str">
        <f>IF($C$15&gt;=4,IF($C$13="Yes",IF(Summary!B343&lt;&gt;"",Summary!B343,""),""),"")</f>
        <v/>
      </c>
      <c r="R347" t="str">
        <f t="shared" si="67"/>
        <v/>
      </c>
      <c r="S347">
        <f t="shared" si="68"/>
        <v>0</v>
      </c>
      <c r="U347" t="str">
        <f>IF($C$15&gt;=5,IF($C$13="Yes",IF(Summary!B343&lt;&gt;"",Summary!B343,""),""),"")</f>
        <v/>
      </c>
      <c r="V347" t="str">
        <f t="shared" si="69"/>
        <v/>
      </c>
      <c r="W347">
        <f t="shared" si="70"/>
        <v>0</v>
      </c>
      <c r="Y347" t="str">
        <f>IF($C$13="Yes",IF(Summary!B343&lt;&gt;"",Summary!B343,""),"")</f>
        <v/>
      </c>
      <c r="Z347" s="439" t="str">
        <f t="shared" si="71"/>
        <v/>
      </c>
      <c r="AA347" t="str">
        <f t="shared" si="60"/>
        <v/>
      </c>
    </row>
    <row r="348" spans="2:27">
      <c r="B348" t="str">
        <f>IF(Summary!B344&lt;&gt;"",Summary!B344,"")</f>
        <v/>
      </c>
      <c r="C348" t="str">
        <f>IF(Summary!C344&lt;&gt;"",Summary!C344,"")</f>
        <v/>
      </c>
      <c r="E348" t="str">
        <f>IF($C$15&gt;=1,IF($C$13="Yes",IF(Summary!B344&lt;&gt;"",Summary!B344,""),""),"")</f>
        <v/>
      </c>
      <c r="F348" t="str">
        <f t="shared" si="61"/>
        <v/>
      </c>
      <c r="G348">
        <f t="shared" si="62"/>
        <v>0</v>
      </c>
      <c r="I348" t="str">
        <f>IF($C$15&gt;=2,IF($C$13="Yes",IF(Summary!B344&lt;&gt;"",Summary!B344,""),""),"")</f>
        <v/>
      </c>
      <c r="J348" t="str">
        <f t="shared" si="63"/>
        <v/>
      </c>
      <c r="K348">
        <f t="shared" si="64"/>
        <v>0</v>
      </c>
      <c r="M348" t="str">
        <f>IF($C$15&gt;=3,IF($C$13="Yes",IF(Summary!B344&lt;&gt;"",Summary!B344,""),""),"")</f>
        <v/>
      </c>
      <c r="N348" t="str">
        <f t="shared" si="65"/>
        <v/>
      </c>
      <c r="O348">
        <f t="shared" si="66"/>
        <v>0</v>
      </c>
      <c r="Q348" t="str">
        <f>IF($C$15&gt;=4,IF($C$13="Yes",IF(Summary!B344&lt;&gt;"",Summary!B344,""),""),"")</f>
        <v/>
      </c>
      <c r="R348" t="str">
        <f t="shared" si="67"/>
        <v/>
      </c>
      <c r="S348">
        <f t="shared" si="68"/>
        <v>0</v>
      </c>
      <c r="U348" t="str">
        <f>IF($C$15&gt;=5,IF($C$13="Yes",IF(Summary!B344&lt;&gt;"",Summary!B344,""),""),"")</f>
        <v/>
      </c>
      <c r="V348" t="str">
        <f t="shared" si="69"/>
        <v/>
      </c>
      <c r="W348">
        <f t="shared" si="70"/>
        <v>0</v>
      </c>
      <c r="Y348" t="str">
        <f>IF($C$13="Yes",IF(Summary!B344&lt;&gt;"",Summary!B344,""),"")</f>
        <v/>
      </c>
      <c r="Z348" s="439" t="str">
        <f t="shared" si="71"/>
        <v/>
      </c>
      <c r="AA348" t="str">
        <f t="shared" si="60"/>
        <v/>
      </c>
    </row>
    <row r="349" spans="2:27">
      <c r="B349" t="str">
        <f>IF(Summary!B345&lt;&gt;"",Summary!B345,"")</f>
        <v/>
      </c>
      <c r="C349" t="str">
        <f>IF(Summary!C345&lt;&gt;"",Summary!C345,"")</f>
        <v/>
      </c>
      <c r="E349" t="str">
        <f>IF($C$15&gt;=1,IF($C$13="Yes",IF(Summary!B345&lt;&gt;"",Summary!B345,""),""),"")</f>
        <v/>
      </c>
      <c r="F349" t="str">
        <f t="shared" si="61"/>
        <v/>
      </c>
      <c r="G349">
        <f t="shared" si="62"/>
        <v>0</v>
      </c>
      <c r="I349" t="str">
        <f>IF($C$15&gt;=2,IF($C$13="Yes",IF(Summary!B345&lt;&gt;"",Summary!B345,""),""),"")</f>
        <v/>
      </c>
      <c r="J349" t="str">
        <f t="shared" si="63"/>
        <v/>
      </c>
      <c r="K349">
        <f t="shared" si="64"/>
        <v>0</v>
      </c>
      <c r="M349" t="str">
        <f>IF($C$15&gt;=3,IF($C$13="Yes",IF(Summary!B345&lt;&gt;"",Summary!B345,""),""),"")</f>
        <v/>
      </c>
      <c r="N349" t="str">
        <f t="shared" si="65"/>
        <v/>
      </c>
      <c r="O349">
        <f t="shared" si="66"/>
        <v>0</v>
      </c>
      <c r="Q349" t="str">
        <f>IF($C$15&gt;=4,IF($C$13="Yes",IF(Summary!B345&lt;&gt;"",Summary!B345,""),""),"")</f>
        <v/>
      </c>
      <c r="R349" t="str">
        <f t="shared" si="67"/>
        <v/>
      </c>
      <c r="S349">
        <f t="shared" si="68"/>
        <v>0</v>
      </c>
      <c r="U349" t="str">
        <f>IF($C$15&gt;=5,IF($C$13="Yes",IF(Summary!B345&lt;&gt;"",Summary!B345,""),""),"")</f>
        <v/>
      </c>
      <c r="V349" t="str">
        <f t="shared" si="69"/>
        <v/>
      </c>
      <c r="W349">
        <f t="shared" si="70"/>
        <v>0</v>
      </c>
      <c r="Y349" t="str">
        <f>IF($C$13="Yes",IF(Summary!B345&lt;&gt;"",Summary!B345,""),"")</f>
        <v/>
      </c>
      <c r="Z349" s="439" t="str">
        <f t="shared" si="71"/>
        <v/>
      </c>
      <c r="AA349" t="str">
        <f t="shared" si="60"/>
        <v/>
      </c>
    </row>
    <row r="350" spans="2:27">
      <c r="B350" t="str">
        <f>IF(Summary!B346&lt;&gt;"",Summary!B346,"")</f>
        <v/>
      </c>
      <c r="C350" t="str">
        <f>IF(Summary!C346&lt;&gt;"",Summary!C346,"")</f>
        <v/>
      </c>
      <c r="E350" t="str">
        <f>IF($C$15&gt;=1,IF($C$13="Yes",IF(Summary!B346&lt;&gt;"",Summary!B346,""),""),"")</f>
        <v/>
      </c>
      <c r="F350" t="str">
        <f t="shared" si="61"/>
        <v/>
      </c>
      <c r="G350">
        <f t="shared" si="62"/>
        <v>0</v>
      </c>
      <c r="I350" t="str">
        <f>IF($C$15&gt;=2,IF($C$13="Yes",IF(Summary!B346&lt;&gt;"",Summary!B346,""),""),"")</f>
        <v/>
      </c>
      <c r="J350" t="str">
        <f t="shared" si="63"/>
        <v/>
      </c>
      <c r="K350">
        <f t="shared" si="64"/>
        <v>0</v>
      </c>
      <c r="M350" t="str">
        <f>IF($C$15&gt;=3,IF($C$13="Yes",IF(Summary!B346&lt;&gt;"",Summary!B346,""),""),"")</f>
        <v/>
      </c>
      <c r="N350" t="str">
        <f t="shared" si="65"/>
        <v/>
      </c>
      <c r="O350">
        <f t="shared" si="66"/>
        <v>0</v>
      </c>
      <c r="Q350" t="str">
        <f>IF($C$15&gt;=4,IF($C$13="Yes",IF(Summary!B346&lt;&gt;"",Summary!B346,""),""),"")</f>
        <v/>
      </c>
      <c r="R350" t="str">
        <f t="shared" si="67"/>
        <v/>
      </c>
      <c r="S350">
        <f t="shared" si="68"/>
        <v>0</v>
      </c>
      <c r="U350" t="str">
        <f>IF($C$15&gt;=5,IF($C$13="Yes",IF(Summary!B346&lt;&gt;"",Summary!B346,""),""),"")</f>
        <v/>
      </c>
      <c r="V350" t="str">
        <f t="shared" si="69"/>
        <v/>
      </c>
      <c r="W350">
        <f t="shared" si="70"/>
        <v>0</v>
      </c>
      <c r="Y350" t="str">
        <f>IF($C$13="Yes",IF(Summary!B346&lt;&gt;"",Summary!B346,""),"")</f>
        <v/>
      </c>
      <c r="Z350" s="439" t="str">
        <f t="shared" si="71"/>
        <v/>
      </c>
      <c r="AA350" t="str">
        <f t="shared" si="60"/>
        <v/>
      </c>
    </row>
    <row r="351" spans="2:27">
      <c r="B351" t="str">
        <f>IF(Summary!B347&lt;&gt;"",Summary!B347,"")</f>
        <v/>
      </c>
      <c r="C351" t="str">
        <f>IF(Summary!C347&lt;&gt;"",Summary!C347,"")</f>
        <v/>
      </c>
      <c r="E351" t="str">
        <f>IF($C$15&gt;=1,IF($C$13="Yes",IF(Summary!B347&lt;&gt;"",Summary!B347,""),""),"")</f>
        <v/>
      </c>
      <c r="F351" t="str">
        <f t="shared" si="61"/>
        <v/>
      </c>
      <c r="G351">
        <f t="shared" si="62"/>
        <v>0</v>
      </c>
      <c r="I351" t="str">
        <f>IF($C$15&gt;=2,IF($C$13="Yes",IF(Summary!B347&lt;&gt;"",Summary!B347,""),""),"")</f>
        <v/>
      </c>
      <c r="J351" t="str">
        <f t="shared" si="63"/>
        <v/>
      </c>
      <c r="K351">
        <f t="shared" si="64"/>
        <v>0</v>
      </c>
      <c r="M351" t="str">
        <f>IF($C$15&gt;=3,IF($C$13="Yes",IF(Summary!B347&lt;&gt;"",Summary!B347,""),""),"")</f>
        <v/>
      </c>
      <c r="N351" t="str">
        <f t="shared" si="65"/>
        <v/>
      </c>
      <c r="O351">
        <f t="shared" si="66"/>
        <v>0</v>
      </c>
      <c r="Q351" t="str">
        <f>IF($C$15&gt;=4,IF($C$13="Yes",IF(Summary!B347&lt;&gt;"",Summary!B347,""),""),"")</f>
        <v/>
      </c>
      <c r="R351" t="str">
        <f t="shared" si="67"/>
        <v/>
      </c>
      <c r="S351">
        <f t="shared" si="68"/>
        <v>0</v>
      </c>
      <c r="U351" t="str">
        <f>IF($C$15&gt;=5,IF($C$13="Yes",IF(Summary!B347&lt;&gt;"",Summary!B347,""),""),"")</f>
        <v/>
      </c>
      <c r="V351" t="str">
        <f t="shared" si="69"/>
        <v/>
      </c>
      <c r="W351">
        <f t="shared" si="70"/>
        <v>0</v>
      </c>
      <c r="Y351" t="str">
        <f>IF($C$13="Yes",IF(Summary!B347&lt;&gt;"",Summary!B347,""),"")</f>
        <v/>
      </c>
      <c r="Z351" s="439" t="str">
        <f t="shared" si="71"/>
        <v/>
      </c>
      <c r="AA351" t="str">
        <f t="shared" si="60"/>
        <v/>
      </c>
    </row>
    <row r="352" spans="2:27">
      <c r="B352" t="str">
        <f>IF(Summary!B348&lt;&gt;"",Summary!B348,"")</f>
        <v/>
      </c>
      <c r="C352" t="str">
        <f>IF(Summary!C348&lt;&gt;"",Summary!C348,"")</f>
        <v/>
      </c>
      <c r="E352" t="str">
        <f>IF($C$15&gt;=1,IF($C$13="Yes",IF(Summary!B348&lt;&gt;"",Summary!B348,""),""),"")</f>
        <v/>
      </c>
      <c r="F352" t="str">
        <f t="shared" si="61"/>
        <v/>
      </c>
      <c r="G352">
        <f t="shared" si="62"/>
        <v>0</v>
      </c>
      <c r="I352" t="str">
        <f>IF($C$15&gt;=2,IF($C$13="Yes",IF(Summary!B348&lt;&gt;"",Summary!B348,""),""),"")</f>
        <v/>
      </c>
      <c r="J352" t="str">
        <f t="shared" si="63"/>
        <v/>
      </c>
      <c r="K352">
        <f t="shared" si="64"/>
        <v>0</v>
      </c>
      <c r="M352" t="str">
        <f>IF($C$15&gt;=3,IF($C$13="Yes",IF(Summary!B348&lt;&gt;"",Summary!B348,""),""),"")</f>
        <v/>
      </c>
      <c r="N352" t="str">
        <f t="shared" si="65"/>
        <v/>
      </c>
      <c r="O352">
        <f t="shared" si="66"/>
        <v>0</v>
      </c>
      <c r="Q352" t="str">
        <f>IF($C$15&gt;=4,IF($C$13="Yes",IF(Summary!B348&lt;&gt;"",Summary!B348,""),""),"")</f>
        <v/>
      </c>
      <c r="R352" t="str">
        <f t="shared" si="67"/>
        <v/>
      </c>
      <c r="S352">
        <f t="shared" si="68"/>
        <v>0</v>
      </c>
      <c r="U352" t="str">
        <f>IF($C$15&gt;=5,IF($C$13="Yes",IF(Summary!B348&lt;&gt;"",Summary!B348,""),""),"")</f>
        <v/>
      </c>
      <c r="V352" t="str">
        <f t="shared" si="69"/>
        <v/>
      </c>
      <c r="W352">
        <f t="shared" si="70"/>
        <v>0</v>
      </c>
      <c r="Y352" t="str">
        <f>IF($C$13="Yes",IF(Summary!B348&lt;&gt;"",Summary!B348,""),"")</f>
        <v/>
      </c>
      <c r="Z352" s="439" t="str">
        <f t="shared" si="71"/>
        <v/>
      </c>
      <c r="AA352" t="str">
        <f t="shared" si="60"/>
        <v/>
      </c>
    </row>
    <row r="353" spans="2:27">
      <c r="B353" t="str">
        <f>IF(Summary!B349&lt;&gt;"",Summary!B349,"")</f>
        <v/>
      </c>
      <c r="C353" t="str">
        <f>IF(Summary!C349&lt;&gt;"",Summary!C349,"")</f>
        <v/>
      </c>
      <c r="E353" t="str">
        <f>IF($C$15&gt;=1,IF($C$13="Yes",IF(Summary!B349&lt;&gt;"",Summary!B349,""),""),"")</f>
        <v/>
      </c>
      <c r="F353" t="str">
        <f t="shared" si="61"/>
        <v/>
      </c>
      <c r="G353">
        <f t="shared" si="62"/>
        <v>0</v>
      </c>
      <c r="I353" t="str">
        <f>IF($C$15&gt;=2,IF($C$13="Yes",IF(Summary!B349&lt;&gt;"",Summary!B349,""),""),"")</f>
        <v/>
      </c>
      <c r="J353" t="str">
        <f t="shared" si="63"/>
        <v/>
      </c>
      <c r="K353">
        <f t="shared" si="64"/>
        <v>0</v>
      </c>
      <c r="M353" t="str">
        <f>IF($C$15&gt;=3,IF($C$13="Yes",IF(Summary!B349&lt;&gt;"",Summary!B349,""),""),"")</f>
        <v/>
      </c>
      <c r="N353" t="str">
        <f t="shared" si="65"/>
        <v/>
      </c>
      <c r="O353">
        <f t="shared" si="66"/>
        <v>0</v>
      </c>
      <c r="Q353" t="str">
        <f>IF($C$15&gt;=4,IF($C$13="Yes",IF(Summary!B349&lt;&gt;"",Summary!B349,""),""),"")</f>
        <v/>
      </c>
      <c r="R353" t="str">
        <f t="shared" si="67"/>
        <v/>
      </c>
      <c r="S353">
        <f t="shared" si="68"/>
        <v>0</v>
      </c>
      <c r="U353" t="str">
        <f>IF($C$15&gt;=5,IF($C$13="Yes",IF(Summary!B349&lt;&gt;"",Summary!B349,""),""),"")</f>
        <v/>
      </c>
      <c r="V353" t="str">
        <f t="shared" si="69"/>
        <v/>
      </c>
      <c r="W353">
        <f t="shared" si="70"/>
        <v>0</v>
      </c>
      <c r="Y353" t="str">
        <f>IF($C$13="Yes",IF(Summary!B349&lt;&gt;"",Summary!B349,""),"")</f>
        <v/>
      </c>
      <c r="Z353" s="439" t="str">
        <f t="shared" si="71"/>
        <v/>
      </c>
      <c r="AA353" t="str">
        <f t="shared" si="60"/>
        <v/>
      </c>
    </row>
    <row r="354" spans="2:27">
      <c r="B354" t="str">
        <f>IF(Summary!B350&lt;&gt;"",Summary!B350,"")</f>
        <v/>
      </c>
      <c r="C354" t="str">
        <f>IF(Summary!C350&lt;&gt;"",Summary!C350,"")</f>
        <v/>
      </c>
      <c r="E354" t="str">
        <f>IF($C$15&gt;=1,IF($C$13="Yes",IF(Summary!B350&lt;&gt;"",Summary!B350,""),""),"")</f>
        <v/>
      </c>
      <c r="F354" t="str">
        <f t="shared" si="61"/>
        <v/>
      </c>
      <c r="G354">
        <f t="shared" si="62"/>
        <v>0</v>
      </c>
      <c r="I354" t="str">
        <f>IF($C$15&gt;=2,IF($C$13="Yes",IF(Summary!B350&lt;&gt;"",Summary!B350,""),""),"")</f>
        <v/>
      </c>
      <c r="J354" t="str">
        <f t="shared" si="63"/>
        <v/>
      </c>
      <c r="K354">
        <f t="shared" si="64"/>
        <v>0</v>
      </c>
      <c r="M354" t="str">
        <f>IF($C$15&gt;=3,IF($C$13="Yes",IF(Summary!B350&lt;&gt;"",Summary!B350,""),""),"")</f>
        <v/>
      </c>
      <c r="N354" t="str">
        <f t="shared" si="65"/>
        <v/>
      </c>
      <c r="O354">
        <f t="shared" si="66"/>
        <v>0</v>
      </c>
      <c r="Q354" t="str">
        <f>IF($C$15&gt;=4,IF($C$13="Yes",IF(Summary!B350&lt;&gt;"",Summary!B350,""),""),"")</f>
        <v/>
      </c>
      <c r="R354" t="str">
        <f t="shared" si="67"/>
        <v/>
      </c>
      <c r="S354">
        <f t="shared" si="68"/>
        <v>0</v>
      </c>
      <c r="U354" t="str">
        <f>IF($C$15&gt;=5,IF($C$13="Yes",IF(Summary!B350&lt;&gt;"",Summary!B350,""),""),"")</f>
        <v/>
      </c>
      <c r="V354" t="str">
        <f t="shared" si="69"/>
        <v/>
      </c>
      <c r="W354">
        <f t="shared" si="70"/>
        <v>0</v>
      </c>
      <c r="Y354" t="str">
        <f>IF($C$13="Yes",IF(Summary!B350&lt;&gt;"",Summary!B350,""),"")</f>
        <v/>
      </c>
      <c r="Z354" s="439" t="str">
        <f t="shared" si="71"/>
        <v/>
      </c>
      <c r="AA354" t="str">
        <f t="shared" si="60"/>
        <v/>
      </c>
    </row>
    <row r="355" spans="2:27">
      <c r="B355" t="str">
        <f>IF(Summary!B351&lt;&gt;"",Summary!B351,"")</f>
        <v/>
      </c>
      <c r="C355" t="str">
        <f>IF(Summary!C351&lt;&gt;"",Summary!C351,"")</f>
        <v/>
      </c>
      <c r="E355" t="str">
        <f>IF($C$15&gt;=1,IF($C$13="Yes",IF(Summary!B351&lt;&gt;"",Summary!B351,""),""),"")</f>
        <v/>
      </c>
      <c r="F355" t="str">
        <f t="shared" si="61"/>
        <v/>
      </c>
      <c r="G355">
        <f t="shared" si="62"/>
        <v>0</v>
      </c>
      <c r="I355" t="str">
        <f>IF($C$15&gt;=2,IF($C$13="Yes",IF(Summary!B351&lt;&gt;"",Summary!B351,""),""),"")</f>
        <v/>
      </c>
      <c r="J355" t="str">
        <f t="shared" si="63"/>
        <v/>
      </c>
      <c r="K355">
        <f t="shared" si="64"/>
        <v>0</v>
      </c>
      <c r="M355" t="str">
        <f>IF($C$15&gt;=3,IF($C$13="Yes",IF(Summary!B351&lt;&gt;"",Summary!B351,""),""),"")</f>
        <v/>
      </c>
      <c r="N355" t="str">
        <f t="shared" si="65"/>
        <v/>
      </c>
      <c r="O355">
        <f t="shared" si="66"/>
        <v>0</v>
      </c>
      <c r="Q355" t="str">
        <f>IF($C$15&gt;=4,IF($C$13="Yes",IF(Summary!B351&lt;&gt;"",Summary!B351,""),""),"")</f>
        <v/>
      </c>
      <c r="R355" t="str">
        <f t="shared" si="67"/>
        <v/>
      </c>
      <c r="S355">
        <f t="shared" si="68"/>
        <v>0</v>
      </c>
      <c r="U355" t="str">
        <f>IF($C$15&gt;=5,IF($C$13="Yes",IF(Summary!B351&lt;&gt;"",Summary!B351,""),""),"")</f>
        <v/>
      </c>
      <c r="V355" t="str">
        <f t="shared" si="69"/>
        <v/>
      </c>
      <c r="W355">
        <f t="shared" si="70"/>
        <v>0</v>
      </c>
      <c r="Y355" t="str">
        <f>IF($C$13="Yes",IF(Summary!B351&lt;&gt;"",Summary!B351,""),"")</f>
        <v/>
      </c>
      <c r="Z355" s="439" t="str">
        <f t="shared" si="71"/>
        <v/>
      </c>
      <c r="AA355" t="str">
        <f t="shared" si="60"/>
        <v/>
      </c>
    </row>
    <row r="356" spans="2:27">
      <c r="B356" t="str">
        <f>IF(Summary!B352&lt;&gt;"",Summary!B352,"")</f>
        <v/>
      </c>
      <c r="C356" t="str">
        <f>IF(Summary!C352&lt;&gt;"",Summary!C352,"")</f>
        <v/>
      </c>
      <c r="E356" t="str">
        <f>IF($C$15&gt;=1,IF($C$13="Yes",IF(Summary!B352&lt;&gt;"",Summary!B352,""),""),"")</f>
        <v/>
      </c>
      <c r="F356" t="str">
        <f t="shared" si="61"/>
        <v/>
      </c>
      <c r="G356">
        <f t="shared" si="62"/>
        <v>0</v>
      </c>
      <c r="I356" t="str">
        <f>IF($C$15&gt;=2,IF($C$13="Yes",IF(Summary!B352&lt;&gt;"",Summary!B352,""),""),"")</f>
        <v/>
      </c>
      <c r="J356" t="str">
        <f t="shared" si="63"/>
        <v/>
      </c>
      <c r="K356">
        <f t="shared" si="64"/>
        <v>0</v>
      </c>
      <c r="M356" t="str">
        <f>IF($C$15&gt;=3,IF($C$13="Yes",IF(Summary!B352&lt;&gt;"",Summary!B352,""),""),"")</f>
        <v/>
      </c>
      <c r="N356" t="str">
        <f t="shared" si="65"/>
        <v/>
      </c>
      <c r="O356">
        <f t="shared" si="66"/>
        <v>0</v>
      </c>
      <c r="Q356" t="str">
        <f>IF($C$15&gt;=4,IF($C$13="Yes",IF(Summary!B352&lt;&gt;"",Summary!B352,""),""),"")</f>
        <v/>
      </c>
      <c r="R356" t="str">
        <f t="shared" si="67"/>
        <v/>
      </c>
      <c r="S356">
        <f t="shared" si="68"/>
        <v>0</v>
      </c>
      <c r="U356" t="str">
        <f>IF($C$15&gt;=5,IF($C$13="Yes",IF(Summary!B352&lt;&gt;"",Summary!B352,""),""),"")</f>
        <v/>
      </c>
      <c r="V356" t="str">
        <f t="shared" si="69"/>
        <v/>
      </c>
      <c r="W356">
        <f t="shared" si="70"/>
        <v>0</v>
      </c>
      <c r="Y356" t="str">
        <f>IF($C$13="Yes",IF(Summary!B352&lt;&gt;"",Summary!B352,""),"")</f>
        <v/>
      </c>
      <c r="Z356" s="439" t="str">
        <f t="shared" si="71"/>
        <v/>
      </c>
      <c r="AA356" t="str">
        <f t="shared" si="60"/>
        <v/>
      </c>
    </row>
    <row r="357" spans="2:27">
      <c r="B357" t="str">
        <f>IF(Summary!B353&lt;&gt;"",Summary!B353,"")</f>
        <v/>
      </c>
      <c r="C357" t="str">
        <f>IF(Summary!C353&lt;&gt;"",Summary!C353,"")</f>
        <v/>
      </c>
      <c r="E357" t="str">
        <f>IF($C$15&gt;=1,IF($C$13="Yes",IF(Summary!B353&lt;&gt;"",Summary!B353,""),""),"")</f>
        <v/>
      </c>
      <c r="F357" t="str">
        <f t="shared" si="61"/>
        <v/>
      </c>
      <c r="G357">
        <f t="shared" si="62"/>
        <v>0</v>
      </c>
      <c r="I357" t="str">
        <f>IF($C$15&gt;=2,IF($C$13="Yes",IF(Summary!B353&lt;&gt;"",Summary!B353,""),""),"")</f>
        <v/>
      </c>
      <c r="J357" t="str">
        <f t="shared" si="63"/>
        <v/>
      </c>
      <c r="K357">
        <f t="shared" si="64"/>
        <v>0</v>
      </c>
      <c r="M357" t="str">
        <f>IF($C$15&gt;=3,IF($C$13="Yes",IF(Summary!B353&lt;&gt;"",Summary!B353,""),""),"")</f>
        <v/>
      </c>
      <c r="N357" t="str">
        <f t="shared" si="65"/>
        <v/>
      </c>
      <c r="O357">
        <f t="shared" si="66"/>
        <v>0</v>
      </c>
      <c r="Q357" t="str">
        <f>IF($C$15&gt;=4,IF($C$13="Yes",IF(Summary!B353&lt;&gt;"",Summary!B353,""),""),"")</f>
        <v/>
      </c>
      <c r="R357" t="str">
        <f t="shared" si="67"/>
        <v/>
      </c>
      <c r="S357">
        <f t="shared" si="68"/>
        <v>0</v>
      </c>
      <c r="U357" t="str">
        <f>IF($C$15&gt;=5,IF($C$13="Yes",IF(Summary!B353&lt;&gt;"",Summary!B353,""),""),"")</f>
        <v/>
      </c>
      <c r="V357" t="str">
        <f t="shared" si="69"/>
        <v/>
      </c>
      <c r="W357">
        <f t="shared" si="70"/>
        <v>0</v>
      </c>
      <c r="Y357" t="str">
        <f>IF($C$13="Yes",IF(Summary!B353&lt;&gt;"",Summary!B353,""),"")</f>
        <v/>
      </c>
      <c r="Z357" s="439" t="str">
        <f t="shared" si="71"/>
        <v/>
      </c>
      <c r="AA357" t="str">
        <f t="shared" si="60"/>
        <v/>
      </c>
    </row>
    <row r="358" spans="2:27">
      <c r="B358" t="str">
        <f>IF(Summary!B354&lt;&gt;"",Summary!B354,"")</f>
        <v/>
      </c>
      <c r="C358" t="str">
        <f>IF(Summary!C354&lt;&gt;"",Summary!C354,"")</f>
        <v/>
      </c>
      <c r="E358" t="str">
        <f>IF($C$15&gt;=1,IF($C$13="Yes",IF(Summary!B354&lt;&gt;"",Summary!B354,""),""),"")</f>
        <v/>
      </c>
      <c r="F358" t="str">
        <f t="shared" si="61"/>
        <v/>
      </c>
      <c r="G358">
        <f t="shared" si="62"/>
        <v>0</v>
      </c>
      <c r="I358" t="str">
        <f>IF($C$15&gt;=2,IF($C$13="Yes",IF(Summary!B354&lt;&gt;"",Summary!B354,""),""),"")</f>
        <v/>
      </c>
      <c r="J358" t="str">
        <f t="shared" si="63"/>
        <v/>
      </c>
      <c r="K358">
        <f t="shared" si="64"/>
        <v>0</v>
      </c>
      <c r="M358" t="str">
        <f>IF($C$15&gt;=3,IF($C$13="Yes",IF(Summary!B354&lt;&gt;"",Summary!B354,""),""),"")</f>
        <v/>
      </c>
      <c r="N358" t="str">
        <f t="shared" si="65"/>
        <v/>
      </c>
      <c r="O358">
        <f t="shared" si="66"/>
        <v>0</v>
      </c>
      <c r="Q358" t="str">
        <f>IF($C$15&gt;=4,IF($C$13="Yes",IF(Summary!B354&lt;&gt;"",Summary!B354,""),""),"")</f>
        <v/>
      </c>
      <c r="R358" t="str">
        <f t="shared" si="67"/>
        <v/>
      </c>
      <c r="S358">
        <f t="shared" si="68"/>
        <v>0</v>
      </c>
      <c r="U358" t="str">
        <f>IF($C$15&gt;=5,IF($C$13="Yes",IF(Summary!B354&lt;&gt;"",Summary!B354,""),""),"")</f>
        <v/>
      </c>
      <c r="V358" t="str">
        <f t="shared" si="69"/>
        <v/>
      </c>
      <c r="W358">
        <f t="shared" si="70"/>
        <v>0</v>
      </c>
      <c r="Y358" t="str">
        <f>IF($C$13="Yes",IF(Summary!B354&lt;&gt;"",Summary!B354,""),"")</f>
        <v/>
      </c>
      <c r="Z358" s="439" t="str">
        <f t="shared" si="71"/>
        <v/>
      </c>
      <c r="AA358" t="str">
        <f t="shared" si="60"/>
        <v/>
      </c>
    </row>
    <row r="359" spans="2:27">
      <c r="B359" t="str">
        <f>IF(Summary!B355&lt;&gt;"",Summary!B355,"")</f>
        <v/>
      </c>
      <c r="C359" t="str">
        <f>IF(Summary!C355&lt;&gt;"",Summary!C355,"")</f>
        <v/>
      </c>
      <c r="E359" t="str">
        <f>IF($C$15&gt;=1,IF($C$13="Yes",IF(Summary!B355&lt;&gt;"",Summary!B355,""),""),"")</f>
        <v/>
      </c>
      <c r="F359" t="str">
        <f t="shared" si="61"/>
        <v/>
      </c>
      <c r="G359">
        <f t="shared" si="62"/>
        <v>0</v>
      </c>
      <c r="I359" t="str">
        <f>IF($C$15&gt;=2,IF($C$13="Yes",IF(Summary!B355&lt;&gt;"",Summary!B355,""),""),"")</f>
        <v/>
      </c>
      <c r="J359" t="str">
        <f t="shared" si="63"/>
        <v/>
      </c>
      <c r="K359">
        <f t="shared" si="64"/>
        <v>0</v>
      </c>
      <c r="M359" t="str">
        <f>IF($C$15&gt;=3,IF($C$13="Yes",IF(Summary!B355&lt;&gt;"",Summary!B355,""),""),"")</f>
        <v/>
      </c>
      <c r="N359" t="str">
        <f t="shared" si="65"/>
        <v/>
      </c>
      <c r="O359">
        <f t="shared" si="66"/>
        <v>0</v>
      </c>
      <c r="Q359" t="str">
        <f>IF($C$15&gt;=4,IF($C$13="Yes",IF(Summary!B355&lt;&gt;"",Summary!B355,""),""),"")</f>
        <v/>
      </c>
      <c r="R359" t="str">
        <f t="shared" si="67"/>
        <v/>
      </c>
      <c r="S359">
        <f t="shared" si="68"/>
        <v>0</v>
      </c>
      <c r="U359" t="str">
        <f>IF($C$15&gt;=5,IF($C$13="Yes",IF(Summary!B355&lt;&gt;"",Summary!B355,""),""),"")</f>
        <v/>
      </c>
      <c r="V359" t="str">
        <f t="shared" si="69"/>
        <v/>
      </c>
      <c r="W359">
        <f t="shared" si="70"/>
        <v>0</v>
      </c>
      <c r="Y359" t="str">
        <f>IF($C$13="Yes",IF(Summary!B355&lt;&gt;"",Summary!B355,""),"")</f>
        <v/>
      </c>
      <c r="Z359" s="439" t="str">
        <f t="shared" si="71"/>
        <v/>
      </c>
      <c r="AA359" t="str">
        <f t="shared" si="60"/>
        <v/>
      </c>
    </row>
    <row r="360" spans="2:27">
      <c r="B360" t="str">
        <f>IF(Summary!B356&lt;&gt;"",Summary!B356,"")</f>
        <v/>
      </c>
      <c r="C360" t="str">
        <f>IF(Summary!C356&lt;&gt;"",Summary!C356,"")</f>
        <v/>
      </c>
      <c r="E360" t="str">
        <f>IF($C$15&gt;=1,IF($C$13="Yes",IF(Summary!B356&lt;&gt;"",Summary!B356,""),""),"")</f>
        <v/>
      </c>
      <c r="F360" t="str">
        <f t="shared" si="61"/>
        <v/>
      </c>
      <c r="G360">
        <f t="shared" si="62"/>
        <v>0</v>
      </c>
      <c r="I360" t="str">
        <f>IF($C$15&gt;=2,IF($C$13="Yes",IF(Summary!B356&lt;&gt;"",Summary!B356,""),""),"")</f>
        <v/>
      </c>
      <c r="J360" t="str">
        <f t="shared" si="63"/>
        <v/>
      </c>
      <c r="K360">
        <f t="shared" si="64"/>
        <v>0</v>
      </c>
      <c r="M360" t="str">
        <f>IF($C$15&gt;=3,IF($C$13="Yes",IF(Summary!B356&lt;&gt;"",Summary!B356,""),""),"")</f>
        <v/>
      </c>
      <c r="N360" t="str">
        <f t="shared" si="65"/>
        <v/>
      </c>
      <c r="O360">
        <f t="shared" si="66"/>
        <v>0</v>
      </c>
      <c r="Q360" t="str">
        <f>IF($C$15&gt;=4,IF($C$13="Yes",IF(Summary!B356&lt;&gt;"",Summary!B356,""),""),"")</f>
        <v/>
      </c>
      <c r="R360" t="str">
        <f t="shared" si="67"/>
        <v/>
      </c>
      <c r="S360">
        <f t="shared" si="68"/>
        <v>0</v>
      </c>
      <c r="U360" t="str">
        <f>IF($C$15&gt;=5,IF($C$13="Yes",IF(Summary!B356&lt;&gt;"",Summary!B356,""),""),"")</f>
        <v/>
      </c>
      <c r="V360" t="str">
        <f t="shared" si="69"/>
        <v/>
      </c>
      <c r="W360">
        <f t="shared" si="70"/>
        <v>0</v>
      </c>
      <c r="Y360" t="str">
        <f>IF($C$13="Yes",IF(Summary!B356&lt;&gt;"",Summary!B356,""),"")</f>
        <v/>
      </c>
      <c r="Z360" s="439" t="str">
        <f t="shared" si="71"/>
        <v/>
      </c>
      <c r="AA360" t="str">
        <f t="shared" si="60"/>
        <v/>
      </c>
    </row>
    <row r="361" spans="2:27">
      <c r="B361" t="str">
        <f>IF(Summary!B357&lt;&gt;"",Summary!B357,"")</f>
        <v/>
      </c>
      <c r="C361" t="str">
        <f>IF(Summary!C357&lt;&gt;"",Summary!C357,"")</f>
        <v/>
      </c>
      <c r="E361" t="str">
        <f>IF($C$15&gt;=1,IF($C$13="Yes",IF(Summary!B357&lt;&gt;"",Summary!B357,""),""),"")</f>
        <v/>
      </c>
      <c r="F361" t="str">
        <f t="shared" si="61"/>
        <v/>
      </c>
      <c r="G361">
        <f t="shared" si="62"/>
        <v>0</v>
      </c>
      <c r="I361" t="str">
        <f>IF($C$15&gt;=2,IF($C$13="Yes",IF(Summary!B357&lt;&gt;"",Summary!B357,""),""),"")</f>
        <v/>
      </c>
      <c r="J361" t="str">
        <f t="shared" si="63"/>
        <v/>
      </c>
      <c r="K361">
        <f t="shared" si="64"/>
        <v>0</v>
      </c>
      <c r="M361" t="str">
        <f>IF($C$15&gt;=3,IF($C$13="Yes",IF(Summary!B357&lt;&gt;"",Summary!B357,""),""),"")</f>
        <v/>
      </c>
      <c r="N361" t="str">
        <f t="shared" si="65"/>
        <v/>
      </c>
      <c r="O361">
        <f t="shared" si="66"/>
        <v>0</v>
      </c>
      <c r="Q361" t="str">
        <f>IF($C$15&gt;=4,IF($C$13="Yes",IF(Summary!B357&lt;&gt;"",Summary!B357,""),""),"")</f>
        <v/>
      </c>
      <c r="R361" t="str">
        <f t="shared" si="67"/>
        <v/>
      </c>
      <c r="S361">
        <f t="shared" si="68"/>
        <v>0</v>
      </c>
      <c r="U361" t="str">
        <f>IF($C$15&gt;=5,IF($C$13="Yes",IF(Summary!B357&lt;&gt;"",Summary!B357,""),""),"")</f>
        <v/>
      </c>
      <c r="V361" t="str">
        <f t="shared" si="69"/>
        <v/>
      </c>
      <c r="W361">
        <f t="shared" si="70"/>
        <v>0</v>
      </c>
      <c r="Y361" t="str">
        <f>IF($C$13="Yes",IF(Summary!B357&lt;&gt;"",Summary!B357,""),"")</f>
        <v/>
      </c>
      <c r="Z361" s="439" t="str">
        <f t="shared" si="71"/>
        <v/>
      </c>
      <c r="AA361" t="str">
        <f t="shared" si="60"/>
        <v/>
      </c>
    </row>
    <row r="362" spans="2:27">
      <c r="B362" t="str">
        <f>IF(Summary!B358&lt;&gt;"",Summary!B358,"")</f>
        <v/>
      </c>
      <c r="C362" t="str">
        <f>IF(Summary!C358&lt;&gt;"",Summary!C358,"")</f>
        <v/>
      </c>
      <c r="E362" t="str">
        <f>IF($C$15&gt;=1,IF($C$13="Yes",IF(Summary!B358&lt;&gt;"",Summary!B358,""),""),"")</f>
        <v/>
      </c>
      <c r="F362" t="str">
        <f t="shared" si="61"/>
        <v/>
      </c>
      <c r="G362">
        <f t="shared" si="62"/>
        <v>0</v>
      </c>
      <c r="I362" t="str">
        <f>IF($C$15&gt;=2,IF($C$13="Yes",IF(Summary!B358&lt;&gt;"",Summary!B358,""),""),"")</f>
        <v/>
      </c>
      <c r="J362" t="str">
        <f t="shared" si="63"/>
        <v/>
      </c>
      <c r="K362">
        <f t="shared" si="64"/>
        <v>0</v>
      </c>
      <c r="M362" t="str">
        <f>IF($C$15&gt;=3,IF($C$13="Yes",IF(Summary!B358&lt;&gt;"",Summary!B358,""),""),"")</f>
        <v/>
      </c>
      <c r="N362" t="str">
        <f t="shared" si="65"/>
        <v/>
      </c>
      <c r="O362">
        <f t="shared" si="66"/>
        <v>0</v>
      </c>
      <c r="Q362" t="str">
        <f>IF($C$15&gt;=4,IF($C$13="Yes",IF(Summary!B358&lt;&gt;"",Summary!B358,""),""),"")</f>
        <v/>
      </c>
      <c r="R362" t="str">
        <f t="shared" si="67"/>
        <v/>
      </c>
      <c r="S362">
        <f t="shared" si="68"/>
        <v>0</v>
      </c>
      <c r="U362" t="str">
        <f>IF($C$15&gt;=5,IF($C$13="Yes",IF(Summary!B358&lt;&gt;"",Summary!B358,""),""),"")</f>
        <v/>
      </c>
      <c r="V362" t="str">
        <f t="shared" si="69"/>
        <v/>
      </c>
      <c r="W362">
        <f t="shared" si="70"/>
        <v>0</v>
      </c>
      <c r="Y362" t="str">
        <f>IF($C$13="Yes",IF(Summary!B358&lt;&gt;"",Summary!B358,""),"")</f>
        <v/>
      </c>
      <c r="Z362" s="439" t="str">
        <f t="shared" si="71"/>
        <v/>
      </c>
      <c r="AA362" t="str">
        <f t="shared" si="60"/>
        <v/>
      </c>
    </row>
    <row r="363" spans="2:27">
      <c r="B363" t="str">
        <f>IF(Summary!B359&lt;&gt;"",Summary!B359,"")</f>
        <v/>
      </c>
      <c r="C363" t="str">
        <f>IF(Summary!C359&lt;&gt;"",Summary!C359,"")</f>
        <v/>
      </c>
      <c r="E363" t="str">
        <f>IF($C$15&gt;=1,IF($C$13="Yes",IF(Summary!B359&lt;&gt;"",Summary!B359,""),""),"")</f>
        <v/>
      </c>
      <c r="F363" t="str">
        <f t="shared" si="61"/>
        <v/>
      </c>
      <c r="G363">
        <f t="shared" si="62"/>
        <v>0</v>
      </c>
      <c r="I363" t="str">
        <f>IF($C$15&gt;=2,IF($C$13="Yes",IF(Summary!B359&lt;&gt;"",Summary!B359,""),""),"")</f>
        <v/>
      </c>
      <c r="J363" t="str">
        <f t="shared" si="63"/>
        <v/>
      </c>
      <c r="K363">
        <f t="shared" si="64"/>
        <v>0</v>
      </c>
      <c r="M363" t="str">
        <f>IF($C$15&gt;=3,IF($C$13="Yes",IF(Summary!B359&lt;&gt;"",Summary!B359,""),""),"")</f>
        <v/>
      </c>
      <c r="N363" t="str">
        <f t="shared" si="65"/>
        <v/>
      </c>
      <c r="O363">
        <f t="shared" si="66"/>
        <v>0</v>
      </c>
      <c r="Q363" t="str">
        <f>IF($C$15&gt;=4,IF($C$13="Yes",IF(Summary!B359&lt;&gt;"",Summary!B359,""),""),"")</f>
        <v/>
      </c>
      <c r="R363" t="str">
        <f t="shared" si="67"/>
        <v/>
      </c>
      <c r="S363">
        <f t="shared" si="68"/>
        <v>0</v>
      </c>
      <c r="U363" t="str">
        <f>IF($C$15&gt;=5,IF($C$13="Yes",IF(Summary!B359&lt;&gt;"",Summary!B359,""),""),"")</f>
        <v/>
      </c>
      <c r="V363" t="str">
        <f t="shared" si="69"/>
        <v/>
      </c>
      <c r="W363">
        <f t="shared" si="70"/>
        <v>0</v>
      </c>
      <c r="Y363" t="str">
        <f>IF($C$13="Yes",IF(Summary!B359&lt;&gt;"",Summary!B359,""),"")</f>
        <v/>
      </c>
      <c r="Z363" s="439" t="str">
        <f t="shared" si="71"/>
        <v/>
      </c>
      <c r="AA363" t="str">
        <f t="shared" si="60"/>
        <v/>
      </c>
    </row>
    <row r="364" spans="2:27">
      <c r="B364" t="str">
        <f>IF(Summary!B360&lt;&gt;"",Summary!B360,"")</f>
        <v/>
      </c>
      <c r="C364" t="str">
        <f>IF(Summary!C360&lt;&gt;"",Summary!C360,"")</f>
        <v/>
      </c>
      <c r="E364" t="str">
        <f>IF($C$15&gt;=1,IF($C$13="Yes",IF(Summary!B360&lt;&gt;"",Summary!B360,""),""),"")</f>
        <v/>
      </c>
      <c r="F364" t="str">
        <f t="shared" si="61"/>
        <v/>
      </c>
      <c r="G364">
        <f t="shared" si="62"/>
        <v>0</v>
      </c>
      <c r="I364" t="str">
        <f>IF($C$15&gt;=2,IF($C$13="Yes",IF(Summary!B360&lt;&gt;"",Summary!B360,""),""),"")</f>
        <v/>
      </c>
      <c r="J364" t="str">
        <f t="shared" si="63"/>
        <v/>
      </c>
      <c r="K364">
        <f t="shared" si="64"/>
        <v>0</v>
      </c>
      <c r="M364" t="str">
        <f>IF($C$15&gt;=3,IF($C$13="Yes",IF(Summary!B360&lt;&gt;"",Summary!B360,""),""),"")</f>
        <v/>
      </c>
      <c r="N364" t="str">
        <f t="shared" si="65"/>
        <v/>
      </c>
      <c r="O364">
        <f t="shared" si="66"/>
        <v>0</v>
      </c>
      <c r="Q364" t="str">
        <f>IF($C$15&gt;=4,IF($C$13="Yes",IF(Summary!B360&lt;&gt;"",Summary!B360,""),""),"")</f>
        <v/>
      </c>
      <c r="R364" t="str">
        <f t="shared" si="67"/>
        <v/>
      </c>
      <c r="S364">
        <f t="shared" si="68"/>
        <v>0</v>
      </c>
      <c r="U364" t="str">
        <f>IF($C$15&gt;=5,IF($C$13="Yes",IF(Summary!B360&lt;&gt;"",Summary!B360,""),""),"")</f>
        <v/>
      </c>
      <c r="V364" t="str">
        <f t="shared" si="69"/>
        <v/>
      </c>
      <c r="W364">
        <f t="shared" si="70"/>
        <v>0</v>
      </c>
      <c r="Y364" t="str">
        <f>IF($C$13="Yes",IF(Summary!B360&lt;&gt;"",Summary!B360,""),"")</f>
        <v/>
      </c>
      <c r="Z364" s="439" t="str">
        <f t="shared" si="71"/>
        <v/>
      </c>
      <c r="AA364" t="str">
        <f t="shared" si="60"/>
        <v/>
      </c>
    </row>
    <row r="365" spans="2:27">
      <c r="B365" t="str">
        <f>IF(Summary!B361&lt;&gt;"",Summary!B361,"")</f>
        <v/>
      </c>
      <c r="C365" t="str">
        <f>IF(Summary!C361&lt;&gt;"",Summary!C361,"")</f>
        <v/>
      </c>
      <c r="E365" t="str">
        <f>IF($C$15&gt;=1,IF($C$13="Yes",IF(Summary!B361&lt;&gt;"",Summary!B361,""),""),"")</f>
        <v/>
      </c>
      <c r="F365" t="str">
        <f t="shared" si="61"/>
        <v/>
      </c>
      <c r="G365">
        <f t="shared" si="62"/>
        <v>0</v>
      </c>
      <c r="I365" t="str">
        <f>IF($C$15&gt;=2,IF($C$13="Yes",IF(Summary!B361&lt;&gt;"",Summary!B361,""),""),"")</f>
        <v/>
      </c>
      <c r="J365" t="str">
        <f t="shared" si="63"/>
        <v/>
      </c>
      <c r="K365">
        <f t="shared" si="64"/>
        <v>0</v>
      </c>
      <c r="M365" t="str">
        <f>IF($C$15&gt;=3,IF($C$13="Yes",IF(Summary!B361&lt;&gt;"",Summary!B361,""),""),"")</f>
        <v/>
      </c>
      <c r="N365" t="str">
        <f t="shared" si="65"/>
        <v/>
      </c>
      <c r="O365">
        <f t="shared" si="66"/>
        <v>0</v>
      </c>
      <c r="Q365" t="str">
        <f>IF($C$15&gt;=4,IF($C$13="Yes",IF(Summary!B361&lt;&gt;"",Summary!B361,""),""),"")</f>
        <v/>
      </c>
      <c r="R365" t="str">
        <f t="shared" si="67"/>
        <v/>
      </c>
      <c r="S365">
        <f t="shared" si="68"/>
        <v>0</v>
      </c>
      <c r="U365" t="str">
        <f>IF($C$15&gt;=5,IF($C$13="Yes",IF(Summary!B361&lt;&gt;"",Summary!B361,""),""),"")</f>
        <v/>
      </c>
      <c r="V365" t="str">
        <f t="shared" si="69"/>
        <v/>
      </c>
      <c r="W365">
        <f t="shared" si="70"/>
        <v>0</v>
      </c>
      <c r="Y365" t="str">
        <f>IF($C$13="Yes",IF(Summary!B361&lt;&gt;"",Summary!B361,""),"")</f>
        <v/>
      </c>
      <c r="Z365" s="439" t="str">
        <f t="shared" si="71"/>
        <v/>
      </c>
      <c r="AA365" t="str">
        <f t="shared" si="60"/>
        <v/>
      </c>
    </row>
    <row r="366" spans="2:27">
      <c r="B366" t="str">
        <f>IF(Summary!B362&lt;&gt;"",Summary!B362,"")</f>
        <v/>
      </c>
      <c r="C366" t="str">
        <f>IF(Summary!C362&lt;&gt;"",Summary!C362,"")</f>
        <v/>
      </c>
      <c r="E366" t="str">
        <f>IF($C$15&gt;=1,IF($C$13="Yes",IF(Summary!B362&lt;&gt;"",Summary!B362,""),""),"")</f>
        <v/>
      </c>
      <c r="F366" t="str">
        <f t="shared" si="61"/>
        <v/>
      </c>
      <c r="G366">
        <f t="shared" si="62"/>
        <v>0</v>
      </c>
      <c r="I366" t="str">
        <f>IF($C$15&gt;=2,IF($C$13="Yes",IF(Summary!B362&lt;&gt;"",Summary!B362,""),""),"")</f>
        <v/>
      </c>
      <c r="J366" t="str">
        <f t="shared" si="63"/>
        <v/>
      </c>
      <c r="K366">
        <f t="shared" si="64"/>
        <v>0</v>
      </c>
      <c r="M366" t="str">
        <f>IF($C$15&gt;=3,IF($C$13="Yes",IF(Summary!B362&lt;&gt;"",Summary!B362,""),""),"")</f>
        <v/>
      </c>
      <c r="N366" t="str">
        <f t="shared" si="65"/>
        <v/>
      </c>
      <c r="O366">
        <f t="shared" si="66"/>
        <v>0</v>
      </c>
      <c r="Q366" t="str">
        <f>IF($C$15&gt;=4,IF($C$13="Yes",IF(Summary!B362&lt;&gt;"",Summary!B362,""),""),"")</f>
        <v/>
      </c>
      <c r="R366" t="str">
        <f t="shared" si="67"/>
        <v/>
      </c>
      <c r="S366">
        <f t="shared" si="68"/>
        <v>0</v>
      </c>
      <c r="U366" t="str">
        <f>IF($C$15&gt;=5,IF($C$13="Yes",IF(Summary!B362&lt;&gt;"",Summary!B362,""),""),"")</f>
        <v/>
      </c>
      <c r="V366" t="str">
        <f t="shared" si="69"/>
        <v/>
      </c>
      <c r="W366">
        <f t="shared" si="70"/>
        <v>0</v>
      </c>
      <c r="Y366" t="str">
        <f>IF($C$13="Yes",IF(Summary!B362&lt;&gt;"",Summary!B362,""),"")</f>
        <v/>
      </c>
      <c r="Z366" s="439" t="str">
        <f t="shared" si="71"/>
        <v/>
      </c>
      <c r="AA366" t="str">
        <f t="shared" si="60"/>
        <v/>
      </c>
    </row>
    <row r="367" spans="2:27">
      <c r="B367" t="str">
        <f>IF(Summary!B363&lt;&gt;"",Summary!B363,"")</f>
        <v/>
      </c>
      <c r="C367" t="str">
        <f>IF(Summary!C363&lt;&gt;"",Summary!C363,"")</f>
        <v/>
      </c>
      <c r="E367" t="str">
        <f>IF($C$15&gt;=1,IF($C$13="Yes",IF(Summary!B363&lt;&gt;"",Summary!B363,""),""),"")</f>
        <v/>
      </c>
      <c r="F367" t="str">
        <f t="shared" si="61"/>
        <v/>
      </c>
      <c r="G367">
        <f t="shared" si="62"/>
        <v>0</v>
      </c>
      <c r="I367" t="str">
        <f>IF($C$15&gt;=2,IF($C$13="Yes",IF(Summary!B363&lt;&gt;"",Summary!B363,""),""),"")</f>
        <v/>
      </c>
      <c r="J367" t="str">
        <f t="shared" si="63"/>
        <v/>
      </c>
      <c r="K367">
        <f t="shared" si="64"/>
        <v>0</v>
      </c>
      <c r="M367" t="str">
        <f>IF($C$15&gt;=3,IF($C$13="Yes",IF(Summary!B363&lt;&gt;"",Summary!B363,""),""),"")</f>
        <v/>
      </c>
      <c r="N367" t="str">
        <f t="shared" si="65"/>
        <v/>
      </c>
      <c r="O367">
        <f t="shared" si="66"/>
        <v>0</v>
      </c>
      <c r="Q367" t="str">
        <f>IF($C$15&gt;=4,IF($C$13="Yes",IF(Summary!B363&lt;&gt;"",Summary!B363,""),""),"")</f>
        <v/>
      </c>
      <c r="R367" t="str">
        <f t="shared" si="67"/>
        <v/>
      </c>
      <c r="S367">
        <f t="shared" si="68"/>
        <v>0</v>
      </c>
      <c r="U367" t="str">
        <f>IF($C$15&gt;=5,IF($C$13="Yes",IF(Summary!B363&lt;&gt;"",Summary!B363,""),""),"")</f>
        <v/>
      </c>
      <c r="V367" t="str">
        <f t="shared" si="69"/>
        <v/>
      </c>
      <c r="W367">
        <f t="shared" si="70"/>
        <v>0</v>
      </c>
      <c r="Y367" t="str">
        <f>IF($C$13="Yes",IF(Summary!B363&lt;&gt;"",Summary!B363,""),"")</f>
        <v/>
      </c>
      <c r="Z367" s="439" t="str">
        <f t="shared" si="71"/>
        <v/>
      </c>
      <c r="AA367" t="str">
        <f t="shared" si="60"/>
        <v/>
      </c>
    </row>
    <row r="368" spans="2:27">
      <c r="B368" t="str">
        <f>IF(Summary!B364&lt;&gt;"",Summary!B364,"")</f>
        <v/>
      </c>
      <c r="C368" t="str">
        <f>IF(Summary!C364&lt;&gt;"",Summary!C364,"")</f>
        <v/>
      </c>
      <c r="E368" t="str">
        <f>IF($C$15&gt;=1,IF($C$13="Yes",IF(Summary!B364&lt;&gt;"",Summary!B364,""),""),"")</f>
        <v/>
      </c>
      <c r="F368" t="str">
        <f t="shared" si="61"/>
        <v/>
      </c>
      <c r="G368">
        <f t="shared" si="62"/>
        <v>0</v>
      </c>
      <c r="I368" t="str">
        <f>IF($C$15&gt;=2,IF($C$13="Yes",IF(Summary!B364&lt;&gt;"",Summary!B364,""),""),"")</f>
        <v/>
      </c>
      <c r="J368" t="str">
        <f t="shared" si="63"/>
        <v/>
      </c>
      <c r="K368">
        <f t="shared" si="64"/>
        <v>0</v>
      </c>
      <c r="M368" t="str">
        <f>IF($C$15&gt;=3,IF($C$13="Yes",IF(Summary!B364&lt;&gt;"",Summary!B364,""),""),"")</f>
        <v/>
      </c>
      <c r="N368" t="str">
        <f t="shared" si="65"/>
        <v/>
      </c>
      <c r="O368">
        <f t="shared" si="66"/>
        <v>0</v>
      </c>
      <c r="Q368" t="str">
        <f>IF($C$15&gt;=4,IF($C$13="Yes",IF(Summary!B364&lt;&gt;"",Summary!B364,""),""),"")</f>
        <v/>
      </c>
      <c r="R368" t="str">
        <f t="shared" si="67"/>
        <v/>
      </c>
      <c r="S368">
        <f t="shared" si="68"/>
        <v>0</v>
      </c>
      <c r="U368" t="str">
        <f>IF($C$15&gt;=5,IF($C$13="Yes",IF(Summary!B364&lt;&gt;"",Summary!B364,""),""),"")</f>
        <v/>
      </c>
      <c r="V368" t="str">
        <f t="shared" si="69"/>
        <v/>
      </c>
      <c r="W368">
        <f t="shared" si="70"/>
        <v>0</v>
      </c>
      <c r="Y368" t="str">
        <f>IF($C$13="Yes",IF(Summary!B364&lt;&gt;"",Summary!B364,""),"")</f>
        <v/>
      </c>
      <c r="Z368" s="439" t="str">
        <f t="shared" si="71"/>
        <v/>
      </c>
      <c r="AA368" t="str">
        <f t="shared" si="60"/>
        <v/>
      </c>
    </row>
    <row r="369" spans="2:27">
      <c r="B369" t="str">
        <f>IF(Summary!B365&lt;&gt;"",Summary!B365,"")</f>
        <v/>
      </c>
      <c r="C369" t="str">
        <f>IF(Summary!C365&lt;&gt;"",Summary!C365,"")</f>
        <v/>
      </c>
      <c r="E369" t="str">
        <f>IF($C$15&gt;=1,IF($C$13="Yes",IF(Summary!B365&lt;&gt;"",Summary!B365,""),""),"")</f>
        <v/>
      </c>
      <c r="F369" t="str">
        <f t="shared" si="61"/>
        <v/>
      </c>
      <c r="G369">
        <f t="shared" si="62"/>
        <v>0</v>
      </c>
      <c r="I369" t="str">
        <f>IF($C$15&gt;=2,IF($C$13="Yes",IF(Summary!B365&lt;&gt;"",Summary!B365,""),""),"")</f>
        <v/>
      </c>
      <c r="J369" t="str">
        <f t="shared" si="63"/>
        <v/>
      </c>
      <c r="K369">
        <f t="shared" si="64"/>
        <v>0</v>
      </c>
      <c r="M369" t="str">
        <f>IF($C$15&gt;=3,IF($C$13="Yes",IF(Summary!B365&lt;&gt;"",Summary!B365,""),""),"")</f>
        <v/>
      </c>
      <c r="N369" t="str">
        <f t="shared" si="65"/>
        <v/>
      </c>
      <c r="O369">
        <f t="shared" si="66"/>
        <v>0</v>
      </c>
      <c r="Q369" t="str">
        <f>IF($C$15&gt;=4,IF($C$13="Yes",IF(Summary!B365&lt;&gt;"",Summary!B365,""),""),"")</f>
        <v/>
      </c>
      <c r="R369" t="str">
        <f t="shared" si="67"/>
        <v/>
      </c>
      <c r="S369">
        <f t="shared" si="68"/>
        <v>0</v>
      </c>
      <c r="U369" t="str">
        <f>IF($C$15&gt;=5,IF($C$13="Yes",IF(Summary!B365&lt;&gt;"",Summary!B365,""),""),"")</f>
        <v/>
      </c>
      <c r="V369" t="str">
        <f t="shared" si="69"/>
        <v/>
      </c>
      <c r="W369">
        <f t="shared" si="70"/>
        <v>0</v>
      </c>
      <c r="Y369" t="str">
        <f>IF($C$13="Yes",IF(Summary!B365&lt;&gt;"",Summary!B365,""),"")</f>
        <v/>
      </c>
      <c r="Z369" s="439" t="str">
        <f t="shared" si="71"/>
        <v/>
      </c>
      <c r="AA369" t="str">
        <f t="shared" si="60"/>
        <v/>
      </c>
    </row>
    <row r="370" spans="2:27">
      <c r="B370" t="str">
        <f>IF(Summary!B366&lt;&gt;"",Summary!B366,"")</f>
        <v/>
      </c>
      <c r="C370" t="str">
        <f>IF(Summary!C366&lt;&gt;"",Summary!C366,"")</f>
        <v/>
      </c>
      <c r="E370" t="str">
        <f>IF($C$15&gt;=1,IF($C$13="Yes",IF(Summary!B366&lt;&gt;"",Summary!B366,""),""),"")</f>
        <v/>
      </c>
      <c r="F370" t="str">
        <f t="shared" si="61"/>
        <v/>
      </c>
      <c r="G370">
        <f t="shared" si="62"/>
        <v>0</v>
      </c>
      <c r="I370" t="str">
        <f>IF($C$15&gt;=2,IF($C$13="Yes",IF(Summary!B366&lt;&gt;"",Summary!B366,""),""),"")</f>
        <v/>
      </c>
      <c r="J370" t="str">
        <f t="shared" si="63"/>
        <v/>
      </c>
      <c r="K370">
        <f t="shared" si="64"/>
        <v>0</v>
      </c>
      <c r="M370" t="str">
        <f>IF($C$15&gt;=3,IF($C$13="Yes",IF(Summary!B366&lt;&gt;"",Summary!B366,""),""),"")</f>
        <v/>
      </c>
      <c r="N370" t="str">
        <f t="shared" si="65"/>
        <v/>
      </c>
      <c r="O370">
        <f t="shared" si="66"/>
        <v>0</v>
      </c>
      <c r="Q370" t="str">
        <f>IF($C$15&gt;=4,IF($C$13="Yes",IF(Summary!B366&lt;&gt;"",Summary!B366,""),""),"")</f>
        <v/>
      </c>
      <c r="R370" t="str">
        <f t="shared" si="67"/>
        <v/>
      </c>
      <c r="S370">
        <f t="shared" si="68"/>
        <v>0</v>
      </c>
      <c r="U370" t="str">
        <f>IF($C$15&gt;=5,IF($C$13="Yes",IF(Summary!B366&lt;&gt;"",Summary!B366,""),""),"")</f>
        <v/>
      </c>
      <c r="V370" t="str">
        <f t="shared" si="69"/>
        <v/>
      </c>
      <c r="W370">
        <f t="shared" si="70"/>
        <v>0</v>
      </c>
      <c r="Y370" t="str">
        <f>IF($C$13="Yes",IF(Summary!B366&lt;&gt;"",Summary!B366,""),"")</f>
        <v/>
      </c>
      <c r="Z370" s="439" t="str">
        <f t="shared" si="71"/>
        <v/>
      </c>
      <c r="AA370" t="str">
        <f t="shared" si="60"/>
        <v/>
      </c>
    </row>
    <row r="371" spans="2:27">
      <c r="B371" t="str">
        <f>IF(Summary!B367&lt;&gt;"",Summary!B367,"")</f>
        <v/>
      </c>
      <c r="C371" t="str">
        <f>IF(Summary!C367&lt;&gt;"",Summary!C367,"")</f>
        <v/>
      </c>
      <c r="E371" t="str">
        <f>IF($C$15&gt;=1,IF($C$13="Yes",IF(Summary!B367&lt;&gt;"",Summary!B367,""),""),"")</f>
        <v/>
      </c>
      <c r="F371" t="str">
        <f t="shared" si="61"/>
        <v/>
      </c>
      <c r="G371">
        <f t="shared" si="62"/>
        <v>0</v>
      </c>
      <c r="I371" t="str">
        <f>IF($C$15&gt;=2,IF($C$13="Yes",IF(Summary!B367&lt;&gt;"",Summary!B367,""),""),"")</f>
        <v/>
      </c>
      <c r="J371" t="str">
        <f t="shared" si="63"/>
        <v/>
      </c>
      <c r="K371">
        <f t="shared" si="64"/>
        <v>0</v>
      </c>
      <c r="M371" t="str">
        <f>IF($C$15&gt;=3,IF($C$13="Yes",IF(Summary!B367&lt;&gt;"",Summary!B367,""),""),"")</f>
        <v/>
      </c>
      <c r="N371" t="str">
        <f t="shared" si="65"/>
        <v/>
      </c>
      <c r="O371">
        <f t="shared" si="66"/>
        <v>0</v>
      </c>
      <c r="Q371" t="str">
        <f>IF($C$15&gt;=4,IF($C$13="Yes",IF(Summary!B367&lt;&gt;"",Summary!B367,""),""),"")</f>
        <v/>
      </c>
      <c r="R371" t="str">
        <f t="shared" si="67"/>
        <v/>
      </c>
      <c r="S371">
        <f t="shared" si="68"/>
        <v>0</v>
      </c>
      <c r="U371" t="str">
        <f>IF($C$15&gt;=5,IF($C$13="Yes",IF(Summary!B367&lt;&gt;"",Summary!B367,""),""),"")</f>
        <v/>
      </c>
      <c r="V371" t="str">
        <f t="shared" si="69"/>
        <v/>
      </c>
      <c r="W371">
        <f t="shared" si="70"/>
        <v>0</v>
      </c>
      <c r="Y371" t="str">
        <f>IF($C$13="Yes",IF(Summary!B367&lt;&gt;"",Summary!B367,""),"")</f>
        <v/>
      </c>
      <c r="Z371" s="439" t="str">
        <f t="shared" si="71"/>
        <v/>
      </c>
      <c r="AA371" t="str">
        <f t="shared" si="60"/>
        <v/>
      </c>
    </row>
    <row r="372" spans="2:27">
      <c r="B372" t="str">
        <f>IF(Summary!B368&lt;&gt;"",Summary!B368,"")</f>
        <v/>
      </c>
      <c r="C372" t="str">
        <f>IF(Summary!C368&lt;&gt;"",Summary!C368,"")</f>
        <v/>
      </c>
      <c r="E372" t="str">
        <f>IF($C$15&gt;=1,IF($C$13="Yes",IF(Summary!B368&lt;&gt;"",Summary!B368,""),""),"")</f>
        <v/>
      </c>
      <c r="F372" t="str">
        <f t="shared" si="61"/>
        <v/>
      </c>
      <c r="G372">
        <f t="shared" si="62"/>
        <v>0</v>
      </c>
      <c r="I372" t="str">
        <f>IF($C$15&gt;=2,IF($C$13="Yes",IF(Summary!B368&lt;&gt;"",Summary!B368,""),""),"")</f>
        <v/>
      </c>
      <c r="J372" t="str">
        <f t="shared" si="63"/>
        <v/>
      </c>
      <c r="K372">
        <f t="shared" si="64"/>
        <v>0</v>
      </c>
      <c r="M372" t="str">
        <f>IF($C$15&gt;=3,IF($C$13="Yes",IF(Summary!B368&lt;&gt;"",Summary!B368,""),""),"")</f>
        <v/>
      </c>
      <c r="N372" t="str">
        <f t="shared" si="65"/>
        <v/>
      </c>
      <c r="O372">
        <f t="shared" si="66"/>
        <v>0</v>
      </c>
      <c r="Q372" t="str">
        <f>IF($C$15&gt;=4,IF($C$13="Yes",IF(Summary!B368&lt;&gt;"",Summary!B368,""),""),"")</f>
        <v/>
      </c>
      <c r="R372" t="str">
        <f t="shared" si="67"/>
        <v/>
      </c>
      <c r="S372">
        <f t="shared" si="68"/>
        <v>0</v>
      </c>
      <c r="U372" t="str">
        <f>IF($C$15&gt;=5,IF($C$13="Yes",IF(Summary!B368&lt;&gt;"",Summary!B368,""),""),"")</f>
        <v/>
      </c>
      <c r="V372" t="str">
        <f t="shared" si="69"/>
        <v/>
      </c>
      <c r="W372">
        <f t="shared" si="70"/>
        <v>0</v>
      </c>
      <c r="Y372" t="str">
        <f>IF($C$13="Yes",IF(Summary!B368&lt;&gt;"",Summary!B368,""),"")</f>
        <v/>
      </c>
      <c r="Z372" s="439" t="str">
        <f t="shared" si="71"/>
        <v/>
      </c>
      <c r="AA372" t="str">
        <f t="shared" si="60"/>
        <v/>
      </c>
    </row>
    <row r="373" spans="2:27">
      <c r="B373" t="str">
        <f>IF(Summary!B369&lt;&gt;"",Summary!B369,"")</f>
        <v/>
      </c>
      <c r="C373" t="str">
        <f>IF(Summary!C369&lt;&gt;"",Summary!C369,"")</f>
        <v/>
      </c>
      <c r="E373" t="str">
        <f>IF($C$15&gt;=1,IF($C$13="Yes",IF(Summary!B369&lt;&gt;"",Summary!B369,""),""),"")</f>
        <v/>
      </c>
      <c r="F373" t="str">
        <f t="shared" si="61"/>
        <v/>
      </c>
      <c r="G373">
        <f t="shared" si="62"/>
        <v>0</v>
      </c>
      <c r="I373" t="str">
        <f>IF($C$15&gt;=2,IF($C$13="Yes",IF(Summary!B369&lt;&gt;"",Summary!B369,""),""),"")</f>
        <v/>
      </c>
      <c r="J373" t="str">
        <f t="shared" si="63"/>
        <v/>
      </c>
      <c r="K373">
        <f t="shared" si="64"/>
        <v>0</v>
      </c>
      <c r="M373" t="str">
        <f>IF($C$15&gt;=3,IF($C$13="Yes",IF(Summary!B369&lt;&gt;"",Summary!B369,""),""),"")</f>
        <v/>
      </c>
      <c r="N373" t="str">
        <f t="shared" si="65"/>
        <v/>
      </c>
      <c r="O373">
        <f t="shared" si="66"/>
        <v>0</v>
      </c>
      <c r="Q373" t="str">
        <f>IF($C$15&gt;=4,IF($C$13="Yes",IF(Summary!B369&lt;&gt;"",Summary!B369,""),""),"")</f>
        <v/>
      </c>
      <c r="R373" t="str">
        <f t="shared" si="67"/>
        <v/>
      </c>
      <c r="S373">
        <f t="shared" si="68"/>
        <v>0</v>
      </c>
      <c r="U373" t="str">
        <f>IF($C$15&gt;=5,IF($C$13="Yes",IF(Summary!B369&lt;&gt;"",Summary!B369,""),""),"")</f>
        <v/>
      </c>
      <c r="V373" t="str">
        <f t="shared" si="69"/>
        <v/>
      </c>
      <c r="W373">
        <f t="shared" si="70"/>
        <v>0</v>
      </c>
      <c r="Y373" t="str">
        <f>IF($C$13="Yes",IF(Summary!B369&lt;&gt;"",Summary!B369,""),"")</f>
        <v/>
      </c>
      <c r="Z373" s="439" t="str">
        <f t="shared" si="71"/>
        <v/>
      </c>
      <c r="AA373" t="str">
        <f t="shared" si="60"/>
        <v/>
      </c>
    </row>
    <row r="374" spans="2:27">
      <c r="B374" t="str">
        <f>IF(Summary!B370&lt;&gt;"",Summary!B370,"")</f>
        <v/>
      </c>
      <c r="C374" t="str">
        <f>IF(Summary!C370&lt;&gt;"",Summary!C370,"")</f>
        <v/>
      </c>
      <c r="E374" t="str">
        <f>IF($C$15&gt;=1,IF($C$13="Yes",IF(Summary!B370&lt;&gt;"",Summary!B370,""),""),"")</f>
        <v/>
      </c>
      <c r="F374" t="str">
        <f t="shared" si="61"/>
        <v/>
      </c>
      <c r="G374">
        <f t="shared" si="62"/>
        <v>0</v>
      </c>
      <c r="I374" t="str">
        <f>IF($C$15&gt;=2,IF($C$13="Yes",IF(Summary!B370&lt;&gt;"",Summary!B370,""),""),"")</f>
        <v/>
      </c>
      <c r="J374" t="str">
        <f t="shared" si="63"/>
        <v/>
      </c>
      <c r="K374">
        <f t="shared" si="64"/>
        <v>0</v>
      </c>
      <c r="M374" t="str">
        <f>IF($C$15&gt;=3,IF($C$13="Yes",IF(Summary!B370&lt;&gt;"",Summary!B370,""),""),"")</f>
        <v/>
      </c>
      <c r="N374" t="str">
        <f t="shared" si="65"/>
        <v/>
      </c>
      <c r="O374">
        <f t="shared" si="66"/>
        <v>0</v>
      </c>
      <c r="Q374" t="str">
        <f>IF($C$15&gt;=4,IF($C$13="Yes",IF(Summary!B370&lt;&gt;"",Summary!B370,""),""),"")</f>
        <v/>
      </c>
      <c r="R374" t="str">
        <f t="shared" si="67"/>
        <v/>
      </c>
      <c r="S374">
        <f t="shared" si="68"/>
        <v>0</v>
      </c>
      <c r="U374" t="str">
        <f>IF($C$15&gt;=5,IF($C$13="Yes",IF(Summary!B370&lt;&gt;"",Summary!B370,""),""),"")</f>
        <v/>
      </c>
      <c r="V374" t="str">
        <f t="shared" si="69"/>
        <v/>
      </c>
      <c r="W374">
        <f t="shared" si="70"/>
        <v>0</v>
      </c>
      <c r="Y374" t="str">
        <f>IF($C$13="Yes",IF(Summary!B370&lt;&gt;"",Summary!B370,""),"")</f>
        <v/>
      </c>
      <c r="Z374" s="439" t="str">
        <f t="shared" si="71"/>
        <v/>
      </c>
      <c r="AA374" t="str">
        <f t="shared" si="60"/>
        <v/>
      </c>
    </row>
    <row r="375" spans="2:27">
      <c r="B375" t="str">
        <f>IF(Summary!B371&lt;&gt;"",Summary!B371,"")</f>
        <v/>
      </c>
      <c r="C375" t="str">
        <f>IF(Summary!C371&lt;&gt;"",Summary!C371,"")</f>
        <v/>
      </c>
      <c r="E375" t="str">
        <f>IF($C$15&gt;=1,IF($C$13="Yes",IF(Summary!B371&lt;&gt;"",Summary!B371,""),""),"")</f>
        <v/>
      </c>
      <c r="F375" t="str">
        <f t="shared" si="61"/>
        <v/>
      </c>
      <c r="G375">
        <f t="shared" si="62"/>
        <v>0</v>
      </c>
      <c r="I375" t="str">
        <f>IF($C$15&gt;=2,IF($C$13="Yes",IF(Summary!B371&lt;&gt;"",Summary!B371,""),""),"")</f>
        <v/>
      </c>
      <c r="J375" t="str">
        <f t="shared" si="63"/>
        <v/>
      </c>
      <c r="K375">
        <f t="shared" si="64"/>
        <v>0</v>
      </c>
      <c r="M375" t="str">
        <f>IF($C$15&gt;=3,IF($C$13="Yes",IF(Summary!B371&lt;&gt;"",Summary!B371,""),""),"")</f>
        <v/>
      </c>
      <c r="N375" t="str">
        <f t="shared" si="65"/>
        <v/>
      </c>
      <c r="O375">
        <f t="shared" si="66"/>
        <v>0</v>
      </c>
      <c r="Q375" t="str">
        <f>IF($C$15&gt;=4,IF($C$13="Yes",IF(Summary!B371&lt;&gt;"",Summary!B371,""),""),"")</f>
        <v/>
      </c>
      <c r="R375" t="str">
        <f t="shared" si="67"/>
        <v/>
      </c>
      <c r="S375">
        <f t="shared" si="68"/>
        <v>0</v>
      </c>
      <c r="U375" t="str">
        <f>IF($C$15&gt;=5,IF($C$13="Yes",IF(Summary!B371&lt;&gt;"",Summary!B371,""),""),"")</f>
        <v/>
      </c>
      <c r="V375" t="str">
        <f t="shared" si="69"/>
        <v/>
      </c>
      <c r="W375">
        <f t="shared" si="70"/>
        <v>0</v>
      </c>
      <c r="Y375" t="str">
        <f>IF($C$13="Yes",IF(Summary!B371&lt;&gt;"",Summary!B371,""),"")</f>
        <v/>
      </c>
      <c r="Z375" s="439" t="str">
        <f t="shared" si="71"/>
        <v/>
      </c>
      <c r="AA375" t="str">
        <f t="shared" si="60"/>
        <v/>
      </c>
    </row>
    <row r="376" spans="2:27">
      <c r="B376" t="str">
        <f>IF(Summary!B372&lt;&gt;"",Summary!B372,"")</f>
        <v/>
      </c>
      <c r="C376" t="str">
        <f>IF(Summary!C372&lt;&gt;"",Summary!C372,"")</f>
        <v/>
      </c>
      <c r="E376" t="str">
        <f>IF($C$15&gt;=1,IF($C$13="Yes",IF(Summary!B372&lt;&gt;"",Summary!B372,""),""),"")</f>
        <v/>
      </c>
      <c r="F376" t="str">
        <f t="shared" si="61"/>
        <v/>
      </c>
      <c r="G376">
        <f t="shared" si="62"/>
        <v>0</v>
      </c>
      <c r="I376" t="str">
        <f>IF($C$15&gt;=2,IF($C$13="Yes",IF(Summary!B372&lt;&gt;"",Summary!B372,""),""),"")</f>
        <v/>
      </c>
      <c r="J376" t="str">
        <f t="shared" si="63"/>
        <v/>
      </c>
      <c r="K376">
        <f t="shared" si="64"/>
        <v>0</v>
      </c>
      <c r="M376" t="str">
        <f>IF($C$15&gt;=3,IF($C$13="Yes",IF(Summary!B372&lt;&gt;"",Summary!B372,""),""),"")</f>
        <v/>
      </c>
      <c r="N376" t="str">
        <f t="shared" si="65"/>
        <v/>
      </c>
      <c r="O376">
        <f t="shared" si="66"/>
        <v>0</v>
      </c>
      <c r="Q376" t="str">
        <f>IF($C$15&gt;=4,IF($C$13="Yes",IF(Summary!B372&lt;&gt;"",Summary!B372,""),""),"")</f>
        <v/>
      </c>
      <c r="R376" t="str">
        <f t="shared" si="67"/>
        <v/>
      </c>
      <c r="S376">
        <f t="shared" si="68"/>
        <v>0</v>
      </c>
      <c r="U376" t="str">
        <f>IF($C$15&gt;=5,IF($C$13="Yes",IF(Summary!B372&lt;&gt;"",Summary!B372,""),""),"")</f>
        <v/>
      </c>
      <c r="V376" t="str">
        <f t="shared" si="69"/>
        <v/>
      </c>
      <c r="W376">
        <f t="shared" si="70"/>
        <v>0</v>
      </c>
      <c r="Y376" t="str">
        <f>IF($C$13="Yes",IF(Summary!B372&lt;&gt;"",Summary!B372,""),"")</f>
        <v/>
      </c>
      <c r="Z376" s="439" t="str">
        <f t="shared" si="71"/>
        <v/>
      </c>
      <c r="AA376" t="str">
        <f t="shared" si="60"/>
        <v/>
      </c>
    </row>
    <row r="377" spans="2:27">
      <c r="B377" t="str">
        <f>IF(Summary!B373&lt;&gt;"",Summary!B373,"")</f>
        <v/>
      </c>
      <c r="C377" t="str">
        <f>IF(Summary!C373&lt;&gt;"",Summary!C373,"")</f>
        <v/>
      </c>
      <c r="E377" t="str">
        <f>IF($C$15&gt;=1,IF($C$13="Yes",IF(Summary!B373&lt;&gt;"",Summary!B373,""),""),"")</f>
        <v/>
      </c>
      <c r="F377" t="str">
        <f t="shared" si="61"/>
        <v/>
      </c>
      <c r="G377">
        <f t="shared" si="62"/>
        <v>0</v>
      </c>
      <c r="I377" t="str">
        <f>IF($C$15&gt;=2,IF($C$13="Yes",IF(Summary!B373&lt;&gt;"",Summary!B373,""),""),"")</f>
        <v/>
      </c>
      <c r="J377" t="str">
        <f t="shared" si="63"/>
        <v/>
      </c>
      <c r="K377">
        <f t="shared" si="64"/>
        <v>0</v>
      </c>
      <c r="M377" t="str">
        <f>IF($C$15&gt;=3,IF($C$13="Yes",IF(Summary!B373&lt;&gt;"",Summary!B373,""),""),"")</f>
        <v/>
      </c>
      <c r="N377" t="str">
        <f t="shared" si="65"/>
        <v/>
      </c>
      <c r="O377">
        <f t="shared" si="66"/>
        <v>0</v>
      </c>
      <c r="Q377" t="str">
        <f>IF($C$15&gt;=4,IF($C$13="Yes",IF(Summary!B373&lt;&gt;"",Summary!B373,""),""),"")</f>
        <v/>
      </c>
      <c r="R377" t="str">
        <f t="shared" si="67"/>
        <v/>
      </c>
      <c r="S377">
        <f t="shared" si="68"/>
        <v>0</v>
      </c>
      <c r="U377" t="str">
        <f>IF($C$15&gt;=5,IF($C$13="Yes",IF(Summary!B373&lt;&gt;"",Summary!B373,""),""),"")</f>
        <v/>
      </c>
      <c r="V377" t="str">
        <f t="shared" si="69"/>
        <v/>
      </c>
      <c r="W377">
        <f t="shared" si="70"/>
        <v>0</v>
      </c>
      <c r="Y377" t="str">
        <f>IF($C$13="Yes",IF(Summary!B373&lt;&gt;"",Summary!B373,""),"")</f>
        <v/>
      </c>
      <c r="Z377" s="439" t="str">
        <f t="shared" si="71"/>
        <v/>
      </c>
      <c r="AA377" t="str">
        <f t="shared" si="60"/>
        <v/>
      </c>
    </row>
    <row r="378" spans="2:27">
      <c r="B378" t="str">
        <f>IF(Summary!B374&lt;&gt;"",Summary!B374,"")</f>
        <v/>
      </c>
      <c r="C378" t="str">
        <f>IF(Summary!C374&lt;&gt;"",Summary!C374,"")</f>
        <v/>
      </c>
      <c r="E378" t="str">
        <f>IF($C$15&gt;=1,IF($C$13="Yes",IF(Summary!B374&lt;&gt;"",Summary!B374,""),""),"")</f>
        <v/>
      </c>
      <c r="F378" t="str">
        <f t="shared" si="61"/>
        <v/>
      </c>
      <c r="G378">
        <f t="shared" si="62"/>
        <v>0</v>
      </c>
      <c r="I378" t="str">
        <f>IF($C$15&gt;=2,IF($C$13="Yes",IF(Summary!B374&lt;&gt;"",Summary!B374,""),""),"")</f>
        <v/>
      </c>
      <c r="J378" t="str">
        <f t="shared" si="63"/>
        <v/>
      </c>
      <c r="K378">
        <f t="shared" si="64"/>
        <v>0</v>
      </c>
      <c r="M378" t="str">
        <f>IF($C$15&gt;=3,IF($C$13="Yes",IF(Summary!B374&lt;&gt;"",Summary!B374,""),""),"")</f>
        <v/>
      </c>
      <c r="N378" t="str">
        <f t="shared" si="65"/>
        <v/>
      </c>
      <c r="O378">
        <f t="shared" si="66"/>
        <v>0</v>
      </c>
      <c r="Q378" t="str">
        <f>IF($C$15&gt;=4,IF($C$13="Yes",IF(Summary!B374&lt;&gt;"",Summary!B374,""),""),"")</f>
        <v/>
      </c>
      <c r="R378" t="str">
        <f t="shared" si="67"/>
        <v/>
      </c>
      <c r="S378">
        <f t="shared" si="68"/>
        <v>0</v>
      </c>
      <c r="U378" t="str">
        <f>IF($C$15&gt;=5,IF($C$13="Yes",IF(Summary!B374&lt;&gt;"",Summary!B374,""),""),"")</f>
        <v/>
      </c>
      <c r="V378" t="str">
        <f t="shared" si="69"/>
        <v/>
      </c>
      <c r="W378">
        <f t="shared" si="70"/>
        <v>0</v>
      </c>
      <c r="Y378" t="str">
        <f>IF($C$13="Yes",IF(Summary!B374&lt;&gt;"",Summary!B374,""),"")</f>
        <v/>
      </c>
      <c r="Z378" s="439" t="str">
        <f t="shared" si="71"/>
        <v/>
      </c>
      <c r="AA378" t="str">
        <f t="shared" si="60"/>
        <v/>
      </c>
    </row>
    <row r="379" spans="2:27">
      <c r="B379" t="str">
        <f>IF(Summary!B375&lt;&gt;"",Summary!B375,"")</f>
        <v/>
      </c>
      <c r="C379" t="str">
        <f>IF(Summary!C375&lt;&gt;"",Summary!C375,"")</f>
        <v/>
      </c>
      <c r="E379" t="str">
        <f>IF($C$15&gt;=1,IF($C$13="Yes",IF(Summary!B375&lt;&gt;"",Summary!B375,""),""),"")</f>
        <v/>
      </c>
      <c r="F379" t="str">
        <f t="shared" si="61"/>
        <v/>
      </c>
      <c r="G379">
        <f t="shared" si="62"/>
        <v>0</v>
      </c>
      <c r="I379" t="str">
        <f>IF($C$15&gt;=2,IF($C$13="Yes",IF(Summary!B375&lt;&gt;"",Summary!B375,""),""),"")</f>
        <v/>
      </c>
      <c r="J379" t="str">
        <f t="shared" si="63"/>
        <v/>
      </c>
      <c r="K379">
        <f t="shared" si="64"/>
        <v>0</v>
      </c>
      <c r="M379" t="str">
        <f>IF($C$15&gt;=3,IF($C$13="Yes",IF(Summary!B375&lt;&gt;"",Summary!B375,""),""),"")</f>
        <v/>
      </c>
      <c r="N379" t="str">
        <f t="shared" si="65"/>
        <v/>
      </c>
      <c r="O379">
        <f t="shared" si="66"/>
        <v>0</v>
      </c>
      <c r="Q379" t="str">
        <f>IF($C$15&gt;=4,IF($C$13="Yes",IF(Summary!B375&lt;&gt;"",Summary!B375,""),""),"")</f>
        <v/>
      </c>
      <c r="R379" t="str">
        <f t="shared" si="67"/>
        <v/>
      </c>
      <c r="S379">
        <f t="shared" si="68"/>
        <v>0</v>
      </c>
      <c r="U379" t="str">
        <f>IF($C$15&gt;=5,IF($C$13="Yes",IF(Summary!B375&lt;&gt;"",Summary!B375,""),""),"")</f>
        <v/>
      </c>
      <c r="V379" t="str">
        <f t="shared" si="69"/>
        <v/>
      </c>
      <c r="W379">
        <f t="shared" si="70"/>
        <v>0</v>
      </c>
      <c r="Y379" t="str">
        <f>IF($C$13="Yes",IF(Summary!B375&lt;&gt;"",Summary!B375,""),"")</f>
        <v/>
      </c>
      <c r="Z379" s="439" t="str">
        <f t="shared" si="71"/>
        <v/>
      </c>
      <c r="AA379" t="str">
        <f t="shared" si="60"/>
        <v/>
      </c>
    </row>
    <row r="380" spans="2:27">
      <c r="B380" t="str">
        <f>IF(Summary!B376&lt;&gt;"",Summary!B376,"")</f>
        <v/>
      </c>
      <c r="C380" t="str">
        <f>IF(Summary!C376&lt;&gt;"",Summary!C376,"")</f>
        <v/>
      </c>
      <c r="E380" t="str">
        <f>IF($C$15&gt;=1,IF($C$13="Yes",IF(Summary!B376&lt;&gt;"",Summary!B376,""),""),"")</f>
        <v/>
      </c>
      <c r="F380" t="str">
        <f t="shared" si="61"/>
        <v/>
      </c>
      <c r="G380">
        <f t="shared" si="62"/>
        <v>0</v>
      </c>
      <c r="I380" t="str">
        <f>IF($C$15&gt;=2,IF($C$13="Yes",IF(Summary!B376&lt;&gt;"",Summary!B376,""),""),"")</f>
        <v/>
      </c>
      <c r="J380" t="str">
        <f t="shared" si="63"/>
        <v/>
      </c>
      <c r="K380">
        <f t="shared" si="64"/>
        <v>0</v>
      </c>
      <c r="M380" t="str">
        <f>IF($C$15&gt;=3,IF($C$13="Yes",IF(Summary!B376&lt;&gt;"",Summary!B376,""),""),"")</f>
        <v/>
      </c>
      <c r="N380" t="str">
        <f t="shared" si="65"/>
        <v/>
      </c>
      <c r="O380">
        <f t="shared" si="66"/>
        <v>0</v>
      </c>
      <c r="Q380" t="str">
        <f>IF($C$15&gt;=4,IF($C$13="Yes",IF(Summary!B376&lt;&gt;"",Summary!B376,""),""),"")</f>
        <v/>
      </c>
      <c r="R380" t="str">
        <f t="shared" si="67"/>
        <v/>
      </c>
      <c r="S380">
        <f t="shared" si="68"/>
        <v>0</v>
      </c>
      <c r="U380" t="str">
        <f>IF($C$15&gt;=5,IF($C$13="Yes",IF(Summary!B376&lt;&gt;"",Summary!B376,""),""),"")</f>
        <v/>
      </c>
      <c r="V380" t="str">
        <f t="shared" si="69"/>
        <v/>
      </c>
      <c r="W380">
        <f t="shared" si="70"/>
        <v>0</v>
      </c>
      <c r="Y380" t="str">
        <f>IF($C$13="Yes",IF(Summary!B376&lt;&gt;"",Summary!B376,""),"")</f>
        <v/>
      </c>
      <c r="Z380" s="439" t="str">
        <f t="shared" si="71"/>
        <v/>
      </c>
      <c r="AA380" t="str">
        <f t="shared" si="60"/>
        <v/>
      </c>
    </row>
    <row r="381" spans="2:27">
      <c r="B381" t="str">
        <f>IF(Summary!B377&lt;&gt;"",Summary!B377,"")</f>
        <v/>
      </c>
      <c r="C381" t="str">
        <f>IF(Summary!C377&lt;&gt;"",Summary!C377,"")</f>
        <v/>
      </c>
      <c r="E381" t="str">
        <f>IF($C$15&gt;=1,IF($C$13="Yes",IF(Summary!B377&lt;&gt;"",Summary!B377,""),""),"")</f>
        <v/>
      </c>
      <c r="F381" t="str">
        <f t="shared" si="61"/>
        <v/>
      </c>
      <c r="G381">
        <f t="shared" si="62"/>
        <v>0</v>
      </c>
      <c r="I381" t="str">
        <f>IF($C$15&gt;=2,IF($C$13="Yes",IF(Summary!B377&lt;&gt;"",Summary!B377,""),""),"")</f>
        <v/>
      </c>
      <c r="J381" t="str">
        <f t="shared" si="63"/>
        <v/>
      </c>
      <c r="K381">
        <f t="shared" si="64"/>
        <v>0</v>
      </c>
      <c r="M381" t="str">
        <f>IF($C$15&gt;=3,IF($C$13="Yes",IF(Summary!B377&lt;&gt;"",Summary!B377,""),""),"")</f>
        <v/>
      </c>
      <c r="N381" t="str">
        <f t="shared" si="65"/>
        <v/>
      </c>
      <c r="O381">
        <f t="shared" si="66"/>
        <v>0</v>
      </c>
      <c r="Q381" t="str">
        <f>IF($C$15&gt;=4,IF($C$13="Yes",IF(Summary!B377&lt;&gt;"",Summary!B377,""),""),"")</f>
        <v/>
      </c>
      <c r="R381" t="str">
        <f t="shared" si="67"/>
        <v/>
      </c>
      <c r="S381">
        <f t="shared" si="68"/>
        <v>0</v>
      </c>
      <c r="U381" t="str">
        <f>IF($C$15&gt;=5,IF($C$13="Yes",IF(Summary!B377&lt;&gt;"",Summary!B377,""),""),"")</f>
        <v/>
      </c>
      <c r="V381" t="str">
        <f t="shared" si="69"/>
        <v/>
      </c>
      <c r="W381">
        <f t="shared" si="70"/>
        <v>0</v>
      </c>
      <c r="Y381" t="str">
        <f>IF($C$13="Yes",IF(Summary!B377&lt;&gt;"",Summary!B377,""),"")</f>
        <v/>
      </c>
      <c r="Z381" s="439" t="str">
        <f t="shared" si="71"/>
        <v/>
      </c>
      <c r="AA381" t="str">
        <f t="shared" si="60"/>
        <v/>
      </c>
    </row>
    <row r="382" spans="2:27">
      <c r="B382" t="str">
        <f>IF(Summary!B378&lt;&gt;"",Summary!B378,"")</f>
        <v/>
      </c>
      <c r="C382" t="str">
        <f>IF(Summary!C378&lt;&gt;"",Summary!C378,"")</f>
        <v/>
      </c>
      <c r="E382" t="str">
        <f>IF($C$15&gt;=1,IF($C$13="Yes",IF(Summary!B378&lt;&gt;"",Summary!B378,""),""),"")</f>
        <v/>
      </c>
      <c r="F382" t="str">
        <f t="shared" si="61"/>
        <v/>
      </c>
      <c r="G382">
        <f t="shared" si="62"/>
        <v>0</v>
      </c>
      <c r="I382" t="str">
        <f>IF($C$15&gt;=2,IF($C$13="Yes",IF(Summary!B378&lt;&gt;"",Summary!B378,""),""),"")</f>
        <v/>
      </c>
      <c r="J382" t="str">
        <f t="shared" si="63"/>
        <v/>
      </c>
      <c r="K382">
        <f t="shared" si="64"/>
        <v>0</v>
      </c>
      <c r="M382" t="str">
        <f>IF($C$15&gt;=3,IF($C$13="Yes",IF(Summary!B378&lt;&gt;"",Summary!B378,""),""),"")</f>
        <v/>
      </c>
      <c r="N382" t="str">
        <f t="shared" si="65"/>
        <v/>
      </c>
      <c r="O382">
        <f t="shared" si="66"/>
        <v>0</v>
      </c>
      <c r="Q382" t="str">
        <f>IF($C$15&gt;=4,IF($C$13="Yes",IF(Summary!B378&lt;&gt;"",Summary!B378,""),""),"")</f>
        <v/>
      </c>
      <c r="R382" t="str">
        <f t="shared" si="67"/>
        <v/>
      </c>
      <c r="S382">
        <f t="shared" si="68"/>
        <v>0</v>
      </c>
      <c r="U382" t="str">
        <f>IF($C$15&gt;=5,IF($C$13="Yes",IF(Summary!B378&lt;&gt;"",Summary!B378,""),""),"")</f>
        <v/>
      </c>
      <c r="V382" t="str">
        <f t="shared" si="69"/>
        <v/>
      </c>
      <c r="W382">
        <f t="shared" si="70"/>
        <v>0</v>
      </c>
      <c r="Y382" t="str">
        <f>IF($C$13="Yes",IF(Summary!B378&lt;&gt;"",Summary!B378,""),"")</f>
        <v/>
      </c>
      <c r="Z382" s="439" t="str">
        <f t="shared" si="71"/>
        <v/>
      </c>
      <c r="AA382" t="str">
        <f t="shared" si="60"/>
        <v/>
      </c>
    </row>
    <row r="383" spans="2:27">
      <c r="B383" t="str">
        <f>IF(Summary!B379&lt;&gt;"",Summary!B379,"")</f>
        <v/>
      </c>
      <c r="C383" t="str">
        <f>IF(Summary!C379&lt;&gt;"",Summary!C379,"")</f>
        <v/>
      </c>
      <c r="E383" t="str">
        <f>IF($C$15&gt;=1,IF($C$13="Yes",IF(Summary!B379&lt;&gt;"",Summary!B379,""),""),"")</f>
        <v/>
      </c>
      <c r="F383" t="str">
        <f t="shared" si="61"/>
        <v/>
      </c>
      <c r="G383">
        <f t="shared" si="62"/>
        <v>0</v>
      </c>
      <c r="I383" t="str">
        <f>IF($C$15&gt;=2,IF($C$13="Yes",IF(Summary!B379&lt;&gt;"",Summary!B379,""),""),"")</f>
        <v/>
      </c>
      <c r="J383" t="str">
        <f t="shared" si="63"/>
        <v/>
      </c>
      <c r="K383">
        <f t="shared" si="64"/>
        <v>0</v>
      </c>
      <c r="M383" t="str">
        <f>IF($C$15&gt;=3,IF($C$13="Yes",IF(Summary!B379&lt;&gt;"",Summary!B379,""),""),"")</f>
        <v/>
      </c>
      <c r="N383" t="str">
        <f t="shared" si="65"/>
        <v/>
      </c>
      <c r="O383">
        <f t="shared" si="66"/>
        <v>0</v>
      </c>
      <c r="Q383" t="str">
        <f>IF($C$15&gt;=4,IF($C$13="Yes",IF(Summary!B379&lt;&gt;"",Summary!B379,""),""),"")</f>
        <v/>
      </c>
      <c r="R383" t="str">
        <f t="shared" si="67"/>
        <v/>
      </c>
      <c r="S383">
        <f t="shared" si="68"/>
        <v>0</v>
      </c>
      <c r="U383" t="str">
        <f>IF($C$15&gt;=5,IF($C$13="Yes",IF(Summary!B379&lt;&gt;"",Summary!B379,""),""),"")</f>
        <v/>
      </c>
      <c r="V383" t="str">
        <f t="shared" si="69"/>
        <v/>
      </c>
      <c r="W383">
        <f t="shared" si="70"/>
        <v>0</v>
      </c>
      <c r="Y383" t="str">
        <f>IF($C$13="Yes",IF(Summary!B379&lt;&gt;"",Summary!B379,""),"")</f>
        <v/>
      </c>
      <c r="Z383" s="439" t="str">
        <f t="shared" si="71"/>
        <v/>
      </c>
      <c r="AA383" t="str">
        <f t="shared" si="60"/>
        <v/>
      </c>
    </row>
    <row r="384" spans="2:27">
      <c r="B384" t="str">
        <f>IF(Summary!B380&lt;&gt;"",Summary!B380,"")</f>
        <v/>
      </c>
      <c r="C384" t="str">
        <f>IF(Summary!C380&lt;&gt;"",Summary!C380,"")</f>
        <v/>
      </c>
      <c r="E384" t="str">
        <f>IF($C$15&gt;=1,IF($C$13="Yes",IF(Summary!B380&lt;&gt;"",Summary!B380,""),""),"")</f>
        <v/>
      </c>
      <c r="F384" t="str">
        <f t="shared" si="61"/>
        <v/>
      </c>
      <c r="G384">
        <f t="shared" si="62"/>
        <v>0</v>
      </c>
      <c r="I384" t="str">
        <f>IF($C$15&gt;=2,IF($C$13="Yes",IF(Summary!B380&lt;&gt;"",Summary!B380,""),""),"")</f>
        <v/>
      </c>
      <c r="J384" t="str">
        <f t="shared" si="63"/>
        <v/>
      </c>
      <c r="K384">
        <f t="shared" si="64"/>
        <v>0</v>
      </c>
      <c r="M384" t="str">
        <f>IF($C$15&gt;=3,IF($C$13="Yes",IF(Summary!B380&lt;&gt;"",Summary!B380,""),""),"")</f>
        <v/>
      </c>
      <c r="N384" t="str">
        <f t="shared" si="65"/>
        <v/>
      </c>
      <c r="O384">
        <f t="shared" si="66"/>
        <v>0</v>
      </c>
      <c r="Q384" t="str">
        <f>IF($C$15&gt;=4,IF($C$13="Yes",IF(Summary!B380&lt;&gt;"",Summary!B380,""),""),"")</f>
        <v/>
      </c>
      <c r="R384" t="str">
        <f t="shared" si="67"/>
        <v/>
      </c>
      <c r="S384">
        <f t="shared" si="68"/>
        <v>0</v>
      </c>
      <c r="U384" t="str">
        <f>IF($C$15&gt;=5,IF($C$13="Yes",IF(Summary!B380&lt;&gt;"",Summary!B380,""),""),"")</f>
        <v/>
      </c>
      <c r="V384" t="str">
        <f t="shared" si="69"/>
        <v/>
      </c>
      <c r="W384">
        <f t="shared" si="70"/>
        <v>0</v>
      </c>
      <c r="Y384" t="str">
        <f>IF($C$13="Yes",IF(Summary!B380&lt;&gt;"",Summary!B380,""),"")</f>
        <v/>
      </c>
      <c r="Z384" s="439" t="str">
        <f t="shared" si="71"/>
        <v/>
      </c>
      <c r="AA384" t="str">
        <f t="shared" si="60"/>
        <v/>
      </c>
    </row>
    <row r="385" spans="2:27">
      <c r="B385" t="str">
        <f>IF(Summary!B381&lt;&gt;"",Summary!B381,"")</f>
        <v/>
      </c>
      <c r="C385" t="str">
        <f>IF(Summary!C381&lt;&gt;"",Summary!C381,"")</f>
        <v/>
      </c>
      <c r="E385" t="str">
        <f>IF($C$15&gt;=1,IF($C$13="Yes",IF(Summary!B381&lt;&gt;"",Summary!B381,""),""),"")</f>
        <v/>
      </c>
      <c r="F385" t="str">
        <f t="shared" si="61"/>
        <v/>
      </c>
      <c r="G385">
        <f t="shared" si="62"/>
        <v>0</v>
      </c>
      <c r="I385" t="str">
        <f>IF($C$15&gt;=2,IF($C$13="Yes",IF(Summary!B381&lt;&gt;"",Summary!B381,""),""),"")</f>
        <v/>
      </c>
      <c r="J385" t="str">
        <f t="shared" si="63"/>
        <v/>
      </c>
      <c r="K385">
        <f t="shared" si="64"/>
        <v>0</v>
      </c>
      <c r="M385" t="str">
        <f>IF($C$15&gt;=3,IF($C$13="Yes",IF(Summary!B381&lt;&gt;"",Summary!B381,""),""),"")</f>
        <v/>
      </c>
      <c r="N385" t="str">
        <f t="shared" si="65"/>
        <v/>
      </c>
      <c r="O385">
        <f t="shared" si="66"/>
        <v>0</v>
      </c>
      <c r="Q385" t="str">
        <f>IF($C$15&gt;=4,IF($C$13="Yes",IF(Summary!B381&lt;&gt;"",Summary!B381,""),""),"")</f>
        <v/>
      </c>
      <c r="R385" t="str">
        <f t="shared" si="67"/>
        <v/>
      </c>
      <c r="S385">
        <f t="shared" si="68"/>
        <v>0</v>
      </c>
      <c r="U385" t="str">
        <f>IF($C$15&gt;=5,IF($C$13="Yes",IF(Summary!B381&lt;&gt;"",Summary!B381,""),""),"")</f>
        <v/>
      </c>
      <c r="V385" t="str">
        <f t="shared" si="69"/>
        <v/>
      </c>
      <c r="W385">
        <f t="shared" si="70"/>
        <v>0</v>
      </c>
      <c r="Y385" t="str">
        <f>IF($C$13="Yes",IF(Summary!B381&lt;&gt;"",Summary!B381,""),"")</f>
        <v/>
      </c>
      <c r="Z385" s="439" t="str">
        <f t="shared" si="71"/>
        <v/>
      </c>
      <c r="AA385" t="str">
        <f t="shared" si="60"/>
        <v/>
      </c>
    </row>
    <row r="386" spans="2:27">
      <c r="B386" t="str">
        <f>IF(Summary!B382&lt;&gt;"",Summary!B382,"")</f>
        <v/>
      </c>
      <c r="C386" t="str">
        <f>IF(Summary!C382&lt;&gt;"",Summary!C382,"")</f>
        <v/>
      </c>
      <c r="E386" t="str">
        <f>IF($C$15&gt;=1,IF($C$13="Yes",IF(Summary!B382&lt;&gt;"",Summary!B382,""),""),"")</f>
        <v/>
      </c>
      <c r="F386" t="str">
        <f t="shared" si="61"/>
        <v/>
      </c>
      <c r="G386">
        <f t="shared" si="62"/>
        <v>0</v>
      </c>
      <c r="I386" t="str">
        <f>IF($C$15&gt;=2,IF($C$13="Yes",IF(Summary!B382&lt;&gt;"",Summary!B382,""),""),"")</f>
        <v/>
      </c>
      <c r="J386" t="str">
        <f t="shared" si="63"/>
        <v/>
      </c>
      <c r="K386">
        <f t="shared" si="64"/>
        <v>0</v>
      </c>
      <c r="M386" t="str">
        <f>IF($C$15&gt;=3,IF($C$13="Yes",IF(Summary!B382&lt;&gt;"",Summary!B382,""),""),"")</f>
        <v/>
      </c>
      <c r="N386" t="str">
        <f t="shared" si="65"/>
        <v/>
      </c>
      <c r="O386">
        <f t="shared" si="66"/>
        <v>0</v>
      </c>
      <c r="Q386" t="str">
        <f>IF($C$15&gt;=4,IF($C$13="Yes",IF(Summary!B382&lt;&gt;"",Summary!B382,""),""),"")</f>
        <v/>
      </c>
      <c r="R386" t="str">
        <f t="shared" si="67"/>
        <v/>
      </c>
      <c r="S386">
        <f t="shared" si="68"/>
        <v>0</v>
      </c>
      <c r="U386" t="str">
        <f>IF($C$15&gt;=5,IF($C$13="Yes",IF(Summary!B382&lt;&gt;"",Summary!B382,""),""),"")</f>
        <v/>
      </c>
      <c r="V386" t="str">
        <f t="shared" si="69"/>
        <v/>
      </c>
      <c r="W386">
        <f t="shared" si="70"/>
        <v>0</v>
      </c>
      <c r="Y386" t="str">
        <f>IF($C$13="Yes",IF(Summary!B382&lt;&gt;"",Summary!B382,""),"")</f>
        <v/>
      </c>
      <c r="Z386" s="439" t="str">
        <f t="shared" si="71"/>
        <v/>
      </c>
      <c r="AA386" t="str">
        <f t="shared" si="60"/>
        <v/>
      </c>
    </row>
    <row r="387" spans="2:27">
      <c r="B387" t="str">
        <f>IF(Summary!B383&lt;&gt;"",Summary!B383,"")</f>
        <v/>
      </c>
      <c r="C387" t="str">
        <f>IF(Summary!C383&lt;&gt;"",Summary!C383,"")</f>
        <v/>
      </c>
      <c r="E387" t="str">
        <f>IF($C$15&gt;=1,IF($C$13="Yes",IF(Summary!B383&lt;&gt;"",Summary!B383,""),""),"")</f>
        <v/>
      </c>
      <c r="F387" t="str">
        <f t="shared" si="61"/>
        <v/>
      </c>
      <c r="G387">
        <f t="shared" si="62"/>
        <v>0</v>
      </c>
      <c r="I387" t="str">
        <f>IF($C$15&gt;=2,IF($C$13="Yes",IF(Summary!B383&lt;&gt;"",Summary!B383,""),""),"")</f>
        <v/>
      </c>
      <c r="J387" t="str">
        <f t="shared" si="63"/>
        <v/>
      </c>
      <c r="K387">
        <f t="shared" si="64"/>
        <v>0</v>
      </c>
      <c r="M387" t="str">
        <f>IF($C$15&gt;=3,IF($C$13="Yes",IF(Summary!B383&lt;&gt;"",Summary!B383,""),""),"")</f>
        <v/>
      </c>
      <c r="N387" t="str">
        <f t="shared" si="65"/>
        <v/>
      </c>
      <c r="O387">
        <f t="shared" si="66"/>
        <v>0</v>
      </c>
      <c r="Q387" t="str">
        <f>IF($C$15&gt;=4,IF($C$13="Yes",IF(Summary!B383&lt;&gt;"",Summary!B383,""),""),"")</f>
        <v/>
      </c>
      <c r="R387" t="str">
        <f t="shared" si="67"/>
        <v/>
      </c>
      <c r="S387">
        <f t="shared" si="68"/>
        <v>0</v>
      </c>
      <c r="U387" t="str">
        <f>IF($C$15&gt;=5,IF($C$13="Yes",IF(Summary!B383&lt;&gt;"",Summary!B383,""),""),"")</f>
        <v/>
      </c>
      <c r="V387" t="str">
        <f t="shared" si="69"/>
        <v/>
      </c>
      <c r="W387">
        <f t="shared" si="70"/>
        <v>0</v>
      </c>
      <c r="Y387" t="str">
        <f>IF($C$13="Yes",IF(Summary!B383&lt;&gt;"",Summary!B383,""),"")</f>
        <v/>
      </c>
      <c r="Z387" s="439" t="str">
        <f t="shared" si="71"/>
        <v/>
      </c>
      <c r="AA387" t="str">
        <f t="shared" si="60"/>
        <v/>
      </c>
    </row>
    <row r="388" spans="2:27">
      <c r="B388" t="str">
        <f>IF(Summary!B384&lt;&gt;"",Summary!B384,"")</f>
        <v/>
      </c>
      <c r="C388" t="str">
        <f>IF(Summary!C384&lt;&gt;"",Summary!C384,"")</f>
        <v/>
      </c>
      <c r="E388" t="str">
        <f>IF($C$15&gt;=1,IF($C$13="Yes",IF(Summary!B384&lt;&gt;"",Summary!B384,""),""),"")</f>
        <v/>
      </c>
      <c r="F388" t="str">
        <f t="shared" si="61"/>
        <v/>
      </c>
      <c r="G388">
        <f t="shared" si="62"/>
        <v>0</v>
      </c>
      <c r="I388" t="str">
        <f>IF($C$15&gt;=2,IF($C$13="Yes",IF(Summary!B384&lt;&gt;"",Summary!B384,""),""),"")</f>
        <v/>
      </c>
      <c r="J388" t="str">
        <f t="shared" si="63"/>
        <v/>
      </c>
      <c r="K388">
        <f t="shared" si="64"/>
        <v>0</v>
      </c>
      <c r="M388" t="str">
        <f>IF($C$15&gt;=3,IF($C$13="Yes",IF(Summary!B384&lt;&gt;"",Summary!B384,""),""),"")</f>
        <v/>
      </c>
      <c r="N388" t="str">
        <f t="shared" si="65"/>
        <v/>
      </c>
      <c r="O388">
        <f t="shared" si="66"/>
        <v>0</v>
      </c>
      <c r="Q388" t="str">
        <f>IF($C$15&gt;=4,IF($C$13="Yes",IF(Summary!B384&lt;&gt;"",Summary!B384,""),""),"")</f>
        <v/>
      </c>
      <c r="R388" t="str">
        <f t="shared" si="67"/>
        <v/>
      </c>
      <c r="S388">
        <f t="shared" si="68"/>
        <v>0</v>
      </c>
      <c r="U388" t="str">
        <f>IF($C$15&gt;=5,IF($C$13="Yes",IF(Summary!B384&lt;&gt;"",Summary!B384,""),""),"")</f>
        <v/>
      </c>
      <c r="V388" t="str">
        <f t="shared" si="69"/>
        <v/>
      </c>
      <c r="W388">
        <f t="shared" si="70"/>
        <v>0</v>
      </c>
      <c r="Y388" t="str">
        <f>IF($C$13="Yes",IF(Summary!B384&lt;&gt;"",Summary!B384,""),"")</f>
        <v/>
      </c>
      <c r="Z388" s="439" t="str">
        <f t="shared" si="71"/>
        <v/>
      </c>
      <c r="AA388" t="str">
        <f t="shared" si="60"/>
        <v/>
      </c>
    </row>
    <row r="389" spans="2:27">
      <c r="B389" t="str">
        <f>IF(Summary!B385&lt;&gt;"",Summary!B385,"")</f>
        <v/>
      </c>
      <c r="C389" t="str">
        <f>IF(Summary!C385&lt;&gt;"",Summary!C385,"")</f>
        <v/>
      </c>
      <c r="E389" t="str">
        <f>IF($C$15&gt;=1,IF($C$13="Yes",IF(Summary!B385&lt;&gt;"",Summary!B385,""),""),"")</f>
        <v/>
      </c>
      <c r="F389" t="str">
        <f t="shared" si="61"/>
        <v/>
      </c>
      <c r="G389">
        <f t="shared" si="62"/>
        <v>0</v>
      </c>
      <c r="I389" t="str">
        <f>IF($C$15&gt;=2,IF($C$13="Yes",IF(Summary!B385&lt;&gt;"",Summary!B385,""),""),"")</f>
        <v/>
      </c>
      <c r="J389" t="str">
        <f t="shared" si="63"/>
        <v/>
      </c>
      <c r="K389">
        <f t="shared" si="64"/>
        <v>0</v>
      </c>
      <c r="M389" t="str">
        <f>IF($C$15&gt;=3,IF($C$13="Yes",IF(Summary!B385&lt;&gt;"",Summary!B385,""),""),"")</f>
        <v/>
      </c>
      <c r="N389" t="str">
        <f t="shared" si="65"/>
        <v/>
      </c>
      <c r="O389">
        <f t="shared" si="66"/>
        <v>0</v>
      </c>
      <c r="Q389" t="str">
        <f>IF($C$15&gt;=4,IF($C$13="Yes",IF(Summary!B385&lt;&gt;"",Summary!B385,""),""),"")</f>
        <v/>
      </c>
      <c r="R389" t="str">
        <f t="shared" si="67"/>
        <v/>
      </c>
      <c r="S389">
        <f t="shared" si="68"/>
        <v>0</v>
      </c>
      <c r="U389" t="str">
        <f>IF($C$15&gt;=5,IF($C$13="Yes",IF(Summary!B385&lt;&gt;"",Summary!B385,""),""),"")</f>
        <v/>
      </c>
      <c r="V389" t="str">
        <f t="shared" si="69"/>
        <v/>
      </c>
      <c r="W389">
        <f t="shared" si="70"/>
        <v>0</v>
      </c>
      <c r="Y389" t="str">
        <f>IF($C$13="Yes",IF(Summary!B385&lt;&gt;"",Summary!B385,""),"")</f>
        <v/>
      </c>
      <c r="Z389" s="439" t="str">
        <f t="shared" si="71"/>
        <v/>
      </c>
      <c r="AA389" t="str">
        <f t="shared" si="60"/>
        <v/>
      </c>
    </row>
    <row r="390" spans="2:27">
      <c r="B390" t="str">
        <f>IF(Summary!B386&lt;&gt;"",Summary!B386,"")</f>
        <v/>
      </c>
      <c r="C390" t="str">
        <f>IF(Summary!C386&lt;&gt;"",Summary!C386,"")</f>
        <v/>
      </c>
      <c r="E390" t="str">
        <f>IF($C$15&gt;=1,IF($C$13="Yes",IF(Summary!B386&lt;&gt;"",Summary!B386,""),""),"")</f>
        <v/>
      </c>
      <c r="F390" t="str">
        <f t="shared" si="61"/>
        <v/>
      </c>
      <c r="G390">
        <f t="shared" si="62"/>
        <v>0</v>
      </c>
      <c r="I390" t="str">
        <f>IF($C$15&gt;=2,IF($C$13="Yes",IF(Summary!B386&lt;&gt;"",Summary!B386,""),""),"")</f>
        <v/>
      </c>
      <c r="J390" t="str">
        <f t="shared" si="63"/>
        <v/>
      </c>
      <c r="K390">
        <f t="shared" si="64"/>
        <v>0</v>
      </c>
      <c r="M390" t="str">
        <f>IF($C$15&gt;=3,IF($C$13="Yes",IF(Summary!B386&lt;&gt;"",Summary!B386,""),""),"")</f>
        <v/>
      </c>
      <c r="N390" t="str">
        <f t="shared" si="65"/>
        <v/>
      </c>
      <c r="O390">
        <f t="shared" si="66"/>
        <v>0</v>
      </c>
      <c r="Q390" t="str">
        <f>IF($C$15&gt;=4,IF($C$13="Yes",IF(Summary!B386&lt;&gt;"",Summary!B386,""),""),"")</f>
        <v/>
      </c>
      <c r="R390" t="str">
        <f t="shared" si="67"/>
        <v/>
      </c>
      <c r="S390">
        <f t="shared" si="68"/>
        <v>0</v>
      </c>
      <c r="U390" t="str">
        <f>IF($C$15&gt;=5,IF($C$13="Yes",IF(Summary!B386&lt;&gt;"",Summary!B386,""),""),"")</f>
        <v/>
      </c>
      <c r="V390" t="str">
        <f t="shared" si="69"/>
        <v/>
      </c>
      <c r="W390">
        <f t="shared" si="70"/>
        <v>0</v>
      </c>
      <c r="Y390" t="str">
        <f>IF($C$13="Yes",IF(Summary!B386&lt;&gt;"",Summary!B386,""),"")</f>
        <v/>
      </c>
      <c r="Z390" s="439" t="str">
        <f t="shared" si="71"/>
        <v/>
      </c>
      <c r="AA390" t="str">
        <f t="shared" si="60"/>
        <v/>
      </c>
    </row>
    <row r="391" spans="2:27">
      <c r="B391" t="str">
        <f>IF(Summary!B387&lt;&gt;"",Summary!B387,"")</f>
        <v/>
      </c>
      <c r="C391" t="str">
        <f>IF(Summary!C387&lt;&gt;"",Summary!C387,"")</f>
        <v/>
      </c>
      <c r="E391" t="str">
        <f>IF($C$15&gt;=1,IF($C$13="Yes",IF(Summary!B387&lt;&gt;"",Summary!B387,""),""),"")</f>
        <v/>
      </c>
      <c r="F391" t="str">
        <f t="shared" si="61"/>
        <v/>
      </c>
      <c r="G391">
        <f t="shared" si="62"/>
        <v>0</v>
      </c>
      <c r="I391" t="str">
        <f>IF($C$15&gt;=2,IF($C$13="Yes",IF(Summary!B387&lt;&gt;"",Summary!B387,""),""),"")</f>
        <v/>
      </c>
      <c r="J391" t="str">
        <f t="shared" si="63"/>
        <v/>
      </c>
      <c r="K391">
        <f t="shared" si="64"/>
        <v>0</v>
      </c>
      <c r="M391" t="str">
        <f>IF($C$15&gt;=3,IF($C$13="Yes",IF(Summary!B387&lt;&gt;"",Summary!B387,""),""),"")</f>
        <v/>
      </c>
      <c r="N391" t="str">
        <f t="shared" si="65"/>
        <v/>
      </c>
      <c r="O391">
        <f t="shared" si="66"/>
        <v>0</v>
      </c>
      <c r="Q391" t="str">
        <f>IF($C$15&gt;=4,IF($C$13="Yes",IF(Summary!B387&lt;&gt;"",Summary!B387,""),""),"")</f>
        <v/>
      </c>
      <c r="R391" t="str">
        <f t="shared" si="67"/>
        <v/>
      </c>
      <c r="S391">
        <f t="shared" si="68"/>
        <v>0</v>
      </c>
      <c r="U391" t="str">
        <f>IF($C$15&gt;=5,IF($C$13="Yes",IF(Summary!B387&lt;&gt;"",Summary!B387,""),""),"")</f>
        <v/>
      </c>
      <c r="V391" t="str">
        <f t="shared" si="69"/>
        <v/>
      </c>
      <c r="W391">
        <f t="shared" si="70"/>
        <v>0</v>
      </c>
      <c r="Y391" t="str">
        <f>IF($C$13="Yes",IF(Summary!B387&lt;&gt;"",Summary!B387,""),"")</f>
        <v/>
      </c>
      <c r="Z391" s="439" t="str">
        <f t="shared" si="71"/>
        <v/>
      </c>
      <c r="AA391" t="str">
        <f t="shared" si="60"/>
        <v/>
      </c>
    </row>
    <row r="392" spans="2:27">
      <c r="B392" t="str">
        <f>IF(Summary!B388&lt;&gt;"",Summary!B388,"")</f>
        <v/>
      </c>
      <c r="C392" t="str">
        <f>IF(Summary!C388&lt;&gt;"",Summary!C388,"")</f>
        <v/>
      </c>
      <c r="E392" t="str">
        <f>IF($C$15&gt;=1,IF($C$13="Yes",IF(Summary!B388&lt;&gt;"",Summary!B388,""),""),"")</f>
        <v/>
      </c>
      <c r="F392" t="str">
        <f t="shared" si="61"/>
        <v/>
      </c>
      <c r="G392">
        <f t="shared" si="62"/>
        <v>0</v>
      </c>
      <c r="I392" t="str">
        <f>IF($C$15&gt;=2,IF($C$13="Yes",IF(Summary!B388&lt;&gt;"",Summary!B388,""),""),"")</f>
        <v/>
      </c>
      <c r="J392" t="str">
        <f t="shared" si="63"/>
        <v/>
      </c>
      <c r="K392">
        <f t="shared" si="64"/>
        <v>0</v>
      </c>
      <c r="M392" t="str">
        <f>IF($C$15&gt;=3,IF($C$13="Yes",IF(Summary!B388&lt;&gt;"",Summary!B388,""),""),"")</f>
        <v/>
      </c>
      <c r="N392" t="str">
        <f t="shared" si="65"/>
        <v/>
      </c>
      <c r="O392">
        <f t="shared" si="66"/>
        <v>0</v>
      </c>
      <c r="Q392" t="str">
        <f>IF($C$15&gt;=4,IF($C$13="Yes",IF(Summary!B388&lt;&gt;"",Summary!B388,""),""),"")</f>
        <v/>
      </c>
      <c r="R392" t="str">
        <f t="shared" si="67"/>
        <v/>
      </c>
      <c r="S392">
        <f t="shared" si="68"/>
        <v>0</v>
      </c>
      <c r="U392" t="str">
        <f>IF($C$15&gt;=5,IF($C$13="Yes",IF(Summary!B388&lt;&gt;"",Summary!B388,""),""),"")</f>
        <v/>
      </c>
      <c r="V392" t="str">
        <f t="shared" si="69"/>
        <v/>
      </c>
      <c r="W392">
        <f t="shared" si="70"/>
        <v>0</v>
      </c>
      <c r="Y392" t="str">
        <f>IF($C$13="Yes",IF(Summary!B388&lt;&gt;"",Summary!B388,""),"")</f>
        <v/>
      </c>
      <c r="Z392" s="439" t="str">
        <f t="shared" si="71"/>
        <v/>
      </c>
      <c r="AA392" t="str">
        <f t="shared" si="60"/>
        <v/>
      </c>
    </row>
    <row r="393" spans="2:27">
      <c r="B393" t="str">
        <f>IF(Summary!B389&lt;&gt;"",Summary!B389,"")</f>
        <v/>
      </c>
      <c r="C393" t="str">
        <f>IF(Summary!C389&lt;&gt;"",Summary!C389,"")</f>
        <v/>
      </c>
      <c r="E393" t="str">
        <f>IF($C$15&gt;=1,IF($C$13="Yes",IF(Summary!B389&lt;&gt;"",Summary!B389,""),""),"")</f>
        <v/>
      </c>
      <c r="F393" t="str">
        <f t="shared" si="61"/>
        <v/>
      </c>
      <c r="G393">
        <f t="shared" si="62"/>
        <v>0</v>
      </c>
      <c r="I393" t="str">
        <f>IF($C$15&gt;=2,IF($C$13="Yes",IF(Summary!B389&lt;&gt;"",Summary!B389,""),""),"")</f>
        <v/>
      </c>
      <c r="J393" t="str">
        <f t="shared" si="63"/>
        <v/>
      </c>
      <c r="K393">
        <f t="shared" si="64"/>
        <v>0</v>
      </c>
      <c r="M393" t="str">
        <f>IF($C$15&gt;=3,IF($C$13="Yes",IF(Summary!B389&lt;&gt;"",Summary!B389,""),""),"")</f>
        <v/>
      </c>
      <c r="N393" t="str">
        <f t="shared" si="65"/>
        <v/>
      </c>
      <c r="O393">
        <f t="shared" si="66"/>
        <v>0</v>
      </c>
      <c r="Q393" t="str">
        <f>IF($C$15&gt;=4,IF($C$13="Yes",IF(Summary!B389&lt;&gt;"",Summary!B389,""),""),"")</f>
        <v/>
      </c>
      <c r="R393" t="str">
        <f t="shared" si="67"/>
        <v/>
      </c>
      <c r="S393">
        <f t="shared" si="68"/>
        <v>0</v>
      </c>
      <c r="U393" t="str">
        <f>IF($C$15&gt;=5,IF($C$13="Yes",IF(Summary!B389&lt;&gt;"",Summary!B389,""),""),"")</f>
        <v/>
      </c>
      <c r="V393" t="str">
        <f t="shared" si="69"/>
        <v/>
      </c>
      <c r="W393">
        <f t="shared" si="70"/>
        <v>0</v>
      </c>
      <c r="Y393" t="str">
        <f>IF($C$13="Yes",IF(Summary!B389&lt;&gt;"",Summary!B389,""),"")</f>
        <v/>
      </c>
      <c r="Z393" s="439" t="str">
        <f t="shared" si="71"/>
        <v/>
      </c>
      <c r="AA393" t="str">
        <f t="shared" si="60"/>
        <v/>
      </c>
    </row>
    <row r="394" spans="2:27">
      <c r="B394" t="str">
        <f>IF(Summary!B390&lt;&gt;"",Summary!B390,"")</f>
        <v/>
      </c>
      <c r="C394" t="str">
        <f>IF(Summary!C390&lt;&gt;"",Summary!C390,"")</f>
        <v/>
      </c>
      <c r="E394" t="str">
        <f>IF($C$15&gt;=1,IF($C$13="Yes",IF(Summary!B390&lt;&gt;"",Summary!B390,""),""),"")</f>
        <v/>
      </c>
      <c r="F394" t="str">
        <f t="shared" si="61"/>
        <v/>
      </c>
      <c r="G394">
        <f t="shared" si="62"/>
        <v>0</v>
      </c>
      <c r="I394" t="str">
        <f>IF($C$15&gt;=2,IF($C$13="Yes",IF(Summary!B390&lt;&gt;"",Summary!B390,""),""),"")</f>
        <v/>
      </c>
      <c r="J394" t="str">
        <f t="shared" si="63"/>
        <v/>
      </c>
      <c r="K394">
        <f t="shared" si="64"/>
        <v>0</v>
      </c>
      <c r="M394" t="str">
        <f>IF($C$15&gt;=3,IF($C$13="Yes",IF(Summary!B390&lt;&gt;"",Summary!B390,""),""),"")</f>
        <v/>
      </c>
      <c r="N394" t="str">
        <f t="shared" si="65"/>
        <v/>
      </c>
      <c r="O394">
        <f t="shared" si="66"/>
        <v>0</v>
      </c>
      <c r="Q394" t="str">
        <f>IF($C$15&gt;=4,IF($C$13="Yes",IF(Summary!B390&lt;&gt;"",Summary!B390,""),""),"")</f>
        <v/>
      </c>
      <c r="R394" t="str">
        <f t="shared" si="67"/>
        <v/>
      </c>
      <c r="S394">
        <f t="shared" si="68"/>
        <v>0</v>
      </c>
      <c r="U394" t="str">
        <f>IF($C$15&gt;=5,IF($C$13="Yes",IF(Summary!B390&lt;&gt;"",Summary!B390,""),""),"")</f>
        <v/>
      </c>
      <c r="V394" t="str">
        <f t="shared" si="69"/>
        <v/>
      </c>
      <c r="W394">
        <f t="shared" si="70"/>
        <v>0</v>
      </c>
      <c r="Y394" t="str">
        <f>IF($C$13="Yes",IF(Summary!B390&lt;&gt;"",Summary!B390,""),"")</f>
        <v/>
      </c>
      <c r="Z394" s="439" t="str">
        <f t="shared" si="71"/>
        <v/>
      </c>
      <c r="AA394" t="str">
        <f t="shared" si="60"/>
        <v/>
      </c>
    </row>
    <row r="395" spans="2:27">
      <c r="B395" t="str">
        <f>IF(Summary!B391&lt;&gt;"",Summary!B391,"")</f>
        <v/>
      </c>
      <c r="C395" t="str">
        <f>IF(Summary!C391&lt;&gt;"",Summary!C391,"")</f>
        <v/>
      </c>
      <c r="E395" t="str">
        <f>IF($C$15&gt;=1,IF($C$13="Yes",IF(Summary!B391&lt;&gt;"",Summary!B391,""),""),"")</f>
        <v/>
      </c>
      <c r="F395" t="str">
        <f t="shared" si="61"/>
        <v/>
      </c>
      <c r="G395">
        <f t="shared" si="62"/>
        <v>0</v>
      </c>
      <c r="I395" t="str">
        <f>IF($C$15&gt;=2,IF($C$13="Yes",IF(Summary!B391&lt;&gt;"",Summary!B391,""),""),"")</f>
        <v/>
      </c>
      <c r="J395" t="str">
        <f t="shared" si="63"/>
        <v/>
      </c>
      <c r="K395">
        <f t="shared" si="64"/>
        <v>0</v>
      </c>
      <c r="M395" t="str">
        <f>IF($C$15&gt;=3,IF($C$13="Yes",IF(Summary!B391&lt;&gt;"",Summary!B391,""),""),"")</f>
        <v/>
      </c>
      <c r="N395" t="str">
        <f t="shared" si="65"/>
        <v/>
      </c>
      <c r="O395">
        <f t="shared" si="66"/>
        <v>0</v>
      </c>
      <c r="Q395" t="str">
        <f>IF($C$15&gt;=4,IF($C$13="Yes",IF(Summary!B391&lt;&gt;"",Summary!B391,""),""),"")</f>
        <v/>
      </c>
      <c r="R395" t="str">
        <f t="shared" si="67"/>
        <v/>
      </c>
      <c r="S395">
        <f t="shared" si="68"/>
        <v>0</v>
      </c>
      <c r="U395" t="str">
        <f>IF($C$15&gt;=5,IF($C$13="Yes",IF(Summary!B391&lt;&gt;"",Summary!B391,""),""),"")</f>
        <v/>
      </c>
      <c r="V395" t="str">
        <f t="shared" si="69"/>
        <v/>
      </c>
      <c r="W395">
        <f t="shared" si="70"/>
        <v>0</v>
      </c>
      <c r="Y395" t="str">
        <f>IF($C$13="Yes",IF(Summary!B391&lt;&gt;"",Summary!B391,""),"")</f>
        <v/>
      </c>
      <c r="Z395" s="439" t="str">
        <f t="shared" si="71"/>
        <v/>
      </c>
      <c r="AA395" t="str">
        <f t="shared" si="60"/>
        <v/>
      </c>
    </row>
    <row r="396" spans="2:27">
      <c r="B396" t="str">
        <f>IF(Summary!B392&lt;&gt;"",Summary!B392,"")</f>
        <v/>
      </c>
      <c r="C396" t="str">
        <f>IF(Summary!C392&lt;&gt;"",Summary!C392,"")</f>
        <v/>
      </c>
      <c r="E396" t="str">
        <f>IF($C$15&gt;=1,IF($C$13="Yes",IF(Summary!B392&lt;&gt;"",Summary!B392,""),""),"")</f>
        <v/>
      </c>
      <c r="F396" t="str">
        <f t="shared" si="61"/>
        <v/>
      </c>
      <c r="G396">
        <f t="shared" si="62"/>
        <v>0</v>
      </c>
      <c r="I396" t="str">
        <f>IF($C$15&gt;=2,IF($C$13="Yes",IF(Summary!B392&lt;&gt;"",Summary!B392,""),""),"")</f>
        <v/>
      </c>
      <c r="J396" t="str">
        <f t="shared" si="63"/>
        <v/>
      </c>
      <c r="K396">
        <f t="shared" si="64"/>
        <v>0</v>
      </c>
      <c r="M396" t="str">
        <f>IF($C$15&gt;=3,IF($C$13="Yes",IF(Summary!B392&lt;&gt;"",Summary!B392,""),""),"")</f>
        <v/>
      </c>
      <c r="N396" t="str">
        <f t="shared" si="65"/>
        <v/>
      </c>
      <c r="O396">
        <f t="shared" si="66"/>
        <v>0</v>
      </c>
      <c r="Q396" t="str">
        <f>IF($C$15&gt;=4,IF($C$13="Yes",IF(Summary!B392&lt;&gt;"",Summary!B392,""),""),"")</f>
        <v/>
      </c>
      <c r="R396" t="str">
        <f t="shared" si="67"/>
        <v/>
      </c>
      <c r="S396">
        <f t="shared" si="68"/>
        <v>0</v>
      </c>
      <c r="U396" t="str">
        <f>IF($C$15&gt;=5,IF($C$13="Yes",IF(Summary!B392&lt;&gt;"",Summary!B392,""),""),"")</f>
        <v/>
      </c>
      <c r="V396" t="str">
        <f t="shared" si="69"/>
        <v/>
      </c>
      <c r="W396">
        <f t="shared" si="70"/>
        <v>0</v>
      </c>
      <c r="Y396" t="str">
        <f>IF($C$13="Yes",IF(Summary!B392&lt;&gt;"",Summary!B392,""),"")</f>
        <v/>
      </c>
      <c r="Z396" s="439" t="str">
        <f t="shared" si="71"/>
        <v/>
      </c>
      <c r="AA396" t="str">
        <f t="shared" si="60"/>
        <v/>
      </c>
    </row>
    <row r="397" spans="2:27">
      <c r="B397" t="str">
        <f>IF(Summary!B393&lt;&gt;"",Summary!B393,"")</f>
        <v/>
      </c>
      <c r="C397" t="str">
        <f>IF(Summary!C393&lt;&gt;"",Summary!C393,"")</f>
        <v/>
      </c>
      <c r="E397" t="str">
        <f>IF($C$15&gt;=1,IF($C$13="Yes",IF(Summary!B393&lt;&gt;"",Summary!B393,""),""),"")</f>
        <v/>
      </c>
      <c r="F397" t="str">
        <f t="shared" si="61"/>
        <v/>
      </c>
      <c r="G397">
        <f t="shared" si="62"/>
        <v>0</v>
      </c>
      <c r="I397" t="str">
        <f>IF($C$15&gt;=2,IF($C$13="Yes",IF(Summary!B393&lt;&gt;"",Summary!B393,""),""),"")</f>
        <v/>
      </c>
      <c r="J397" t="str">
        <f t="shared" si="63"/>
        <v/>
      </c>
      <c r="K397">
        <f t="shared" si="64"/>
        <v>0</v>
      </c>
      <c r="M397" t="str">
        <f>IF($C$15&gt;=3,IF($C$13="Yes",IF(Summary!B393&lt;&gt;"",Summary!B393,""),""),"")</f>
        <v/>
      </c>
      <c r="N397" t="str">
        <f t="shared" si="65"/>
        <v/>
      </c>
      <c r="O397">
        <f t="shared" si="66"/>
        <v>0</v>
      </c>
      <c r="Q397" t="str">
        <f>IF($C$15&gt;=4,IF($C$13="Yes",IF(Summary!B393&lt;&gt;"",Summary!B393,""),""),"")</f>
        <v/>
      </c>
      <c r="R397" t="str">
        <f t="shared" si="67"/>
        <v/>
      </c>
      <c r="S397">
        <f t="shared" si="68"/>
        <v>0</v>
      </c>
      <c r="U397" t="str">
        <f>IF($C$15&gt;=5,IF($C$13="Yes",IF(Summary!B393&lt;&gt;"",Summary!B393,""),""),"")</f>
        <v/>
      </c>
      <c r="V397" t="str">
        <f t="shared" si="69"/>
        <v/>
      </c>
      <c r="W397">
        <f t="shared" si="70"/>
        <v>0</v>
      </c>
      <c r="Y397" t="str">
        <f>IF($C$13="Yes",IF(Summary!B393&lt;&gt;"",Summary!B393,""),"")</f>
        <v/>
      </c>
      <c r="Z397" s="439" t="str">
        <f t="shared" si="71"/>
        <v/>
      </c>
      <c r="AA397" t="str">
        <f t="shared" si="60"/>
        <v/>
      </c>
    </row>
    <row r="398" spans="2:27">
      <c r="B398" t="str">
        <f>IF(Summary!B394&lt;&gt;"",Summary!B394,"")</f>
        <v/>
      </c>
      <c r="C398" t="str">
        <f>IF(Summary!C394&lt;&gt;"",Summary!C394,"")</f>
        <v/>
      </c>
      <c r="E398" t="str">
        <f>IF($C$15&gt;=1,IF($C$13="Yes",IF(Summary!B394&lt;&gt;"",Summary!B394,""),""),"")</f>
        <v/>
      </c>
      <c r="F398" t="str">
        <f t="shared" si="61"/>
        <v/>
      </c>
      <c r="G398">
        <f t="shared" si="62"/>
        <v>0</v>
      </c>
      <c r="I398" t="str">
        <f>IF($C$15&gt;=2,IF($C$13="Yes",IF(Summary!B394&lt;&gt;"",Summary!B394,""),""),"")</f>
        <v/>
      </c>
      <c r="J398" t="str">
        <f t="shared" si="63"/>
        <v/>
      </c>
      <c r="K398">
        <f t="shared" si="64"/>
        <v>0</v>
      </c>
      <c r="M398" t="str">
        <f>IF($C$15&gt;=3,IF($C$13="Yes",IF(Summary!B394&lt;&gt;"",Summary!B394,""),""),"")</f>
        <v/>
      </c>
      <c r="N398" t="str">
        <f t="shared" si="65"/>
        <v/>
      </c>
      <c r="O398">
        <f t="shared" si="66"/>
        <v>0</v>
      </c>
      <c r="Q398" t="str">
        <f>IF($C$15&gt;=4,IF($C$13="Yes",IF(Summary!B394&lt;&gt;"",Summary!B394,""),""),"")</f>
        <v/>
      </c>
      <c r="R398" t="str">
        <f t="shared" si="67"/>
        <v/>
      </c>
      <c r="S398">
        <f t="shared" si="68"/>
        <v>0</v>
      </c>
      <c r="U398" t="str">
        <f>IF($C$15&gt;=5,IF($C$13="Yes",IF(Summary!B394&lt;&gt;"",Summary!B394,""),""),"")</f>
        <v/>
      </c>
      <c r="V398" t="str">
        <f t="shared" si="69"/>
        <v/>
      </c>
      <c r="W398">
        <f t="shared" si="70"/>
        <v>0</v>
      </c>
      <c r="Y398" t="str">
        <f>IF($C$13="Yes",IF(Summary!B394&lt;&gt;"",Summary!B394,""),"")</f>
        <v/>
      </c>
      <c r="Z398" s="439" t="str">
        <f t="shared" si="71"/>
        <v/>
      </c>
      <c r="AA398" t="str">
        <f t="shared" si="60"/>
        <v/>
      </c>
    </row>
    <row r="399" spans="2:27">
      <c r="B399" t="str">
        <f>IF(Summary!B395&lt;&gt;"",Summary!B395,"")</f>
        <v/>
      </c>
      <c r="C399" t="str">
        <f>IF(Summary!C395&lt;&gt;"",Summary!C395,"")</f>
        <v/>
      </c>
      <c r="E399" t="str">
        <f>IF($C$15&gt;=1,IF($C$13="Yes",IF(Summary!B395&lt;&gt;"",Summary!B395,""),""),"")</f>
        <v/>
      </c>
      <c r="F399" t="str">
        <f t="shared" si="61"/>
        <v/>
      </c>
      <c r="G399">
        <f t="shared" si="62"/>
        <v>0</v>
      </c>
      <c r="I399" t="str">
        <f>IF($C$15&gt;=2,IF($C$13="Yes",IF(Summary!B395&lt;&gt;"",Summary!B395,""),""),"")</f>
        <v/>
      </c>
      <c r="J399" t="str">
        <f t="shared" si="63"/>
        <v/>
      </c>
      <c r="K399">
        <f t="shared" si="64"/>
        <v>0</v>
      </c>
      <c r="M399" t="str">
        <f>IF($C$15&gt;=3,IF($C$13="Yes",IF(Summary!B395&lt;&gt;"",Summary!B395,""),""),"")</f>
        <v/>
      </c>
      <c r="N399" t="str">
        <f t="shared" si="65"/>
        <v/>
      </c>
      <c r="O399">
        <f t="shared" si="66"/>
        <v>0</v>
      </c>
      <c r="Q399" t="str">
        <f>IF($C$15&gt;=4,IF($C$13="Yes",IF(Summary!B395&lt;&gt;"",Summary!B395,""),""),"")</f>
        <v/>
      </c>
      <c r="R399" t="str">
        <f t="shared" si="67"/>
        <v/>
      </c>
      <c r="S399">
        <f t="shared" si="68"/>
        <v>0</v>
      </c>
      <c r="U399" t="str">
        <f>IF($C$15&gt;=5,IF($C$13="Yes",IF(Summary!B395&lt;&gt;"",Summary!B395,""),""),"")</f>
        <v/>
      </c>
      <c r="V399" t="str">
        <f t="shared" si="69"/>
        <v/>
      </c>
      <c r="W399">
        <f t="shared" si="70"/>
        <v>0</v>
      </c>
      <c r="Y399" t="str">
        <f>IF($C$13="Yes",IF(Summary!B395&lt;&gt;"",Summary!B395,""),"")</f>
        <v/>
      </c>
      <c r="Z399" s="439" t="str">
        <f t="shared" si="71"/>
        <v/>
      </c>
      <c r="AA399" t="str">
        <f t="shared" si="60"/>
        <v/>
      </c>
    </row>
    <row r="400" spans="2:27">
      <c r="B400" t="str">
        <f>IF(Summary!B396&lt;&gt;"",Summary!B396,"")</f>
        <v/>
      </c>
      <c r="C400" t="str">
        <f>IF(Summary!C396&lt;&gt;"",Summary!C396,"")</f>
        <v/>
      </c>
      <c r="E400" t="str">
        <f>IF($C$15&gt;=1,IF($C$13="Yes",IF(Summary!B396&lt;&gt;"",Summary!B396,""),""),"")</f>
        <v/>
      </c>
      <c r="F400" t="str">
        <f t="shared" si="61"/>
        <v/>
      </c>
      <c r="G400">
        <f t="shared" si="62"/>
        <v>0</v>
      </c>
      <c r="I400" t="str">
        <f>IF($C$15&gt;=2,IF($C$13="Yes",IF(Summary!B396&lt;&gt;"",Summary!B396,""),""),"")</f>
        <v/>
      </c>
      <c r="J400" t="str">
        <f t="shared" si="63"/>
        <v/>
      </c>
      <c r="K400">
        <f t="shared" si="64"/>
        <v>0</v>
      </c>
      <c r="M400" t="str">
        <f>IF($C$15&gt;=3,IF($C$13="Yes",IF(Summary!B396&lt;&gt;"",Summary!B396,""),""),"")</f>
        <v/>
      </c>
      <c r="N400" t="str">
        <f t="shared" si="65"/>
        <v/>
      </c>
      <c r="O400">
        <f t="shared" si="66"/>
        <v>0</v>
      </c>
      <c r="Q400" t="str">
        <f>IF($C$15&gt;=4,IF($C$13="Yes",IF(Summary!B396&lt;&gt;"",Summary!B396,""),""),"")</f>
        <v/>
      </c>
      <c r="R400" t="str">
        <f t="shared" si="67"/>
        <v/>
      </c>
      <c r="S400">
        <f t="shared" si="68"/>
        <v>0</v>
      </c>
      <c r="U400" t="str">
        <f>IF($C$15&gt;=5,IF($C$13="Yes",IF(Summary!B396&lt;&gt;"",Summary!B396,""),""),"")</f>
        <v/>
      </c>
      <c r="V400" t="str">
        <f t="shared" si="69"/>
        <v/>
      </c>
      <c r="W400">
        <f t="shared" si="70"/>
        <v>0</v>
      </c>
      <c r="Y400" t="str">
        <f>IF($C$13="Yes",IF(Summary!B396&lt;&gt;"",Summary!B396,""),"")</f>
        <v/>
      </c>
      <c r="Z400" s="439" t="str">
        <f t="shared" si="71"/>
        <v/>
      </c>
      <c r="AA400" t="str">
        <f t="shared" si="60"/>
        <v/>
      </c>
    </row>
    <row r="401" spans="2:27">
      <c r="B401" t="str">
        <f>IF(Summary!B397&lt;&gt;"",Summary!B397,"")</f>
        <v/>
      </c>
      <c r="C401" t="str">
        <f>IF(Summary!C397&lt;&gt;"",Summary!C397,"")</f>
        <v/>
      </c>
      <c r="E401" t="str">
        <f>IF($C$15&gt;=1,IF($C$13="Yes",IF(Summary!B397&lt;&gt;"",Summary!B397,""),""),"")</f>
        <v/>
      </c>
      <c r="F401" t="str">
        <f t="shared" si="61"/>
        <v/>
      </c>
      <c r="G401">
        <f t="shared" si="62"/>
        <v>0</v>
      </c>
      <c r="I401" t="str">
        <f>IF($C$15&gt;=2,IF($C$13="Yes",IF(Summary!B397&lt;&gt;"",Summary!B397,""),""),"")</f>
        <v/>
      </c>
      <c r="J401" t="str">
        <f t="shared" si="63"/>
        <v/>
      </c>
      <c r="K401">
        <f t="shared" si="64"/>
        <v>0</v>
      </c>
      <c r="M401" t="str">
        <f>IF($C$15&gt;=3,IF($C$13="Yes",IF(Summary!B397&lt;&gt;"",Summary!B397,""),""),"")</f>
        <v/>
      </c>
      <c r="N401" t="str">
        <f t="shared" si="65"/>
        <v/>
      </c>
      <c r="O401">
        <f t="shared" si="66"/>
        <v>0</v>
      </c>
      <c r="Q401" t="str">
        <f>IF($C$15&gt;=4,IF($C$13="Yes",IF(Summary!B397&lt;&gt;"",Summary!B397,""),""),"")</f>
        <v/>
      </c>
      <c r="R401" t="str">
        <f t="shared" si="67"/>
        <v/>
      </c>
      <c r="S401">
        <f t="shared" si="68"/>
        <v>0</v>
      </c>
      <c r="U401" t="str">
        <f>IF($C$15&gt;=5,IF($C$13="Yes",IF(Summary!B397&lt;&gt;"",Summary!B397,""),""),"")</f>
        <v/>
      </c>
      <c r="V401" t="str">
        <f t="shared" si="69"/>
        <v/>
      </c>
      <c r="W401">
        <f t="shared" si="70"/>
        <v>0</v>
      </c>
      <c r="Y401" t="str">
        <f>IF($C$13="Yes",IF(Summary!B397&lt;&gt;"",Summary!B397,""),"")</f>
        <v/>
      </c>
      <c r="Z401" s="439" t="str">
        <f t="shared" si="71"/>
        <v/>
      </c>
      <c r="AA401" t="str">
        <f t="shared" si="60"/>
        <v/>
      </c>
    </row>
    <row r="402" spans="2:27">
      <c r="B402" t="str">
        <f>IF(Summary!B398&lt;&gt;"",Summary!B398,"")</f>
        <v/>
      </c>
      <c r="C402" t="str">
        <f>IF(Summary!C398&lt;&gt;"",Summary!C398,"")</f>
        <v/>
      </c>
      <c r="E402" t="str">
        <f>IF($C$15&gt;=1,IF($C$13="Yes",IF(Summary!B398&lt;&gt;"",Summary!B398,""),""),"")</f>
        <v/>
      </c>
      <c r="F402" t="str">
        <f t="shared" si="61"/>
        <v/>
      </c>
      <c r="G402">
        <f t="shared" si="62"/>
        <v>0</v>
      </c>
      <c r="I402" t="str">
        <f>IF($C$15&gt;=2,IF($C$13="Yes",IF(Summary!B398&lt;&gt;"",Summary!B398,""),""),"")</f>
        <v/>
      </c>
      <c r="J402" t="str">
        <f t="shared" si="63"/>
        <v/>
      </c>
      <c r="K402">
        <f t="shared" si="64"/>
        <v>0</v>
      </c>
      <c r="M402" t="str">
        <f>IF($C$15&gt;=3,IF($C$13="Yes",IF(Summary!B398&lt;&gt;"",Summary!B398,""),""),"")</f>
        <v/>
      </c>
      <c r="N402" t="str">
        <f t="shared" si="65"/>
        <v/>
      </c>
      <c r="O402">
        <f t="shared" si="66"/>
        <v>0</v>
      </c>
      <c r="Q402" t="str">
        <f>IF($C$15&gt;=4,IF($C$13="Yes",IF(Summary!B398&lt;&gt;"",Summary!B398,""),""),"")</f>
        <v/>
      </c>
      <c r="R402" t="str">
        <f t="shared" si="67"/>
        <v/>
      </c>
      <c r="S402">
        <f t="shared" si="68"/>
        <v>0</v>
      </c>
      <c r="U402" t="str">
        <f>IF($C$15&gt;=5,IF($C$13="Yes",IF(Summary!B398&lt;&gt;"",Summary!B398,""),""),"")</f>
        <v/>
      </c>
      <c r="V402" t="str">
        <f t="shared" si="69"/>
        <v/>
      </c>
      <c r="W402">
        <f t="shared" si="70"/>
        <v>0</v>
      </c>
      <c r="Y402" t="str">
        <f>IF($C$13="Yes",IF(Summary!B398&lt;&gt;"",Summary!B398,""),"")</f>
        <v/>
      </c>
      <c r="Z402" s="439" t="str">
        <f t="shared" si="71"/>
        <v/>
      </c>
      <c r="AA402" t="str">
        <f t="shared" ref="AA402:AA465" si="72">IF(Y402&lt;&gt;"Total",Z402,0)</f>
        <v/>
      </c>
    </row>
    <row r="403" spans="2:27">
      <c r="B403" t="str">
        <f>IF(Summary!B399&lt;&gt;"",Summary!B399,"")</f>
        <v/>
      </c>
      <c r="C403" t="str">
        <f>IF(Summary!C399&lt;&gt;"",Summary!C399,"")</f>
        <v/>
      </c>
      <c r="E403" t="str">
        <f>IF($C$15&gt;=1,IF($C$13="Yes",IF(Summary!B399&lt;&gt;"",Summary!B399,""),""),"")</f>
        <v/>
      </c>
      <c r="F403" t="str">
        <f t="shared" ref="F403:F466" si="73">IF($C$15&gt;=1,IFERROR(IF($C$13="Yes",(C403*$C$14),""),""),"")</f>
        <v/>
      </c>
      <c r="G403">
        <f t="shared" ref="G403:G466" si="74">IF(F403="",0,F403)</f>
        <v>0</v>
      </c>
      <c r="I403" t="str">
        <f>IF($C$15&gt;=2,IF($C$13="Yes",IF(Summary!B399&lt;&gt;"",Summary!B399,""),""),"")</f>
        <v/>
      </c>
      <c r="J403" t="str">
        <f t="shared" ref="J403:J466" si="75">IF($C$15&gt;=2,IFERROR(IF($C$13="Yes",(C403*$C$14),""),""),"")</f>
        <v/>
      </c>
      <c r="K403">
        <f t="shared" ref="K403:K466" si="76">IF(J403="",0,J403)</f>
        <v>0</v>
      </c>
      <c r="M403" t="str">
        <f>IF($C$15&gt;=3,IF($C$13="Yes",IF(Summary!B399&lt;&gt;"",Summary!B399,""),""),"")</f>
        <v/>
      </c>
      <c r="N403" t="str">
        <f t="shared" ref="N403:N466" si="77">IF($C$15&gt;=3,IFERROR(IF($C$13="Yes",(C403*$C$14),""),""),"")</f>
        <v/>
      </c>
      <c r="O403">
        <f t="shared" ref="O403:O466" si="78">IF(N403="",0,N403)</f>
        <v>0</v>
      </c>
      <c r="Q403" t="str">
        <f>IF($C$15&gt;=4,IF($C$13="Yes",IF(Summary!B399&lt;&gt;"",Summary!B399,""),""),"")</f>
        <v/>
      </c>
      <c r="R403" t="str">
        <f t="shared" ref="R403:R466" si="79">IF($C$15&gt;=4,IFERROR(IF($C$13="Yes",(C403*$C$14),""),""),"")</f>
        <v/>
      </c>
      <c r="S403">
        <f t="shared" ref="S403:S466" si="80">IF(R403="",0,R403)</f>
        <v>0</v>
      </c>
      <c r="U403" t="str">
        <f>IF($C$15&gt;=5,IF($C$13="Yes",IF(Summary!B399&lt;&gt;"",Summary!B399,""),""),"")</f>
        <v/>
      </c>
      <c r="V403" t="str">
        <f t="shared" ref="V403:V466" si="81">IF($C$15&gt;=5,IFERROR(IF($C$13="Yes",(C403*$C$14),""),""),"")</f>
        <v/>
      </c>
      <c r="W403">
        <f t="shared" ref="W403:W466" si="82">IF(V403="",0,V403)</f>
        <v>0</v>
      </c>
      <c r="Y403" t="str">
        <f>IF($C$13="Yes",IF(Summary!B399&lt;&gt;"",Summary!B399,""),"")</f>
        <v/>
      </c>
      <c r="Z403" s="439" t="str">
        <f t="shared" ref="Z403:Z466" si="83">IFERROR((C403+G403+K403+O403+S403+W403),"")</f>
        <v/>
      </c>
      <c r="AA403" t="str">
        <f t="shared" si="72"/>
        <v/>
      </c>
    </row>
    <row r="404" spans="2:27">
      <c r="B404" t="str">
        <f>IF(Summary!B400&lt;&gt;"",Summary!B400,"")</f>
        <v/>
      </c>
      <c r="C404" t="str">
        <f>IF(Summary!C400&lt;&gt;"",Summary!C400,"")</f>
        <v/>
      </c>
      <c r="E404" t="str">
        <f>IF($C$15&gt;=1,IF($C$13="Yes",IF(Summary!B400&lt;&gt;"",Summary!B400,""),""),"")</f>
        <v/>
      </c>
      <c r="F404" t="str">
        <f t="shared" si="73"/>
        <v/>
      </c>
      <c r="G404">
        <f t="shared" si="74"/>
        <v>0</v>
      </c>
      <c r="I404" t="str">
        <f>IF($C$15&gt;=2,IF($C$13="Yes",IF(Summary!B400&lt;&gt;"",Summary!B400,""),""),"")</f>
        <v/>
      </c>
      <c r="J404" t="str">
        <f t="shared" si="75"/>
        <v/>
      </c>
      <c r="K404">
        <f t="shared" si="76"/>
        <v>0</v>
      </c>
      <c r="M404" t="str">
        <f>IF($C$15&gt;=3,IF($C$13="Yes",IF(Summary!B400&lt;&gt;"",Summary!B400,""),""),"")</f>
        <v/>
      </c>
      <c r="N404" t="str">
        <f t="shared" si="77"/>
        <v/>
      </c>
      <c r="O404">
        <f t="shared" si="78"/>
        <v>0</v>
      </c>
      <c r="Q404" t="str">
        <f>IF($C$15&gt;=4,IF($C$13="Yes",IF(Summary!B400&lt;&gt;"",Summary!B400,""),""),"")</f>
        <v/>
      </c>
      <c r="R404" t="str">
        <f t="shared" si="79"/>
        <v/>
      </c>
      <c r="S404">
        <f t="shared" si="80"/>
        <v>0</v>
      </c>
      <c r="U404" t="str">
        <f>IF($C$15&gt;=5,IF($C$13="Yes",IF(Summary!B400&lt;&gt;"",Summary!B400,""),""),"")</f>
        <v/>
      </c>
      <c r="V404" t="str">
        <f t="shared" si="81"/>
        <v/>
      </c>
      <c r="W404">
        <f t="shared" si="82"/>
        <v>0</v>
      </c>
      <c r="Y404" t="str">
        <f>IF($C$13="Yes",IF(Summary!B400&lt;&gt;"",Summary!B400,""),"")</f>
        <v/>
      </c>
      <c r="Z404" s="439" t="str">
        <f t="shared" si="83"/>
        <v/>
      </c>
      <c r="AA404" t="str">
        <f t="shared" si="72"/>
        <v/>
      </c>
    </row>
    <row r="405" spans="2:27">
      <c r="B405" t="str">
        <f>IF(Summary!B401&lt;&gt;"",Summary!B401,"")</f>
        <v/>
      </c>
      <c r="C405" t="str">
        <f>IF(Summary!C401&lt;&gt;"",Summary!C401,"")</f>
        <v/>
      </c>
      <c r="E405" t="str">
        <f>IF($C$15&gt;=1,IF($C$13="Yes",IF(Summary!B401&lt;&gt;"",Summary!B401,""),""),"")</f>
        <v/>
      </c>
      <c r="F405" t="str">
        <f t="shared" si="73"/>
        <v/>
      </c>
      <c r="G405">
        <f t="shared" si="74"/>
        <v>0</v>
      </c>
      <c r="I405" t="str">
        <f>IF($C$15&gt;=2,IF($C$13="Yes",IF(Summary!B401&lt;&gt;"",Summary!B401,""),""),"")</f>
        <v/>
      </c>
      <c r="J405" t="str">
        <f t="shared" si="75"/>
        <v/>
      </c>
      <c r="K405">
        <f t="shared" si="76"/>
        <v>0</v>
      </c>
      <c r="M405" t="str">
        <f>IF($C$15&gt;=3,IF($C$13="Yes",IF(Summary!B401&lt;&gt;"",Summary!B401,""),""),"")</f>
        <v/>
      </c>
      <c r="N405" t="str">
        <f t="shared" si="77"/>
        <v/>
      </c>
      <c r="O405">
        <f t="shared" si="78"/>
        <v>0</v>
      </c>
      <c r="Q405" t="str">
        <f>IF($C$15&gt;=4,IF($C$13="Yes",IF(Summary!B401&lt;&gt;"",Summary!B401,""),""),"")</f>
        <v/>
      </c>
      <c r="R405" t="str">
        <f t="shared" si="79"/>
        <v/>
      </c>
      <c r="S405">
        <f t="shared" si="80"/>
        <v>0</v>
      </c>
      <c r="U405" t="str">
        <f>IF($C$15&gt;=5,IF($C$13="Yes",IF(Summary!B401&lt;&gt;"",Summary!B401,""),""),"")</f>
        <v/>
      </c>
      <c r="V405" t="str">
        <f t="shared" si="81"/>
        <v/>
      </c>
      <c r="W405">
        <f t="shared" si="82"/>
        <v>0</v>
      </c>
      <c r="Y405" t="str">
        <f>IF($C$13="Yes",IF(Summary!B401&lt;&gt;"",Summary!B401,""),"")</f>
        <v/>
      </c>
      <c r="Z405" s="439" t="str">
        <f t="shared" si="83"/>
        <v/>
      </c>
      <c r="AA405" t="str">
        <f t="shared" si="72"/>
        <v/>
      </c>
    </row>
    <row r="406" spans="2:27">
      <c r="B406" t="str">
        <f>IF(Summary!B402&lt;&gt;"",Summary!B402,"")</f>
        <v/>
      </c>
      <c r="C406" t="str">
        <f>IF(Summary!C402&lt;&gt;"",Summary!C402,"")</f>
        <v/>
      </c>
      <c r="E406" t="str">
        <f>IF($C$15&gt;=1,IF($C$13="Yes",IF(Summary!B402&lt;&gt;"",Summary!B402,""),""),"")</f>
        <v/>
      </c>
      <c r="F406" t="str">
        <f t="shared" si="73"/>
        <v/>
      </c>
      <c r="G406">
        <f t="shared" si="74"/>
        <v>0</v>
      </c>
      <c r="I406" t="str">
        <f>IF($C$15&gt;=2,IF($C$13="Yes",IF(Summary!B402&lt;&gt;"",Summary!B402,""),""),"")</f>
        <v/>
      </c>
      <c r="J406" t="str">
        <f t="shared" si="75"/>
        <v/>
      </c>
      <c r="K406">
        <f t="shared" si="76"/>
        <v>0</v>
      </c>
      <c r="M406" t="str">
        <f>IF($C$15&gt;=3,IF($C$13="Yes",IF(Summary!B402&lt;&gt;"",Summary!B402,""),""),"")</f>
        <v/>
      </c>
      <c r="N406" t="str">
        <f t="shared" si="77"/>
        <v/>
      </c>
      <c r="O406">
        <f t="shared" si="78"/>
        <v>0</v>
      </c>
      <c r="Q406" t="str">
        <f>IF($C$15&gt;=4,IF($C$13="Yes",IF(Summary!B402&lt;&gt;"",Summary!B402,""),""),"")</f>
        <v/>
      </c>
      <c r="R406" t="str">
        <f t="shared" si="79"/>
        <v/>
      </c>
      <c r="S406">
        <f t="shared" si="80"/>
        <v>0</v>
      </c>
      <c r="U406" t="str">
        <f>IF($C$15&gt;=5,IF($C$13="Yes",IF(Summary!B402&lt;&gt;"",Summary!B402,""),""),"")</f>
        <v/>
      </c>
      <c r="V406" t="str">
        <f t="shared" si="81"/>
        <v/>
      </c>
      <c r="W406">
        <f t="shared" si="82"/>
        <v>0</v>
      </c>
      <c r="Y406" t="str">
        <f>IF($C$13="Yes",IF(Summary!B402&lt;&gt;"",Summary!B402,""),"")</f>
        <v/>
      </c>
      <c r="Z406" s="439" t="str">
        <f t="shared" si="83"/>
        <v/>
      </c>
      <c r="AA406" t="str">
        <f t="shared" si="72"/>
        <v/>
      </c>
    </row>
    <row r="407" spans="2:27">
      <c r="B407" t="str">
        <f>IF(Summary!B403&lt;&gt;"",Summary!B403,"")</f>
        <v/>
      </c>
      <c r="C407" t="str">
        <f>IF(Summary!C403&lt;&gt;"",Summary!C403,"")</f>
        <v/>
      </c>
      <c r="E407" t="str">
        <f>IF($C$15&gt;=1,IF($C$13="Yes",IF(Summary!B403&lt;&gt;"",Summary!B403,""),""),"")</f>
        <v/>
      </c>
      <c r="F407" t="str">
        <f t="shared" si="73"/>
        <v/>
      </c>
      <c r="G407">
        <f t="shared" si="74"/>
        <v>0</v>
      </c>
      <c r="I407" t="str">
        <f>IF($C$15&gt;=2,IF($C$13="Yes",IF(Summary!B403&lt;&gt;"",Summary!B403,""),""),"")</f>
        <v/>
      </c>
      <c r="J407" t="str">
        <f t="shared" si="75"/>
        <v/>
      </c>
      <c r="K407">
        <f t="shared" si="76"/>
        <v>0</v>
      </c>
      <c r="M407" t="str">
        <f>IF($C$15&gt;=3,IF($C$13="Yes",IF(Summary!B403&lt;&gt;"",Summary!B403,""),""),"")</f>
        <v/>
      </c>
      <c r="N407" t="str">
        <f t="shared" si="77"/>
        <v/>
      </c>
      <c r="O407">
        <f t="shared" si="78"/>
        <v>0</v>
      </c>
      <c r="Q407" t="str">
        <f>IF($C$15&gt;=4,IF($C$13="Yes",IF(Summary!B403&lt;&gt;"",Summary!B403,""),""),"")</f>
        <v/>
      </c>
      <c r="R407" t="str">
        <f t="shared" si="79"/>
        <v/>
      </c>
      <c r="S407">
        <f t="shared" si="80"/>
        <v>0</v>
      </c>
      <c r="U407" t="str">
        <f>IF($C$15&gt;=5,IF($C$13="Yes",IF(Summary!B403&lt;&gt;"",Summary!B403,""),""),"")</f>
        <v/>
      </c>
      <c r="V407" t="str">
        <f t="shared" si="81"/>
        <v/>
      </c>
      <c r="W407">
        <f t="shared" si="82"/>
        <v>0</v>
      </c>
      <c r="Y407" t="str">
        <f>IF($C$13="Yes",IF(Summary!B403&lt;&gt;"",Summary!B403,""),"")</f>
        <v/>
      </c>
      <c r="Z407" s="439" t="str">
        <f t="shared" si="83"/>
        <v/>
      </c>
      <c r="AA407" t="str">
        <f t="shared" si="72"/>
        <v/>
      </c>
    </row>
    <row r="408" spans="2:27">
      <c r="B408" t="str">
        <f>IF(Summary!B404&lt;&gt;"",Summary!B404,"")</f>
        <v/>
      </c>
      <c r="C408" t="str">
        <f>IF(Summary!C404&lt;&gt;"",Summary!C404,"")</f>
        <v/>
      </c>
      <c r="E408" t="str">
        <f>IF($C$15&gt;=1,IF($C$13="Yes",IF(Summary!B404&lt;&gt;"",Summary!B404,""),""),"")</f>
        <v/>
      </c>
      <c r="F408" t="str">
        <f t="shared" si="73"/>
        <v/>
      </c>
      <c r="G408">
        <f t="shared" si="74"/>
        <v>0</v>
      </c>
      <c r="I408" t="str">
        <f>IF($C$15&gt;=2,IF($C$13="Yes",IF(Summary!B404&lt;&gt;"",Summary!B404,""),""),"")</f>
        <v/>
      </c>
      <c r="J408" t="str">
        <f t="shared" si="75"/>
        <v/>
      </c>
      <c r="K408">
        <f t="shared" si="76"/>
        <v>0</v>
      </c>
      <c r="M408" t="str">
        <f>IF($C$15&gt;=3,IF($C$13="Yes",IF(Summary!B404&lt;&gt;"",Summary!B404,""),""),"")</f>
        <v/>
      </c>
      <c r="N408" t="str">
        <f t="shared" si="77"/>
        <v/>
      </c>
      <c r="O408">
        <f t="shared" si="78"/>
        <v>0</v>
      </c>
      <c r="Q408" t="str">
        <f>IF($C$15&gt;=4,IF($C$13="Yes",IF(Summary!B404&lt;&gt;"",Summary!B404,""),""),"")</f>
        <v/>
      </c>
      <c r="R408" t="str">
        <f t="shared" si="79"/>
        <v/>
      </c>
      <c r="S408">
        <f t="shared" si="80"/>
        <v>0</v>
      </c>
      <c r="U408" t="str">
        <f>IF($C$15&gt;=5,IF($C$13="Yes",IF(Summary!B404&lt;&gt;"",Summary!B404,""),""),"")</f>
        <v/>
      </c>
      <c r="V408" t="str">
        <f t="shared" si="81"/>
        <v/>
      </c>
      <c r="W408">
        <f t="shared" si="82"/>
        <v>0</v>
      </c>
      <c r="Y408" t="str">
        <f>IF($C$13="Yes",IF(Summary!B404&lt;&gt;"",Summary!B404,""),"")</f>
        <v/>
      </c>
      <c r="Z408" s="439" t="str">
        <f t="shared" si="83"/>
        <v/>
      </c>
      <c r="AA408" t="str">
        <f t="shared" si="72"/>
        <v/>
      </c>
    </row>
    <row r="409" spans="2:27">
      <c r="B409" t="str">
        <f>IF(Summary!B405&lt;&gt;"",Summary!B405,"")</f>
        <v/>
      </c>
      <c r="C409" t="str">
        <f>IF(Summary!C405&lt;&gt;"",Summary!C405,"")</f>
        <v/>
      </c>
      <c r="E409" t="str">
        <f>IF($C$15&gt;=1,IF($C$13="Yes",IF(Summary!B405&lt;&gt;"",Summary!B405,""),""),"")</f>
        <v/>
      </c>
      <c r="F409" t="str">
        <f t="shared" si="73"/>
        <v/>
      </c>
      <c r="G409">
        <f t="shared" si="74"/>
        <v>0</v>
      </c>
      <c r="I409" t="str">
        <f>IF($C$15&gt;=2,IF($C$13="Yes",IF(Summary!B405&lt;&gt;"",Summary!B405,""),""),"")</f>
        <v/>
      </c>
      <c r="J409" t="str">
        <f t="shared" si="75"/>
        <v/>
      </c>
      <c r="K409">
        <f t="shared" si="76"/>
        <v>0</v>
      </c>
      <c r="M409" t="str">
        <f>IF($C$15&gt;=3,IF($C$13="Yes",IF(Summary!B405&lt;&gt;"",Summary!B405,""),""),"")</f>
        <v/>
      </c>
      <c r="N409" t="str">
        <f t="shared" si="77"/>
        <v/>
      </c>
      <c r="O409">
        <f t="shared" si="78"/>
        <v>0</v>
      </c>
      <c r="Q409" t="str">
        <f>IF($C$15&gt;=4,IF($C$13="Yes",IF(Summary!B405&lt;&gt;"",Summary!B405,""),""),"")</f>
        <v/>
      </c>
      <c r="R409" t="str">
        <f t="shared" si="79"/>
        <v/>
      </c>
      <c r="S409">
        <f t="shared" si="80"/>
        <v>0</v>
      </c>
      <c r="U409" t="str">
        <f>IF($C$15&gt;=5,IF($C$13="Yes",IF(Summary!B405&lt;&gt;"",Summary!B405,""),""),"")</f>
        <v/>
      </c>
      <c r="V409" t="str">
        <f t="shared" si="81"/>
        <v/>
      </c>
      <c r="W409">
        <f t="shared" si="82"/>
        <v>0</v>
      </c>
      <c r="Y409" t="str">
        <f>IF($C$13="Yes",IF(Summary!B405&lt;&gt;"",Summary!B405,""),"")</f>
        <v/>
      </c>
      <c r="Z409" s="439" t="str">
        <f t="shared" si="83"/>
        <v/>
      </c>
      <c r="AA409" t="str">
        <f t="shared" si="72"/>
        <v/>
      </c>
    </row>
    <row r="410" spans="2:27">
      <c r="B410" t="str">
        <f>IF(Summary!B406&lt;&gt;"",Summary!B406,"")</f>
        <v/>
      </c>
      <c r="C410" t="str">
        <f>IF(Summary!C406&lt;&gt;"",Summary!C406,"")</f>
        <v/>
      </c>
      <c r="E410" t="str">
        <f>IF($C$15&gt;=1,IF($C$13="Yes",IF(Summary!B406&lt;&gt;"",Summary!B406,""),""),"")</f>
        <v/>
      </c>
      <c r="F410" t="str">
        <f t="shared" si="73"/>
        <v/>
      </c>
      <c r="G410">
        <f t="shared" si="74"/>
        <v>0</v>
      </c>
      <c r="I410" t="str">
        <f>IF($C$15&gt;=2,IF($C$13="Yes",IF(Summary!B406&lt;&gt;"",Summary!B406,""),""),"")</f>
        <v/>
      </c>
      <c r="J410" t="str">
        <f t="shared" si="75"/>
        <v/>
      </c>
      <c r="K410">
        <f t="shared" si="76"/>
        <v>0</v>
      </c>
      <c r="M410" t="str">
        <f>IF($C$15&gt;=3,IF($C$13="Yes",IF(Summary!B406&lt;&gt;"",Summary!B406,""),""),"")</f>
        <v/>
      </c>
      <c r="N410" t="str">
        <f t="shared" si="77"/>
        <v/>
      </c>
      <c r="O410">
        <f t="shared" si="78"/>
        <v>0</v>
      </c>
      <c r="Q410" t="str">
        <f>IF($C$15&gt;=4,IF($C$13="Yes",IF(Summary!B406&lt;&gt;"",Summary!B406,""),""),"")</f>
        <v/>
      </c>
      <c r="R410" t="str">
        <f t="shared" si="79"/>
        <v/>
      </c>
      <c r="S410">
        <f t="shared" si="80"/>
        <v>0</v>
      </c>
      <c r="U410" t="str">
        <f>IF($C$15&gt;=5,IF($C$13="Yes",IF(Summary!B406&lt;&gt;"",Summary!B406,""),""),"")</f>
        <v/>
      </c>
      <c r="V410" t="str">
        <f t="shared" si="81"/>
        <v/>
      </c>
      <c r="W410">
        <f t="shared" si="82"/>
        <v>0</v>
      </c>
      <c r="Y410" t="str">
        <f>IF($C$13="Yes",IF(Summary!B406&lt;&gt;"",Summary!B406,""),"")</f>
        <v/>
      </c>
      <c r="Z410" s="439" t="str">
        <f t="shared" si="83"/>
        <v/>
      </c>
      <c r="AA410" t="str">
        <f t="shared" si="72"/>
        <v/>
      </c>
    </row>
    <row r="411" spans="2:27">
      <c r="B411" t="str">
        <f>IF(Summary!B407&lt;&gt;"",Summary!B407,"")</f>
        <v/>
      </c>
      <c r="C411" t="str">
        <f>IF(Summary!C407&lt;&gt;"",Summary!C407,"")</f>
        <v/>
      </c>
      <c r="E411" t="str">
        <f>IF($C$15&gt;=1,IF($C$13="Yes",IF(Summary!B407&lt;&gt;"",Summary!B407,""),""),"")</f>
        <v/>
      </c>
      <c r="F411" t="str">
        <f t="shared" si="73"/>
        <v/>
      </c>
      <c r="G411">
        <f t="shared" si="74"/>
        <v>0</v>
      </c>
      <c r="I411" t="str">
        <f>IF($C$15&gt;=2,IF($C$13="Yes",IF(Summary!B407&lt;&gt;"",Summary!B407,""),""),"")</f>
        <v/>
      </c>
      <c r="J411" t="str">
        <f t="shared" si="75"/>
        <v/>
      </c>
      <c r="K411">
        <f t="shared" si="76"/>
        <v>0</v>
      </c>
      <c r="M411" t="str">
        <f>IF($C$15&gt;=3,IF($C$13="Yes",IF(Summary!B407&lt;&gt;"",Summary!B407,""),""),"")</f>
        <v/>
      </c>
      <c r="N411" t="str">
        <f t="shared" si="77"/>
        <v/>
      </c>
      <c r="O411">
        <f t="shared" si="78"/>
        <v>0</v>
      </c>
      <c r="Q411" t="str">
        <f>IF($C$15&gt;=4,IF($C$13="Yes",IF(Summary!B407&lt;&gt;"",Summary!B407,""),""),"")</f>
        <v/>
      </c>
      <c r="R411" t="str">
        <f t="shared" si="79"/>
        <v/>
      </c>
      <c r="S411">
        <f t="shared" si="80"/>
        <v>0</v>
      </c>
      <c r="U411" t="str">
        <f>IF($C$15&gt;=5,IF($C$13="Yes",IF(Summary!B407&lt;&gt;"",Summary!B407,""),""),"")</f>
        <v/>
      </c>
      <c r="V411" t="str">
        <f t="shared" si="81"/>
        <v/>
      </c>
      <c r="W411">
        <f t="shared" si="82"/>
        <v>0</v>
      </c>
      <c r="Y411" t="str">
        <f>IF($C$13="Yes",IF(Summary!B407&lt;&gt;"",Summary!B407,""),"")</f>
        <v/>
      </c>
      <c r="Z411" s="439" t="str">
        <f t="shared" si="83"/>
        <v/>
      </c>
      <c r="AA411" t="str">
        <f t="shared" si="72"/>
        <v/>
      </c>
    </row>
    <row r="412" spans="2:27">
      <c r="B412" t="str">
        <f>IF(Summary!B408&lt;&gt;"",Summary!B408,"")</f>
        <v/>
      </c>
      <c r="C412" t="str">
        <f>IF(Summary!C408&lt;&gt;"",Summary!C408,"")</f>
        <v/>
      </c>
      <c r="E412" t="str">
        <f>IF($C$15&gt;=1,IF($C$13="Yes",IF(Summary!B408&lt;&gt;"",Summary!B408,""),""),"")</f>
        <v/>
      </c>
      <c r="F412" t="str">
        <f t="shared" si="73"/>
        <v/>
      </c>
      <c r="G412">
        <f t="shared" si="74"/>
        <v>0</v>
      </c>
      <c r="I412" t="str">
        <f>IF($C$15&gt;=2,IF($C$13="Yes",IF(Summary!B408&lt;&gt;"",Summary!B408,""),""),"")</f>
        <v/>
      </c>
      <c r="J412" t="str">
        <f t="shared" si="75"/>
        <v/>
      </c>
      <c r="K412">
        <f t="shared" si="76"/>
        <v>0</v>
      </c>
      <c r="M412" t="str">
        <f>IF($C$15&gt;=3,IF($C$13="Yes",IF(Summary!B408&lt;&gt;"",Summary!B408,""),""),"")</f>
        <v/>
      </c>
      <c r="N412" t="str">
        <f t="shared" si="77"/>
        <v/>
      </c>
      <c r="O412">
        <f t="shared" si="78"/>
        <v>0</v>
      </c>
      <c r="Q412" t="str">
        <f>IF($C$15&gt;=4,IF($C$13="Yes",IF(Summary!B408&lt;&gt;"",Summary!B408,""),""),"")</f>
        <v/>
      </c>
      <c r="R412" t="str">
        <f t="shared" si="79"/>
        <v/>
      </c>
      <c r="S412">
        <f t="shared" si="80"/>
        <v>0</v>
      </c>
      <c r="U412" t="str">
        <f>IF($C$15&gt;=5,IF($C$13="Yes",IF(Summary!B408&lt;&gt;"",Summary!B408,""),""),"")</f>
        <v/>
      </c>
      <c r="V412" t="str">
        <f t="shared" si="81"/>
        <v/>
      </c>
      <c r="W412">
        <f t="shared" si="82"/>
        <v>0</v>
      </c>
      <c r="Y412" t="str">
        <f>IF($C$13="Yes",IF(Summary!B408&lt;&gt;"",Summary!B408,""),"")</f>
        <v/>
      </c>
      <c r="Z412" s="439" t="str">
        <f t="shared" si="83"/>
        <v/>
      </c>
      <c r="AA412" t="str">
        <f t="shared" si="72"/>
        <v/>
      </c>
    </row>
    <row r="413" spans="2:27">
      <c r="B413" t="str">
        <f>IF(Summary!B409&lt;&gt;"",Summary!B409,"")</f>
        <v/>
      </c>
      <c r="C413" t="str">
        <f>IF(Summary!C409&lt;&gt;"",Summary!C409,"")</f>
        <v/>
      </c>
      <c r="E413" t="str">
        <f>IF($C$15&gt;=1,IF($C$13="Yes",IF(Summary!B409&lt;&gt;"",Summary!B409,""),""),"")</f>
        <v/>
      </c>
      <c r="F413" t="str">
        <f t="shared" si="73"/>
        <v/>
      </c>
      <c r="G413">
        <f t="shared" si="74"/>
        <v>0</v>
      </c>
      <c r="I413" t="str">
        <f>IF($C$15&gt;=2,IF($C$13="Yes",IF(Summary!B409&lt;&gt;"",Summary!B409,""),""),"")</f>
        <v/>
      </c>
      <c r="J413" t="str">
        <f t="shared" si="75"/>
        <v/>
      </c>
      <c r="K413">
        <f t="shared" si="76"/>
        <v>0</v>
      </c>
      <c r="M413" t="str">
        <f>IF($C$15&gt;=3,IF($C$13="Yes",IF(Summary!B409&lt;&gt;"",Summary!B409,""),""),"")</f>
        <v/>
      </c>
      <c r="N413" t="str">
        <f t="shared" si="77"/>
        <v/>
      </c>
      <c r="O413">
        <f t="shared" si="78"/>
        <v>0</v>
      </c>
      <c r="Q413" t="str">
        <f>IF($C$15&gt;=4,IF($C$13="Yes",IF(Summary!B409&lt;&gt;"",Summary!B409,""),""),"")</f>
        <v/>
      </c>
      <c r="R413" t="str">
        <f t="shared" si="79"/>
        <v/>
      </c>
      <c r="S413">
        <f t="shared" si="80"/>
        <v>0</v>
      </c>
      <c r="U413" t="str">
        <f>IF($C$15&gt;=5,IF($C$13="Yes",IF(Summary!B409&lt;&gt;"",Summary!B409,""),""),"")</f>
        <v/>
      </c>
      <c r="V413" t="str">
        <f t="shared" si="81"/>
        <v/>
      </c>
      <c r="W413">
        <f t="shared" si="82"/>
        <v>0</v>
      </c>
      <c r="Y413" t="str">
        <f>IF($C$13="Yes",IF(Summary!B409&lt;&gt;"",Summary!B409,""),"")</f>
        <v/>
      </c>
      <c r="Z413" s="439" t="str">
        <f t="shared" si="83"/>
        <v/>
      </c>
      <c r="AA413" t="str">
        <f t="shared" si="72"/>
        <v/>
      </c>
    </row>
    <row r="414" spans="2:27">
      <c r="B414" t="str">
        <f>IF(Summary!B410&lt;&gt;"",Summary!B410,"")</f>
        <v/>
      </c>
      <c r="C414" t="str">
        <f>IF(Summary!C410&lt;&gt;"",Summary!C410,"")</f>
        <v/>
      </c>
      <c r="E414" t="str">
        <f>IF($C$15&gt;=1,IF($C$13="Yes",IF(Summary!B410&lt;&gt;"",Summary!B410,""),""),"")</f>
        <v/>
      </c>
      <c r="F414" t="str">
        <f t="shared" si="73"/>
        <v/>
      </c>
      <c r="G414">
        <f t="shared" si="74"/>
        <v>0</v>
      </c>
      <c r="I414" t="str">
        <f>IF($C$15&gt;=2,IF($C$13="Yes",IF(Summary!B410&lt;&gt;"",Summary!B410,""),""),"")</f>
        <v/>
      </c>
      <c r="J414" t="str">
        <f t="shared" si="75"/>
        <v/>
      </c>
      <c r="K414">
        <f t="shared" si="76"/>
        <v>0</v>
      </c>
      <c r="M414" t="str">
        <f>IF($C$15&gt;=3,IF($C$13="Yes",IF(Summary!B410&lt;&gt;"",Summary!B410,""),""),"")</f>
        <v/>
      </c>
      <c r="N414" t="str">
        <f t="shared" si="77"/>
        <v/>
      </c>
      <c r="O414">
        <f t="shared" si="78"/>
        <v>0</v>
      </c>
      <c r="Q414" t="str">
        <f>IF($C$15&gt;=4,IF($C$13="Yes",IF(Summary!B410&lt;&gt;"",Summary!B410,""),""),"")</f>
        <v/>
      </c>
      <c r="R414" t="str">
        <f t="shared" si="79"/>
        <v/>
      </c>
      <c r="S414">
        <f t="shared" si="80"/>
        <v>0</v>
      </c>
      <c r="U414" t="str">
        <f>IF($C$15&gt;=5,IF($C$13="Yes",IF(Summary!B410&lt;&gt;"",Summary!B410,""),""),"")</f>
        <v/>
      </c>
      <c r="V414" t="str">
        <f t="shared" si="81"/>
        <v/>
      </c>
      <c r="W414">
        <f t="shared" si="82"/>
        <v>0</v>
      </c>
      <c r="Y414" t="str">
        <f>IF($C$13="Yes",IF(Summary!B410&lt;&gt;"",Summary!B410,""),"")</f>
        <v/>
      </c>
      <c r="Z414" s="439" t="str">
        <f t="shared" si="83"/>
        <v/>
      </c>
      <c r="AA414" t="str">
        <f t="shared" si="72"/>
        <v/>
      </c>
    </row>
    <row r="415" spans="2:27">
      <c r="B415" t="str">
        <f>IF(Summary!B411&lt;&gt;"",Summary!B411,"")</f>
        <v/>
      </c>
      <c r="C415" t="str">
        <f>IF(Summary!C411&lt;&gt;"",Summary!C411,"")</f>
        <v/>
      </c>
      <c r="E415" t="str">
        <f>IF($C$15&gt;=1,IF($C$13="Yes",IF(Summary!B411&lt;&gt;"",Summary!B411,""),""),"")</f>
        <v/>
      </c>
      <c r="F415" t="str">
        <f t="shared" si="73"/>
        <v/>
      </c>
      <c r="G415">
        <f t="shared" si="74"/>
        <v>0</v>
      </c>
      <c r="I415" t="str">
        <f>IF($C$15&gt;=2,IF($C$13="Yes",IF(Summary!B411&lt;&gt;"",Summary!B411,""),""),"")</f>
        <v/>
      </c>
      <c r="J415" t="str">
        <f t="shared" si="75"/>
        <v/>
      </c>
      <c r="K415">
        <f t="shared" si="76"/>
        <v>0</v>
      </c>
      <c r="M415" t="str">
        <f>IF($C$15&gt;=3,IF($C$13="Yes",IF(Summary!B411&lt;&gt;"",Summary!B411,""),""),"")</f>
        <v/>
      </c>
      <c r="N415" t="str">
        <f t="shared" si="77"/>
        <v/>
      </c>
      <c r="O415">
        <f t="shared" si="78"/>
        <v>0</v>
      </c>
      <c r="Q415" t="str">
        <f>IF($C$15&gt;=4,IF($C$13="Yes",IF(Summary!B411&lt;&gt;"",Summary!B411,""),""),"")</f>
        <v/>
      </c>
      <c r="R415" t="str">
        <f t="shared" si="79"/>
        <v/>
      </c>
      <c r="S415">
        <f t="shared" si="80"/>
        <v>0</v>
      </c>
      <c r="U415" t="str">
        <f>IF($C$15&gt;=5,IF($C$13="Yes",IF(Summary!B411&lt;&gt;"",Summary!B411,""),""),"")</f>
        <v/>
      </c>
      <c r="V415" t="str">
        <f t="shared" si="81"/>
        <v/>
      </c>
      <c r="W415">
        <f t="shared" si="82"/>
        <v>0</v>
      </c>
      <c r="Y415" t="str">
        <f>IF($C$13="Yes",IF(Summary!B411&lt;&gt;"",Summary!B411,""),"")</f>
        <v/>
      </c>
      <c r="Z415" s="439" t="str">
        <f t="shared" si="83"/>
        <v/>
      </c>
      <c r="AA415" t="str">
        <f t="shared" si="72"/>
        <v/>
      </c>
    </row>
    <row r="416" spans="2:27">
      <c r="B416" t="str">
        <f>IF(Summary!B412&lt;&gt;"",Summary!B412,"")</f>
        <v/>
      </c>
      <c r="C416" t="str">
        <f>IF(Summary!C412&lt;&gt;"",Summary!C412,"")</f>
        <v/>
      </c>
      <c r="E416" t="str">
        <f>IF($C$15&gt;=1,IF($C$13="Yes",IF(Summary!B412&lt;&gt;"",Summary!B412,""),""),"")</f>
        <v/>
      </c>
      <c r="F416" t="str">
        <f t="shared" si="73"/>
        <v/>
      </c>
      <c r="G416">
        <f t="shared" si="74"/>
        <v>0</v>
      </c>
      <c r="I416" t="str">
        <f>IF($C$15&gt;=2,IF($C$13="Yes",IF(Summary!B412&lt;&gt;"",Summary!B412,""),""),"")</f>
        <v/>
      </c>
      <c r="J416" t="str">
        <f t="shared" si="75"/>
        <v/>
      </c>
      <c r="K416">
        <f t="shared" si="76"/>
        <v>0</v>
      </c>
      <c r="M416" t="str">
        <f>IF($C$15&gt;=3,IF($C$13="Yes",IF(Summary!B412&lt;&gt;"",Summary!B412,""),""),"")</f>
        <v/>
      </c>
      <c r="N416" t="str">
        <f t="shared" si="77"/>
        <v/>
      </c>
      <c r="O416">
        <f t="shared" si="78"/>
        <v>0</v>
      </c>
      <c r="Q416" t="str">
        <f>IF($C$15&gt;=4,IF($C$13="Yes",IF(Summary!B412&lt;&gt;"",Summary!B412,""),""),"")</f>
        <v/>
      </c>
      <c r="R416" t="str">
        <f t="shared" si="79"/>
        <v/>
      </c>
      <c r="S416">
        <f t="shared" si="80"/>
        <v>0</v>
      </c>
      <c r="U416" t="str">
        <f>IF($C$15&gt;=5,IF($C$13="Yes",IF(Summary!B412&lt;&gt;"",Summary!B412,""),""),"")</f>
        <v/>
      </c>
      <c r="V416" t="str">
        <f t="shared" si="81"/>
        <v/>
      </c>
      <c r="W416">
        <f t="shared" si="82"/>
        <v>0</v>
      </c>
      <c r="Y416" t="str">
        <f>IF($C$13="Yes",IF(Summary!B412&lt;&gt;"",Summary!B412,""),"")</f>
        <v/>
      </c>
      <c r="Z416" s="439" t="str">
        <f t="shared" si="83"/>
        <v/>
      </c>
      <c r="AA416" t="str">
        <f t="shared" si="72"/>
        <v/>
      </c>
    </row>
    <row r="417" spans="2:27">
      <c r="B417" t="str">
        <f>IF(Summary!B413&lt;&gt;"",Summary!B413,"")</f>
        <v/>
      </c>
      <c r="C417" t="str">
        <f>IF(Summary!C413&lt;&gt;"",Summary!C413,"")</f>
        <v/>
      </c>
      <c r="E417" t="str">
        <f>IF($C$15&gt;=1,IF($C$13="Yes",IF(Summary!B413&lt;&gt;"",Summary!B413,""),""),"")</f>
        <v/>
      </c>
      <c r="F417" t="str">
        <f t="shared" si="73"/>
        <v/>
      </c>
      <c r="G417">
        <f t="shared" si="74"/>
        <v>0</v>
      </c>
      <c r="I417" t="str">
        <f>IF($C$15&gt;=2,IF($C$13="Yes",IF(Summary!B413&lt;&gt;"",Summary!B413,""),""),"")</f>
        <v/>
      </c>
      <c r="J417" t="str">
        <f t="shared" si="75"/>
        <v/>
      </c>
      <c r="K417">
        <f t="shared" si="76"/>
        <v>0</v>
      </c>
      <c r="M417" t="str">
        <f>IF($C$15&gt;=3,IF($C$13="Yes",IF(Summary!B413&lt;&gt;"",Summary!B413,""),""),"")</f>
        <v/>
      </c>
      <c r="N417" t="str">
        <f t="shared" si="77"/>
        <v/>
      </c>
      <c r="O417">
        <f t="shared" si="78"/>
        <v>0</v>
      </c>
      <c r="Q417" t="str">
        <f>IF($C$15&gt;=4,IF($C$13="Yes",IF(Summary!B413&lt;&gt;"",Summary!B413,""),""),"")</f>
        <v/>
      </c>
      <c r="R417" t="str">
        <f t="shared" si="79"/>
        <v/>
      </c>
      <c r="S417">
        <f t="shared" si="80"/>
        <v>0</v>
      </c>
      <c r="U417" t="str">
        <f>IF($C$15&gt;=5,IF($C$13="Yes",IF(Summary!B413&lt;&gt;"",Summary!B413,""),""),"")</f>
        <v/>
      </c>
      <c r="V417" t="str">
        <f t="shared" si="81"/>
        <v/>
      </c>
      <c r="W417">
        <f t="shared" si="82"/>
        <v>0</v>
      </c>
      <c r="Y417" t="str">
        <f>IF($C$13="Yes",IF(Summary!B413&lt;&gt;"",Summary!B413,""),"")</f>
        <v/>
      </c>
      <c r="Z417" s="439" t="str">
        <f t="shared" si="83"/>
        <v/>
      </c>
      <c r="AA417" t="str">
        <f t="shared" si="72"/>
        <v/>
      </c>
    </row>
    <row r="418" spans="2:27">
      <c r="B418" t="str">
        <f>IF(Summary!B414&lt;&gt;"",Summary!B414,"")</f>
        <v/>
      </c>
      <c r="C418" t="str">
        <f>IF(Summary!C414&lt;&gt;"",Summary!C414,"")</f>
        <v/>
      </c>
      <c r="E418" t="str">
        <f>IF($C$15&gt;=1,IF($C$13="Yes",IF(Summary!B414&lt;&gt;"",Summary!B414,""),""),"")</f>
        <v/>
      </c>
      <c r="F418" t="str">
        <f t="shared" si="73"/>
        <v/>
      </c>
      <c r="G418">
        <f t="shared" si="74"/>
        <v>0</v>
      </c>
      <c r="I418" t="str">
        <f>IF($C$15&gt;=2,IF($C$13="Yes",IF(Summary!B414&lt;&gt;"",Summary!B414,""),""),"")</f>
        <v/>
      </c>
      <c r="J418" t="str">
        <f t="shared" si="75"/>
        <v/>
      </c>
      <c r="K418">
        <f t="shared" si="76"/>
        <v>0</v>
      </c>
      <c r="M418" t="str">
        <f>IF($C$15&gt;=3,IF($C$13="Yes",IF(Summary!B414&lt;&gt;"",Summary!B414,""),""),"")</f>
        <v/>
      </c>
      <c r="N418" t="str">
        <f t="shared" si="77"/>
        <v/>
      </c>
      <c r="O418">
        <f t="shared" si="78"/>
        <v>0</v>
      </c>
      <c r="Q418" t="str">
        <f>IF($C$15&gt;=4,IF($C$13="Yes",IF(Summary!B414&lt;&gt;"",Summary!B414,""),""),"")</f>
        <v/>
      </c>
      <c r="R418" t="str">
        <f t="shared" si="79"/>
        <v/>
      </c>
      <c r="S418">
        <f t="shared" si="80"/>
        <v>0</v>
      </c>
      <c r="U418" t="str">
        <f>IF($C$15&gt;=5,IF($C$13="Yes",IF(Summary!B414&lt;&gt;"",Summary!B414,""),""),"")</f>
        <v/>
      </c>
      <c r="V418" t="str">
        <f t="shared" si="81"/>
        <v/>
      </c>
      <c r="W418">
        <f t="shared" si="82"/>
        <v>0</v>
      </c>
      <c r="Y418" t="str">
        <f>IF($C$13="Yes",IF(Summary!B414&lt;&gt;"",Summary!B414,""),"")</f>
        <v/>
      </c>
      <c r="Z418" s="439" t="str">
        <f t="shared" si="83"/>
        <v/>
      </c>
      <c r="AA418" t="str">
        <f t="shared" si="72"/>
        <v/>
      </c>
    </row>
    <row r="419" spans="2:27">
      <c r="B419" t="str">
        <f>IF(Summary!B415&lt;&gt;"",Summary!B415,"")</f>
        <v/>
      </c>
      <c r="C419" t="str">
        <f>IF(Summary!C415&lt;&gt;"",Summary!C415,"")</f>
        <v/>
      </c>
      <c r="E419" t="str">
        <f>IF($C$15&gt;=1,IF($C$13="Yes",IF(Summary!B415&lt;&gt;"",Summary!B415,""),""),"")</f>
        <v/>
      </c>
      <c r="F419" t="str">
        <f t="shared" si="73"/>
        <v/>
      </c>
      <c r="G419">
        <f t="shared" si="74"/>
        <v>0</v>
      </c>
      <c r="I419" t="str">
        <f>IF($C$15&gt;=2,IF($C$13="Yes",IF(Summary!B415&lt;&gt;"",Summary!B415,""),""),"")</f>
        <v/>
      </c>
      <c r="J419" t="str">
        <f t="shared" si="75"/>
        <v/>
      </c>
      <c r="K419">
        <f t="shared" si="76"/>
        <v>0</v>
      </c>
      <c r="M419" t="str">
        <f>IF($C$15&gt;=3,IF($C$13="Yes",IF(Summary!B415&lt;&gt;"",Summary!B415,""),""),"")</f>
        <v/>
      </c>
      <c r="N419" t="str">
        <f t="shared" si="77"/>
        <v/>
      </c>
      <c r="O419">
        <f t="shared" si="78"/>
        <v>0</v>
      </c>
      <c r="Q419" t="str">
        <f>IF($C$15&gt;=4,IF($C$13="Yes",IF(Summary!B415&lt;&gt;"",Summary!B415,""),""),"")</f>
        <v/>
      </c>
      <c r="R419" t="str">
        <f t="shared" si="79"/>
        <v/>
      </c>
      <c r="S419">
        <f t="shared" si="80"/>
        <v>0</v>
      </c>
      <c r="U419" t="str">
        <f>IF($C$15&gt;=5,IF($C$13="Yes",IF(Summary!B415&lt;&gt;"",Summary!B415,""),""),"")</f>
        <v/>
      </c>
      <c r="V419" t="str">
        <f t="shared" si="81"/>
        <v/>
      </c>
      <c r="W419">
        <f t="shared" si="82"/>
        <v>0</v>
      </c>
      <c r="Y419" t="str">
        <f>IF($C$13="Yes",IF(Summary!B415&lt;&gt;"",Summary!B415,""),"")</f>
        <v/>
      </c>
      <c r="Z419" s="439" t="str">
        <f t="shared" si="83"/>
        <v/>
      </c>
      <c r="AA419" t="str">
        <f t="shared" si="72"/>
        <v/>
      </c>
    </row>
    <row r="420" spans="2:27">
      <c r="B420" t="str">
        <f>IF(Summary!B416&lt;&gt;"",Summary!B416,"")</f>
        <v/>
      </c>
      <c r="C420" t="str">
        <f>IF(Summary!C416&lt;&gt;"",Summary!C416,"")</f>
        <v/>
      </c>
      <c r="E420" t="str">
        <f>IF($C$15&gt;=1,IF($C$13="Yes",IF(Summary!B416&lt;&gt;"",Summary!B416,""),""),"")</f>
        <v/>
      </c>
      <c r="F420" t="str">
        <f t="shared" si="73"/>
        <v/>
      </c>
      <c r="G420">
        <f t="shared" si="74"/>
        <v>0</v>
      </c>
      <c r="I420" t="str">
        <f>IF($C$15&gt;=2,IF($C$13="Yes",IF(Summary!B416&lt;&gt;"",Summary!B416,""),""),"")</f>
        <v/>
      </c>
      <c r="J420" t="str">
        <f t="shared" si="75"/>
        <v/>
      </c>
      <c r="K420">
        <f t="shared" si="76"/>
        <v>0</v>
      </c>
      <c r="M420" t="str">
        <f>IF($C$15&gt;=3,IF($C$13="Yes",IF(Summary!B416&lt;&gt;"",Summary!B416,""),""),"")</f>
        <v/>
      </c>
      <c r="N420" t="str">
        <f t="shared" si="77"/>
        <v/>
      </c>
      <c r="O420">
        <f t="shared" si="78"/>
        <v>0</v>
      </c>
      <c r="Q420" t="str">
        <f>IF($C$15&gt;=4,IF($C$13="Yes",IF(Summary!B416&lt;&gt;"",Summary!B416,""),""),"")</f>
        <v/>
      </c>
      <c r="R420" t="str">
        <f t="shared" si="79"/>
        <v/>
      </c>
      <c r="S420">
        <f t="shared" si="80"/>
        <v>0</v>
      </c>
      <c r="U420" t="str">
        <f>IF($C$15&gt;=5,IF($C$13="Yes",IF(Summary!B416&lt;&gt;"",Summary!B416,""),""),"")</f>
        <v/>
      </c>
      <c r="V420" t="str">
        <f t="shared" si="81"/>
        <v/>
      </c>
      <c r="W420">
        <f t="shared" si="82"/>
        <v>0</v>
      </c>
      <c r="Y420" t="str">
        <f>IF($C$13="Yes",IF(Summary!B416&lt;&gt;"",Summary!B416,""),"")</f>
        <v/>
      </c>
      <c r="Z420" s="439" t="str">
        <f t="shared" si="83"/>
        <v/>
      </c>
      <c r="AA420" t="str">
        <f t="shared" si="72"/>
        <v/>
      </c>
    </row>
    <row r="421" spans="2:27">
      <c r="B421" t="str">
        <f>IF(Summary!B417&lt;&gt;"",Summary!B417,"")</f>
        <v/>
      </c>
      <c r="C421" t="str">
        <f>IF(Summary!C417&lt;&gt;"",Summary!C417,"")</f>
        <v/>
      </c>
      <c r="E421" t="str">
        <f>IF($C$15&gt;=1,IF($C$13="Yes",IF(Summary!B417&lt;&gt;"",Summary!B417,""),""),"")</f>
        <v/>
      </c>
      <c r="F421" t="str">
        <f t="shared" si="73"/>
        <v/>
      </c>
      <c r="G421">
        <f t="shared" si="74"/>
        <v>0</v>
      </c>
      <c r="I421" t="str">
        <f>IF($C$15&gt;=2,IF($C$13="Yes",IF(Summary!B417&lt;&gt;"",Summary!B417,""),""),"")</f>
        <v/>
      </c>
      <c r="J421" t="str">
        <f t="shared" si="75"/>
        <v/>
      </c>
      <c r="K421">
        <f t="shared" si="76"/>
        <v>0</v>
      </c>
      <c r="M421" t="str">
        <f>IF($C$15&gt;=3,IF($C$13="Yes",IF(Summary!B417&lt;&gt;"",Summary!B417,""),""),"")</f>
        <v/>
      </c>
      <c r="N421" t="str">
        <f t="shared" si="77"/>
        <v/>
      </c>
      <c r="O421">
        <f t="shared" si="78"/>
        <v>0</v>
      </c>
      <c r="Q421" t="str">
        <f>IF($C$15&gt;=4,IF($C$13="Yes",IF(Summary!B417&lt;&gt;"",Summary!B417,""),""),"")</f>
        <v/>
      </c>
      <c r="R421" t="str">
        <f t="shared" si="79"/>
        <v/>
      </c>
      <c r="S421">
        <f t="shared" si="80"/>
        <v>0</v>
      </c>
      <c r="U421" t="str">
        <f>IF($C$15&gt;=5,IF($C$13="Yes",IF(Summary!B417&lt;&gt;"",Summary!B417,""),""),"")</f>
        <v/>
      </c>
      <c r="V421" t="str">
        <f t="shared" si="81"/>
        <v/>
      </c>
      <c r="W421">
        <f t="shared" si="82"/>
        <v>0</v>
      </c>
      <c r="Y421" t="str">
        <f>IF($C$13="Yes",IF(Summary!B417&lt;&gt;"",Summary!B417,""),"")</f>
        <v/>
      </c>
      <c r="Z421" s="439" t="str">
        <f t="shared" si="83"/>
        <v/>
      </c>
      <c r="AA421" t="str">
        <f t="shared" si="72"/>
        <v/>
      </c>
    </row>
    <row r="422" spans="2:27">
      <c r="B422" t="str">
        <f>IF(Summary!B418&lt;&gt;"",Summary!B418,"")</f>
        <v/>
      </c>
      <c r="C422" t="str">
        <f>IF(Summary!C418&lt;&gt;"",Summary!C418,"")</f>
        <v/>
      </c>
      <c r="E422" t="str">
        <f>IF($C$15&gt;=1,IF($C$13="Yes",IF(Summary!B418&lt;&gt;"",Summary!B418,""),""),"")</f>
        <v/>
      </c>
      <c r="F422" t="str">
        <f t="shared" si="73"/>
        <v/>
      </c>
      <c r="G422">
        <f t="shared" si="74"/>
        <v>0</v>
      </c>
      <c r="I422" t="str">
        <f>IF($C$15&gt;=2,IF($C$13="Yes",IF(Summary!B418&lt;&gt;"",Summary!B418,""),""),"")</f>
        <v/>
      </c>
      <c r="J422" t="str">
        <f t="shared" si="75"/>
        <v/>
      </c>
      <c r="K422">
        <f t="shared" si="76"/>
        <v>0</v>
      </c>
      <c r="M422" t="str">
        <f>IF($C$15&gt;=3,IF($C$13="Yes",IF(Summary!B418&lt;&gt;"",Summary!B418,""),""),"")</f>
        <v/>
      </c>
      <c r="N422" t="str">
        <f t="shared" si="77"/>
        <v/>
      </c>
      <c r="O422">
        <f t="shared" si="78"/>
        <v>0</v>
      </c>
      <c r="Q422" t="str">
        <f>IF($C$15&gt;=4,IF($C$13="Yes",IF(Summary!B418&lt;&gt;"",Summary!B418,""),""),"")</f>
        <v/>
      </c>
      <c r="R422" t="str">
        <f t="shared" si="79"/>
        <v/>
      </c>
      <c r="S422">
        <f t="shared" si="80"/>
        <v>0</v>
      </c>
      <c r="U422" t="str">
        <f>IF($C$15&gt;=5,IF($C$13="Yes",IF(Summary!B418&lt;&gt;"",Summary!B418,""),""),"")</f>
        <v/>
      </c>
      <c r="V422" t="str">
        <f t="shared" si="81"/>
        <v/>
      </c>
      <c r="W422">
        <f t="shared" si="82"/>
        <v>0</v>
      </c>
      <c r="Y422" t="str">
        <f>IF($C$13="Yes",IF(Summary!B418&lt;&gt;"",Summary!B418,""),"")</f>
        <v/>
      </c>
      <c r="Z422" s="439" t="str">
        <f t="shared" si="83"/>
        <v/>
      </c>
      <c r="AA422" t="str">
        <f t="shared" si="72"/>
        <v/>
      </c>
    </row>
    <row r="423" spans="2:27">
      <c r="B423" t="str">
        <f>IF(Summary!B419&lt;&gt;"",Summary!B419,"")</f>
        <v/>
      </c>
      <c r="C423" t="str">
        <f>IF(Summary!C419&lt;&gt;"",Summary!C419,"")</f>
        <v/>
      </c>
      <c r="E423" t="str">
        <f>IF($C$15&gt;=1,IF($C$13="Yes",IF(Summary!B419&lt;&gt;"",Summary!B419,""),""),"")</f>
        <v/>
      </c>
      <c r="F423" t="str">
        <f t="shared" si="73"/>
        <v/>
      </c>
      <c r="G423">
        <f t="shared" si="74"/>
        <v>0</v>
      </c>
      <c r="I423" t="str">
        <f>IF($C$15&gt;=2,IF($C$13="Yes",IF(Summary!B419&lt;&gt;"",Summary!B419,""),""),"")</f>
        <v/>
      </c>
      <c r="J423" t="str">
        <f t="shared" si="75"/>
        <v/>
      </c>
      <c r="K423">
        <f t="shared" si="76"/>
        <v>0</v>
      </c>
      <c r="M423" t="str">
        <f>IF($C$15&gt;=3,IF($C$13="Yes",IF(Summary!B419&lt;&gt;"",Summary!B419,""),""),"")</f>
        <v/>
      </c>
      <c r="N423" t="str">
        <f t="shared" si="77"/>
        <v/>
      </c>
      <c r="O423">
        <f t="shared" si="78"/>
        <v>0</v>
      </c>
      <c r="Q423" t="str">
        <f>IF($C$15&gt;=4,IF($C$13="Yes",IF(Summary!B419&lt;&gt;"",Summary!B419,""),""),"")</f>
        <v/>
      </c>
      <c r="R423" t="str">
        <f t="shared" si="79"/>
        <v/>
      </c>
      <c r="S423">
        <f t="shared" si="80"/>
        <v>0</v>
      </c>
      <c r="U423" t="str">
        <f>IF($C$15&gt;=5,IF($C$13="Yes",IF(Summary!B419&lt;&gt;"",Summary!B419,""),""),"")</f>
        <v/>
      </c>
      <c r="V423" t="str">
        <f t="shared" si="81"/>
        <v/>
      </c>
      <c r="W423">
        <f t="shared" si="82"/>
        <v>0</v>
      </c>
      <c r="Y423" t="str">
        <f>IF($C$13="Yes",IF(Summary!B419&lt;&gt;"",Summary!B419,""),"")</f>
        <v/>
      </c>
      <c r="Z423" s="439" t="str">
        <f t="shared" si="83"/>
        <v/>
      </c>
      <c r="AA423" t="str">
        <f t="shared" si="72"/>
        <v/>
      </c>
    </row>
    <row r="424" spans="2:27">
      <c r="B424" t="str">
        <f>IF(Summary!B420&lt;&gt;"",Summary!B420,"")</f>
        <v/>
      </c>
      <c r="C424" t="str">
        <f>IF(Summary!C420&lt;&gt;"",Summary!C420,"")</f>
        <v/>
      </c>
      <c r="E424" t="str">
        <f>IF($C$15&gt;=1,IF($C$13="Yes",IF(Summary!B420&lt;&gt;"",Summary!B420,""),""),"")</f>
        <v/>
      </c>
      <c r="F424" t="str">
        <f t="shared" si="73"/>
        <v/>
      </c>
      <c r="G424">
        <f t="shared" si="74"/>
        <v>0</v>
      </c>
      <c r="I424" t="str">
        <f>IF($C$15&gt;=2,IF($C$13="Yes",IF(Summary!B420&lt;&gt;"",Summary!B420,""),""),"")</f>
        <v/>
      </c>
      <c r="J424" t="str">
        <f t="shared" si="75"/>
        <v/>
      </c>
      <c r="K424">
        <f t="shared" si="76"/>
        <v>0</v>
      </c>
      <c r="M424" t="str">
        <f>IF($C$15&gt;=3,IF($C$13="Yes",IF(Summary!B420&lt;&gt;"",Summary!B420,""),""),"")</f>
        <v/>
      </c>
      <c r="N424" t="str">
        <f t="shared" si="77"/>
        <v/>
      </c>
      <c r="O424">
        <f t="shared" si="78"/>
        <v>0</v>
      </c>
      <c r="Q424" t="str">
        <f>IF($C$15&gt;=4,IF($C$13="Yes",IF(Summary!B420&lt;&gt;"",Summary!B420,""),""),"")</f>
        <v/>
      </c>
      <c r="R424" t="str">
        <f t="shared" si="79"/>
        <v/>
      </c>
      <c r="S424">
        <f t="shared" si="80"/>
        <v>0</v>
      </c>
      <c r="U424" t="str">
        <f>IF($C$15&gt;=5,IF($C$13="Yes",IF(Summary!B420&lt;&gt;"",Summary!B420,""),""),"")</f>
        <v/>
      </c>
      <c r="V424" t="str">
        <f t="shared" si="81"/>
        <v/>
      </c>
      <c r="W424">
        <f t="shared" si="82"/>
        <v>0</v>
      </c>
      <c r="Y424" t="str">
        <f>IF($C$13="Yes",IF(Summary!B420&lt;&gt;"",Summary!B420,""),"")</f>
        <v/>
      </c>
      <c r="Z424" s="439" t="str">
        <f t="shared" si="83"/>
        <v/>
      </c>
      <c r="AA424" t="str">
        <f t="shared" si="72"/>
        <v/>
      </c>
    </row>
    <row r="425" spans="2:27">
      <c r="B425" t="str">
        <f>IF(Summary!B421&lt;&gt;"",Summary!B421,"")</f>
        <v/>
      </c>
      <c r="C425" t="str">
        <f>IF(Summary!C421&lt;&gt;"",Summary!C421,"")</f>
        <v/>
      </c>
      <c r="E425" t="str">
        <f>IF($C$15&gt;=1,IF($C$13="Yes",IF(Summary!B421&lt;&gt;"",Summary!B421,""),""),"")</f>
        <v/>
      </c>
      <c r="F425" t="str">
        <f t="shared" si="73"/>
        <v/>
      </c>
      <c r="G425">
        <f t="shared" si="74"/>
        <v>0</v>
      </c>
      <c r="I425" t="str">
        <f>IF($C$15&gt;=2,IF($C$13="Yes",IF(Summary!B421&lt;&gt;"",Summary!B421,""),""),"")</f>
        <v/>
      </c>
      <c r="J425" t="str">
        <f t="shared" si="75"/>
        <v/>
      </c>
      <c r="K425">
        <f t="shared" si="76"/>
        <v>0</v>
      </c>
      <c r="M425" t="str">
        <f>IF($C$15&gt;=3,IF($C$13="Yes",IF(Summary!B421&lt;&gt;"",Summary!B421,""),""),"")</f>
        <v/>
      </c>
      <c r="N425" t="str">
        <f t="shared" si="77"/>
        <v/>
      </c>
      <c r="O425">
        <f t="shared" si="78"/>
        <v>0</v>
      </c>
      <c r="Q425" t="str">
        <f>IF($C$15&gt;=4,IF($C$13="Yes",IF(Summary!B421&lt;&gt;"",Summary!B421,""),""),"")</f>
        <v/>
      </c>
      <c r="R425" t="str">
        <f t="shared" si="79"/>
        <v/>
      </c>
      <c r="S425">
        <f t="shared" si="80"/>
        <v>0</v>
      </c>
      <c r="U425" t="str">
        <f>IF($C$15&gt;=5,IF($C$13="Yes",IF(Summary!B421&lt;&gt;"",Summary!B421,""),""),"")</f>
        <v/>
      </c>
      <c r="V425" t="str">
        <f t="shared" si="81"/>
        <v/>
      </c>
      <c r="W425">
        <f t="shared" si="82"/>
        <v>0</v>
      </c>
      <c r="Y425" t="str">
        <f>IF($C$13="Yes",IF(Summary!B421&lt;&gt;"",Summary!B421,""),"")</f>
        <v/>
      </c>
      <c r="Z425" s="439" t="str">
        <f t="shared" si="83"/>
        <v/>
      </c>
      <c r="AA425" t="str">
        <f t="shared" si="72"/>
        <v/>
      </c>
    </row>
    <row r="426" spans="2:27">
      <c r="B426" t="str">
        <f>IF(Summary!B422&lt;&gt;"",Summary!B422,"")</f>
        <v/>
      </c>
      <c r="C426" t="str">
        <f>IF(Summary!C422&lt;&gt;"",Summary!C422,"")</f>
        <v/>
      </c>
      <c r="E426" t="str">
        <f>IF($C$15&gt;=1,IF($C$13="Yes",IF(Summary!B422&lt;&gt;"",Summary!B422,""),""),"")</f>
        <v/>
      </c>
      <c r="F426" t="str">
        <f t="shared" si="73"/>
        <v/>
      </c>
      <c r="G426">
        <f t="shared" si="74"/>
        <v>0</v>
      </c>
      <c r="I426" t="str">
        <f>IF($C$15&gt;=2,IF($C$13="Yes",IF(Summary!B422&lt;&gt;"",Summary!B422,""),""),"")</f>
        <v/>
      </c>
      <c r="J426" t="str">
        <f t="shared" si="75"/>
        <v/>
      </c>
      <c r="K426">
        <f t="shared" si="76"/>
        <v>0</v>
      </c>
      <c r="M426" t="str">
        <f>IF($C$15&gt;=3,IF($C$13="Yes",IF(Summary!B422&lt;&gt;"",Summary!B422,""),""),"")</f>
        <v/>
      </c>
      <c r="N426" t="str">
        <f t="shared" si="77"/>
        <v/>
      </c>
      <c r="O426">
        <f t="shared" si="78"/>
        <v>0</v>
      </c>
      <c r="Q426" t="str">
        <f>IF($C$15&gt;=4,IF($C$13="Yes",IF(Summary!B422&lt;&gt;"",Summary!B422,""),""),"")</f>
        <v/>
      </c>
      <c r="R426" t="str">
        <f t="shared" si="79"/>
        <v/>
      </c>
      <c r="S426">
        <f t="shared" si="80"/>
        <v>0</v>
      </c>
      <c r="U426" t="str">
        <f>IF($C$15&gt;=5,IF($C$13="Yes",IF(Summary!B422&lt;&gt;"",Summary!B422,""),""),"")</f>
        <v/>
      </c>
      <c r="V426" t="str">
        <f t="shared" si="81"/>
        <v/>
      </c>
      <c r="W426">
        <f t="shared" si="82"/>
        <v>0</v>
      </c>
      <c r="Y426" t="str">
        <f>IF($C$13="Yes",IF(Summary!B422&lt;&gt;"",Summary!B422,""),"")</f>
        <v/>
      </c>
      <c r="Z426" s="439" t="str">
        <f t="shared" si="83"/>
        <v/>
      </c>
      <c r="AA426" t="str">
        <f t="shared" si="72"/>
        <v/>
      </c>
    </row>
    <row r="427" spans="2:27">
      <c r="B427" t="str">
        <f>IF(Summary!B423&lt;&gt;"",Summary!B423,"")</f>
        <v/>
      </c>
      <c r="C427" t="str">
        <f>IF(Summary!C423&lt;&gt;"",Summary!C423,"")</f>
        <v/>
      </c>
      <c r="E427" t="str">
        <f>IF($C$15&gt;=1,IF($C$13="Yes",IF(Summary!B423&lt;&gt;"",Summary!B423,""),""),"")</f>
        <v/>
      </c>
      <c r="F427" t="str">
        <f t="shared" si="73"/>
        <v/>
      </c>
      <c r="G427">
        <f t="shared" si="74"/>
        <v>0</v>
      </c>
      <c r="I427" t="str">
        <f>IF($C$15&gt;=2,IF($C$13="Yes",IF(Summary!B423&lt;&gt;"",Summary!B423,""),""),"")</f>
        <v/>
      </c>
      <c r="J427" t="str">
        <f t="shared" si="75"/>
        <v/>
      </c>
      <c r="K427">
        <f t="shared" si="76"/>
        <v>0</v>
      </c>
      <c r="M427" t="str">
        <f>IF($C$15&gt;=3,IF($C$13="Yes",IF(Summary!B423&lt;&gt;"",Summary!B423,""),""),"")</f>
        <v/>
      </c>
      <c r="N427" t="str">
        <f t="shared" si="77"/>
        <v/>
      </c>
      <c r="O427">
        <f t="shared" si="78"/>
        <v>0</v>
      </c>
      <c r="Q427" t="str">
        <f>IF($C$15&gt;=4,IF($C$13="Yes",IF(Summary!B423&lt;&gt;"",Summary!B423,""),""),"")</f>
        <v/>
      </c>
      <c r="R427" t="str">
        <f t="shared" si="79"/>
        <v/>
      </c>
      <c r="S427">
        <f t="shared" si="80"/>
        <v>0</v>
      </c>
      <c r="U427" t="str">
        <f>IF($C$15&gt;=5,IF($C$13="Yes",IF(Summary!B423&lt;&gt;"",Summary!B423,""),""),"")</f>
        <v/>
      </c>
      <c r="V427" t="str">
        <f t="shared" si="81"/>
        <v/>
      </c>
      <c r="W427">
        <f t="shared" si="82"/>
        <v>0</v>
      </c>
      <c r="Y427" t="str">
        <f>IF($C$13="Yes",IF(Summary!B423&lt;&gt;"",Summary!B423,""),"")</f>
        <v/>
      </c>
      <c r="Z427" s="439" t="str">
        <f t="shared" si="83"/>
        <v/>
      </c>
      <c r="AA427" t="str">
        <f t="shared" si="72"/>
        <v/>
      </c>
    </row>
    <row r="428" spans="2:27">
      <c r="B428" t="str">
        <f>IF(Summary!B424&lt;&gt;"",Summary!B424,"")</f>
        <v/>
      </c>
      <c r="C428" t="str">
        <f>IF(Summary!C424&lt;&gt;"",Summary!C424,"")</f>
        <v/>
      </c>
      <c r="E428" t="str">
        <f>IF($C$15&gt;=1,IF($C$13="Yes",IF(Summary!B424&lt;&gt;"",Summary!B424,""),""),"")</f>
        <v/>
      </c>
      <c r="F428" t="str">
        <f t="shared" si="73"/>
        <v/>
      </c>
      <c r="G428">
        <f t="shared" si="74"/>
        <v>0</v>
      </c>
      <c r="I428" t="str">
        <f>IF($C$15&gt;=2,IF($C$13="Yes",IF(Summary!B424&lt;&gt;"",Summary!B424,""),""),"")</f>
        <v/>
      </c>
      <c r="J428" t="str">
        <f t="shared" si="75"/>
        <v/>
      </c>
      <c r="K428">
        <f t="shared" si="76"/>
        <v>0</v>
      </c>
      <c r="M428" t="str">
        <f>IF($C$15&gt;=3,IF($C$13="Yes",IF(Summary!B424&lt;&gt;"",Summary!B424,""),""),"")</f>
        <v/>
      </c>
      <c r="N428" t="str">
        <f t="shared" si="77"/>
        <v/>
      </c>
      <c r="O428">
        <f t="shared" si="78"/>
        <v>0</v>
      </c>
      <c r="Q428" t="str">
        <f>IF($C$15&gt;=4,IF($C$13="Yes",IF(Summary!B424&lt;&gt;"",Summary!B424,""),""),"")</f>
        <v/>
      </c>
      <c r="R428" t="str">
        <f t="shared" si="79"/>
        <v/>
      </c>
      <c r="S428">
        <f t="shared" si="80"/>
        <v>0</v>
      </c>
      <c r="U428" t="str">
        <f>IF($C$15&gt;=5,IF($C$13="Yes",IF(Summary!B424&lt;&gt;"",Summary!B424,""),""),"")</f>
        <v/>
      </c>
      <c r="V428" t="str">
        <f t="shared" si="81"/>
        <v/>
      </c>
      <c r="W428">
        <f t="shared" si="82"/>
        <v>0</v>
      </c>
      <c r="Y428" t="str">
        <f>IF($C$13="Yes",IF(Summary!B424&lt;&gt;"",Summary!B424,""),"")</f>
        <v/>
      </c>
      <c r="Z428" s="439" t="str">
        <f t="shared" si="83"/>
        <v/>
      </c>
      <c r="AA428" t="str">
        <f t="shared" si="72"/>
        <v/>
      </c>
    </row>
    <row r="429" spans="2:27">
      <c r="B429" t="str">
        <f>IF(Summary!B425&lt;&gt;"",Summary!B425,"")</f>
        <v/>
      </c>
      <c r="C429" t="str">
        <f>IF(Summary!C425&lt;&gt;"",Summary!C425,"")</f>
        <v/>
      </c>
      <c r="E429" t="str">
        <f>IF($C$15&gt;=1,IF($C$13="Yes",IF(Summary!B425&lt;&gt;"",Summary!B425,""),""),"")</f>
        <v/>
      </c>
      <c r="F429" t="str">
        <f t="shared" si="73"/>
        <v/>
      </c>
      <c r="G429">
        <f t="shared" si="74"/>
        <v>0</v>
      </c>
      <c r="I429" t="str">
        <f>IF($C$15&gt;=2,IF($C$13="Yes",IF(Summary!B425&lt;&gt;"",Summary!B425,""),""),"")</f>
        <v/>
      </c>
      <c r="J429" t="str">
        <f t="shared" si="75"/>
        <v/>
      </c>
      <c r="K429">
        <f t="shared" si="76"/>
        <v>0</v>
      </c>
      <c r="M429" t="str">
        <f>IF($C$15&gt;=3,IF($C$13="Yes",IF(Summary!B425&lt;&gt;"",Summary!B425,""),""),"")</f>
        <v/>
      </c>
      <c r="N429" t="str">
        <f t="shared" si="77"/>
        <v/>
      </c>
      <c r="O429">
        <f t="shared" si="78"/>
        <v>0</v>
      </c>
      <c r="Q429" t="str">
        <f>IF($C$15&gt;=4,IF($C$13="Yes",IF(Summary!B425&lt;&gt;"",Summary!B425,""),""),"")</f>
        <v/>
      </c>
      <c r="R429" t="str">
        <f t="shared" si="79"/>
        <v/>
      </c>
      <c r="S429">
        <f t="shared" si="80"/>
        <v>0</v>
      </c>
      <c r="U429" t="str">
        <f>IF($C$15&gt;=5,IF($C$13="Yes",IF(Summary!B425&lt;&gt;"",Summary!B425,""),""),"")</f>
        <v/>
      </c>
      <c r="V429" t="str">
        <f t="shared" si="81"/>
        <v/>
      </c>
      <c r="W429">
        <f t="shared" si="82"/>
        <v>0</v>
      </c>
      <c r="Y429" t="str">
        <f>IF($C$13="Yes",IF(Summary!B425&lt;&gt;"",Summary!B425,""),"")</f>
        <v/>
      </c>
      <c r="Z429" s="439" t="str">
        <f t="shared" si="83"/>
        <v/>
      </c>
      <c r="AA429" t="str">
        <f t="shared" si="72"/>
        <v/>
      </c>
    </row>
    <row r="430" spans="2:27">
      <c r="B430" t="str">
        <f>IF(Summary!B426&lt;&gt;"",Summary!B426,"")</f>
        <v/>
      </c>
      <c r="C430" t="str">
        <f>IF(Summary!C426&lt;&gt;"",Summary!C426,"")</f>
        <v/>
      </c>
      <c r="E430" t="str">
        <f>IF($C$15&gt;=1,IF($C$13="Yes",IF(Summary!B426&lt;&gt;"",Summary!B426,""),""),"")</f>
        <v/>
      </c>
      <c r="F430" t="str">
        <f t="shared" si="73"/>
        <v/>
      </c>
      <c r="G430">
        <f t="shared" si="74"/>
        <v>0</v>
      </c>
      <c r="I430" t="str">
        <f>IF($C$15&gt;=2,IF($C$13="Yes",IF(Summary!B426&lt;&gt;"",Summary!B426,""),""),"")</f>
        <v/>
      </c>
      <c r="J430" t="str">
        <f t="shared" si="75"/>
        <v/>
      </c>
      <c r="K430">
        <f t="shared" si="76"/>
        <v>0</v>
      </c>
      <c r="M430" t="str">
        <f>IF($C$15&gt;=3,IF($C$13="Yes",IF(Summary!B426&lt;&gt;"",Summary!B426,""),""),"")</f>
        <v/>
      </c>
      <c r="N430" t="str">
        <f t="shared" si="77"/>
        <v/>
      </c>
      <c r="O430">
        <f t="shared" si="78"/>
        <v>0</v>
      </c>
      <c r="Q430" t="str">
        <f>IF($C$15&gt;=4,IF($C$13="Yes",IF(Summary!B426&lt;&gt;"",Summary!B426,""),""),"")</f>
        <v/>
      </c>
      <c r="R430" t="str">
        <f t="shared" si="79"/>
        <v/>
      </c>
      <c r="S430">
        <f t="shared" si="80"/>
        <v>0</v>
      </c>
      <c r="U430" t="str">
        <f>IF($C$15&gt;=5,IF($C$13="Yes",IF(Summary!B426&lt;&gt;"",Summary!B426,""),""),"")</f>
        <v/>
      </c>
      <c r="V430" t="str">
        <f t="shared" si="81"/>
        <v/>
      </c>
      <c r="W430">
        <f t="shared" si="82"/>
        <v>0</v>
      </c>
      <c r="Y430" t="str">
        <f>IF($C$13="Yes",IF(Summary!B426&lt;&gt;"",Summary!B426,""),"")</f>
        <v/>
      </c>
      <c r="Z430" s="439" t="str">
        <f t="shared" si="83"/>
        <v/>
      </c>
      <c r="AA430" t="str">
        <f t="shared" si="72"/>
        <v/>
      </c>
    </row>
    <row r="431" spans="2:27">
      <c r="B431" t="str">
        <f>IF(Summary!B427&lt;&gt;"",Summary!B427,"")</f>
        <v/>
      </c>
      <c r="C431" t="str">
        <f>IF(Summary!C427&lt;&gt;"",Summary!C427,"")</f>
        <v/>
      </c>
      <c r="E431" t="str">
        <f>IF($C$15&gt;=1,IF($C$13="Yes",IF(Summary!B427&lt;&gt;"",Summary!B427,""),""),"")</f>
        <v/>
      </c>
      <c r="F431" t="str">
        <f t="shared" si="73"/>
        <v/>
      </c>
      <c r="G431">
        <f t="shared" si="74"/>
        <v>0</v>
      </c>
      <c r="I431" t="str">
        <f>IF($C$15&gt;=2,IF($C$13="Yes",IF(Summary!B427&lt;&gt;"",Summary!B427,""),""),"")</f>
        <v/>
      </c>
      <c r="J431" t="str">
        <f t="shared" si="75"/>
        <v/>
      </c>
      <c r="K431">
        <f t="shared" si="76"/>
        <v>0</v>
      </c>
      <c r="M431" t="str">
        <f>IF($C$15&gt;=3,IF($C$13="Yes",IF(Summary!B427&lt;&gt;"",Summary!B427,""),""),"")</f>
        <v/>
      </c>
      <c r="N431" t="str">
        <f t="shared" si="77"/>
        <v/>
      </c>
      <c r="O431">
        <f t="shared" si="78"/>
        <v>0</v>
      </c>
      <c r="Q431" t="str">
        <f>IF($C$15&gt;=4,IF($C$13="Yes",IF(Summary!B427&lt;&gt;"",Summary!B427,""),""),"")</f>
        <v/>
      </c>
      <c r="R431" t="str">
        <f t="shared" si="79"/>
        <v/>
      </c>
      <c r="S431">
        <f t="shared" si="80"/>
        <v>0</v>
      </c>
      <c r="U431" t="str">
        <f>IF($C$15&gt;=5,IF($C$13="Yes",IF(Summary!B427&lt;&gt;"",Summary!B427,""),""),"")</f>
        <v/>
      </c>
      <c r="V431" t="str">
        <f t="shared" si="81"/>
        <v/>
      </c>
      <c r="W431">
        <f t="shared" si="82"/>
        <v>0</v>
      </c>
      <c r="Y431" t="str">
        <f>IF($C$13="Yes",IF(Summary!B427&lt;&gt;"",Summary!B427,""),"")</f>
        <v/>
      </c>
      <c r="Z431" s="439" t="str">
        <f t="shared" si="83"/>
        <v/>
      </c>
      <c r="AA431" t="str">
        <f t="shared" si="72"/>
        <v/>
      </c>
    </row>
    <row r="432" spans="2:27">
      <c r="B432" t="str">
        <f>IF(Summary!B428&lt;&gt;"",Summary!B428,"")</f>
        <v/>
      </c>
      <c r="C432" t="str">
        <f>IF(Summary!C428&lt;&gt;"",Summary!C428,"")</f>
        <v/>
      </c>
      <c r="E432" t="str">
        <f>IF($C$15&gt;=1,IF($C$13="Yes",IF(Summary!B428&lt;&gt;"",Summary!B428,""),""),"")</f>
        <v/>
      </c>
      <c r="F432" t="str">
        <f t="shared" si="73"/>
        <v/>
      </c>
      <c r="G432">
        <f t="shared" si="74"/>
        <v>0</v>
      </c>
      <c r="I432" t="str">
        <f>IF($C$15&gt;=2,IF($C$13="Yes",IF(Summary!B428&lt;&gt;"",Summary!B428,""),""),"")</f>
        <v/>
      </c>
      <c r="J432" t="str">
        <f t="shared" si="75"/>
        <v/>
      </c>
      <c r="K432">
        <f t="shared" si="76"/>
        <v>0</v>
      </c>
      <c r="M432" t="str">
        <f>IF($C$15&gt;=3,IF($C$13="Yes",IF(Summary!B428&lt;&gt;"",Summary!B428,""),""),"")</f>
        <v/>
      </c>
      <c r="N432" t="str">
        <f t="shared" si="77"/>
        <v/>
      </c>
      <c r="O432">
        <f t="shared" si="78"/>
        <v>0</v>
      </c>
      <c r="Q432" t="str">
        <f>IF($C$15&gt;=4,IF($C$13="Yes",IF(Summary!B428&lt;&gt;"",Summary!B428,""),""),"")</f>
        <v/>
      </c>
      <c r="R432" t="str">
        <f t="shared" si="79"/>
        <v/>
      </c>
      <c r="S432">
        <f t="shared" si="80"/>
        <v>0</v>
      </c>
      <c r="U432" t="str">
        <f>IF($C$15&gt;=5,IF($C$13="Yes",IF(Summary!B428&lt;&gt;"",Summary!B428,""),""),"")</f>
        <v/>
      </c>
      <c r="V432" t="str">
        <f t="shared" si="81"/>
        <v/>
      </c>
      <c r="W432">
        <f t="shared" si="82"/>
        <v>0</v>
      </c>
      <c r="Y432" t="str">
        <f>IF($C$13="Yes",IF(Summary!B428&lt;&gt;"",Summary!B428,""),"")</f>
        <v/>
      </c>
      <c r="Z432" s="439" t="str">
        <f t="shared" si="83"/>
        <v/>
      </c>
      <c r="AA432" t="str">
        <f t="shared" si="72"/>
        <v/>
      </c>
    </row>
    <row r="433" spans="2:27">
      <c r="B433" t="str">
        <f>IF(Summary!B429&lt;&gt;"",Summary!B429,"")</f>
        <v/>
      </c>
      <c r="C433" t="str">
        <f>IF(Summary!C429&lt;&gt;"",Summary!C429,"")</f>
        <v/>
      </c>
      <c r="E433" t="str">
        <f>IF($C$15&gt;=1,IF($C$13="Yes",IF(Summary!B429&lt;&gt;"",Summary!B429,""),""),"")</f>
        <v/>
      </c>
      <c r="F433" t="str">
        <f t="shared" si="73"/>
        <v/>
      </c>
      <c r="G433">
        <f t="shared" si="74"/>
        <v>0</v>
      </c>
      <c r="I433" t="str">
        <f>IF($C$15&gt;=2,IF($C$13="Yes",IF(Summary!B429&lt;&gt;"",Summary!B429,""),""),"")</f>
        <v/>
      </c>
      <c r="J433" t="str">
        <f t="shared" si="75"/>
        <v/>
      </c>
      <c r="K433">
        <f t="shared" si="76"/>
        <v>0</v>
      </c>
      <c r="M433" t="str">
        <f>IF($C$15&gt;=3,IF($C$13="Yes",IF(Summary!B429&lt;&gt;"",Summary!B429,""),""),"")</f>
        <v/>
      </c>
      <c r="N433" t="str">
        <f t="shared" si="77"/>
        <v/>
      </c>
      <c r="O433">
        <f t="shared" si="78"/>
        <v>0</v>
      </c>
      <c r="Q433" t="str">
        <f>IF($C$15&gt;=4,IF($C$13="Yes",IF(Summary!B429&lt;&gt;"",Summary!B429,""),""),"")</f>
        <v/>
      </c>
      <c r="R433" t="str">
        <f t="shared" si="79"/>
        <v/>
      </c>
      <c r="S433">
        <f t="shared" si="80"/>
        <v>0</v>
      </c>
      <c r="U433" t="str">
        <f>IF($C$15&gt;=5,IF($C$13="Yes",IF(Summary!B429&lt;&gt;"",Summary!B429,""),""),"")</f>
        <v/>
      </c>
      <c r="V433" t="str">
        <f t="shared" si="81"/>
        <v/>
      </c>
      <c r="W433">
        <f t="shared" si="82"/>
        <v>0</v>
      </c>
      <c r="Y433" t="str">
        <f>IF($C$13="Yes",IF(Summary!B429&lt;&gt;"",Summary!B429,""),"")</f>
        <v/>
      </c>
      <c r="Z433" s="439" t="str">
        <f t="shared" si="83"/>
        <v/>
      </c>
      <c r="AA433" t="str">
        <f t="shared" si="72"/>
        <v/>
      </c>
    </row>
    <row r="434" spans="2:27">
      <c r="B434" t="str">
        <f>IF(Summary!B430&lt;&gt;"",Summary!B430,"")</f>
        <v/>
      </c>
      <c r="C434" t="str">
        <f>IF(Summary!C430&lt;&gt;"",Summary!C430,"")</f>
        <v/>
      </c>
      <c r="E434" t="str">
        <f>IF($C$15&gt;=1,IF($C$13="Yes",IF(Summary!B430&lt;&gt;"",Summary!B430,""),""),"")</f>
        <v/>
      </c>
      <c r="F434" t="str">
        <f t="shared" si="73"/>
        <v/>
      </c>
      <c r="G434">
        <f t="shared" si="74"/>
        <v>0</v>
      </c>
      <c r="I434" t="str">
        <f>IF($C$15&gt;=2,IF($C$13="Yes",IF(Summary!B430&lt;&gt;"",Summary!B430,""),""),"")</f>
        <v/>
      </c>
      <c r="J434" t="str">
        <f t="shared" si="75"/>
        <v/>
      </c>
      <c r="K434">
        <f t="shared" si="76"/>
        <v>0</v>
      </c>
      <c r="M434" t="str">
        <f>IF($C$15&gt;=3,IF($C$13="Yes",IF(Summary!B430&lt;&gt;"",Summary!B430,""),""),"")</f>
        <v/>
      </c>
      <c r="N434" t="str">
        <f t="shared" si="77"/>
        <v/>
      </c>
      <c r="O434">
        <f t="shared" si="78"/>
        <v>0</v>
      </c>
      <c r="Q434" t="str">
        <f>IF($C$15&gt;=4,IF($C$13="Yes",IF(Summary!B430&lt;&gt;"",Summary!B430,""),""),"")</f>
        <v/>
      </c>
      <c r="R434" t="str">
        <f t="shared" si="79"/>
        <v/>
      </c>
      <c r="S434">
        <f t="shared" si="80"/>
        <v>0</v>
      </c>
      <c r="U434" t="str">
        <f>IF($C$15&gt;=5,IF($C$13="Yes",IF(Summary!B430&lt;&gt;"",Summary!B430,""),""),"")</f>
        <v/>
      </c>
      <c r="V434" t="str">
        <f t="shared" si="81"/>
        <v/>
      </c>
      <c r="W434">
        <f t="shared" si="82"/>
        <v>0</v>
      </c>
      <c r="Y434" t="str">
        <f>IF($C$13="Yes",IF(Summary!B430&lt;&gt;"",Summary!B430,""),"")</f>
        <v/>
      </c>
      <c r="Z434" s="439" t="str">
        <f t="shared" si="83"/>
        <v/>
      </c>
      <c r="AA434" t="str">
        <f t="shared" si="72"/>
        <v/>
      </c>
    </row>
    <row r="435" spans="2:27">
      <c r="B435" t="str">
        <f>IF(Summary!B431&lt;&gt;"",Summary!B431,"")</f>
        <v/>
      </c>
      <c r="C435" t="str">
        <f>IF(Summary!C431&lt;&gt;"",Summary!C431,"")</f>
        <v/>
      </c>
      <c r="E435" t="str">
        <f>IF($C$15&gt;=1,IF($C$13="Yes",IF(Summary!B431&lt;&gt;"",Summary!B431,""),""),"")</f>
        <v/>
      </c>
      <c r="F435" t="str">
        <f t="shared" si="73"/>
        <v/>
      </c>
      <c r="G435">
        <f t="shared" si="74"/>
        <v>0</v>
      </c>
      <c r="I435" t="str">
        <f>IF($C$15&gt;=2,IF($C$13="Yes",IF(Summary!B431&lt;&gt;"",Summary!B431,""),""),"")</f>
        <v/>
      </c>
      <c r="J435" t="str">
        <f t="shared" si="75"/>
        <v/>
      </c>
      <c r="K435">
        <f t="shared" si="76"/>
        <v>0</v>
      </c>
      <c r="M435" t="str">
        <f>IF($C$15&gt;=3,IF($C$13="Yes",IF(Summary!B431&lt;&gt;"",Summary!B431,""),""),"")</f>
        <v/>
      </c>
      <c r="N435" t="str">
        <f t="shared" si="77"/>
        <v/>
      </c>
      <c r="O435">
        <f t="shared" si="78"/>
        <v>0</v>
      </c>
      <c r="Q435" t="str">
        <f>IF($C$15&gt;=4,IF($C$13="Yes",IF(Summary!B431&lt;&gt;"",Summary!B431,""),""),"")</f>
        <v/>
      </c>
      <c r="R435" t="str">
        <f t="shared" si="79"/>
        <v/>
      </c>
      <c r="S435">
        <f t="shared" si="80"/>
        <v>0</v>
      </c>
      <c r="U435" t="str">
        <f>IF($C$15&gt;=5,IF($C$13="Yes",IF(Summary!B431&lt;&gt;"",Summary!B431,""),""),"")</f>
        <v/>
      </c>
      <c r="V435" t="str">
        <f t="shared" si="81"/>
        <v/>
      </c>
      <c r="W435">
        <f t="shared" si="82"/>
        <v>0</v>
      </c>
      <c r="Y435" t="str">
        <f>IF($C$13="Yes",IF(Summary!B431&lt;&gt;"",Summary!B431,""),"")</f>
        <v/>
      </c>
      <c r="Z435" s="439" t="str">
        <f t="shared" si="83"/>
        <v/>
      </c>
      <c r="AA435" t="str">
        <f t="shared" si="72"/>
        <v/>
      </c>
    </row>
    <row r="436" spans="2:27">
      <c r="B436" t="str">
        <f>IF(Summary!B432&lt;&gt;"",Summary!B432,"")</f>
        <v/>
      </c>
      <c r="C436" t="str">
        <f>IF(Summary!C432&lt;&gt;"",Summary!C432,"")</f>
        <v/>
      </c>
      <c r="E436" t="str">
        <f>IF($C$15&gt;=1,IF($C$13="Yes",IF(Summary!B432&lt;&gt;"",Summary!B432,""),""),"")</f>
        <v/>
      </c>
      <c r="F436" t="str">
        <f t="shared" si="73"/>
        <v/>
      </c>
      <c r="G436">
        <f t="shared" si="74"/>
        <v>0</v>
      </c>
      <c r="I436" t="str">
        <f>IF($C$15&gt;=2,IF($C$13="Yes",IF(Summary!B432&lt;&gt;"",Summary!B432,""),""),"")</f>
        <v/>
      </c>
      <c r="J436" t="str">
        <f t="shared" si="75"/>
        <v/>
      </c>
      <c r="K436">
        <f t="shared" si="76"/>
        <v>0</v>
      </c>
      <c r="M436" t="str">
        <f>IF($C$15&gt;=3,IF($C$13="Yes",IF(Summary!B432&lt;&gt;"",Summary!B432,""),""),"")</f>
        <v/>
      </c>
      <c r="N436" t="str">
        <f t="shared" si="77"/>
        <v/>
      </c>
      <c r="O436">
        <f t="shared" si="78"/>
        <v>0</v>
      </c>
      <c r="Q436" t="str">
        <f>IF($C$15&gt;=4,IF($C$13="Yes",IF(Summary!B432&lt;&gt;"",Summary!B432,""),""),"")</f>
        <v/>
      </c>
      <c r="R436" t="str">
        <f t="shared" si="79"/>
        <v/>
      </c>
      <c r="S436">
        <f t="shared" si="80"/>
        <v>0</v>
      </c>
      <c r="U436" t="str">
        <f>IF($C$15&gt;=5,IF($C$13="Yes",IF(Summary!B432&lt;&gt;"",Summary!B432,""),""),"")</f>
        <v/>
      </c>
      <c r="V436" t="str">
        <f t="shared" si="81"/>
        <v/>
      </c>
      <c r="W436">
        <f t="shared" si="82"/>
        <v>0</v>
      </c>
      <c r="Y436" t="str">
        <f>IF($C$13="Yes",IF(Summary!B432&lt;&gt;"",Summary!B432,""),"")</f>
        <v/>
      </c>
      <c r="Z436" s="439" t="str">
        <f t="shared" si="83"/>
        <v/>
      </c>
      <c r="AA436" t="str">
        <f t="shared" si="72"/>
        <v/>
      </c>
    </row>
    <row r="437" spans="2:27">
      <c r="B437" t="str">
        <f>IF(Summary!B433&lt;&gt;"",Summary!B433,"")</f>
        <v/>
      </c>
      <c r="C437" t="str">
        <f>IF(Summary!C433&lt;&gt;"",Summary!C433,"")</f>
        <v/>
      </c>
      <c r="E437" t="str">
        <f>IF($C$15&gt;=1,IF($C$13="Yes",IF(Summary!B433&lt;&gt;"",Summary!B433,""),""),"")</f>
        <v/>
      </c>
      <c r="F437" t="str">
        <f t="shared" si="73"/>
        <v/>
      </c>
      <c r="G437">
        <f t="shared" si="74"/>
        <v>0</v>
      </c>
      <c r="I437" t="str">
        <f>IF($C$15&gt;=2,IF($C$13="Yes",IF(Summary!B433&lt;&gt;"",Summary!B433,""),""),"")</f>
        <v/>
      </c>
      <c r="J437" t="str">
        <f t="shared" si="75"/>
        <v/>
      </c>
      <c r="K437">
        <f t="shared" si="76"/>
        <v>0</v>
      </c>
      <c r="M437" t="str">
        <f>IF($C$15&gt;=3,IF($C$13="Yes",IF(Summary!B433&lt;&gt;"",Summary!B433,""),""),"")</f>
        <v/>
      </c>
      <c r="N437" t="str">
        <f t="shared" si="77"/>
        <v/>
      </c>
      <c r="O437">
        <f t="shared" si="78"/>
        <v>0</v>
      </c>
      <c r="Q437" t="str">
        <f>IF($C$15&gt;=4,IF($C$13="Yes",IF(Summary!B433&lt;&gt;"",Summary!B433,""),""),"")</f>
        <v/>
      </c>
      <c r="R437" t="str">
        <f t="shared" si="79"/>
        <v/>
      </c>
      <c r="S437">
        <f t="shared" si="80"/>
        <v>0</v>
      </c>
      <c r="U437" t="str">
        <f>IF($C$15&gt;=5,IF($C$13="Yes",IF(Summary!B433&lt;&gt;"",Summary!B433,""),""),"")</f>
        <v/>
      </c>
      <c r="V437" t="str">
        <f t="shared" si="81"/>
        <v/>
      </c>
      <c r="W437">
        <f t="shared" si="82"/>
        <v>0</v>
      </c>
      <c r="Y437" t="str">
        <f>IF($C$13="Yes",IF(Summary!B433&lt;&gt;"",Summary!B433,""),"")</f>
        <v/>
      </c>
      <c r="Z437" s="439" t="str">
        <f t="shared" si="83"/>
        <v/>
      </c>
      <c r="AA437" t="str">
        <f t="shared" si="72"/>
        <v/>
      </c>
    </row>
    <row r="438" spans="2:27">
      <c r="B438" t="str">
        <f>IF(Summary!B434&lt;&gt;"",Summary!B434,"")</f>
        <v/>
      </c>
      <c r="C438" t="str">
        <f>IF(Summary!C434&lt;&gt;"",Summary!C434,"")</f>
        <v/>
      </c>
      <c r="E438" t="str">
        <f>IF($C$15&gt;=1,IF($C$13="Yes",IF(Summary!B434&lt;&gt;"",Summary!B434,""),""),"")</f>
        <v/>
      </c>
      <c r="F438" t="str">
        <f t="shared" si="73"/>
        <v/>
      </c>
      <c r="G438">
        <f t="shared" si="74"/>
        <v>0</v>
      </c>
      <c r="I438" t="str">
        <f>IF($C$15&gt;=2,IF($C$13="Yes",IF(Summary!B434&lt;&gt;"",Summary!B434,""),""),"")</f>
        <v/>
      </c>
      <c r="J438" t="str">
        <f t="shared" si="75"/>
        <v/>
      </c>
      <c r="K438">
        <f t="shared" si="76"/>
        <v>0</v>
      </c>
      <c r="M438" t="str">
        <f>IF($C$15&gt;=3,IF($C$13="Yes",IF(Summary!B434&lt;&gt;"",Summary!B434,""),""),"")</f>
        <v/>
      </c>
      <c r="N438" t="str">
        <f t="shared" si="77"/>
        <v/>
      </c>
      <c r="O438">
        <f t="shared" si="78"/>
        <v>0</v>
      </c>
      <c r="Q438" t="str">
        <f>IF($C$15&gt;=4,IF($C$13="Yes",IF(Summary!B434&lt;&gt;"",Summary!B434,""),""),"")</f>
        <v/>
      </c>
      <c r="R438" t="str">
        <f t="shared" si="79"/>
        <v/>
      </c>
      <c r="S438">
        <f t="shared" si="80"/>
        <v>0</v>
      </c>
      <c r="U438" t="str">
        <f>IF($C$15&gt;=5,IF($C$13="Yes",IF(Summary!B434&lt;&gt;"",Summary!B434,""),""),"")</f>
        <v/>
      </c>
      <c r="V438" t="str">
        <f t="shared" si="81"/>
        <v/>
      </c>
      <c r="W438">
        <f t="shared" si="82"/>
        <v>0</v>
      </c>
      <c r="Y438" t="str">
        <f>IF($C$13="Yes",IF(Summary!B434&lt;&gt;"",Summary!B434,""),"")</f>
        <v/>
      </c>
      <c r="Z438" s="439" t="str">
        <f t="shared" si="83"/>
        <v/>
      </c>
      <c r="AA438" t="str">
        <f t="shared" si="72"/>
        <v/>
      </c>
    </row>
    <row r="439" spans="2:27">
      <c r="B439" t="str">
        <f>IF(Summary!B435&lt;&gt;"",Summary!B435,"")</f>
        <v/>
      </c>
      <c r="C439" t="str">
        <f>IF(Summary!C435&lt;&gt;"",Summary!C435,"")</f>
        <v/>
      </c>
      <c r="E439" t="str">
        <f>IF($C$15&gt;=1,IF($C$13="Yes",IF(Summary!B435&lt;&gt;"",Summary!B435,""),""),"")</f>
        <v/>
      </c>
      <c r="F439" t="str">
        <f t="shared" si="73"/>
        <v/>
      </c>
      <c r="G439">
        <f t="shared" si="74"/>
        <v>0</v>
      </c>
      <c r="I439" t="str">
        <f>IF($C$15&gt;=2,IF($C$13="Yes",IF(Summary!B435&lt;&gt;"",Summary!B435,""),""),"")</f>
        <v/>
      </c>
      <c r="J439" t="str">
        <f t="shared" si="75"/>
        <v/>
      </c>
      <c r="K439">
        <f t="shared" si="76"/>
        <v>0</v>
      </c>
      <c r="M439" t="str">
        <f>IF($C$15&gt;=3,IF($C$13="Yes",IF(Summary!B435&lt;&gt;"",Summary!B435,""),""),"")</f>
        <v/>
      </c>
      <c r="N439" t="str">
        <f t="shared" si="77"/>
        <v/>
      </c>
      <c r="O439">
        <f t="shared" si="78"/>
        <v>0</v>
      </c>
      <c r="Q439" t="str">
        <f>IF($C$15&gt;=4,IF($C$13="Yes",IF(Summary!B435&lt;&gt;"",Summary!B435,""),""),"")</f>
        <v/>
      </c>
      <c r="R439" t="str">
        <f t="shared" si="79"/>
        <v/>
      </c>
      <c r="S439">
        <f t="shared" si="80"/>
        <v>0</v>
      </c>
      <c r="U439" t="str">
        <f>IF($C$15&gt;=5,IF($C$13="Yes",IF(Summary!B435&lt;&gt;"",Summary!B435,""),""),"")</f>
        <v/>
      </c>
      <c r="V439" t="str">
        <f t="shared" si="81"/>
        <v/>
      </c>
      <c r="W439">
        <f t="shared" si="82"/>
        <v>0</v>
      </c>
      <c r="Y439" t="str">
        <f>IF($C$13="Yes",IF(Summary!B435&lt;&gt;"",Summary!B435,""),"")</f>
        <v/>
      </c>
      <c r="Z439" s="439" t="str">
        <f t="shared" si="83"/>
        <v/>
      </c>
      <c r="AA439" t="str">
        <f t="shared" si="72"/>
        <v/>
      </c>
    </row>
    <row r="440" spans="2:27">
      <c r="B440" t="str">
        <f>IF(Summary!B436&lt;&gt;"",Summary!B436,"")</f>
        <v/>
      </c>
      <c r="C440" t="str">
        <f>IF(Summary!C436&lt;&gt;"",Summary!C436,"")</f>
        <v/>
      </c>
      <c r="E440" t="str">
        <f>IF($C$15&gt;=1,IF($C$13="Yes",IF(Summary!B436&lt;&gt;"",Summary!B436,""),""),"")</f>
        <v/>
      </c>
      <c r="F440" t="str">
        <f t="shared" si="73"/>
        <v/>
      </c>
      <c r="G440">
        <f t="shared" si="74"/>
        <v>0</v>
      </c>
      <c r="I440" t="str">
        <f>IF($C$15&gt;=2,IF($C$13="Yes",IF(Summary!B436&lt;&gt;"",Summary!B436,""),""),"")</f>
        <v/>
      </c>
      <c r="J440" t="str">
        <f t="shared" si="75"/>
        <v/>
      </c>
      <c r="K440">
        <f t="shared" si="76"/>
        <v>0</v>
      </c>
      <c r="M440" t="str">
        <f>IF($C$15&gt;=3,IF($C$13="Yes",IF(Summary!B436&lt;&gt;"",Summary!B436,""),""),"")</f>
        <v/>
      </c>
      <c r="N440" t="str">
        <f t="shared" si="77"/>
        <v/>
      </c>
      <c r="O440">
        <f t="shared" si="78"/>
        <v>0</v>
      </c>
      <c r="Q440" t="str">
        <f>IF($C$15&gt;=4,IF($C$13="Yes",IF(Summary!B436&lt;&gt;"",Summary!B436,""),""),"")</f>
        <v/>
      </c>
      <c r="R440" t="str">
        <f t="shared" si="79"/>
        <v/>
      </c>
      <c r="S440">
        <f t="shared" si="80"/>
        <v>0</v>
      </c>
      <c r="U440" t="str">
        <f>IF($C$15&gt;=5,IF($C$13="Yes",IF(Summary!B436&lt;&gt;"",Summary!B436,""),""),"")</f>
        <v/>
      </c>
      <c r="V440" t="str">
        <f t="shared" si="81"/>
        <v/>
      </c>
      <c r="W440">
        <f t="shared" si="82"/>
        <v>0</v>
      </c>
      <c r="Y440" t="str">
        <f>IF($C$13="Yes",IF(Summary!B436&lt;&gt;"",Summary!B436,""),"")</f>
        <v/>
      </c>
      <c r="Z440" s="439" t="str">
        <f t="shared" si="83"/>
        <v/>
      </c>
      <c r="AA440" t="str">
        <f t="shared" si="72"/>
        <v/>
      </c>
    </row>
    <row r="441" spans="2:27">
      <c r="B441" t="str">
        <f>IF(Summary!B437&lt;&gt;"",Summary!B437,"")</f>
        <v/>
      </c>
      <c r="C441" t="str">
        <f>IF(Summary!C437&lt;&gt;"",Summary!C437,"")</f>
        <v/>
      </c>
      <c r="E441" t="str">
        <f>IF($C$15&gt;=1,IF($C$13="Yes",IF(Summary!B437&lt;&gt;"",Summary!B437,""),""),"")</f>
        <v/>
      </c>
      <c r="F441" t="str">
        <f t="shared" si="73"/>
        <v/>
      </c>
      <c r="G441">
        <f t="shared" si="74"/>
        <v>0</v>
      </c>
      <c r="I441" t="str">
        <f>IF($C$15&gt;=2,IF($C$13="Yes",IF(Summary!B437&lt;&gt;"",Summary!B437,""),""),"")</f>
        <v/>
      </c>
      <c r="J441" t="str">
        <f t="shared" si="75"/>
        <v/>
      </c>
      <c r="K441">
        <f t="shared" si="76"/>
        <v>0</v>
      </c>
      <c r="M441" t="str">
        <f>IF($C$15&gt;=3,IF($C$13="Yes",IF(Summary!B437&lt;&gt;"",Summary!B437,""),""),"")</f>
        <v/>
      </c>
      <c r="N441" t="str">
        <f t="shared" si="77"/>
        <v/>
      </c>
      <c r="O441">
        <f t="shared" si="78"/>
        <v>0</v>
      </c>
      <c r="Q441" t="str">
        <f>IF($C$15&gt;=4,IF($C$13="Yes",IF(Summary!B437&lt;&gt;"",Summary!B437,""),""),"")</f>
        <v/>
      </c>
      <c r="R441" t="str">
        <f t="shared" si="79"/>
        <v/>
      </c>
      <c r="S441">
        <f t="shared" si="80"/>
        <v>0</v>
      </c>
      <c r="U441" t="str">
        <f>IF($C$15&gt;=5,IF($C$13="Yes",IF(Summary!B437&lt;&gt;"",Summary!B437,""),""),"")</f>
        <v/>
      </c>
      <c r="V441" t="str">
        <f t="shared" si="81"/>
        <v/>
      </c>
      <c r="W441">
        <f t="shared" si="82"/>
        <v>0</v>
      </c>
      <c r="Y441" t="str">
        <f>IF($C$13="Yes",IF(Summary!B437&lt;&gt;"",Summary!B437,""),"")</f>
        <v/>
      </c>
      <c r="Z441" s="439" t="str">
        <f t="shared" si="83"/>
        <v/>
      </c>
      <c r="AA441" t="str">
        <f t="shared" si="72"/>
        <v/>
      </c>
    </row>
    <row r="442" spans="2:27">
      <c r="B442" t="str">
        <f>IF(Summary!B438&lt;&gt;"",Summary!B438,"")</f>
        <v/>
      </c>
      <c r="C442" t="str">
        <f>IF(Summary!C438&lt;&gt;"",Summary!C438,"")</f>
        <v/>
      </c>
      <c r="E442" t="str">
        <f>IF($C$15&gt;=1,IF($C$13="Yes",IF(Summary!B438&lt;&gt;"",Summary!B438,""),""),"")</f>
        <v/>
      </c>
      <c r="F442" t="str">
        <f t="shared" si="73"/>
        <v/>
      </c>
      <c r="G442">
        <f t="shared" si="74"/>
        <v>0</v>
      </c>
      <c r="I442" t="str">
        <f>IF($C$15&gt;=2,IF($C$13="Yes",IF(Summary!B438&lt;&gt;"",Summary!B438,""),""),"")</f>
        <v/>
      </c>
      <c r="J442" t="str">
        <f t="shared" si="75"/>
        <v/>
      </c>
      <c r="K442">
        <f t="shared" si="76"/>
        <v>0</v>
      </c>
      <c r="M442" t="str">
        <f>IF($C$15&gt;=3,IF($C$13="Yes",IF(Summary!B438&lt;&gt;"",Summary!B438,""),""),"")</f>
        <v/>
      </c>
      <c r="N442" t="str">
        <f t="shared" si="77"/>
        <v/>
      </c>
      <c r="O442">
        <f t="shared" si="78"/>
        <v>0</v>
      </c>
      <c r="Q442" t="str">
        <f>IF($C$15&gt;=4,IF($C$13="Yes",IF(Summary!B438&lt;&gt;"",Summary!B438,""),""),"")</f>
        <v/>
      </c>
      <c r="R442" t="str">
        <f t="shared" si="79"/>
        <v/>
      </c>
      <c r="S442">
        <f t="shared" si="80"/>
        <v>0</v>
      </c>
      <c r="U442" t="str">
        <f>IF($C$15&gt;=5,IF($C$13="Yes",IF(Summary!B438&lt;&gt;"",Summary!B438,""),""),"")</f>
        <v/>
      </c>
      <c r="V442" t="str">
        <f t="shared" si="81"/>
        <v/>
      </c>
      <c r="W442">
        <f t="shared" si="82"/>
        <v>0</v>
      </c>
      <c r="Y442" t="str">
        <f>IF($C$13="Yes",IF(Summary!B438&lt;&gt;"",Summary!B438,""),"")</f>
        <v/>
      </c>
      <c r="Z442" s="439" t="str">
        <f t="shared" si="83"/>
        <v/>
      </c>
      <c r="AA442" t="str">
        <f t="shared" si="72"/>
        <v/>
      </c>
    </row>
    <row r="443" spans="2:27">
      <c r="B443" t="str">
        <f>IF(Summary!B439&lt;&gt;"",Summary!B439,"")</f>
        <v/>
      </c>
      <c r="C443" t="str">
        <f>IF(Summary!C439&lt;&gt;"",Summary!C439,"")</f>
        <v/>
      </c>
      <c r="E443" t="str">
        <f>IF($C$15&gt;=1,IF($C$13="Yes",IF(Summary!B439&lt;&gt;"",Summary!B439,""),""),"")</f>
        <v/>
      </c>
      <c r="F443" t="str">
        <f t="shared" si="73"/>
        <v/>
      </c>
      <c r="G443">
        <f t="shared" si="74"/>
        <v>0</v>
      </c>
      <c r="I443" t="str">
        <f>IF($C$15&gt;=2,IF($C$13="Yes",IF(Summary!B439&lt;&gt;"",Summary!B439,""),""),"")</f>
        <v/>
      </c>
      <c r="J443" t="str">
        <f t="shared" si="75"/>
        <v/>
      </c>
      <c r="K443">
        <f t="shared" si="76"/>
        <v>0</v>
      </c>
      <c r="M443" t="str">
        <f>IF($C$15&gt;=3,IF($C$13="Yes",IF(Summary!B439&lt;&gt;"",Summary!B439,""),""),"")</f>
        <v/>
      </c>
      <c r="N443" t="str">
        <f t="shared" si="77"/>
        <v/>
      </c>
      <c r="O443">
        <f t="shared" si="78"/>
        <v>0</v>
      </c>
      <c r="Q443" t="str">
        <f>IF($C$15&gt;=4,IF($C$13="Yes",IF(Summary!B439&lt;&gt;"",Summary!B439,""),""),"")</f>
        <v/>
      </c>
      <c r="R443" t="str">
        <f t="shared" si="79"/>
        <v/>
      </c>
      <c r="S443">
        <f t="shared" si="80"/>
        <v>0</v>
      </c>
      <c r="U443" t="str">
        <f>IF($C$15&gt;=5,IF($C$13="Yes",IF(Summary!B439&lt;&gt;"",Summary!B439,""),""),"")</f>
        <v/>
      </c>
      <c r="V443" t="str">
        <f t="shared" si="81"/>
        <v/>
      </c>
      <c r="W443">
        <f t="shared" si="82"/>
        <v>0</v>
      </c>
      <c r="Y443" t="str">
        <f>IF($C$13="Yes",IF(Summary!B439&lt;&gt;"",Summary!B439,""),"")</f>
        <v/>
      </c>
      <c r="Z443" s="439" t="str">
        <f t="shared" si="83"/>
        <v/>
      </c>
      <c r="AA443" t="str">
        <f t="shared" si="72"/>
        <v/>
      </c>
    </row>
    <row r="444" spans="2:27">
      <c r="B444" t="str">
        <f>IF(Summary!B440&lt;&gt;"",Summary!B440,"")</f>
        <v/>
      </c>
      <c r="C444" t="str">
        <f>IF(Summary!C440&lt;&gt;"",Summary!C440,"")</f>
        <v/>
      </c>
      <c r="E444" t="str">
        <f>IF($C$15&gt;=1,IF($C$13="Yes",IF(Summary!B440&lt;&gt;"",Summary!B440,""),""),"")</f>
        <v/>
      </c>
      <c r="F444" t="str">
        <f t="shared" si="73"/>
        <v/>
      </c>
      <c r="G444">
        <f t="shared" si="74"/>
        <v>0</v>
      </c>
      <c r="I444" t="str">
        <f>IF($C$15&gt;=2,IF($C$13="Yes",IF(Summary!B440&lt;&gt;"",Summary!B440,""),""),"")</f>
        <v/>
      </c>
      <c r="J444" t="str">
        <f t="shared" si="75"/>
        <v/>
      </c>
      <c r="K444">
        <f t="shared" si="76"/>
        <v>0</v>
      </c>
      <c r="M444" t="str">
        <f>IF($C$15&gt;=3,IF($C$13="Yes",IF(Summary!B440&lt;&gt;"",Summary!B440,""),""),"")</f>
        <v/>
      </c>
      <c r="N444" t="str">
        <f t="shared" si="77"/>
        <v/>
      </c>
      <c r="O444">
        <f t="shared" si="78"/>
        <v>0</v>
      </c>
      <c r="Q444" t="str">
        <f>IF($C$15&gt;=4,IF($C$13="Yes",IF(Summary!B440&lt;&gt;"",Summary!B440,""),""),"")</f>
        <v/>
      </c>
      <c r="R444" t="str">
        <f t="shared" si="79"/>
        <v/>
      </c>
      <c r="S444">
        <f t="shared" si="80"/>
        <v>0</v>
      </c>
      <c r="U444" t="str">
        <f>IF($C$15&gt;=5,IF($C$13="Yes",IF(Summary!B440&lt;&gt;"",Summary!B440,""),""),"")</f>
        <v/>
      </c>
      <c r="V444" t="str">
        <f t="shared" si="81"/>
        <v/>
      </c>
      <c r="W444">
        <f t="shared" si="82"/>
        <v>0</v>
      </c>
      <c r="Y444" t="str">
        <f>IF($C$13="Yes",IF(Summary!B440&lt;&gt;"",Summary!B440,""),"")</f>
        <v/>
      </c>
      <c r="Z444" s="439" t="str">
        <f t="shared" si="83"/>
        <v/>
      </c>
      <c r="AA444" t="str">
        <f t="shared" si="72"/>
        <v/>
      </c>
    </row>
    <row r="445" spans="2:27">
      <c r="B445" t="str">
        <f>IF(Summary!B441&lt;&gt;"",Summary!B441,"")</f>
        <v/>
      </c>
      <c r="C445" t="str">
        <f>IF(Summary!C441&lt;&gt;"",Summary!C441,"")</f>
        <v/>
      </c>
      <c r="E445" t="str">
        <f>IF($C$15&gt;=1,IF($C$13="Yes",IF(Summary!B441&lt;&gt;"",Summary!B441,""),""),"")</f>
        <v/>
      </c>
      <c r="F445" t="str">
        <f t="shared" si="73"/>
        <v/>
      </c>
      <c r="G445">
        <f t="shared" si="74"/>
        <v>0</v>
      </c>
      <c r="I445" t="str">
        <f>IF($C$15&gt;=2,IF($C$13="Yes",IF(Summary!B441&lt;&gt;"",Summary!B441,""),""),"")</f>
        <v/>
      </c>
      <c r="J445" t="str">
        <f t="shared" si="75"/>
        <v/>
      </c>
      <c r="K445">
        <f t="shared" si="76"/>
        <v>0</v>
      </c>
      <c r="M445" t="str">
        <f>IF($C$15&gt;=3,IF($C$13="Yes",IF(Summary!B441&lt;&gt;"",Summary!B441,""),""),"")</f>
        <v/>
      </c>
      <c r="N445" t="str">
        <f t="shared" si="77"/>
        <v/>
      </c>
      <c r="O445">
        <f t="shared" si="78"/>
        <v>0</v>
      </c>
      <c r="Q445" t="str">
        <f>IF($C$15&gt;=4,IF($C$13="Yes",IF(Summary!B441&lt;&gt;"",Summary!B441,""),""),"")</f>
        <v/>
      </c>
      <c r="R445" t="str">
        <f t="shared" si="79"/>
        <v/>
      </c>
      <c r="S445">
        <f t="shared" si="80"/>
        <v>0</v>
      </c>
      <c r="U445" t="str">
        <f>IF($C$15&gt;=5,IF($C$13="Yes",IF(Summary!B441&lt;&gt;"",Summary!B441,""),""),"")</f>
        <v/>
      </c>
      <c r="V445" t="str">
        <f t="shared" si="81"/>
        <v/>
      </c>
      <c r="W445">
        <f t="shared" si="82"/>
        <v>0</v>
      </c>
      <c r="Y445" t="str">
        <f>IF($C$13="Yes",IF(Summary!B441&lt;&gt;"",Summary!B441,""),"")</f>
        <v/>
      </c>
      <c r="Z445" s="439" t="str">
        <f t="shared" si="83"/>
        <v/>
      </c>
      <c r="AA445" t="str">
        <f t="shared" si="72"/>
        <v/>
      </c>
    </row>
    <row r="446" spans="2:27">
      <c r="B446" t="str">
        <f>IF(Summary!B442&lt;&gt;"",Summary!B442,"")</f>
        <v/>
      </c>
      <c r="C446" t="str">
        <f>IF(Summary!C442&lt;&gt;"",Summary!C442,"")</f>
        <v/>
      </c>
      <c r="E446" t="str">
        <f>IF($C$15&gt;=1,IF($C$13="Yes",IF(Summary!B442&lt;&gt;"",Summary!B442,""),""),"")</f>
        <v/>
      </c>
      <c r="F446" t="str">
        <f t="shared" si="73"/>
        <v/>
      </c>
      <c r="G446">
        <f t="shared" si="74"/>
        <v>0</v>
      </c>
      <c r="I446" t="str">
        <f>IF($C$15&gt;=2,IF($C$13="Yes",IF(Summary!B442&lt;&gt;"",Summary!B442,""),""),"")</f>
        <v/>
      </c>
      <c r="J446" t="str">
        <f t="shared" si="75"/>
        <v/>
      </c>
      <c r="K446">
        <f t="shared" si="76"/>
        <v>0</v>
      </c>
      <c r="M446" t="str">
        <f>IF($C$15&gt;=3,IF($C$13="Yes",IF(Summary!B442&lt;&gt;"",Summary!B442,""),""),"")</f>
        <v/>
      </c>
      <c r="N446" t="str">
        <f t="shared" si="77"/>
        <v/>
      </c>
      <c r="O446">
        <f t="shared" si="78"/>
        <v>0</v>
      </c>
      <c r="Q446" t="str">
        <f>IF($C$15&gt;=4,IF($C$13="Yes",IF(Summary!B442&lt;&gt;"",Summary!B442,""),""),"")</f>
        <v/>
      </c>
      <c r="R446" t="str">
        <f t="shared" si="79"/>
        <v/>
      </c>
      <c r="S446">
        <f t="shared" si="80"/>
        <v>0</v>
      </c>
      <c r="U446" t="str">
        <f>IF($C$15&gt;=5,IF($C$13="Yes",IF(Summary!B442&lt;&gt;"",Summary!B442,""),""),"")</f>
        <v/>
      </c>
      <c r="V446" t="str">
        <f t="shared" si="81"/>
        <v/>
      </c>
      <c r="W446">
        <f t="shared" si="82"/>
        <v>0</v>
      </c>
      <c r="Y446" t="str">
        <f>IF($C$13="Yes",IF(Summary!B442&lt;&gt;"",Summary!B442,""),"")</f>
        <v/>
      </c>
      <c r="Z446" s="439" t="str">
        <f t="shared" si="83"/>
        <v/>
      </c>
      <c r="AA446" t="str">
        <f t="shared" si="72"/>
        <v/>
      </c>
    </row>
    <row r="447" spans="2:27">
      <c r="B447" t="str">
        <f>IF(Summary!B443&lt;&gt;"",Summary!B443,"")</f>
        <v/>
      </c>
      <c r="C447" t="str">
        <f>IF(Summary!C443&lt;&gt;"",Summary!C443,"")</f>
        <v/>
      </c>
      <c r="E447" t="str">
        <f>IF($C$15&gt;=1,IF($C$13="Yes",IF(Summary!B443&lt;&gt;"",Summary!B443,""),""),"")</f>
        <v/>
      </c>
      <c r="F447" t="str">
        <f t="shared" si="73"/>
        <v/>
      </c>
      <c r="G447">
        <f t="shared" si="74"/>
        <v>0</v>
      </c>
      <c r="I447" t="str">
        <f>IF($C$15&gt;=2,IF($C$13="Yes",IF(Summary!B443&lt;&gt;"",Summary!B443,""),""),"")</f>
        <v/>
      </c>
      <c r="J447" t="str">
        <f t="shared" si="75"/>
        <v/>
      </c>
      <c r="K447">
        <f t="shared" si="76"/>
        <v>0</v>
      </c>
      <c r="M447" t="str">
        <f>IF($C$15&gt;=3,IF($C$13="Yes",IF(Summary!B443&lt;&gt;"",Summary!B443,""),""),"")</f>
        <v/>
      </c>
      <c r="N447" t="str">
        <f t="shared" si="77"/>
        <v/>
      </c>
      <c r="O447">
        <f t="shared" si="78"/>
        <v>0</v>
      </c>
      <c r="Q447" t="str">
        <f>IF($C$15&gt;=4,IF($C$13="Yes",IF(Summary!B443&lt;&gt;"",Summary!B443,""),""),"")</f>
        <v/>
      </c>
      <c r="R447" t="str">
        <f t="shared" si="79"/>
        <v/>
      </c>
      <c r="S447">
        <f t="shared" si="80"/>
        <v>0</v>
      </c>
      <c r="U447" t="str">
        <f>IF($C$15&gt;=5,IF($C$13="Yes",IF(Summary!B443&lt;&gt;"",Summary!B443,""),""),"")</f>
        <v/>
      </c>
      <c r="V447" t="str">
        <f t="shared" si="81"/>
        <v/>
      </c>
      <c r="W447">
        <f t="shared" si="82"/>
        <v>0</v>
      </c>
      <c r="Y447" t="str">
        <f>IF($C$13="Yes",IF(Summary!B443&lt;&gt;"",Summary!B443,""),"")</f>
        <v/>
      </c>
      <c r="Z447" s="439" t="str">
        <f t="shared" si="83"/>
        <v/>
      </c>
      <c r="AA447" t="str">
        <f t="shared" si="72"/>
        <v/>
      </c>
    </row>
    <row r="448" spans="2:27">
      <c r="B448" t="str">
        <f>IF(Summary!B444&lt;&gt;"",Summary!B444,"")</f>
        <v/>
      </c>
      <c r="C448" t="str">
        <f>IF(Summary!C444&lt;&gt;"",Summary!C444,"")</f>
        <v/>
      </c>
      <c r="E448" t="str">
        <f>IF($C$15&gt;=1,IF($C$13="Yes",IF(Summary!B444&lt;&gt;"",Summary!B444,""),""),"")</f>
        <v/>
      </c>
      <c r="F448" t="str">
        <f t="shared" si="73"/>
        <v/>
      </c>
      <c r="G448">
        <f t="shared" si="74"/>
        <v>0</v>
      </c>
      <c r="I448" t="str">
        <f>IF($C$15&gt;=2,IF($C$13="Yes",IF(Summary!B444&lt;&gt;"",Summary!B444,""),""),"")</f>
        <v/>
      </c>
      <c r="J448" t="str">
        <f t="shared" si="75"/>
        <v/>
      </c>
      <c r="K448">
        <f t="shared" si="76"/>
        <v>0</v>
      </c>
      <c r="M448" t="str">
        <f>IF($C$15&gt;=3,IF($C$13="Yes",IF(Summary!B444&lt;&gt;"",Summary!B444,""),""),"")</f>
        <v/>
      </c>
      <c r="N448" t="str">
        <f t="shared" si="77"/>
        <v/>
      </c>
      <c r="O448">
        <f t="shared" si="78"/>
        <v>0</v>
      </c>
      <c r="Q448" t="str">
        <f>IF($C$15&gt;=4,IF($C$13="Yes",IF(Summary!B444&lt;&gt;"",Summary!B444,""),""),"")</f>
        <v/>
      </c>
      <c r="R448" t="str">
        <f t="shared" si="79"/>
        <v/>
      </c>
      <c r="S448">
        <f t="shared" si="80"/>
        <v>0</v>
      </c>
      <c r="U448" t="str">
        <f>IF($C$15&gt;=5,IF($C$13="Yes",IF(Summary!B444&lt;&gt;"",Summary!B444,""),""),"")</f>
        <v/>
      </c>
      <c r="V448" t="str">
        <f t="shared" si="81"/>
        <v/>
      </c>
      <c r="W448">
        <f t="shared" si="82"/>
        <v>0</v>
      </c>
      <c r="Y448" t="str">
        <f>IF($C$13="Yes",IF(Summary!B444&lt;&gt;"",Summary!B444,""),"")</f>
        <v/>
      </c>
      <c r="Z448" s="439" t="str">
        <f t="shared" si="83"/>
        <v/>
      </c>
      <c r="AA448" t="str">
        <f t="shared" si="72"/>
        <v/>
      </c>
    </row>
    <row r="449" spans="2:27">
      <c r="B449" t="str">
        <f>IF(Summary!B445&lt;&gt;"",Summary!B445,"")</f>
        <v/>
      </c>
      <c r="C449" t="str">
        <f>IF(Summary!C445&lt;&gt;"",Summary!C445,"")</f>
        <v/>
      </c>
      <c r="E449" t="str">
        <f>IF($C$15&gt;=1,IF($C$13="Yes",IF(Summary!B445&lt;&gt;"",Summary!B445,""),""),"")</f>
        <v/>
      </c>
      <c r="F449" t="str">
        <f t="shared" si="73"/>
        <v/>
      </c>
      <c r="G449">
        <f t="shared" si="74"/>
        <v>0</v>
      </c>
      <c r="I449" t="str">
        <f>IF($C$15&gt;=2,IF($C$13="Yes",IF(Summary!B445&lt;&gt;"",Summary!B445,""),""),"")</f>
        <v/>
      </c>
      <c r="J449" t="str">
        <f t="shared" si="75"/>
        <v/>
      </c>
      <c r="K449">
        <f t="shared" si="76"/>
        <v>0</v>
      </c>
      <c r="M449" t="str">
        <f>IF($C$15&gt;=3,IF($C$13="Yes",IF(Summary!B445&lt;&gt;"",Summary!B445,""),""),"")</f>
        <v/>
      </c>
      <c r="N449" t="str">
        <f t="shared" si="77"/>
        <v/>
      </c>
      <c r="O449">
        <f t="shared" si="78"/>
        <v>0</v>
      </c>
      <c r="Q449" t="str">
        <f>IF($C$15&gt;=4,IF($C$13="Yes",IF(Summary!B445&lt;&gt;"",Summary!B445,""),""),"")</f>
        <v/>
      </c>
      <c r="R449" t="str">
        <f t="shared" si="79"/>
        <v/>
      </c>
      <c r="S449">
        <f t="shared" si="80"/>
        <v>0</v>
      </c>
      <c r="U449" t="str">
        <f>IF($C$15&gt;=5,IF($C$13="Yes",IF(Summary!B445&lt;&gt;"",Summary!B445,""),""),"")</f>
        <v/>
      </c>
      <c r="V449" t="str">
        <f t="shared" si="81"/>
        <v/>
      </c>
      <c r="W449">
        <f t="shared" si="82"/>
        <v>0</v>
      </c>
      <c r="Y449" t="str">
        <f>IF($C$13="Yes",IF(Summary!B445&lt;&gt;"",Summary!B445,""),"")</f>
        <v/>
      </c>
      <c r="Z449" s="439" t="str">
        <f t="shared" si="83"/>
        <v/>
      </c>
      <c r="AA449" t="str">
        <f t="shared" si="72"/>
        <v/>
      </c>
    </row>
    <row r="450" spans="2:27">
      <c r="B450" t="str">
        <f>IF(Summary!B446&lt;&gt;"",Summary!B446,"")</f>
        <v/>
      </c>
      <c r="C450" t="str">
        <f>IF(Summary!C446&lt;&gt;"",Summary!C446,"")</f>
        <v/>
      </c>
      <c r="E450" t="str">
        <f>IF($C$15&gt;=1,IF($C$13="Yes",IF(Summary!B446&lt;&gt;"",Summary!B446,""),""),"")</f>
        <v/>
      </c>
      <c r="F450" t="str">
        <f t="shared" si="73"/>
        <v/>
      </c>
      <c r="G450">
        <f t="shared" si="74"/>
        <v>0</v>
      </c>
      <c r="I450" t="str">
        <f>IF($C$15&gt;=2,IF($C$13="Yes",IF(Summary!B446&lt;&gt;"",Summary!B446,""),""),"")</f>
        <v/>
      </c>
      <c r="J450" t="str">
        <f t="shared" si="75"/>
        <v/>
      </c>
      <c r="K450">
        <f t="shared" si="76"/>
        <v>0</v>
      </c>
      <c r="M450" t="str">
        <f>IF($C$15&gt;=3,IF($C$13="Yes",IF(Summary!B446&lt;&gt;"",Summary!B446,""),""),"")</f>
        <v/>
      </c>
      <c r="N450" t="str">
        <f t="shared" si="77"/>
        <v/>
      </c>
      <c r="O450">
        <f t="shared" si="78"/>
        <v>0</v>
      </c>
      <c r="Q450" t="str">
        <f>IF($C$15&gt;=4,IF($C$13="Yes",IF(Summary!B446&lt;&gt;"",Summary!B446,""),""),"")</f>
        <v/>
      </c>
      <c r="R450" t="str">
        <f t="shared" si="79"/>
        <v/>
      </c>
      <c r="S450">
        <f t="shared" si="80"/>
        <v>0</v>
      </c>
      <c r="U450" t="str">
        <f>IF($C$15&gt;=5,IF($C$13="Yes",IF(Summary!B446&lt;&gt;"",Summary!B446,""),""),"")</f>
        <v/>
      </c>
      <c r="V450" t="str">
        <f t="shared" si="81"/>
        <v/>
      </c>
      <c r="W450">
        <f t="shared" si="82"/>
        <v>0</v>
      </c>
      <c r="Y450" t="str">
        <f>IF($C$13="Yes",IF(Summary!B446&lt;&gt;"",Summary!B446,""),"")</f>
        <v/>
      </c>
      <c r="Z450" s="439" t="str">
        <f t="shared" si="83"/>
        <v/>
      </c>
      <c r="AA450" t="str">
        <f t="shared" si="72"/>
        <v/>
      </c>
    </row>
    <row r="451" spans="2:27">
      <c r="B451" t="str">
        <f>IF(Summary!B447&lt;&gt;"",Summary!B447,"")</f>
        <v/>
      </c>
      <c r="C451" t="str">
        <f>IF(Summary!C447&lt;&gt;"",Summary!C447,"")</f>
        <v/>
      </c>
      <c r="E451" t="str">
        <f>IF($C$15&gt;=1,IF($C$13="Yes",IF(Summary!B447&lt;&gt;"",Summary!B447,""),""),"")</f>
        <v/>
      </c>
      <c r="F451" t="str">
        <f t="shared" si="73"/>
        <v/>
      </c>
      <c r="G451">
        <f t="shared" si="74"/>
        <v>0</v>
      </c>
      <c r="I451" t="str">
        <f>IF($C$15&gt;=2,IF($C$13="Yes",IF(Summary!B447&lt;&gt;"",Summary!B447,""),""),"")</f>
        <v/>
      </c>
      <c r="J451" t="str">
        <f t="shared" si="75"/>
        <v/>
      </c>
      <c r="K451">
        <f t="shared" si="76"/>
        <v>0</v>
      </c>
      <c r="M451" t="str">
        <f>IF($C$15&gt;=3,IF($C$13="Yes",IF(Summary!B447&lt;&gt;"",Summary!B447,""),""),"")</f>
        <v/>
      </c>
      <c r="N451" t="str">
        <f t="shared" si="77"/>
        <v/>
      </c>
      <c r="O451">
        <f t="shared" si="78"/>
        <v>0</v>
      </c>
      <c r="Q451" t="str">
        <f>IF($C$15&gt;=4,IF($C$13="Yes",IF(Summary!B447&lt;&gt;"",Summary!B447,""),""),"")</f>
        <v/>
      </c>
      <c r="R451" t="str">
        <f t="shared" si="79"/>
        <v/>
      </c>
      <c r="S451">
        <f t="shared" si="80"/>
        <v>0</v>
      </c>
      <c r="U451" t="str">
        <f>IF($C$15&gt;=5,IF($C$13="Yes",IF(Summary!B447&lt;&gt;"",Summary!B447,""),""),"")</f>
        <v/>
      </c>
      <c r="V451" t="str">
        <f t="shared" si="81"/>
        <v/>
      </c>
      <c r="W451">
        <f t="shared" si="82"/>
        <v>0</v>
      </c>
      <c r="Y451" t="str">
        <f>IF($C$13="Yes",IF(Summary!B447&lt;&gt;"",Summary!B447,""),"")</f>
        <v/>
      </c>
      <c r="Z451" s="439" t="str">
        <f t="shared" si="83"/>
        <v/>
      </c>
      <c r="AA451" t="str">
        <f t="shared" si="72"/>
        <v/>
      </c>
    </row>
    <row r="452" spans="2:27">
      <c r="B452" t="str">
        <f>IF(Summary!B448&lt;&gt;"",Summary!B448,"")</f>
        <v/>
      </c>
      <c r="C452" t="str">
        <f>IF(Summary!C448&lt;&gt;"",Summary!C448,"")</f>
        <v/>
      </c>
      <c r="E452" t="str">
        <f>IF($C$15&gt;=1,IF($C$13="Yes",IF(Summary!B448&lt;&gt;"",Summary!B448,""),""),"")</f>
        <v/>
      </c>
      <c r="F452" t="str">
        <f t="shared" si="73"/>
        <v/>
      </c>
      <c r="G452">
        <f t="shared" si="74"/>
        <v>0</v>
      </c>
      <c r="I452" t="str">
        <f>IF($C$15&gt;=2,IF($C$13="Yes",IF(Summary!B448&lt;&gt;"",Summary!B448,""),""),"")</f>
        <v/>
      </c>
      <c r="J452" t="str">
        <f t="shared" si="75"/>
        <v/>
      </c>
      <c r="K452">
        <f t="shared" si="76"/>
        <v>0</v>
      </c>
      <c r="M452" t="str">
        <f>IF($C$15&gt;=3,IF($C$13="Yes",IF(Summary!B448&lt;&gt;"",Summary!B448,""),""),"")</f>
        <v/>
      </c>
      <c r="N452" t="str">
        <f t="shared" si="77"/>
        <v/>
      </c>
      <c r="O452">
        <f t="shared" si="78"/>
        <v>0</v>
      </c>
      <c r="Q452" t="str">
        <f>IF($C$15&gt;=4,IF($C$13="Yes",IF(Summary!B448&lt;&gt;"",Summary!B448,""),""),"")</f>
        <v/>
      </c>
      <c r="R452" t="str">
        <f t="shared" si="79"/>
        <v/>
      </c>
      <c r="S452">
        <f t="shared" si="80"/>
        <v>0</v>
      </c>
      <c r="U452" t="str">
        <f>IF($C$15&gt;=5,IF($C$13="Yes",IF(Summary!B448&lt;&gt;"",Summary!B448,""),""),"")</f>
        <v/>
      </c>
      <c r="V452" t="str">
        <f t="shared" si="81"/>
        <v/>
      </c>
      <c r="W452">
        <f t="shared" si="82"/>
        <v>0</v>
      </c>
      <c r="Y452" t="str">
        <f>IF($C$13="Yes",IF(Summary!B448&lt;&gt;"",Summary!B448,""),"")</f>
        <v/>
      </c>
      <c r="Z452" s="439" t="str">
        <f t="shared" si="83"/>
        <v/>
      </c>
      <c r="AA452" t="str">
        <f t="shared" si="72"/>
        <v/>
      </c>
    </row>
    <row r="453" spans="2:27">
      <c r="B453" t="str">
        <f>IF(Summary!B449&lt;&gt;"",Summary!B449,"")</f>
        <v/>
      </c>
      <c r="C453" t="str">
        <f>IF(Summary!C449&lt;&gt;"",Summary!C449,"")</f>
        <v/>
      </c>
      <c r="E453" t="str">
        <f>IF($C$15&gt;=1,IF($C$13="Yes",IF(Summary!B449&lt;&gt;"",Summary!B449,""),""),"")</f>
        <v/>
      </c>
      <c r="F453" t="str">
        <f t="shared" si="73"/>
        <v/>
      </c>
      <c r="G453">
        <f t="shared" si="74"/>
        <v>0</v>
      </c>
      <c r="I453" t="str">
        <f>IF($C$15&gt;=2,IF($C$13="Yes",IF(Summary!B449&lt;&gt;"",Summary!B449,""),""),"")</f>
        <v/>
      </c>
      <c r="J453" t="str">
        <f t="shared" si="75"/>
        <v/>
      </c>
      <c r="K453">
        <f t="shared" si="76"/>
        <v>0</v>
      </c>
      <c r="M453" t="str">
        <f>IF($C$15&gt;=3,IF($C$13="Yes",IF(Summary!B449&lt;&gt;"",Summary!B449,""),""),"")</f>
        <v/>
      </c>
      <c r="N453" t="str">
        <f t="shared" si="77"/>
        <v/>
      </c>
      <c r="O453">
        <f t="shared" si="78"/>
        <v>0</v>
      </c>
      <c r="Q453" t="str">
        <f>IF($C$15&gt;=4,IF($C$13="Yes",IF(Summary!B449&lt;&gt;"",Summary!B449,""),""),"")</f>
        <v/>
      </c>
      <c r="R453" t="str">
        <f t="shared" si="79"/>
        <v/>
      </c>
      <c r="S453">
        <f t="shared" si="80"/>
        <v>0</v>
      </c>
      <c r="U453" t="str">
        <f>IF($C$15&gt;=5,IF($C$13="Yes",IF(Summary!B449&lt;&gt;"",Summary!B449,""),""),"")</f>
        <v/>
      </c>
      <c r="V453" t="str">
        <f t="shared" si="81"/>
        <v/>
      </c>
      <c r="W453">
        <f t="shared" si="82"/>
        <v>0</v>
      </c>
      <c r="Y453" t="str">
        <f>IF($C$13="Yes",IF(Summary!B449&lt;&gt;"",Summary!B449,""),"")</f>
        <v/>
      </c>
      <c r="Z453" s="439" t="str">
        <f t="shared" si="83"/>
        <v/>
      </c>
      <c r="AA453" t="str">
        <f t="shared" si="72"/>
        <v/>
      </c>
    </row>
    <row r="454" spans="2:27">
      <c r="B454" t="str">
        <f>IF(Summary!B450&lt;&gt;"",Summary!B450,"")</f>
        <v/>
      </c>
      <c r="C454" t="str">
        <f>IF(Summary!C450&lt;&gt;"",Summary!C450,"")</f>
        <v/>
      </c>
      <c r="E454" t="str">
        <f>IF($C$15&gt;=1,IF($C$13="Yes",IF(Summary!B450&lt;&gt;"",Summary!B450,""),""),"")</f>
        <v/>
      </c>
      <c r="F454" t="str">
        <f t="shared" si="73"/>
        <v/>
      </c>
      <c r="G454">
        <f t="shared" si="74"/>
        <v>0</v>
      </c>
      <c r="I454" t="str">
        <f>IF($C$15&gt;=2,IF($C$13="Yes",IF(Summary!B450&lt;&gt;"",Summary!B450,""),""),"")</f>
        <v/>
      </c>
      <c r="J454" t="str">
        <f t="shared" si="75"/>
        <v/>
      </c>
      <c r="K454">
        <f t="shared" si="76"/>
        <v>0</v>
      </c>
      <c r="M454" t="str">
        <f>IF($C$15&gt;=3,IF($C$13="Yes",IF(Summary!B450&lt;&gt;"",Summary!B450,""),""),"")</f>
        <v/>
      </c>
      <c r="N454" t="str">
        <f t="shared" si="77"/>
        <v/>
      </c>
      <c r="O454">
        <f t="shared" si="78"/>
        <v>0</v>
      </c>
      <c r="Q454" t="str">
        <f>IF($C$15&gt;=4,IF($C$13="Yes",IF(Summary!B450&lt;&gt;"",Summary!B450,""),""),"")</f>
        <v/>
      </c>
      <c r="R454" t="str">
        <f t="shared" si="79"/>
        <v/>
      </c>
      <c r="S454">
        <f t="shared" si="80"/>
        <v>0</v>
      </c>
      <c r="U454" t="str">
        <f>IF($C$15&gt;=5,IF($C$13="Yes",IF(Summary!B450&lt;&gt;"",Summary!B450,""),""),"")</f>
        <v/>
      </c>
      <c r="V454" t="str">
        <f t="shared" si="81"/>
        <v/>
      </c>
      <c r="W454">
        <f t="shared" si="82"/>
        <v>0</v>
      </c>
      <c r="Y454" t="str">
        <f>IF($C$13="Yes",IF(Summary!B450&lt;&gt;"",Summary!B450,""),"")</f>
        <v/>
      </c>
      <c r="Z454" s="439" t="str">
        <f t="shared" si="83"/>
        <v/>
      </c>
      <c r="AA454" t="str">
        <f t="shared" si="72"/>
        <v/>
      </c>
    </row>
    <row r="455" spans="2:27">
      <c r="B455" t="str">
        <f>IF(Summary!B451&lt;&gt;"",Summary!B451,"")</f>
        <v/>
      </c>
      <c r="C455" t="str">
        <f>IF(Summary!C451&lt;&gt;"",Summary!C451,"")</f>
        <v/>
      </c>
      <c r="E455" t="str">
        <f>IF($C$15&gt;=1,IF($C$13="Yes",IF(Summary!B451&lt;&gt;"",Summary!B451,""),""),"")</f>
        <v/>
      </c>
      <c r="F455" t="str">
        <f t="shared" si="73"/>
        <v/>
      </c>
      <c r="G455">
        <f t="shared" si="74"/>
        <v>0</v>
      </c>
      <c r="I455" t="str">
        <f>IF($C$15&gt;=2,IF($C$13="Yes",IF(Summary!B451&lt;&gt;"",Summary!B451,""),""),"")</f>
        <v/>
      </c>
      <c r="J455" t="str">
        <f t="shared" si="75"/>
        <v/>
      </c>
      <c r="K455">
        <f t="shared" si="76"/>
        <v>0</v>
      </c>
      <c r="M455" t="str">
        <f>IF($C$15&gt;=3,IF($C$13="Yes",IF(Summary!B451&lt;&gt;"",Summary!B451,""),""),"")</f>
        <v/>
      </c>
      <c r="N455" t="str">
        <f t="shared" si="77"/>
        <v/>
      </c>
      <c r="O455">
        <f t="shared" si="78"/>
        <v>0</v>
      </c>
      <c r="Q455" t="str">
        <f>IF($C$15&gt;=4,IF($C$13="Yes",IF(Summary!B451&lt;&gt;"",Summary!B451,""),""),"")</f>
        <v/>
      </c>
      <c r="R455" t="str">
        <f t="shared" si="79"/>
        <v/>
      </c>
      <c r="S455">
        <f t="shared" si="80"/>
        <v>0</v>
      </c>
      <c r="U455" t="str">
        <f>IF($C$15&gt;=5,IF($C$13="Yes",IF(Summary!B451&lt;&gt;"",Summary!B451,""),""),"")</f>
        <v/>
      </c>
      <c r="V455" t="str">
        <f t="shared" si="81"/>
        <v/>
      </c>
      <c r="W455">
        <f t="shared" si="82"/>
        <v>0</v>
      </c>
      <c r="Y455" t="str">
        <f>IF($C$13="Yes",IF(Summary!B451&lt;&gt;"",Summary!B451,""),"")</f>
        <v/>
      </c>
      <c r="Z455" s="439" t="str">
        <f t="shared" si="83"/>
        <v/>
      </c>
      <c r="AA455" t="str">
        <f t="shared" si="72"/>
        <v/>
      </c>
    </row>
    <row r="456" spans="2:27">
      <c r="B456" t="str">
        <f>IF(Summary!B452&lt;&gt;"",Summary!B452,"")</f>
        <v/>
      </c>
      <c r="C456" t="str">
        <f>IF(Summary!C452&lt;&gt;"",Summary!C452,"")</f>
        <v/>
      </c>
      <c r="E456" t="str">
        <f>IF($C$15&gt;=1,IF($C$13="Yes",IF(Summary!B452&lt;&gt;"",Summary!B452,""),""),"")</f>
        <v/>
      </c>
      <c r="F456" t="str">
        <f t="shared" si="73"/>
        <v/>
      </c>
      <c r="G456">
        <f t="shared" si="74"/>
        <v>0</v>
      </c>
      <c r="I456" t="str">
        <f>IF($C$15&gt;=2,IF($C$13="Yes",IF(Summary!B452&lt;&gt;"",Summary!B452,""),""),"")</f>
        <v/>
      </c>
      <c r="J456" t="str">
        <f t="shared" si="75"/>
        <v/>
      </c>
      <c r="K456">
        <f t="shared" si="76"/>
        <v>0</v>
      </c>
      <c r="M456" t="str">
        <f>IF($C$15&gt;=3,IF($C$13="Yes",IF(Summary!B452&lt;&gt;"",Summary!B452,""),""),"")</f>
        <v/>
      </c>
      <c r="N456" t="str">
        <f t="shared" si="77"/>
        <v/>
      </c>
      <c r="O456">
        <f t="shared" si="78"/>
        <v>0</v>
      </c>
      <c r="Q456" t="str">
        <f>IF($C$15&gt;=4,IF($C$13="Yes",IF(Summary!B452&lt;&gt;"",Summary!B452,""),""),"")</f>
        <v/>
      </c>
      <c r="R456" t="str">
        <f t="shared" si="79"/>
        <v/>
      </c>
      <c r="S456">
        <f t="shared" si="80"/>
        <v>0</v>
      </c>
      <c r="U456" t="str">
        <f>IF($C$15&gt;=5,IF($C$13="Yes",IF(Summary!B452&lt;&gt;"",Summary!B452,""),""),"")</f>
        <v/>
      </c>
      <c r="V456" t="str">
        <f t="shared" si="81"/>
        <v/>
      </c>
      <c r="W456">
        <f t="shared" si="82"/>
        <v>0</v>
      </c>
      <c r="Y456" t="str">
        <f>IF($C$13="Yes",IF(Summary!B452&lt;&gt;"",Summary!B452,""),"")</f>
        <v/>
      </c>
      <c r="Z456" s="439" t="str">
        <f t="shared" si="83"/>
        <v/>
      </c>
      <c r="AA456" t="str">
        <f t="shared" si="72"/>
        <v/>
      </c>
    </row>
    <row r="457" spans="2:27">
      <c r="B457" t="str">
        <f>IF(Summary!B453&lt;&gt;"",Summary!B453,"")</f>
        <v/>
      </c>
      <c r="C457" t="str">
        <f>IF(Summary!C453&lt;&gt;"",Summary!C453,"")</f>
        <v/>
      </c>
      <c r="E457" t="str">
        <f>IF($C$15&gt;=1,IF($C$13="Yes",IF(Summary!B453&lt;&gt;"",Summary!B453,""),""),"")</f>
        <v/>
      </c>
      <c r="F457" t="str">
        <f t="shared" si="73"/>
        <v/>
      </c>
      <c r="G457">
        <f t="shared" si="74"/>
        <v>0</v>
      </c>
      <c r="I457" t="str">
        <f>IF($C$15&gt;=2,IF($C$13="Yes",IF(Summary!B453&lt;&gt;"",Summary!B453,""),""),"")</f>
        <v/>
      </c>
      <c r="J457" t="str">
        <f t="shared" si="75"/>
        <v/>
      </c>
      <c r="K457">
        <f t="shared" si="76"/>
        <v>0</v>
      </c>
      <c r="M457" t="str">
        <f>IF($C$15&gt;=3,IF($C$13="Yes",IF(Summary!B453&lt;&gt;"",Summary!B453,""),""),"")</f>
        <v/>
      </c>
      <c r="N457" t="str">
        <f t="shared" si="77"/>
        <v/>
      </c>
      <c r="O457">
        <f t="shared" si="78"/>
        <v>0</v>
      </c>
      <c r="Q457" t="str">
        <f>IF($C$15&gt;=4,IF($C$13="Yes",IF(Summary!B453&lt;&gt;"",Summary!B453,""),""),"")</f>
        <v/>
      </c>
      <c r="R457" t="str">
        <f t="shared" si="79"/>
        <v/>
      </c>
      <c r="S457">
        <f t="shared" si="80"/>
        <v>0</v>
      </c>
      <c r="U457" t="str">
        <f>IF($C$15&gt;=5,IF($C$13="Yes",IF(Summary!B453&lt;&gt;"",Summary!B453,""),""),"")</f>
        <v/>
      </c>
      <c r="V457" t="str">
        <f t="shared" si="81"/>
        <v/>
      </c>
      <c r="W457">
        <f t="shared" si="82"/>
        <v>0</v>
      </c>
      <c r="Y457" t="str">
        <f>IF($C$13="Yes",IF(Summary!B453&lt;&gt;"",Summary!B453,""),"")</f>
        <v/>
      </c>
      <c r="Z457" s="439" t="str">
        <f t="shared" si="83"/>
        <v/>
      </c>
      <c r="AA457" t="str">
        <f t="shared" si="72"/>
        <v/>
      </c>
    </row>
    <row r="458" spans="2:27">
      <c r="B458" t="str">
        <f>IF(Summary!B454&lt;&gt;"",Summary!B454,"")</f>
        <v/>
      </c>
      <c r="C458" t="str">
        <f>IF(Summary!C454&lt;&gt;"",Summary!C454,"")</f>
        <v/>
      </c>
      <c r="E458" t="str">
        <f>IF($C$15&gt;=1,IF($C$13="Yes",IF(Summary!B454&lt;&gt;"",Summary!B454,""),""),"")</f>
        <v/>
      </c>
      <c r="F458" t="str">
        <f t="shared" si="73"/>
        <v/>
      </c>
      <c r="G458">
        <f t="shared" si="74"/>
        <v>0</v>
      </c>
      <c r="I458" t="str">
        <f>IF($C$15&gt;=2,IF($C$13="Yes",IF(Summary!B454&lt;&gt;"",Summary!B454,""),""),"")</f>
        <v/>
      </c>
      <c r="J458" t="str">
        <f t="shared" si="75"/>
        <v/>
      </c>
      <c r="K458">
        <f t="shared" si="76"/>
        <v>0</v>
      </c>
      <c r="M458" t="str">
        <f>IF($C$15&gt;=3,IF($C$13="Yes",IF(Summary!B454&lt;&gt;"",Summary!B454,""),""),"")</f>
        <v/>
      </c>
      <c r="N458" t="str">
        <f t="shared" si="77"/>
        <v/>
      </c>
      <c r="O458">
        <f t="shared" si="78"/>
        <v>0</v>
      </c>
      <c r="Q458" t="str">
        <f>IF($C$15&gt;=4,IF($C$13="Yes",IF(Summary!B454&lt;&gt;"",Summary!B454,""),""),"")</f>
        <v/>
      </c>
      <c r="R458" t="str">
        <f t="shared" si="79"/>
        <v/>
      </c>
      <c r="S458">
        <f t="shared" si="80"/>
        <v>0</v>
      </c>
      <c r="U458" t="str">
        <f>IF($C$15&gt;=5,IF($C$13="Yes",IF(Summary!B454&lt;&gt;"",Summary!B454,""),""),"")</f>
        <v/>
      </c>
      <c r="V458" t="str">
        <f t="shared" si="81"/>
        <v/>
      </c>
      <c r="W458">
        <f t="shared" si="82"/>
        <v>0</v>
      </c>
      <c r="Y458" t="str">
        <f>IF($C$13="Yes",IF(Summary!B454&lt;&gt;"",Summary!B454,""),"")</f>
        <v/>
      </c>
      <c r="Z458" s="439" t="str">
        <f t="shared" si="83"/>
        <v/>
      </c>
      <c r="AA458" t="str">
        <f t="shared" si="72"/>
        <v/>
      </c>
    </row>
    <row r="459" spans="2:27">
      <c r="B459" t="str">
        <f>IF(Summary!B455&lt;&gt;"",Summary!B455,"")</f>
        <v/>
      </c>
      <c r="C459" t="str">
        <f>IF(Summary!C455&lt;&gt;"",Summary!C455,"")</f>
        <v/>
      </c>
      <c r="E459" t="str">
        <f>IF($C$15&gt;=1,IF($C$13="Yes",IF(Summary!B455&lt;&gt;"",Summary!B455,""),""),"")</f>
        <v/>
      </c>
      <c r="F459" t="str">
        <f t="shared" si="73"/>
        <v/>
      </c>
      <c r="G459">
        <f t="shared" si="74"/>
        <v>0</v>
      </c>
      <c r="I459" t="str">
        <f>IF($C$15&gt;=2,IF($C$13="Yes",IF(Summary!B455&lt;&gt;"",Summary!B455,""),""),"")</f>
        <v/>
      </c>
      <c r="J459" t="str">
        <f t="shared" si="75"/>
        <v/>
      </c>
      <c r="K459">
        <f t="shared" si="76"/>
        <v>0</v>
      </c>
      <c r="M459" t="str">
        <f>IF($C$15&gt;=3,IF($C$13="Yes",IF(Summary!B455&lt;&gt;"",Summary!B455,""),""),"")</f>
        <v/>
      </c>
      <c r="N459" t="str">
        <f t="shared" si="77"/>
        <v/>
      </c>
      <c r="O459">
        <f t="shared" si="78"/>
        <v>0</v>
      </c>
      <c r="Q459" t="str">
        <f>IF($C$15&gt;=4,IF($C$13="Yes",IF(Summary!B455&lt;&gt;"",Summary!B455,""),""),"")</f>
        <v/>
      </c>
      <c r="R459" t="str">
        <f t="shared" si="79"/>
        <v/>
      </c>
      <c r="S459">
        <f t="shared" si="80"/>
        <v>0</v>
      </c>
      <c r="U459" t="str">
        <f>IF($C$15&gt;=5,IF($C$13="Yes",IF(Summary!B455&lt;&gt;"",Summary!B455,""),""),"")</f>
        <v/>
      </c>
      <c r="V459" t="str">
        <f t="shared" si="81"/>
        <v/>
      </c>
      <c r="W459">
        <f t="shared" si="82"/>
        <v>0</v>
      </c>
      <c r="Y459" t="str">
        <f>IF($C$13="Yes",IF(Summary!B455&lt;&gt;"",Summary!B455,""),"")</f>
        <v/>
      </c>
      <c r="Z459" s="439" t="str">
        <f t="shared" si="83"/>
        <v/>
      </c>
      <c r="AA459" t="str">
        <f t="shared" si="72"/>
        <v/>
      </c>
    </row>
    <row r="460" spans="2:27">
      <c r="B460" t="str">
        <f>IF(Summary!B456&lt;&gt;"",Summary!B456,"")</f>
        <v/>
      </c>
      <c r="C460" t="str">
        <f>IF(Summary!C456&lt;&gt;"",Summary!C456,"")</f>
        <v/>
      </c>
      <c r="E460" t="str">
        <f>IF($C$15&gt;=1,IF($C$13="Yes",IF(Summary!B456&lt;&gt;"",Summary!B456,""),""),"")</f>
        <v/>
      </c>
      <c r="F460" t="str">
        <f t="shared" si="73"/>
        <v/>
      </c>
      <c r="G460">
        <f t="shared" si="74"/>
        <v>0</v>
      </c>
      <c r="I460" t="str">
        <f>IF($C$15&gt;=2,IF($C$13="Yes",IF(Summary!B456&lt;&gt;"",Summary!B456,""),""),"")</f>
        <v/>
      </c>
      <c r="J460" t="str">
        <f t="shared" si="75"/>
        <v/>
      </c>
      <c r="K460">
        <f t="shared" si="76"/>
        <v>0</v>
      </c>
      <c r="M460" t="str">
        <f>IF($C$15&gt;=3,IF($C$13="Yes",IF(Summary!B456&lt;&gt;"",Summary!B456,""),""),"")</f>
        <v/>
      </c>
      <c r="N460" t="str">
        <f t="shared" si="77"/>
        <v/>
      </c>
      <c r="O460">
        <f t="shared" si="78"/>
        <v>0</v>
      </c>
      <c r="Q460" t="str">
        <f>IF($C$15&gt;=4,IF($C$13="Yes",IF(Summary!B456&lt;&gt;"",Summary!B456,""),""),"")</f>
        <v/>
      </c>
      <c r="R460" t="str">
        <f t="shared" si="79"/>
        <v/>
      </c>
      <c r="S460">
        <f t="shared" si="80"/>
        <v>0</v>
      </c>
      <c r="U460" t="str">
        <f>IF($C$15&gt;=5,IF($C$13="Yes",IF(Summary!B456&lt;&gt;"",Summary!B456,""),""),"")</f>
        <v/>
      </c>
      <c r="V460" t="str">
        <f t="shared" si="81"/>
        <v/>
      </c>
      <c r="W460">
        <f t="shared" si="82"/>
        <v>0</v>
      </c>
      <c r="Y460" t="str">
        <f>IF($C$13="Yes",IF(Summary!B456&lt;&gt;"",Summary!B456,""),"")</f>
        <v/>
      </c>
      <c r="Z460" s="439" t="str">
        <f t="shared" si="83"/>
        <v/>
      </c>
      <c r="AA460" t="str">
        <f t="shared" si="72"/>
        <v/>
      </c>
    </row>
    <row r="461" spans="2:27">
      <c r="B461" t="str">
        <f>IF(Summary!B457&lt;&gt;"",Summary!B457,"")</f>
        <v/>
      </c>
      <c r="C461" t="str">
        <f>IF(Summary!C457&lt;&gt;"",Summary!C457,"")</f>
        <v/>
      </c>
      <c r="E461" t="str">
        <f>IF($C$15&gt;=1,IF($C$13="Yes",IF(Summary!B457&lt;&gt;"",Summary!B457,""),""),"")</f>
        <v/>
      </c>
      <c r="F461" t="str">
        <f t="shared" si="73"/>
        <v/>
      </c>
      <c r="G461">
        <f t="shared" si="74"/>
        <v>0</v>
      </c>
      <c r="I461" t="str">
        <f>IF($C$15&gt;=2,IF($C$13="Yes",IF(Summary!B457&lt;&gt;"",Summary!B457,""),""),"")</f>
        <v/>
      </c>
      <c r="J461" t="str">
        <f t="shared" si="75"/>
        <v/>
      </c>
      <c r="K461">
        <f t="shared" si="76"/>
        <v>0</v>
      </c>
      <c r="M461" t="str">
        <f>IF($C$15&gt;=3,IF($C$13="Yes",IF(Summary!B457&lt;&gt;"",Summary!B457,""),""),"")</f>
        <v/>
      </c>
      <c r="N461" t="str">
        <f t="shared" si="77"/>
        <v/>
      </c>
      <c r="O461">
        <f t="shared" si="78"/>
        <v>0</v>
      </c>
      <c r="Q461" t="str">
        <f>IF($C$15&gt;=4,IF($C$13="Yes",IF(Summary!B457&lt;&gt;"",Summary!B457,""),""),"")</f>
        <v/>
      </c>
      <c r="R461" t="str">
        <f t="shared" si="79"/>
        <v/>
      </c>
      <c r="S461">
        <f t="shared" si="80"/>
        <v>0</v>
      </c>
      <c r="U461" t="str">
        <f>IF($C$15&gt;=5,IF($C$13="Yes",IF(Summary!B457&lt;&gt;"",Summary!B457,""),""),"")</f>
        <v/>
      </c>
      <c r="V461" t="str">
        <f t="shared" si="81"/>
        <v/>
      </c>
      <c r="W461">
        <f t="shared" si="82"/>
        <v>0</v>
      </c>
      <c r="Y461" t="str">
        <f>IF($C$13="Yes",IF(Summary!B457&lt;&gt;"",Summary!B457,""),"")</f>
        <v/>
      </c>
      <c r="Z461" s="439" t="str">
        <f t="shared" si="83"/>
        <v/>
      </c>
      <c r="AA461" t="str">
        <f t="shared" si="72"/>
        <v/>
      </c>
    </row>
    <row r="462" spans="2:27">
      <c r="B462" t="str">
        <f>IF(Summary!B458&lt;&gt;"",Summary!B458,"")</f>
        <v/>
      </c>
      <c r="C462" t="str">
        <f>IF(Summary!C458&lt;&gt;"",Summary!C458,"")</f>
        <v/>
      </c>
      <c r="E462" t="str">
        <f>IF($C$15&gt;=1,IF($C$13="Yes",IF(Summary!B458&lt;&gt;"",Summary!B458,""),""),"")</f>
        <v/>
      </c>
      <c r="F462" t="str">
        <f t="shared" si="73"/>
        <v/>
      </c>
      <c r="G462">
        <f t="shared" si="74"/>
        <v>0</v>
      </c>
      <c r="I462" t="str">
        <f>IF($C$15&gt;=2,IF($C$13="Yes",IF(Summary!B458&lt;&gt;"",Summary!B458,""),""),"")</f>
        <v/>
      </c>
      <c r="J462" t="str">
        <f t="shared" si="75"/>
        <v/>
      </c>
      <c r="K462">
        <f t="shared" si="76"/>
        <v>0</v>
      </c>
      <c r="M462" t="str">
        <f>IF($C$15&gt;=3,IF($C$13="Yes",IF(Summary!B458&lt;&gt;"",Summary!B458,""),""),"")</f>
        <v/>
      </c>
      <c r="N462" t="str">
        <f t="shared" si="77"/>
        <v/>
      </c>
      <c r="O462">
        <f t="shared" si="78"/>
        <v>0</v>
      </c>
      <c r="Q462" t="str">
        <f>IF($C$15&gt;=4,IF($C$13="Yes",IF(Summary!B458&lt;&gt;"",Summary!B458,""),""),"")</f>
        <v/>
      </c>
      <c r="R462" t="str">
        <f t="shared" si="79"/>
        <v/>
      </c>
      <c r="S462">
        <f t="shared" si="80"/>
        <v>0</v>
      </c>
      <c r="U462" t="str">
        <f>IF($C$15&gt;=5,IF($C$13="Yes",IF(Summary!B458&lt;&gt;"",Summary!B458,""),""),"")</f>
        <v/>
      </c>
      <c r="V462" t="str">
        <f t="shared" si="81"/>
        <v/>
      </c>
      <c r="W462">
        <f t="shared" si="82"/>
        <v>0</v>
      </c>
      <c r="Y462" t="str">
        <f>IF($C$13="Yes",IF(Summary!B458&lt;&gt;"",Summary!B458,""),"")</f>
        <v/>
      </c>
      <c r="Z462" s="439" t="str">
        <f t="shared" si="83"/>
        <v/>
      </c>
      <c r="AA462" t="str">
        <f t="shared" si="72"/>
        <v/>
      </c>
    </row>
    <row r="463" spans="2:27">
      <c r="B463" t="str">
        <f>IF(Summary!B459&lt;&gt;"",Summary!B459,"")</f>
        <v/>
      </c>
      <c r="C463" t="str">
        <f>IF(Summary!C459&lt;&gt;"",Summary!C459,"")</f>
        <v/>
      </c>
      <c r="E463" t="str">
        <f>IF($C$15&gt;=1,IF($C$13="Yes",IF(Summary!B459&lt;&gt;"",Summary!B459,""),""),"")</f>
        <v/>
      </c>
      <c r="F463" t="str">
        <f t="shared" si="73"/>
        <v/>
      </c>
      <c r="G463">
        <f t="shared" si="74"/>
        <v>0</v>
      </c>
      <c r="I463" t="str">
        <f>IF($C$15&gt;=2,IF($C$13="Yes",IF(Summary!B459&lt;&gt;"",Summary!B459,""),""),"")</f>
        <v/>
      </c>
      <c r="J463" t="str">
        <f t="shared" si="75"/>
        <v/>
      </c>
      <c r="K463">
        <f t="shared" si="76"/>
        <v>0</v>
      </c>
      <c r="M463" t="str">
        <f>IF($C$15&gt;=3,IF($C$13="Yes",IF(Summary!B459&lt;&gt;"",Summary!B459,""),""),"")</f>
        <v/>
      </c>
      <c r="N463" t="str">
        <f t="shared" si="77"/>
        <v/>
      </c>
      <c r="O463">
        <f t="shared" si="78"/>
        <v>0</v>
      </c>
      <c r="Q463" t="str">
        <f>IF($C$15&gt;=4,IF($C$13="Yes",IF(Summary!B459&lt;&gt;"",Summary!B459,""),""),"")</f>
        <v/>
      </c>
      <c r="R463" t="str">
        <f t="shared" si="79"/>
        <v/>
      </c>
      <c r="S463">
        <f t="shared" si="80"/>
        <v>0</v>
      </c>
      <c r="U463" t="str">
        <f>IF($C$15&gt;=5,IF($C$13="Yes",IF(Summary!B459&lt;&gt;"",Summary!B459,""),""),"")</f>
        <v/>
      </c>
      <c r="V463" t="str">
        <f t="shared" si="81"/>
        <v/>
      </c>
      <c r="W463">
        <f t="shared" si="82"/>
        <v>0</v>
      </c>
      <c r="Y463" t="str">
        <f>IF($C$13="Yes",IF(Summary!B459&lt;&gt;"",Summary!B459,""),"")</f>
        <v/>
      </c>
      <c r="Z463" s="439" t="str">
        <f t="shared" si="83"/>
        <v/>
      </c>
      <c r="AA463" t="str">
        <f t="shared" si="72"/>
        <v/>
      </c>
    </row>
    <row r="464" spans="2:27">
      <c r="B464" t="str">
        <f>IF(Summary!B460&lt;&gt;"",Summary!B460,"")</f>
        <v/>
      </c>
      <c r="C464" t="str">
        <f>IF(Summary!C460&lt;&gt;"",Summary!C460,"")</f>
        <v/>
      </c>
      <c r="E464" t="str">
        <f>IF($C$15&gt;=1,IF($C$13="Yes",IF(Summary!B460&lt;&gt;"",Summary!B460,""),""),"")</f>
        <v/>
      </c>
      <c r="F464" t="str">
        <f t="shared" si="73"/>
        <v/>
      </c>
      <c r="G464">
        <f t="shared" si="74"/>
        <v>0</v>
      </c>
      <c r="I464" t="str">
        <f>IF($C$15&gt;=2,IF($C$13="Yes",IF(Summary!B460&lt;&gt;"",Summary!B460,""),""),"")</f>
        <v/>
      </c>
      <c r="J464" t="str">
        <f t="shared" si="75"/>
        <v/>
      </c>
      <c r="K464">
        <f t="shared" si="76"/>
        <v>0</v>
      </c>
      <c r="M464" t="str">
        <f>IF($C$15&gt;=3,IF($C$13="Yes",IF(Summary!B460&lt;&gt;"",Summary!B460,""),""),"")</f>
        <v/>
      </c>
      <c r="N464" t="str">
        <f t="shared" si="77"/>
        <v/>
      </c>
      <c r="O464">
        <f t="shared" si="78"/>
        <v>0</v>
      </c>
      <c r="Q464" t="str">
        <f>IF($C$15&gt;=4,IF($C$13="Yes",IF(Summary!B460&lt;&gt;"",Summary!B460,""),""),"")</f>
        <v/>
      </c>
      <c r="R464" t="str">
        <f t="shared" si="79"/>
        <v/>
      </c>
      <c r="S464">
        <f t="shared" si="80"/>
        <v>0</v>
      </c>
      <c r="U464" t="str">
        <f>IF($C$15&gt;=5,IF($C$13="Yes",IF(Summary!B460&lt;&gt;"",Summary!B460,""),""),"")</f>
        <v/>
      </c>
      <c r="V464" t="str">
        <f t="shared" si="81"/>
        <v/>
      </c>
      <c r="W464">
        <f t="shared" si="82"/>
        <v>0</v>
      </c>
      <c r="Y464" t="str">
        <f>IF($C$13="Yes",IF(Summary!B460&lt;&gt;"",Summary!B460,""),"")</f>
        <v/>
      </c>
      <c r="Z464" s="439" t="str">
        <f t="shared" si="83"/>
        <v/>
      </c>
      <c r="AA464" t="str">
        <f t="shared" si="72"/>
        <v/>
      </c>
    </row>
    <row r="465" spans="2:27">
      <c r="B465" t="str">
        <f>IF(Summary!B461&lt;&gt;"",Summary!B461,"")</f>
        <v/>
      </c>
      <c r="C465" t="str">
        <f>IF(Summary!C461&lt;&gt;"",Summary!C461,"")</f>
        <v/>
      </c>
      <c r="E465" t="str">
        <f>IF($C$15&gt;=1,IF($C$13="Yes",IF(Summary!B461&lt;&gt;"",Summary!B461,""),""),"")</f>
        <v/>
      </c>
      <c r="F465" t="str">
        <f t="shared" si="73"/>
        <v/>
      </c>
      <c r="G465">
        <f t="shared" si="74"/>
        <v>0</v>
      </c>
      <c r="I465" t="str">
        <f>IF($C$15&gt;=2,IF($C$13="Yes",IF(Summary!B461&lt;&gt;"",Summary!B461,""),""),"")</f>
        <v/>
      </c>
      <c r="J465" t="str">
        <f t="shared" si="75"/>
        <v/>
      </c>
      <c r="K465">
        <f t="shared" si="76"/>
        <v>0</v>
      </c>
      <c r="M465" t="str">
        <f>IF($C$15&gt;=3,IF($C$13="Yes",IF(Summary!B461&lt;&gt;"",Summary!B461,""),""),"")</f>
        <v/>
      </c>
      <c r="N465" t="str">
        <f t="shared" si="77"/>
        <v/>
      </c>
      <c r="O465">
        <f t="shared" si="78"/>
        <v>0</v>
      </c>
      <c r="Q465" t="str">
        <f>IF($C$15&gt;=4,IF($C$13="Yes",IF(Summary!B461&lt;&gt;"",Summary!B461,""),""),"")</f>
        <v/>
      </c>
      <c r="R465" t="str">
        <f t="shared" si="79"/>
        <v/>
      </c>
      <c r="S465">
        <f t="shared" si="80"/>
        <v>0</v>
      </c>
      <c r="U465" t="str">
        <f>IF($C$15&gt;=5,IF($C$13="Yes",IF(Summary!B461&lt;&gt;"",Summary!B461,""),""),"")</f>
        <v/>
      </c>
      <c r="V465" t="str">
        <f t="shared" si="81"/>
        <v/>
      </c>
      <c r="W465">
        <f t="shared" si="82"/>
        <v>0</v>
      </c>
      <c r="Y465" t="str">
        <f>IF($C$13="Yes",IF(Summary!B461&lt;&gt;"",Summary!B461,""),"")</f>
        <v/>
      </c>
      <c r="Z465" s="439" t="str">
        <f t="shared" si="83"/>
        <v/>
      </c>
      <c r="AA465" t="str">
        <f t="shared" si="72"/>
        <v/>
      </c>
    </row>
    <row r="466" spans="2:27">
      <c r="B466" t="str">
        <f>IF(Summary!B462&lt;&gt;"",Summary!B462,"")</f>
        <v/>
      </c>
      <c r="C466" t="str">
        <f>IF(Summary!C462&lt;&gt;"",Summary!C462,"")</f>
        <v/>
      </c>
      <c r="E466" t="str">
        <f>IF($C$15&gt;=1,IF($C$13="Yes",IF(Summary!B462&lt;&gt;"",Summary!B462,""),""),"")</f>
        <v/>
      </c>
      <c r="F466" t="str">
        <f t="shared" si="73"/>
        <v/>
      </c>
      <c r="G466">
        <f t="shared" si="74"/>
        <v>0</v>
      </c>
      <c r="I466" t="str">
        <f>IF($C$15&gt;=2,IF($C$13="Yes",IF(Summary!B462&lt;&gt;"",Summary!B462,""),""),"")</f>
        <v/>
      </c>
      <c r="J466" t="str">
        <f t="shared" si="75"/>
        <v/>
      </c>
      <c r="K466">
        <f t="shared" si="76"/>
        <v>0</v>
      </c>
      <c r="M466" t="str">
        <f>IF($C$15&gt;=3,IF($C$13="Yes",IF(Summary!B462&lt;&gt;"",Summary!B462,""),""),"")</f>
        <v/>
      </c>
      <c r="N466" t="str">
        <f t="shared" si="77"/>
        <v/>
      </c>
      <c r="O466">
        <f t="shared" si="78"/>
        <v>0</v>
      </c>
      <c r="Q466" t="str">
        <f>IF($C$15&gt;=4,IF($C$13="Yes",IF(Summary!B462&lt;&gt;"",Summary!B462,""),""),"")</f>
        <v/>
      </c>
      <c r="R466" t="str">
        <f t="shared" si="79"/>
        <v/>
      </c>
      <c r="S466">
        <f t="shared" si="80"/>
        <v>0</v>
      </c>
      <c r="U466" t="str">
        <f>IF($C$15&gt;=5,IF($C$13="Yes",IF(Summary!B462&lt;&gt;"",Summary!B462,""),""),"")</f>
        <v/>
      </c>
      <c r="V466" t="str">
        <f t="shared" si="81"/>
        <v/>
      </c>
      <c r="W466">
        <f t="shared" si="82"/>
        <v>0</v>
      </c>
      <c r="Y466" t="str">
        <f>IF($C$13="Yes",IF(Summary!B462&lt;&gt;"",Summary!B462,""),"")</f>
        <v/>
      </c>
      <c r="Z466" s="439" t="str">
        <f t="shared" si="83"/>
        <v/>
      </c>
      <c r="AA466" t="str">
        <f t="shared" ref="AA466:AA509" si="84">IF(Y466&lt;&gt;"Total",Z466,0)</f>
        <v/>
      </c>
    </row>
    <row r="467" spans="2:27">
      <c r="B467" t="str">
        <f>IF(Summary!B463&lt;&gt;"",Summary!B463,"")</f>
        <v/>
      </c>
      <c r="C467" t="str">
        <f>IF(Summary!C463&lt;&gt;"",Summary!C463,"")</f>
        <v/>
      </c>
      <c r="E467" t="str">
        <f>IF($C$15&gt;=1,IF($C$13="Yes",IF(Summary!B463&lt;&gt;"",Summary!B463,""),""),"")</f>
        <v/>
      </c>
      <c r="F467" t="str">
        <f t="shared" ref="F467:F509" si="85">IF($C$15&gt;=1,IFERROR(IF($C$13="Yes",(C467*$C$14),""),""),"")</f>
        <v/>
      </c>
      <c r="G467">
        <f t="shared" ref="G467:G509" si="86">IF(F467="",0,F467)</f>
        <v>0</v>
      </c>
      <c r="I467" t="str">
        <f>IF($C$15&gt;=2,IF($C$13="Yes",IF(Summary!B463&lt;&gt;"",Summary!B463,""),""),"")</f>
        <v/>
      </c>
      <c r="J467" t="str">
        <f t="shared" ref="J467:J509" si="87">IF($C$15&gt;=2,IFERROR(IF($C$13="Yes",(C467*$C$14),""),""),"")</f>
        <v/>
      </c>
      <c r="K467">
        <f t="shared" ref="K467:K509" si="88">IF(J467="",0,J467)</f>
        <v>0</v>
      </c>
      <c r="M467" t="str">
        <f>IF($C$15&gt;=3,IF($C$13="Yes",IF(Summary!B463&lt;&gt;"",Summary!B463,""),""),"")</f>
        <v/>
      </c>
      <c r="N467" t="str">
        <f t="shared" ref="N467:N509" si="89">IF($C$15&gt;=3,IFERROR(IF($C$13="Yes",(C467*$C$14),""),""),"")</f>
        <v/>
      </c>
      <c r="O467">
        <f t="shared" ref="O467:O509" si="90">IF(N467="",0,N467)</f>
        <v>0</v>
      </c>
      <c r="Q467" t="str">
        <f>IF($C$15&gt;=4,IF($C$13="Yes",IF(Summary!B463&lt;&gt;"",Summary!B463,""),""),"")</f>
        <v/>
      </c>
      <c r="R467" t="str">
        <f t="shared" ref="R467:R509" si="91">IF($C$15&gt;=4,IFERROR(IF($C$13="Yes",(C467*$C$14),""),""),"")</f>
        <v/>
      </c>
      <c r="S467">
        <f t="shared" ref="S467:S509" si="92">IF(R467="",0,R467)</f>
        <v>0</v>
      </c>
      <c r="U467" t="str">
        <f>IF($C$15&gt;=5,IF($C$13="Yes",IF(Summary!B463&lt;&gt;"",Summary!B463,""),""),"")</f>
        <v/>
      </c>
      <c r="V467" t="str">
        <f t="shared" ref="V467:V509" si="93">IF($C$15&gt;=5,IFERROR(IF($C$13="Yes",(C467*$C$14),""),""),"")</f>
        <v/>
      </c>
      <c r="W467">
        <f t="shared" ref="W467:W509" si="94">IF(V467="",0,V467)</f>
        <v>0</v>
      </c>
      <c r="Y467" t="str">
        <f>IF($C$13="Yes",IF(Summary!B463&lt;&gt;"",Summary!B463,""),"")</f>
        <v/>
      </c>
      <c r="Z467" s="439" t="str">
        <f t="shared" ref="Z467:Z509" si="95">IFERROR((C467+G467+K467+O467+S467+W467),"")</f>
        <v/>
      </c>
      <c r="AA467" t="str">
        <f t="shared" si="84"/>
        <v/>
      </c>
    </row>
    <row r="468" spans="2:27">
      <c r="B468" t="str">
        <f>IF(Summary!B464&lt;&gt;"",Summary!B464,"")</f>
        <v/>
      </c>
      <c r="C468" t="str">
        <f>IF(Summary!C464&lt;&gt;"",Summary!C464,"")</f>
        <v/>
      </c>
      <c r="E468" t="str">
        <f>IF($C$15&gt;=1,IF($C$13="Yes",IF(Summary!B464&lt;&gt;"",Summary!B464,""),""),"")</f>
        <v/>
      </c>
      <c r="F468" t="str">
        <f t="shared" si="85"/>
        <v/>
      </c>
      <c r="G468">
        <f t="shared" si="86"/>
        <v>0</v>
      </c>
      <c r="I468" t="str">
        <f>IF($C$15&gt;=2,IF($C$13="Yes",IF(Summary!B464&lt;&gt;"",Summary!B464,""),""),"")</f>
        <v/>
      </c>
      <c r="J468" t="str">
        <f t="shared" si="87"/>
        <v/>
      </c>
      <c r="K468">
        <f t="shared" si="88"/>
        <v>0</v>
      </c>
      <c r="M468" t="str">
        <f>IF($C$15&gt;=3,IF($C$13="Yes",IF(Summary!B464&lt;&gt;"",Summary!B464,""),""),"")</f>
        <v/>
      </c>
      <c r="N468" t="str">
        <f t="shared" si="89"/>
        <v/>
      </c>
      <c r="O468">
        <f t="shared" si="90"/>
        <v>0</v>
      </c>
      <c r="Q468" t="str">
        <f>IF($C$15&gt;=4,IF($C$13="Yes",IF(Summary!B464&lt;&gt;"",Summary!B464,""),""),"")</f>
        <v/>
      </c>
      <c r="R468" t="str">
        <f t="shared" si="91"/>
        <v/>
      </c>
      <c r="S468">
        <f t="shared" si="92"/>
        <v>0</v>
      </c>
      <c r="U468" t="str">
        <f>IF($C$15&gt;=5,IF($C$13="Yes",IF(Summary!B464&lt;&gt;"",Summary!B464,""),""),"")</f>
        <v/>
      </c>
      <c r="V468" t="str">
        <f t="shared" si="93"/>
        <v/>
      </c>
      <c r="W468">
        <f t="shared" si="94"/>
        <v>0</v>
      </c>
      <c r="Y468" t="str">
        <f>IF($C$13="Yes",IF(Summary!B464&lt;&gt;"",Summary!B464,""),"")</f>
        <v/>
      </c>
      <c r="Z468" s="439" t="str">
        <f t="shared" si="95"/>
        <v/>
      </c>
      <c r="AA468" t="str">
        <f t="shared" si="84"/>
        <v/>
      </c>
    </row>
    <row r="469" spans="2:27">
      <c r="B469" t="str">
        <f>IF(Summary!B465&lt;&gt;"",Summary!B465,"")</f>
        <v/>
      </c>
      <c r="C469" t="str">
        <f>IF(Summary!C465&lt;&gt;"",Summary!C465,"")</f>
        <v/>
      </c>
      <c r="E469" t="str">
        <f>IF($C$15&gt;=1,IF($C$13="Yes",IF(Summary!B465&lt;&gt;"",Summary!B465,""),""),"")</f>
        <v/>
      </c>
      <c r="F469" t="str">
        <f t="shared" si="85"/>
        <v/>
      </c>
      <c r="G469">
        <f t="shared" si="86"/>
        <v>0</v>
      </c>
      <c r="I469" t="str">
        <f>IF($C$15&gt;=2,IF($C$13="Yes",IF(Summary!B465&lt;&gt;"",Summary!B465,""),""),"")</f>
        <v/>
      </c>
      <c r="J469" t="str">
        <f t="shared" si="87"/>
        <v/>
      </c>
      <c r="K469">
        <f t="shared" si="88"/>
        <v>0</v>
      </c>
      <c r="M469" t="str">
        <f>IF($C$15&gt;=3,IF($C$13="Yes",IF(Summary!B465&lt;&gt;"",Summary!B465,""),""),"")</f>
        <v/>
      </c>
      <c r="N469" t="str">
        <f t="shared" si="89"/>
        <v/>
      </c>
      <c r="O469">
        <f t="shared" si="90"/>
        <v>0</v>
      </c>
      <c r="Q469" t="str">
        <f>IF($C$15&gt;=4,IF($C$13="Yes",IF(Summary!B465&lt;&gt;"",Summary!B465,""),""),"")</f>
        <v/>
      </c>
      <c r="R469" t="str">
        <f t="shared" si="91"/>
        <v/>
      </c>
      <c r="S469">
        <f t="shared" si="92"/>
        <v>0</v>
      </c>
      <c r="U469" t="str">
        <f>IF($C$15&gt;=5,IF($C$13="Yes",IF(Summary!B465&lt;&gt;"",Summary!B465,""),""),"")</f>
        <v/>
      </c>
      <c r="V469" t="str">
        <f t="shared" si="93"/>
        <v/>
      </c>
      <c r="W469">
        <f t="shared" si="94"/>
        <v>0</v>
      </c>
      <c r="Y469" t="str">
        <f>IF($C$13="Yes",IF(Summary!B465&lt;&gt;"",Summary!B465,""),"")</f>
        <v/>
      </c>
      <c r="Z469" s="439" t="str">
        <f t="shared" si="95"/>
        <v/>
      </c>
      <c r="AA469" t="str">
        <f t="shared" si="84"/>
        <v/>
      </c>
    </row>
    <row r="470" spans="2:27">
      <c r="B470" t="str">
        <f>IF(Summary!B466&lt;&gt;"",Summary!B466,"")</f>
        <v/>
      </c>
      <c r="C470" t="str">
        <f>IF(Summary!C466&lt;&gt;"",Summary!C466,"")</f>
        <v/>
      </c>
      <c r="E470" t="str">
        <f>IF($C$15&gt;=1,IF($C$13="Yes",IF(Summary!B466&lt;&gt;"",Summary!B466,""),""),"")</f>
        <v/>
      </c>
      <c r="F470" t="str">
        <f t="shared" si="85"/>
        <v/>
      </c>
      <c r="G470">
        <f t="shared" si="86"/>
        <v>0</v>
      </c>
      <c r="I470" t="str">
        <f>IF($C$15&gt;=2,IF($C$13="Yes",IF(Summary!B466&lt;&gt;"",Summary!B466,""),""),"")</f>
        <v/>
      </c>
      <c r="J470" t="str">
        <f t="shared" si="87"/>
        <v/>
      </c>
      <c r="K470">
        <f t="shared" si="88"/>
        <v>0</v>
      </c>
      <c r="M470" t="str">
        <f>IF($C$15&gt;=3,IF($C$13="Yes",IF(Summary!B466&lt;&gt;"",Summary!B466,""),""),"")</f>
        <v/>
      </c>
      <c r="N470" t="str">
        <f t="shared" si="89"/>
        <v/>
      </c>
      <c r="O470">
        <f t="shared" si="90"/>
        <v>0</v>
      </c>
      <c r="Q470" t="str">
        <f>IF($C$15&gt;=4,IF($C$13="Yes",IF(Summary!B466&lt;&gt;"",Summary!B466,""),""),"")</f>
        <v/>
      </c>
      <c r="R470" t="str">
        <f t="shared" si="91"/>
        <v/>
      </c>
      <c r="S470">
        <f t="shared" si="92"/>
        <v>0</v>
      </c>
      <c r="U470" t="str">
        <f>IF($C$15&gt;=5,IF($C$13="Yes",IF(Summary!B466&lt;&gt;"",Summary!B466,""),""),"")</f>
        <v/>
      </c>
      <c r="V470" t="str">
        <f t="shared" si="93"/>
        <v/>
      </c>
      <c r="W470">
        <f t="shared" si="94"/>
        <v>0</v>
      </c>
      <c r="Y470" t="str">
        <f>IF($C$13="Yes",IF(Summary!B466&lt;&gt;"",Summary!B466,""),"")</f>
        <v/>
      </c>
      <c r="Z470" s="439" t="str">
        <f t="shared" si="95"/>
        <v/>
      </c>
      <c r="AA470" t="str">
        <f t="shared" si="84"/>
        <v/>
      </c>
    </row>
    <row r="471" spans="2:27">
      <c r="B471" t="str">
        <f>IF(Summary!B467&lt;&gt;"",Summary!B467,"")</f>
        <v/>
      </c>
      <c r="C471" t="str">
        <f>IF(Summary!C467&lt;&gt;"",Summary!C467,"")</f>
        <v/>
      </c>
      <c r="E471" t="str">
        <f>IF($C$15&gt;=1,IF($C$13="Yes",IF(Summary!B467&lt;&gt;"",Summary!B467,""),""),"")</f>
        <v/>
      </c>
      <c r="F471" t="str">
        <f t="shared" si="85"/>
        <v/>
      </c>
      <c r="G471">
        <f t="shared" si="86"/>
        <v>0</v>
      </c>
      <c r="I471" t="str">
        <f>IF($C$15&gt;=2,IF($C$13="Yes",IF(Summary!B467&lt;&gt;"",Summary!B467,""),""),"")</f>
        <v/>
      </c>
      <c r="J471" t="str">
        <f t="shared" si="87"/>
        <v/>
      </c>
      <c r="K471">
        <f t="shared" si="88"/>
        <v>0</v>
      </c>
      <c r="M471" t="str">
        <f>IF($C$15&gt;=3,IF($C$13="Yes",IF(Summary!B467&lt;&gt;"",Summary!B467,""),""),"")</f>
        <v/>
      </c>
      <c r="N471" t="str">
        <f t="shared" si="89"/>
        <v/>
      </c>
      <c r="O471">
        <f t="shared" si="90"/>
        <v>0</v>
      </c>
      <c r="Q471" t="str">
        <f>IF($C$15&gt;=4,IF($C$13="Yes",IF(Summary!B467&lt;&gt;"",Summary!B467,""),""),"")</f>
        <v/>
      </c>
      <c r="R471" t="str">
        <f t="shared" si="91"/>
        <v/>
      </c>
      <c r="S471">
        <f t="shared" si="92"/>
        <v>0</v>
      </c>
      <c r="U471" t="str">
        <f>IF($C$15&gt;=5,IF($C$13="Yes",IF(Summary!B467&lt;&gt;"",Summary!B467,""),""),"")</f>
        <v/>
      </c>
      <c r="V471" t="str">
        <f t="shared" si="93"/>
        <v/>
      </c>
      <c r="W471">
        <f t="shared" si="94"/>
        <v>0</v>
      </c>
      <c r="Y471" t="str">
        <f>IF($C$13="Yes",IF(Summary!B467&lt;&gt;"",Summary!B467,""),"")</f>
        <v/>
      </c>
      <c r="Z471" s="439" t="str">
        <f t="shared" si="95"/>
        <v/>
      </c>
      <c r="AA471" t="str">
        <f t="shared" si="84"/>
        <v/>
      </c>
    </row>
    <row r="472" spans="2:27">
      <c r="B472" t="str">
        <f>IF(Summary!B468&lt;&gt;"",Summary!B468,"")</f>
        <v/>
      </c>
      <c r="C472" t="str">
        <f>IF(Summary!C468&lt;&gt;"",Summary!C468,"")</f>
        <v/>
      </c>
      <c r="E472" t="str">
        <f>IF($C$15&gt;=1,IF($C$13="Yes",IF(Summary!B468&lt;&gt;"",Summary!B468,""),""),"")</f>
        <v/>
      </c>
      <c r="F472" t="str">
        <f t="shared" si="85"/>
        <v/>
      </c>
      <c r="G472">
        <f t="shared" si="86"/>
        <v>0</v>
      </c>
      <c r="I472" t="str">
        <f>IF($C$15&gt;=2,IF($C$13="Yes",IF(Summary!B468&lt;&gt;"",Summary!B468,""),""),"")</f>
        <v/>
      </c>
      <c r="J472" t="str">
        <f t="shared" si="87"/>
        <v/>
      </c>
      <c r="K472">
        <f t="shared" si="88"/>
        <v>0</v>
      </c>
      <c r="M472" t="str">
        <f>IF($C$15&gt;=3,IF($C$13="Yes",IF(Summary!B468&lt;&gt;"",Summary!B468,""),""),"")</f>
        <v/>
      </c>
      <c r="N472" t="str">
        <f t="shared" si="89"/>
        <v/>
      </c>
      <c r="O472">
        <f t="shared" si="90"/>
        <v>0</v>
      </c>
      <c r="Q472" t="str">
        <f>IF($C$15&gt;=4,IF($C$13="Yes",IF(Summary!B468&lt;&gt;"",Summary!B468,""),""),"")</f>
        <v/>
      </c>
      <c r="R472" t="str">
        <f t="shared" si="91"/>
        <v/>
      </c>
      <c r="S472">
        <f t="shared" si="92"/>
        <v>0</v>
      </c>
      <c r="U472" t="str">
        <f>IF($C$15&gt;=5,IF($C$13="Yes",IF(Summary!B468&lt;&gt;"",Summary!B468,""),""),"")</f>
        <v/>
      </c>
      <c r="V472" t="str">
        <f t="shared" si="93"/>
        <v/>
      </c>
      <c r="W472">
        <f t="shared" si="94"/>
        <v>0</v>
      </c>
      <c r="Y472" t="str">
        <f>IF($C$13="Yes",IF(Summary!B468&lt;&gt;"",Summary!B468,""),"")</f>
        <v/>
      </c>
      <c r="Z472" s="439" t="str">
        <f t="shared" si="95"/>
        <v/>
      </c>
      <c r="AA472" t="str">
        <f t="shared" si="84"/>
        <v/>
      </c>
    </row>
    <row r="473" spans="2:27">
      <c r="B473" t="str">
        <f>IF(Summary!B469&lt;&gt;"",Summary!B469,"")</f>
        <v/>
      </c>
      <c r="C473" t="str">
        <f>IF(Summary!C469&lt;&gt;"",Summary!C469,"")</f>
        <v/>
      </c>
      <c r="E473" t="str">
        <f>IF($C$15&gt;=1,IF($C$13="Yes",IF(Summary!B469&lt;&gt;"",Summary!B469,""),""),"")</f>
        <v/>
      </c>
      <c r="F473" t="str">
        <f t="shared" si="85"/>
        <v/>
      </c>
      <c r="G473">
        <f t="shared" si="86"/>
        <v>0</v>
      </c>
      <c r="I473" t="str">
        <f>IF($C$15&gt;=2,IF($C$13="Yes",IF(Summary!B469&lt;&gt;"",Summary!B469,""),""),"")</f>
        <v/>
      </c>
      <c r="J473" t="str">
        <f t="shared" si="87"/>
        <v/>
      </c>
      <c r="K473">
        <f t="shared" si="88"/>
        <v>0</v>
      </c>
      <c r="M473" t="str">
        <f>IF($C$15&gt;=3,IF($C$13="Yes",IF(Summary!B469&lt;&gt;"",Summary!B469,""),""),"")</f>
        <v/>
      </c>
      <c r="N473" t="str">
        <f t="shared" si="89"/>
        <v/>
      </c>
      <c r="O473">
        <f t="shared" si="90"/>
        <v>0</v>
      </c>
      <c r="Q473" t="str">
        <f>IF($C$15&gt;=4,IF($C$13="Yes",IF(Summary!B469&lt;&gt;"",Summary!B469,""),""),"")</f>
        <v/>
      </c>
      <c r="R473" t="str">
        <f t="shared" si="91"/>
        <v/>
      </c>
      <c r="S473">
        <f t="shared" si="92"/>
        <v>0</v>
      </c>
      <c r="U473" t="str">
        <f>IF($C$15&gt;=5,IF($C$13="Yes",IF(Summary!B469&lt;&gt;"",Summary!B469,""),""),"")</f>
        <v/>
      </c>
      <c r="V473" t="str">
        <f t="shared" si="93"/>
        <v/>
      </c>
      <c r="W473">
        <f t="shared" si="94"/>
        <v>0</v>
      </c>
      <c r="Y473" t="str">
        <f>IF($C$13="Yes",IF(Summary!B469&lt;&gt;"",Summary!B469,""),"")</f>
        <v/>
      </c>
      <c r="Z473" s="439" t="str">
        <f t="shared" si="95"/>
        <v/>
      </c>
      <c r="AA473" t="str">
        <f t="shared" si="84"/>
        <v/>
      </c>
    </row>
    <row r="474" spans="2:27">
      <c r="B474" t="str">
        <f>IF(Summary!B470&lt;&gt;"",Summary!B470,"")</f>
        <v/>
      </c>
      <c r="C474" t="str">
        <f>IF(Summary!C470&lt;&gt;"",Summary!C470,"")</f>
        <v/>
      </c>
      <c r="E474" t="str">
        <f>IF($C$15&gt;=1,IF($C$13="Yes",IF(Summary!B470&lt;&gt;"",Summary!B470,""),""),"")</f>
        <v/>
      </c>
      <c r="F474" t="str">
        <f t="shared" si="85"/>
        <v/>
      </c>
      <c r="G474">
        <f t="shared" si="86"/>
        <v>0</v>
      </c>
      <c r="I474" t="str">
        <f>IF($C$15&gt;=2,IF($C$13="Yes",IF(Summary!B470&lt;&gt;"",Summary!B470,""),""),"")</f>
        <v/>
      </c>
      <c r="J474" t="str">
        <f t="shared" si="87"/>
        <v/>
      </c>
      <c r="K474">
        <f t="shared" si="88"/>
        <v>0</v>
      </c>
      <c r="M474" t="str">
        <f>IF($C$15&gt;=3,IF($C$13="Yes",IF(Summary!B470&lt;&gt;"",Summary!B470,""),""),"")</f>
        <v/>
      </c>
      <c r="N474" t="str">
        <f t="shared" si="89"/>
        <v/>
      </c>
      <c r="O474">
        <f t="shared" si="90"/>
        <v>0</v>
      </c>
      <c r="Q474" t="str">
        <f>IF($C$15&gt;=4,IF($C$13="Yes",IF(Summary!B470&lt;&gt;"",Summary!B470,""),""),"")</f>
        <v/>
      </c>
      <c r="R474" t="str">
        <f t="shared" si="91"/>
        <v/>
      </c>
      <c r="S474">
        <f t="shared" si="92"/>
        <v>0</v>
      </c>
      <c r="U474" t="str">
        <f>IF($C$15&gt;=5,IF($C$13="Yes",IF(Summary!B470&lt;&gt;"",Summary!B470,""),""),"")</f>
        <v/>
      </c>
      <c r="V474" t="str">
        <f t="shared" si="93"/>
        <v/>
      </c>
      <c r="W474">
        <f t="shared" si="94"/>
        <v>0</v>
      </c>
      <c r="Y474" t="str">
        <f>IF($C$13="Yes",IF(Summary!B470&lt;&gt;"",Summary!B470,""),"")</f>
        <v/>
      </c>
      <c r="Z474" s="439" t="str">
        <f t="shared" si="95"/>
        <v/>
      </c>
      <c r="AA474" t="str">
        <f t="shared" si="84"/>
        <v/>
      </c>
    </row>
    <row r="475" spans="2:27">
      <c r="B475" t="str">
        <f>IF(Summary!B471&lt;&gt;"",Summary!B471,"")</f>
        <v/>
      </c>
      <c r="C475" t="str">
        <f>IF(Summary!C471&lt;&gt;"",Summary!C471,"")</f>
        <v/>
      </c>
      <c r="E475" t="str">
        <f>IF($C$15&gt;=1,IF($C$13="Yes",IF(Summary!B471&lt;&gt;"",Summary!B471,""),""),"")</f>
        <v/>
      </c>
      <c r="F475" t="str">
        <f t="shared" si="85"/>
        <v/>
      </c>
      <c r="G475">
        <f t="shared" si="86"/>
        <v>0</v>
      </c>
      <c r="I475" t="str">
        <f>IF($C$15&gt;=2,IF($C$13="Yes",IF(Summary!B471&lt;&gt;"",Summary!B471,""),""),"")</f>
        <v/>
      </c>
      <c r="J475" t="str">
        <f t="shared" si="87"/>
        <v/>
      </c>
      <c r="K475">
        <f t="shared" si="88"/>
        <v>0</v>
      </c>
      <c r="M475" t="str">
        <f>IF($C$15&gt;=3,IF($C$13="Yes",IF(Summary!B471&lt;&gt;"",Summary!B471,""),""),"")</f>
        <v/>
      </c>
      <c r="N475" t="str">
        <f t="shared" si="89"/>
        <v/>
      </c>
      <c r="O475">
        <f t="shared" si="90"/>
        <v>0</v>
      </c>
      <c r="Q475" t="str">
        <f>IF($C$15&gt;=4,IF($C$13="Yes",IF(Summary!B471&lt;&gt;"",Summary!B471,""),""),"")</f>
        <v/>
      </c>
      <c r="R475" t="str">
        <f t="shared" si="91"/>
        <v/>
      </c>
      <c r="S475">
        <f t="shared" si="92"/>
        <v>0</v>
      </c>
      <c r="U475" t="str">
        <f>IF($C$15&gt;=5,IF($C$13="Yes",IF(Summary!B471&lt;&gt;"",Summary!B471,""),""),"")</f>
        <v/>
      </c>
      <c r="V475" t="str">
        <f t="shared" si="93"/>
        <v/>
      </c>
      <c r="W475">
        <f t="shared" si="94"/>
        <v>0</v>
      </c>
      <c r="Y475" t="str">
        <f>IF($C$13="Yes",IF(Summary!B471&lt;&gt;"",Summary!B471,""),"")</f>
        <v/>
      </c>
      <c r="Z475" s="439" t="str">
        <f t="shared" si="95"/>
        <v/>
      </c>
      <c r="AA475" t="str">
        <f t="shared" si="84"/>
        <v/>
      </c>
    </row>
    <row r="476" spans="2:27">
      <c r="B476" t="str">
        <f>IF(Summary!B472&lt;&gt;"",Summary!B472,"")</f>
        <v/>
      </c>
      <c r="C476" t="str">
        <f>IF(Summary!C472&lt;&gt;"",Summary!C472,"")</f>
        <v/>
      </c>
      <c r="E476" t="str">
        <f>IF($C$15&gt;=1,IF($C$13="Yes",IF(Summary!B472&lt;&gt;"",Summary!B472,""),""),"")</f>
        <v/>
      </c>
      <c r="F476" t="str">
        <f t="shared" si="85"/>
        <v/>
      </c>
      <c r="G476">
        <f t="shared" si="86"/>
        <v>0</v>
      </c>
      <c r="I476" t="str">
        <f>IF($C$15&gt;=2,IF($C$13="Yes",IF(Summary!B472&lt;&gt;"",Summary!B472,""),""),"")</f>
        <v/>
      </c>
      <c r="J476" t="str">
        <f t="shared" si="87"/>
        <v/>
      </c>
      <c r="K476">
        <f t="shared" si="88"/>
        <v>0</v>
      </c>
      <c r="M476" t="str">
        <f>IF($C$15&gt;=3,IF($C$13="Yes",IF(Summary!B472&lt;&gt;"",Summary!B472,""),""),"")</f>
        <v/>
      </c>
      <c r="N476" t="str">
        <f t="shared" si="89"/>
        <v/>
      </c>
      <c r="O476">
        <f t="shared" si="90"/>
        <v>0</v>
      </c>
      <c r="Q476" t="str">
        <f>IF($C$15&gt;=4,IF($C$13="Yes",IF(Summary!B472&lt;&gt;"",Summary!B472,""),""),"")</f>
        <v/>
      </c>
      <c r="R476" t="str">
        <f t="shared" si="91"/>
        <v/>
      </c>
      <c r="S476">
        <f t="shared" si="92"/>
        <v>0</v>
      </c>
      <c r="U476" t="str">
        <f>IF($C$15&gt;=5,IF($C$13="Yes",IF(Summary!B472&lt;&gt;"",Summary!B472,""),""),"")</f>
        <v/>
      </c>
      <c r="V476" t="str">
        <f t="shared" si="93"/>
        <v/>
      </c>
      <c r="W476">
        <f t="shared" si="94"/>
        <v>0</v>
      </c>
      <c r="Y476" t="str">
        <f>IF($C$13="Yes",IF(Summary!B472&lt;&gt;"",Summary!B472,""),"")</f>
        <v/>
      </c>
      <c r="Z476" s="439" t="str">
        <f t="shared" si="95"/>
        <v/>
      </c>
      <c r="AA476" t="str">
        <f t="shared" si="84"/>
        <v/>
      </c>
    </row>
    <row r="477" spans="2:27">
      <c r="B477" t="str">
        <f>IF(Summary!B473&lt;&gt;"",Summary!B473,"")</f>
        <v/>
      </c>
      <c r="C477" t="str">
        <f>IF(Summary!C473&lt;&gt;"",Summary!C473,"")</f>
        <v/>
      </c>
      <c r="E477" t="str">
        <f>IF($C$15&gt;=1,IF($C$13="Yes",IF(Summary!B473&lt;&gt;"",Summary!B473,""),""),"")</f>
        <v/>
      </c>
      <c r="F477" t="str">
        <f t="shared" si="85"/>
        <v/>
      </c>
      <c r="G477">
        <f t="shared" si="86"/>
        <v>0</v>
      </c>
      <c r="I477" t="str">
        <f>IF($C$15&gt;=2,IF($C$13="Yes",IF(Summary!B473&lt;&gt;"",Summary!B473,""),""),"")</f>
        <v/>
      </c>
      <c r="J477" t="str">
        <f t="shared" si="87"/>
        <v/>
      </c>
      <c r="K477">
        <f t="shared" si="88"/>
        <v>0</v>
      </c>
      <c r="M477" t="str">
        <f>IF($C$15&gt;=3,IF($C$13="Yes",IF(Summary!B473&lt;&gt;"",Summary!B473,""),""),"")</f>
        <v/>
      </c>
      <c r="N477" t="str">
        <f t="shared" si="89"/>
        <v/>
      </c>
      <c r="O477">
        <f t="shared" si="90"/>
        <v>0</v>
      </c>
      <c r="Q477" t="str">
        <f>IF($C$15&gt;=4,IF($C$13="Yes",IF(Summary!B473&lt;&gt;"",Summary!B473,""),""),"")</f>
        <v/>
      </c>
      <c r="R477" t="str">
        <f t="shared" si="91"/>
        <v/>
      </c>
      <c r="S477">
        <f t="shared" si="92"/>
        <v>0</v>
      </c>
      <c r="U477" t="str">
        <f>IF($C$15&gt;=5,IF($C$13="Yes",IF(Summary!B473&lt;&gt;"",Summary!B473,""),""),"")</f>
        <v/>
      </c>
      <c r="V477" t="str">
        <f t="shared" si="93"/>
        <v/>
      </c>
      <c r="W477">
        <f t="shared" si="94"/>
        <v>0</v>
      </c>
      <c r="Y477" t="str">
        <f>IF($C$13="Yes",IF(Summary!B473&lt;&gt;"",Summary!B473,""),"")</f>
        <v/>
      </c>
      <c r="Z477" s="439" t="str">
        <f t="shared" si="95"/>
        <v/>
      </c>
      <c r="AA477" t="str">
        <f t="shared" si="84"/>
        <v/>
      </c>
    </row>
    <row r="478" spans="2:27">
      <c r="B478" t="str">
        <f>IF(Summary!B474&lt;&gt;"",Summary!B474,"")</f>
        <v/>
      </c>
      <c r="C478" t="str">
        <f>IF(Summary!C474&lt;&gt;"",Summary!C474,"")</f>
        <v/>
      </c>
      <c r="E478" t="str">
        <f>IF($C$15&gt;=1,IF($C$13="Yes",IF(Summary!B474&lt;&gt;"",Summary!B474,""),""),"")</f>
        <v/>
      </c>
      <c r="F478" t="str">
        <f t="shared" si="85"/>
        <v/>
      </c>
      <c r="G478">
        <f t="shared" si="86"/>
        <v>0</v>
      </c>
      <c r="I478" t="str">
        <f>IF($C$15&gt;=2,IF($C$13="Yes",IF(Summary!B474&lt;&gt;"",Summary!B474,""),""),"")</f>
        <v/>
      </c>
      <c r="J478" t="str">
        <f t="shared" si="87"/>
        <v/>
      </c>
      <c r="K478">
        <f t="shared" si="88"/>
        <v>0</v>
      </c>
      <c r="M478" t="str">
        <f>IF($C$15&gt;=3,IF($C$13="Yes",IF(Summary!B474&lt;&gt;"",Summary!B474,""),""),"")</f>
        <v/>
      </c>
      <c r="N478" t="str">
        <f t="shared" si="89"/>
        <v/>
      </c>
      <c r="O478">
        <f t="shared" si="90"/>
        <v>0</v>
      </c>
      <c r="Q478" t="str">
        <f>IF($C$15&gt;=4,IF($C$13="Yes",IF(Summary!B474&lt;&gt;"",Summary!B474,""),""),"")</f>
        <v/>
      </c>
      <c r="R478" t="str">
        <f t="shared" si="91"/>
        <v/>
      </c>
      <c r="S478">
        <f t="shared" si="92"/>
        <v>0</v>
      </c>
      <c r="U478" t="str">
        <f>IF($C$15&gt;=5,IF($C$13="Yes",IF(Summary!B474&lt;&gt;"",Summary!B474,""),""),"")</f>
        <v/>
      </c>
      <c r="V478" t="str">
        <f t="shared" si="93"/>
        <v/>
      </c>
      <c r="W478">
        <f t="shared" si="94"/>
        <v>0</v>
      </c>
      <c r="Y478" t="str">
        <f>IF($C$13="Yes",IF(Summary!B474&lt;&gt;"",Summary!B474,""),"")</f>
        <v/>
      </c>
      <c r="Z478" s="439" t="str">
        <f t="shared" si="95"/>
        <v/>
      </c>
      <c r="AA478" t="str">
        <f t="shared" si="84"/>
        <v/>
      </c>
    </row>
    <row r="479" spans="2:27">
      <c r="B479" t="str">
        <f>IF(Summary!B475&lt;&gt;"",Summary!B475,"")</f>
        <v/>
      </c>
      <c r="C479" t="str">
        <f>IF(Summary!C475&lt;&gt;"",Summary!C475,"")</f>
        <v/>
      </c>
      <c r="E479" t="str">
        <f>IF($C$15&gt;=1,IF($C$13="Yes",IF(Summary!B475&lt;&gt;"",Summary!B475,""),""),"")</f>
        <v/>
      </c>
      <c r="F479" t="str">
        <f t="shared" si="85"/>
        <v/>
      </c>
      <c r="G479">
        <f t="shared" si="86"/>
        <v>0</v>
      </c>
      <c r="I479" t="str">
        <f>IF($C$15&gt;=2,IF($C$13="Yes",IF(Summary!B475&lt;&gt;"",Summary!B475,""),""),"")</f>
        <v/>
      </c>
      <c r="J479" t="str">
        <f t="shared" si="87"/>
        <v/>
      </c>
      <c r="K479">
        <f t="shared" si="88"/>
        <v>0</v>
      </c>
      <c r="M479" t="str">
        <f>IF($C$15&gt;=3,IF($C$13="Yes",IF(Summary!B475&lt;&gt;"",Summary!B475,""),""),"")</f>
        <v/>
      </c>
      <c r="N479" t="str">
        <f t="shared" si="89"/>
        <v/>
      </c>
      <c r="O479">
        <f t="shared" si="90"/>
        <v>0</v>
      </c>
      <c r="Q479" t="str">
        <f>IF($C$15&gt;=4,IF($C$13="Yes",IF(Summary!B475&lt;&gt;"",Summary!B475,""),""),"")</f>
        <v/>
      </c>
      <c r="R479" t="str">
        <f t="shared" si="91"/>
        <v/>
      </c>
      <c r="S479">
        <f t="shared" si="92"/>
        <v>0</v>
      </c>
      <c r="U479" t="str">
        <f>IF($C$15&gt;=5,IF($C$13="Yes",IF(Summary!B475&lt;&gt;"",Summary!B475,""),""),"")</f>
        <v/>
      </c>
      <c r="V479" t="str">
        <f t="shared" si="93"/>
        <v/>
      </c>
      <c r="W479">
        <f t="shared" si="94"/>
        <v>0</v>
      </c>
      <c r="Y479" t="str">
        <f>IF($C$13="Yes",IF(Summary!B475&lt;&gt;"",Summary!B475,""),"")</f>
        <v/>
      </c>
      <c r="Z479" s="439" t="str">
        <f t="shared" si="95"/>
        <v/>
      </c>
      <c r="AA479" t="str">
        <f t="shared" si="84"/>
        <v/>
      </c>
    </row>
    <row r="480" spans="2:27">
      <c r="B480" t="str">
        <f>IF(Summary!B476&lt;&gt;"",Summary!B476,"")</f>
        <v/>
      </c>
      <c r="C480" t="str">
        <f>IF(Summary!C476&lt;&gt;"",Summary!C476,"")</f>
        <v/>
      </c>
      <c r="E480" t="str">
        <f>IF($C$15&gt;=1,IF($C$13="Yes",IF(Summary!B476&lt;&gt;"",Summary!B476,""),""),"")</f>
        <v/>
      </c>
      <c r="F480" t="str">
        <f t="shared" si="85"/>
        <v/>
      </c>
      <c r="G480">
        <f t="shared" si="86"/>
        <v>0</v>
      </c>
      <c r="I480" t="str">
        <f>IF($C$15&gt;=2,IF($C$13="Yes",IF(Summary!B476&lt;&gt;"",Summary!B476,""),""),"")</f>
        <v/>
      </c>
      <c r="J480" t="str">
        <f t="shared" si="87"/>
        <v/>
      </c>
      <c r="K480">
        <f t="shared" si="88"/>
        <v>0</v>
      </c>
      <c r="M480" t="str">
        <f>IF($C$15&gt;=3,IF($C$13="Yes",IF(Summary!B476&lt;&gt;"",Summary!B476,""),""),"")</f>
        <v/>
      </c>
      <c r="N480" t="str">
        <f t="shared" si="89"/>
        <v/>
      </c>
      <c r="O480">
        <f t="shared" si="90"/>
        <v>0</v>
      </c>
      <c r="Q480" t="str">
        <f>IF($C$15&gt;=4,IF($C$13="Yes",IF(Summary!B476&lt;&gt;"",Summary!B476,""),""),"")</f>
        <v/>
      </c>
      <c r="R480" t="str">
        <f t="shared" si="91"/>
        <v/>
      </c>
      <c r="S480">
        <f t="shared" si="92"/>
        <v>0</v>
      </c>
      <c r="U480" t="str">
        <f>IF($C$15&gt;=5,IF($C$13="Yes",IF(Summary!B476&lt;&gt;"",Summary!B476,""),""),"")</f>
        <v/>
      </c>
      <c r="V480" t="str">
        <f t="shared" si="93"/>
        <v/>
      </c>
      <c r="W480">
        <f t="shared" si="94"/>
        <v>0</v>
      </c>
      <c r="Y480" t="str">
        <f>IF($C$13="Yes",IF(Summary!B476&lt;&gt;"",Summary!B476,""),"")</f>
        <v/>
      </c>
      <c r="Z480" s="439" t="str">
        <f t="shared" si="95"/>
        <v/>
      </c>
      <c r="AA480" t="str">
        <f t="shared" si="84"/>
        <v/>
      </c>
    </row>
    <row r="481" spans="2:27">
      <c r="B481" t="str">
        <f>IF(Summary!B477&lt;&gt;"",Summary!B477,"")</f>
        <v/>
      </c>
      <c r="C481" t="str">
        <f>IF(Summary!C477&lt;&gt;"",Summary!C477,"")</f>
        <v/>
      </c>
      <c r="E481" t="str">
        <f>IF($C$15&gt;=1,IF($C$13="Yes",IF(Summary!B477&lt;&gt;"",Summary!B477,""),""),"")</f>
        <v/>
      </c>
      <c r="F481" t="str">
        <f t="shared" si="85"/>
        <v/>
      </c>
      <c r="G481">
        <f t="shared" si="86"/>
        <v>0</v>
      </c>
      <c r="I481" t="str">
        <f>IF($C$15&gt;=2,IF($C$13="Yes",IF(Summary!B477&lt;&gt;"",Summary!B477,""),""),"")</f>
        <v/>
      </c>
      <c r="J481" t="str">
        <f t="shared" si="87"/>
        <v/>
      </c>
      <c r="K481">
        <f t="shared" si="88"/>
        <v>0</v>
      </c>
      <c r="M481" t="str">
        <f>IF($C$15&gt;=3,IF($C$13="Yes",IF(Summary!B477&lt;&gt;"",Summary!B477,""),""),"")</f>
        <v/>
      </c>
      <c r="N481" t="str">
        <f t="shared" si="89"/>
        <v/>
      </c>
      <c r="O481">
        <f t="shared" si="90"/>
        <v>0</v>
      </c>
      <c r="Q481" t="str">
        <f>IF($C$15&gt;=4,IF($C$13="Yes",IF(Summary!B477&lt;&gt;"",Summary!B477,""),""),"")</f>
        <v/>
      </c>
      <c r="R481" t="str">
        <f t="shared" si="91"/>
        <v/>
      </c>
      <c r="S481">
        <f t="shared" si="92"/>
        <v>0</v>
      </c>
      <c r="U481" t="str">
        <f>IF($C$15&gt;=5,IF($C$13="Yes",IF(Summary!B477&lt;&gt;"",Summary!B477,""),""),"")</f>
        <v/>
      </c>
      <c r="V481" t="str">
        <f t="shared" si="93"/>
        <v/>
      </c>
      <c r="W481">
        <f t="shared" si="94"/>
        <v>0</v>
      </c>
      <c r="Y481" t="str">
        <f>IF($C$13="Yes",IF(Summary!B477&lt;&gt;"",Summary!B477,""),"")</f>
        <v/>
      </c>
      <c r="Z481" s="439" t="str">
        <f t="shared" si="95"/>
        <v/>
      </c>
      <c r="AA481" t="str">
        <f t="shared" si="84"/>
        <v/>
      </c>
    </row>
    <row r="482" spans="2:27">
      <c r="B482" t="str">
        <f>IF(Summary!B478&lt;&gt;"",Summary!B478,"")</f>
        <v/>
      </c>
      <c r="C482" t="str">
        <f>IF(Summary!C478&lt;&gt;"",Summary!C478,"")</f>
        <v/>
      </c>
      <c r="E482" t="str">
        <f>IF($C$15&gt;=1,IF($C$13="Yes",IF(Summary!B478&lt;&gt;"",Summary!B478,""),""),"")</f>
        <v/>
      </c>
      <c r="F482" t="str">
        <f t="shared" si="85"/>
        <v/>
      </c>
      <c r="G482">
        <f t="shared" si="86"/>
        <v>0</v>
      </c>
      <c r="I482" t="str">
        <f>IF($C$15&gt;=2,IF($C$13="Yes",IF(Summary!B478&lt;&gt;"",Summary!B478,""),""),"")</f>
        <v/>
      </c>
      <c r="J482" t="str">
        <f t="shared" si="87"/>
        <v/>
      </c>
      <c r="K482">
        <f t="shared" si="88"/>
        <v>0</v>
      </c>
      <c r="M482" t="str">
        <f>IF($C$15&gt;=3,IF($C$13="Yes",IF(Summary!B478&lt;&gt;"",Summary!B478,""),""),"")</f>
        <v/>
      </c>
      <c r="N482" t="str">
        <f t="shared" si="89"/>
        <v/>
      </c>
      <c r="O482">
        <f t="shared" si="90"/>
        <v>0</v>
      </c>
      <c r="Q482" t="str">
        <f>IF($C$15&gt;=4,IF($C$13="Yes",IF(Summary!B478&lt;&gt;"",Summary!B478,""),""),"")</f>
        <v/>
      </c>
      <c r="R482" t="str">
        <f t="shared" si="91"/>
        <v/>
      </c>
      <c r="S482">
        <f t="shared" si="92"/>
        <v>0</v>
      </c>
      <c r="U482" t="str">
        <f>IF($C$15&gt;=5,IF($C$13="Yes",IF(Summary!B478&lt;&gt;"",Summary!B478,""),""),"")</f>
        <v/>
      </c>
      <c r="V482" t="str">
        <f t="shared" si="93"/>
        <v/>
      </c>
      <c r="W482">
        <f t="shared" si="94"/>
        <v>0</v>
      </c>
      <c r="Y482" t="str">
        <f>IF($C$13="Yes",IF(Summary!B478&lt;&gt;"",Summary!B478,""),"")</f>
        <v/>
      </c>
      <c r="Z482" s="439" t="str">
        <f t="shared" si="95"/>
        <v/>
      </c>
      <c r="AA482" t="str">
        <f t="shared" si="84"/>
        <v/>
      </c>
    </row>
    <row r="483" spans="2:27">
      <c r="B483" t="str">
        <f>IF(Summary!B479&lt;&gt;"",Summary!B479,"")</f>
        <v/>
      </c>
      <c r="C483" t="str">
        <f>IF(Summary!C479&lt;&gt;"",Summary!C479,"")</f>
        <v/>
      </c>
      <c r="E483" t="str">
        <f>IF($C$15&gt;=1,IF($C$13="Yes",IF(Summary!B479&lt;&gt;"",Summary!B479,""),""),"")</f>
        <v/>
      </c>
      <c r="F483" t="str">
        <f t="shared" si="85"/>
        <v/>
      </c>
      <c r="G483">
        <f t="shared" si="86"/>
        <v>0</v>
      </c>
      <c r="I483" t="str">
        <f>IF($C$15&gt;=2,IF($C$13="Yes",IF(Summary!B479&lt;&gt;"",Summary!B479,""),""),"")</f>
        <v/>
      </c>
      <c r="J483" t="str">
        <f t="shared" si="87"/>
        <v/>
      </c>
      <c r="K483">
        <f t="shared" si="88"/>
        <v>0</v>
      </c>
      <c r="M483" t="str">
        <f>IF($C$15&gt;=3,IF($C$13="Yes",IF(Summary!B479&lt;&gt;"",Summary!B479,""),""),"")</f>
        <v/>
      </c>
      <c r="N483" t="str">
        <f t="shared" si="89"/>
        <v/>
      </c>
      <c r="O483">
        <f t="shared" si="90"/>
        <v>0</v>
      </c>
      <c r="Q483" t="str">
        <f>IF($C$15&gt;=4,IF($C$13="Yes",IF(Summary!B479&lt;&gt;"",Summary!B479,""),""),"")</f>
        <v/>
      </c>
      <c r="R483" t="str">
        <f t="shared" si="91"/>
        <v/>
      </c>
      <c r="S483">
        <f t="shared" si="92"/>
        <v>0</v>
      </c>
      <c r="U483" t="str">
        <f>IF($C$15&gt;=5,IF($C$13="Yes",IF(Summary!B479&lt;&gt;"",Summary!B479,""),""),"")</f>
        <v/>
      </c>
      <c r="V483" t="str">
        <f t="shared" si="93"/>
        <v/>
      </c>
      <c r="W483">
        <f t="shared" si="94"/>
        <v>0</v>
      </c>
      <c r="Y483" t="str">
        <f>IF($C$13="Yes",IF(Summary!B479&lt;&gt;"",Summary!B479,""),"")</f>
        <v/>
      </c>
      <c r="Z483" s="439" t="str">
        <f t="shared" si="95"/>
        <v/>
      </c>
      <c r="AA483" t="str">
        <f t="shared" si="84"/>
        <v/>
      </c>
    </row>
    <row r="484" spans="2:27">
      <c r="B484" t="str">
        <f>IF(Summary!B480&lt;&gt;"",Summary!B480,"")</f>
        <v/>
      </c>
      <c r="C484" t="str">
        <f>IF(Summary!C480&lt;&gt;"",Summary!C480,"")</f>
        <v/>
      </c>
      <c r="E484" t="str">
        <f>IF($C$15&gt;=1,IF($C$13="Yes",IF(Summary!B480&lt;&gt;"",Summary!B480,""),""),"")</f>
        <v/>
      </c>
      <c r="F484" t="str">
        <f t="shared" si="85"/>
        <v/>
      </c>
      <c r="G484">
        <f t="shared" si="86"/>
        <v>0</v>
      </c>
      <c r="I484" t="str">
        <f>IF($C$15&gt;=2,IF($C$13="Yes",IF(Summary!B480&lt;&gt;"",Summary!B480,""),""),"")</f>
        <v/>
      </c>
      <c r="J484" t="str">
        <f t="shared" si="87"/>
        <v/>
      </c>
      <c r="K484">
        <f t="shared" si="88"/>
        <v>0</v>
      </c>
      <c r="M484" t="str">
        <f>IF($C$15&gt;=3,IF($C$13="Yes",IF(Summary!B480&lt;&gt;"",Summary!B480,""),""),"")</f>
        <v/>
      </c>
      <c r="N484" t="str">
        <f t="shared" si="89"/>
        <v/>
      </c>
      <c r="O484">
        <f t="shared" si="90"/>
        <v>0</v>
      </c>
      <c r="Q484" t="str">
        <f>IF($C$15&gt;=4,IF($C$13="Yes",IF(Summary!B480&lt;&gt;"",Summary!B480,""),""),"")</f>
        <v/>
      </c>
      <c r="R484" t="str">
        <f t="shared" si="91"/>
        <v/>
      </c>
      <c r="S484">
        <f t="shared" si="92"/>
        <v>0</v>
      </c>
      <c r="U484" t="str">
        <f>IF($C$15&gt;=5,IF($C$13="Yes",IF(Summary!B480&lt;&gt;"",Summary!B480,""),""),"")</f>
        <v/>
      </c>
      <c r="V484" t="str">
        <f t="shared" si="93"/>
        <v/>
      </c>
      <c r="W484">
        <f t="shared" si="94"/>
        <v>0</v>
      </c>
      <c r="Y484" t="str">
        <f>IF($C$13="Yes",IF(Summary!B480&lt;&gt;"",Summary!B480,""),"")</f>
        <v/>
      </c>
      <c r="Z484" s="439" t="str">
        <f t="shared" si="95"/>
        <v/>
      </c>
      <c r="AA484" t="str">
        <f t="shared" si="84"/>
        <v/>
      </c>
    </row>
    <row r="485" spans="2:27">
      <c r="B485" t="str">
        <f>IF(Summary!B481&lt;&gt;"",Summary!B481,"")</f>
        <v/>
      </c>
      <c r="C485" t="str">
        <f>IF(Summary!C481&lt;&gt;"",Summary!C481,"")</f>
        <v/>
      </c>
      <c r="E485" t="str">
        <f>IF($C$15&gt;=1,IF($C$13="Yes",IF(Summary!B481&lt;&gt;"",Summary!B481,""),""),"")</f>
        <v/>
      </c>
      <c r="F485" t="str">
        <f t="shared" si="85"/>
        <v/>
      </c>
      <c r="G485">
        <f t="shared" si="86"/>
        <v>0</v>
      </c>
      <c r="I485" t="str">
        <f>IF($C$15&gt;=2,IF($C$13="Yes",IF(Summary!B481&lt;&gt;"",Summary!B481,""),""),"")</f>
        <v/>
      </c>
      <c r="J485" t="str">
        <f t="shared" si="87"/>
        <v/>
      </c>
      <c r="K485">
        <f t="shared" si="88"/>
        <v>0</v>
      </c>
      <c r="M485" t="str">
        <f>IF($C$15&gt;=3,IF($C$13="Yes",IF(Summary!B481&lt;&gt;"",Summary!B481,""),""),"")</f>
        <v/>
      </c>
      <c r="N485" t="str">
        <f t="shared" si="89"/>
        <v/>
      </c>
      <c r="O485">
        <f t="shared" si="90"/>
        <v>0</v>
      </c>
      <c r="Q485" t="str">
        <f>IF($C$15&gt;=4,IF($C$13="Yes",IF(Summary!B481&lt;&gt;"",Summary!B481,""),""),"")</f>
        <v/>
      </c>
      <c r="R485" t="str">
        <f t="shared" si="91"/>
        <v/>
      </c>
      <c r="S485">
        <f t="shared" si="92"/>
        <v>0</v>
      </c>
      <c r="U485" t="str">
        <f>IF($C$15&gt;=5,IF($C$13="Yes",IF(Summary!B481&lt;&gt;"",Summary!B481,""),""),"")</f>
        <v/>
      </c>
      <c r="V485" t="str">
        <f t="shared" si="93"/>
        <v/>
      </c>
      <c r="W485">
        <f t="shared" si="94"/>
        <v>0</v>
      </c>
      <c r="Y485" t="str">
        <f>IF($C$13="Yes",IF(Summary!B481&lt;&gt;"",Summary!B481,""),"")</f>
        <v/>
      </c>
      <c r="Z485" s="439" t="str">
        <f t="shared" si="95"/>
        <v/>
      </c>
      <c r="AA485" t="str">
        <f t="shared" si="84"/>
        <v/>
      </c>
    </row>
    <row r="486" spans="2:27">
      <c r="B486" t="str">
        <f>IF(Summary!B482&lt;&gt;"",Summary!B482,"")</f>
        <v/>
      </c>
      <c r="C486" t="str">
        <f>IF(Summary!C482&lt;&gt;"",Summary!C482,"")</f>
        <v/>
      </c>
      <c r="E486" t="str">
        <f>IF($C$15&gt;=1,IF($C$13="Yes",IF(Summary!B482&lt;&gt;"",Summary!B482,""),""),"")</f>
        <v/>
      </c>
      <c r="F486" t="str">
        <f t="shared" si="85"/>
        <v/>
      </c>
      <c r="G486">
        <f t="shared" si="86"/>
        <v>0</v>
      </c>
      <c r="I486" t="str">
        <f>IF($C$15&gt;=2,IF($C$13="Yes",IF(Summary!B482&lt;&gt;"",Summary!B482,""),""),"")</f>
        <v/>
      </c>
      <c r="J486" t="str">
        <f t="shared" si="87"/>
        <v/>
      </c>
      <c r="K486">
        <f t="shared" si="88"/>
        <v>0</v>
      </c>
      <c r="M486" t="str">
        <f>IF($C$15&gt;=3,IF($C$13="Yes",IF(Summary!B482&lt;&gt;"",Summary!B482,""),""),"")</f>
        <v/>
      </c>
      <c r="N486" t="str">
        <f t="shared" si="89"/>
        <v/>
      </c>
      <c r="O486">
        <f t="shared" si="90"/>
        <v>0</v>
      </c>
      <c r="Q486" t="str">
        <f>IF($C$15&gt;=4,IF($C$13="Yes",IF(Summary!B482&lt;&gt;"",Summary!B482,""),""),"")</f>
        <v/>
      </c>
      <c r="R486" t="str">
        <f t="shared" si="91"/>
        <v/>
      </c>
      <c r="S486">
        <f t="shared" si="92"/>
        <v>0</v>
      </c>
      <c r="U486" t="str">
        <f>IF($C$15&gt;=5,IF($C$13="Yes",IF(Summary!B482&lt;&gt;"",Summary!B482,""),""),"")</f>
        <v/>
      </c>
      <c r="V486" t="str">
        <f t="shared" si="93"/>
        <v/>
      </c>
      <c r="W486">
        <f t="shared" si="94"/>
        <v>0</v>
      </c>
      <c r="Y486" t="str">
        <f>IF($C$13="Yes",IF(Summary!B482&lt;&gt;"",Summary!B482,""),"")</f>
        <v/>
      </c>
      <c r="Z486" s="439" t="str">
        <f t="shared" si="95"/>
        <v/>
      </c>
      <c r="AA486" t="str">
        <f t="shared" si="84"/>
        <v/>
      </c>
    </row>
    <row r="487" spans="2:27">
      <c r="B487" t="str">
        <f>IF(Summary!B483&lt;&gt;"",Summary!B483,"")</f>
        <v/>
      </c>
      <c r="C487" t="str">
        <f>IF(Summary!C483&lt;&gt;"",Summary!C483,"")</f>
        <v/>
      </c>
      <c r="E487" t="str">
        <f>IF($C$15&gt;=1,IF($C$13="Yes",IF(Summary!B483&lt;&gt;"",Summary!B483,""),""),"")</f>
        <v/>
      </c>
      <c r="F487" t="str">
        <f t="shared" si="85"/>
        <v/>
      </c>
      <c r="G487">
        <f t="shared" si="86"/>
        <v>0</v>
      </c>
      <c r="I487" t="str">
        <f>IF($C$15&gt;=2,IF($C$13="Yes",IF(Summary!B483&lt;&gt;"",Summary!B483,""),""),"")</f>
        <v/>
      </c>
      <c r="J487" t="str">
        <f t="shared" si="87"/>
        <v/>
      </c>
      <c r="K487">
        <f t="shared" si="88"/>
        <v>0</v>
      </c>
      <c r="M487" t="str">
        <f>IF($C$15&gt;=3,IF($C$13="Yes",IF(Summary!B483&lt;&gt;"",Summary!B483,""),""),"")</f>
        <v/>
      </c>
      <c r="N487" t="str">
        <f t="shared" si="89"/>
        <v/>
      </c>
      <c r="O487">
        <f t="shared" si="90"/>
        <v>0</v>
      </c>
      <c r="Q487" t="str">
        <f>IF($C$15&gt;=4,IF($C$13="Yes",IF(Summary!B483&lt;&gt;"",Summary!B483,""),""),"")</f>
        <v/>
      </c>
      <c r="R487" t="str">
        <f t="shared" si="91"/>
        <v/>
      </c>
      <c r="S487">
        <f t="shared" si="92"/>
        <v>0</v>
      </c>
      <c r="U487" t="str">
        <f>IF($C$15&gt;=5,IF($C$13="Yes",IF(Summary!B483&lt;&gt;"",Summary!B483,""),""),"")</f>
        <v/>
      </c>
      <c r="V487" t="str">
        <f t="shared" si="93"/>
        <v/>
      </c>
      <c r="W487">
        <f t="shared" si="94"/>
        <v>0</v>
      </c>
      <c r="Y487" t="str">
        <f>IF($C$13="Yes",IF(Summary!B483&lt;&gt;"",Summary!B483,""),"")</f>
        <v/>
      </c>
      <c r="Z487" s="439" t="str">
        <f t="shared" si="95"/>
        <v/>
      </c>
      <c r="AA487" t="str">
        <f t="shared" si="84"/>
        <v/>
      </c>
    </row>
    <row r="488" spans="2:27">
      <c r="B488" t="str">
        <f>IF(Summary!B484&lt;&gt;"",Summary!B484,"")</f>
        <v/>
      </c>
      <c r="C488" t="str">
        <f>IF(Summary!C484&lt;&gt;"",Summary!C484,"")</f>
        <v/>
      </c>
      <c r="E488" t="str">
        <f>IF($C$15&gt;=1,IF($C$13="Yes",IF(Summary!B484&lt;&gt;"",Summary!B484,""),""),"")</f>
        <v/>
      </c>
      <c r="F488" t="str">
        <f t="shared" si="85"/>
        <v/>
      </c>
      <c r="G488">
        <f t="shared" si="86"/>
        <v>0</v>
      </c>
      <c r="I488" t="str">
        <f>IF($C$15&gt;=2,IF($C$13="Yes",IF(Summary!B484&lt;&gt;"",Summary!B484,""),""),"")</f>
        <v/>
      </c>
      <c r="J488" t="str">
        <f t="shared" si="87"/>
        <v/>
      </c>
      <c r="K488">
        <f t="shared" si="88"/>
        <v>0</v>
      </c>
      <c r="M488" t="str">
        <f>IF($C$15&gt;=3,IF($C$13="Yes",IF(Summary!B484&lt;&gt;"",Summary!B484,""),""),"")</f>
        <v/>
      </c>
      <c r="N488" t="str">
        <f t="shared" si="89"/>
        <v/>
      </c>
      <c r="O488">
        <f t="shared" si="90"/>
        <v>0</v>
      </c>
      <c r="Q488" t="str">
        <f>IF($C$15&gt;=4,IF($C$13="Yes",IF(Summary!B484&lt;&gt;"",Summary!B484,""),""),"")</f>
        <v/>
      </c>
      <c r="R488" t="str">
        <f t="shared" si="91"/>
        <v/>
      </c>
      <c r="S488">
        <f t="shared" si="92"/>
        <v>0</v>
      </c>
      <c r="U488" t="str">
        <f>IF($C$15&gt;=5,IF($C$13="Yes",IF(Summary!B484&lt;&gt;"",Summary!B484,""),""),"")</f>
        <v/>
      </c>
      <c r="V488" t="str">
        <f t="shared" si="93"/>
        <v/>
      </c>
      <c r="W488">
        <f t="shared" si="94"/>
        <v>0</v>
      </c>
      <c r="Y488" t="str">
        <f>IF($C$13="Yes",IF(Summary!B484&lt;&gt;"",Summary!B484,""),"")</f>
        <v/>
      </c>
      <c r="Z488" s="439" t="str">
        <f t="shared" si="95"/>
        <v/>
      </c>
      <c r="AA488" t="str">
        <f t="shared" si="84"/>
        <v/>
      </c>
    </row>
    <row r="489" spans="2:27">
      <c r="B489" t="str">
        <f>IF(Summary!B485&lt;&gt;"",Summary!B485,"")</f>
        <v/>
      </c>
      <c r="C489" t="str">
        <f>IF(Summary!C485&lt;&gt;"",Summary!C485,"")</f>
        <v/>
      </c>
      <c r="E489" t="str">
        <f>IF($C$15&gt;=1,IF($C$13="Yes",IF(Summary!B485&lt;&gt;"",Summary!B485,""),""),"")</f>
        <v/>
      </c>
      <c r="F489" t="str">
        <f t="shared" si="85"/>
        <v/>
      </c>
      <c r="G489">
        <f t="shared" si="86"/>
        <v>0</v>
      </c>
      <c r="I489" t="str">
        <f>IF($C$15&gt;=2,IF($C$13="Yes",IF(Summary!B485&lt;&gt;"",Summary!B485,""),""),"")</f>
        <v/>
      </c>
      <c r="J489" t="str">
        <f t="shared" si="87"/>
        <v/>
      </c>
      <c r="K489">
        <f t="shared" si="88"/>
        <v>0</v>
      </c>
      <c r="M489" t="str">
        <f>IF($C$15&gt;=3,IF($C$13="Yes",IF(Summary!B485&lt;&gt;"",Summary!B485,""),""),"")</f>
        <v/>
      </c>
      <c r="N489" t="str">
        <f t="shared" si="89"/>
        <v/>
      </c>
      <c r="O489">
        <f t="shared" si="90"/>
        <v>0</v>
      </c>
      <c r="Q489" t="str">
        <f>IF($C$15&gt;=4,IF($C$13="Yes",IF(Summary!B485&lt;&gt;"",Summary!B485,""),""),"")</f>
        <v/>
      </c>
      <c r="R489" t="str">
        <f t="shared" si="91"/>
        <v/>
      </c>
      <c r="S489">
        <f t="shared" si="92"/>
        <v>0</v>
      </c>
      <c r="U489" t="str">
        <f>IF($C$15&gt;=5,IF($C$13="Yes",IF(Summary!B485&lt;&gt;"",Summary!B485,""),""),"")</f>
        <v/>
      </c>
      <c r="V489" t="str">
        <f t="shared" si="93"/>
        <v/>
      </c>
      <c r="W489">
        <f t="shared" si="94"/>
        <v>0</v>
      </c>
      <c r="Y489" t="str">
        <f>IF($C$13="Yes",IF(Summary!B485&lt;&gt;"",Summary!B485,""),"")</f>
        <v/>
      </c>
      <c r="Z489" s="439" t="str">
        <f t="shared" si="95"/>
        <v/>
      </c>
      <c r="AA489" t="str">
        <f t="shared" si="84"/>
        <v/>
      </c>
    </row>
    <row r="490" spans="2:27">
      <c r="B490" t="str">
        <f>IF(Summary!B486&lt;&gt;"",Summary!B486,"")</f>
        <v/>
      </c>
      <c r="C490" t="str">
        <f>IF(Summary!C486&lt;&gt;"",Summary!C486,"")</f>
        <v/>
      </c>
      <c r="E490" t="str">
        <f>IF($C$15&gt;=1,IF($C$13="Yes",IF(Summary!B486&lt;&gt;"",Summary!B486,""),""),"")</f>
        <v/>
      </c>
      <c r="F490" t="str">
        <f t="shared" si="85"/>
        <v/>
      </c>
      <c r="G490">
        <f t="shared" si="86"/>
        <v>0</v>
      </c>
      <c r="I490" t="str">
        <f>IF($C$15&gt;=2,IF($C$13="Yes",IF(Summary!B486&lt;&gt;"",Summary!B486,""),""),"")</f>
        <v/>
      </c>
      <c r="J490" t="str">
        <f t="shared" si="87"/>
        <v/>
      </c>
      <c r="K490">
        <f t="shared" si="88"/>
        <v>0</v>
      </c>
      <c r="M490" t="str">
        <f>IF($C$15&gt;=3,IF($C$13="Yes",IF(Summary!B486&lt;&gt;"",Summary!B486,""),""),"")</f>
        <v/>
      </c>
      <c r="N490" t="str">
        <f t="shared" si="89"/>
        <v/>
      </c>
      <c r="O490">
        <f t="shared" si="90"/>
        <v>0</v>
      </c>
      <c r="Q490" t="str">
        <f>IF($C$15&gt;=4,IF($C$13="Yes",IF(Summary!B486&lt;&gt;"",Summary!B486,""),""),"")</f>
        <v/>
      </c>
      <c r="R490" t="str">
        <f t="shared" si="91"/>
        <v/>
      </c>
      <c r="S490">
        <f t="shared" si="92"/>
        <v>0</v>
      </c>
      <c r="U490" t="str">
        <f>IF($C$15&gt;=5,IF($C$13="Yes",IF(Summary!B486&lt;&gt;"",Summary!B486,""),""),"")</f>
        <v/>
      </c>
      <c r="V490" t="str">
        <f t="shared" si="93"/>
        <v/>
      </c>
      <c r="W490">
        <f t="shared" si="94"/>
        <v>0</v>
      </c>
      <c r="Y490" t="str">
        <f>IF($C$13="Yes",IF(Summary!B486&lt;&gt;"",Summary!B486,""),"")</f>
        <v/>
      </c>
      <c r="Z490" s="439" t="str">
        <f t="shared" si="95"/>
        <v/>
      </c>
      <c r="AA490" t="str">
        <f t="shared" si="84"/>
        <v/>
      </c>
    </row>
    <row r="491" spans="2:27">
      <c r="B491" t="str">
        <f>IF(Summary!B487&lt;&gt;"",Summary!B487,"")</f>
        <v/>
      </c>
      <c r="C491" t="str">
        <f>IF(Summary!C487&lt;&gt;"",Summary!C487,"")</f>
        <v/>
      </c>
      <c r="E491" t="str">
        <f>IF($C$15&gt;=1,IF($C$13="Yes",IF(Summary!B487&lt;&gt;"",Summary!B487,""),""),"")</f>
        <v/>
      </c>
      <c r="F491" t="str">
        <f t="shared" si="85"/>
        <v/>
      </c>
      <c r="G491">
        <f t="shared" si="86"/>
        <v>0</v>
      </c>
      <c r="I491" t="str">
        <f>IF($C$15&gt;=2,IF($C$13="Yes",IF(Summary!B487&lt;&gt;"",Summary!B487,""),""),"")</f>
        <v/>
      </c>
      <c r="J491" t="str">
        <f t="shared" si="87"/>
        <v/>
      </c>
      <c r="K491">
        <f t="shared" si="88"/>
        <v>0</v>
      </c>
      <c r="M491" t="str">
        <f>IF($C$15&gt;=3,IF($C$13="Yes",IF(Summary!B487&lt;&gt;"",Summary!B487,""),""),"")</f>
        <v/>
      </c>
      <c r="N491" t="str">
        <f t="shared" si="89"/>
        <v/>
      </c>
      <c r="O491">
        <f t="shared" si="90"/>
        <v>0</v>
      </c>
      <c r="Q491" t="str">
        <f>IF($C$15&gt;=4,IF($C$13="Yes",IF(Summary!B487&lt;&gt;"",Summary!B487,""),""),"")</f>
        <v/>
      </c>
      <c r="R491" t="str">
        <f t="shared" si="91"/>
        <v/>
      </c>
      <c r="S491">
        <f t="shared" si="92"/>
        <v>0</v>
      </c>
      <c r="U491" t="str">
        <f>IF($C$15&gt;=5,IF($C$13="Yes",IF(Summary!B487&lt;&gt;"",Summary!B487,""),""),"")</f>
        <v/>
      </c>
      <c r="V491" t="str">
        <f t="shared" si="93"/>
        <v/>
      </c>
      <c r="W491">
        <f t="shared" si="94"/>
        <v>0</v>
      </c>
      <c r="Y491" t="str">
        <f>IF($C$13="Yes",IF(Summary!B487&lt;&gt;"",Summary!B487,""),"")</f>
        <v/>
      </c>
      <c r="Z491" s="439" t="str">
        <f t="shared" si="95"/>
        <v/>
      </c>
      <c r="AA491" t="str">
        <f t="shared" si="84"/>
        <v/>
      </c>
    </row>
    <row r="492" spans="2:27">
      <c r="B492" t="str">
        <f>IF(Summary!B488&lt;&gt;"",Summary!B488,"")</f>
        <v/>
      </c>
      <c r="C492" t="str">
        <f>IF(Summary!C488&lt;&gt;"",Summary!C488,"")</f>
        <v/>
      </c>
      <c r="E492" t="str">
        <f>IF($C$15&gt;=1,IF($C$13="Yes",IF(Summary!B488&lt;&gt;"",Summary!B488,""),""),"")</f>
        <v/>
      </c>
      <c r="F492" t="str">
        <f t="shared" si="85"/>
        <v/>
      </c>
      <c r="G492">
        <f t="shared" si="86"/>
        <v>0</v>
      </c>
      <c r="I492" t="str">
        <f>IF($C$15&gt;=2,IF($C$13="Yes",IF(Summary!B488&lt;&gt;"",Summary!B488,""),""),"")</f>
        <v/>
      </c>
      <c r="J492" t="str">
        <f t="shared" si="87"/>
        <v/>
      </c>
      <c r="K492">
        <f t="shared" si="88"/>
        <v>0</v>
      </c>
      <c r="M492" t="str">
        <f>IF($C$15&gt;=3,IF($C$13="Yes",IF(Summary!B488&lt;&gt;"",Summary!B488,""),""),"")</f>
        <v/>
      </c>
      <c r="N492" t="str">
        <f t="shared" si="89"/>
        <v/>
      </c>
      <c r="O492">
        <f t="shared" si="90"/>
        <v>0</v>
      </c>
      <c r="Q492" t="str">
        <f>IF($C$15&gt;=4,IF($C$13="Yes",IF(Summary!B488&lt;&gt;"",Summary!B488,""),""),"")</f>
        <v/>
      </c>
      <c r="R492" t="str">
        <f t="shared" si="91"/>
        <v/>
      </c>
      <c r="S492">
        <f t="shared" si="92"/>
        <v>0</v>
      </c>
      <c r="U492" t="str">
        <f>IF($C$15&gt;=5,IF($C$13="Yes",IF(Summary!B488&lt;&gt;"",Summary!B488,""),""),"")</f>
        <v/>
      </c>
      <c r="V492" t="str">
        <f t="shared" si="93"/>
        <v/>
      </c>
      <c r="W492">
        <f t="shared" si="94"/>
        <v>0</v>
      </c>
      <c r="Y492" t="str">
        <f>IF($C$13="Yes",IF(Summary!B488&lt;&gt;"",Summary!B488,""),"")</f>
        <v/>
      </c>
      <c r="Z492" s="439" t="str">
        <f t="shared" si="95"/>
        <v/>
      </c>
      <c r="AA492" t="str">
        <f t="shared" si="84"/>
        <v/>
      </c>
    </row>
    <row r="493" spans="2:27">
      <c r="B493" t="str">
        <f>IF(Summary!B489&lt;&gt;"",Summary!B489,"")</f>
        <v/>
      </c>
      <c r="C493" t="str">
        <f>IF(Summary!C489&lt;&gt;"",Summary!C489,"")</f>
        <v/>
      </c>
      <c r="E493" t="str">
        <f>IF($C$15&gt;=1,IF($C$13="Yes",IF(Summary!B489&lt;&gt;"",Summary!B489,""),""),"")</f>
        <v/>
      </c>
      <c r="F493" t="str">
        <f t="shared" si="85"/>
        <v/>
      </c>
      <c r="G493">
        <f t="shared" si="86"/>
        <v>0</v>
      </c>
      <c r="I493" t="str">
        <f>IF($C$15&gt;=2,IF($C$13="Yes",IF(Summary!B489&lt;&gt;"",Summary!B489,""),""),"")</f>
        <v/>
      </c>
      <c r="J493" t="str">
        <f t="shared" si="87"/>
        <v/>
      </c>
      <c r="K493">
        <f t="shared" si="88"/>
        <v>0</v>
      </c>
      <c r="M493" t="str">
        <f>IF($C$15&gt;=3,IF($C$13="Yes",IF(Summary!B489&lt;&gt;"",Summary!B489,""),""),"")</f>
        <v/>
      </c>
      <c r="N493" t="str">
        <f t="shared" si="89"/>
        <v/>
      </c>
      <c r="O493">
        <f t="shared" si="90"/>
        <v>0</v>
      </c>
      <c r="Q493" t="str">
        <f>IF($C$15&gt;=4,IF($C$13="Yes",IF(Summary!B489&lt;&gt;"",Summary!B489,""),""),"")</f>
        <v/>
      </c>
      <c r="R493" t="str">
        <f t="shared" si="91"/>
        <v/>
      </c>
      <c r="S493">
        <f t="shared" si="92"/>
        <v>0</v>
      </c>
      <c r="U493" t="str">
        <f>IF($C$15&gt;=5,IF($C$13="Yes",IF(Summary!B489&lt;&gt;"",Summary!B489,""),""),"")</f>
        <v/>
      </c>
      <c r="V493" t="str">
        <f t="shared" si="93"/>
        <v/>
      </c>
      <c r="W493">
        <f t="shared" si="94"/>
        <v>0</v>
      </c>
      <c r="Y493" t="str">
        <f>IF($C$13="Yes",IF(Summary!B489&lt;&gt;"",Summary!B489,""),"")</f>
        <v/>
      </c>
      <c r="Z493" s="439" t="str">
        <f t="shared" si="95"/>
        <v/>
      </c>
      <c r="AA493" t="str">
        <f t="shared" si="84"/>
        <v/>
      </c>
    </row>
    <row r="494" spans="2:27">
      <c r="B494" t="str">
        <f>IF(Summary!B490&lt;&gt;"",Summary!B490,"")</f>
        <v/>
      </c>
      <c r="C494" t="str">
        <f>IF(Summary!C490&lt;&gt;"",Summary!C490,"")</f>
        <v/>
      </c>
      <c r="E494" t="str">
        <f>IF($C$15&gt;=1,IF($C$13="Yes",IF(Summary!B490&lt;&gt;"",Summary!B490,""),""),"")</f>
        <v/>
      </c>
      <c r="F494" t="str">
        <f t="shared" si="85"/>
        <v/>
      </c>
      <c r="G494">
        <f t="shared" si="86"/>
        <v>0</v>
      </c>
      <c r="I494" t="str">
        <f>IF($C$15&gt;=2,IF($C$13="Yes",IF(Summary!B490&lt;&gt;"",Summary!B490,""),""),"")</f>
        <v/>
      </c>
      <c r="J494" t="str">
        <f t="shared" si="87"/>
        <v/>
      </c>
      <c r="K494">
        <f t="shared" si="88"/>
        <v>0</v>
      </c>
      <c r="M494" t="str">
        <f>IF($C$15&gt;=3,IF($C$13="Yes",IF(Summary!B490&lt;&gt;"",Summary!B490,""),""),"")</f>
        <v/>
      </c>
      <c r="N494" t="str">
        <f t="shared" si="89"/>
        <v/>
      </c>
      <c r="O494">
        <f t="shared" si="90"/>
        <v>0</v>
      </c>
      <c r="Q494" t="str">
        <f>IF($C$15&gt;=4,IF($C$13="Yes",IF(Summary!B490&lt;&gt;"",Summary!B490,""),""),"")</f>
        <v/>
      </c>
      <c r="R494" t="str">
        <f t="shared" si="91"/>
        <v/>
      </c>
      <c r="S494">
        <f t="shared" si="92"/>
        <v>0</v>
      </c>
      <c r="U494" t="str">
        <f>IF($C$15&gt;=5,IF($C$13="Yes",IF(Summary!B490&lt;&gt;"",Summary!B490,""),""),"")</f>
        <v/>
      </c>
      <c r="V494" t="str">
        <f t="shared" si="93"/>
        <v/>
      </c>
      <c r="W494">
        <f t="shared" si="94"/>
        <v>0</v>
      </c>
      <c r="Y494" t="str">
        <f>IF($C$13="Yes",IF(Summary!B490&lt;&gt;"",Summary!B490,""),"")</f>
        <v/>
      </c>
      <c r="Z494" s="439" t="str">
        <f t="shared" si="95"/>
        <v/>
      </c>
      <c r="AA494" t="str">
        <f t="shared" si="84"/>
        <v/>
      </c>
    </row>
    <row r="495" spans="2:27">
      <c r="B495" t="str">
        <f>IF(Summary!B491&lt;&gt;"",Summary!B491,"")</f>
        <v/>
      </c>
      <c r="C495" t="str">
        <f>IF(Summary!C491&lt;&gt;"",Summary!C491,"")</f>
        <v/>
      </c>
      <c r="E495" t="str">
        <f>IF($C$15&gt;=1,IF($C$13="Yes",IF(Summary!B491&lt;&gt;"",Summary!B491,""),""),"")</f>
        <v/>
      </c>
      <c r="F495" t="str">
        <f t="shared" si="85"/>
        <v/>
      </c>
      <c r="G495">
        <f t="shared" si="86"/>
        <v>0</v>
      </c>
      <c r="I495" t="str">
        <f>IF($C$15&gt;=2,IF($C$13="Yes",IF(Summary!B491&lt;&gt;"",Summary!B491,""),""),"")</f>
        <v/>
      </c>
      <c r="J495" t="str">
        <f t="shared" si="87"/>
        <v/>
      </c>
      <c r="K495">
        <f t="shared" si="88"/>
        <v>0</v>
      </c>
      <c r="M495" t="str">
        <f>IF($C$15&gt;=3,IF($C$13="Yes",IF(Summary!B491&lt;&gt;"",Summary!B491,""),""),"")</f>
        <v/>
      </c>
      <c r="N495" t="str">
        <f t="shared" si="89"/>
        <v/>
      </c>
      <c r="O495">
        <f t="shared" si="90"/>
        <v>0</v>
      </c>
      <c r="Q495" t="str">
        <f>IF($C$15&gt;=4,IF($C$13="Yes",IF(Summary!B491&lt;&gt;"",Summary!B491,""),""),"")</f>
        <v/>
      </c>
      <c r="R495" t="str">
        <f t="shared" si="91"/>
        <v/>
      </c>
      <c r="S495">
        <f t="shared" si="92"/>
        <v>0</v>
      </c>
      <c r="U495" t="str">
        <f>IF($C$15&gt;=5,IF($C$13="Yes",IF(Summary!B491&lt;&gt;"",Summary!B491,""),""),"")</f>
        <v/>
      </c>
      <c r="V495" t="str">
        <f t="shared" si="93"/>
        <v/>
      </c>
      <c r="W495">
        <f t="shared" si="94"/>
        <v>0</v>
      </c>
      <c r="Y495" t="str">
        <f>IF($C$13="Yes",IF(Summary!B491&lt;&gt;"",Summary!B491,""),"")</f>
        <v/>
      </c>
      <c r="Z495" s="439" t="str">
        <f t="shared" si="95"/>
        <v/>
      </c>
      <c r="AA495" t="str">
        <f t="shared" si="84"/>
        <v/>
      </c>
    </row>
    <row r="496" spans="2:27">
      <c r="B496" t="str">
        <f>IF(Summary!B492&lt;&gt;"",Summary!B492,"")</f>
        <v/>
      </c>
      <c r="C496" t="str">
        <f>IF(Summary!C492&lt;&gt;"",Summary!C492,"")</f>
        <v/>
      </c>
      <c r="E496" t="str">
        <f>IF($C$15&gt;=1,IF($C$13="Yes",IF(Summary!B492&lt;&gt;"",Summary!B492,""),""),"")</f>
        <v/>
      </c>
      <c r="F496" t="str">
        <f t="shared" si="85"/>
        <v/>
      </c>
      <c r="G496">
        <f t="shared" si="86"/>
        <v>0</v>
      </c>
      <c r="I496" t="str">
        <f>IF($C$15&gt;=2,IF($C$13="Yes",IF(Summary!B492&lt;&gt;"",Summary!B492,""),""),"")</f>
        <v/>
      </c>
      <c r="J496" t="str">
        <f t="shared" si="87"/>
        <v/>
      </c>
      <c r="K496">
        <f t="shared" si="88"/>
        <v>0</v>
      </c>
      <c r="M496" t="str">
        <f>IF($C$15&gt;=3,IF($C$13="Yes",IF(Summary!B492&lt;&gt;"",Summary!B492,""),""),"")</f>
        <v/>
      </c>
      <c r="N496" t="str">
        <f t="shared" si="89"/>
        <v/>
      </c>
      <c r="O496">
        <f t="shared" si="90"/>
        <v>0</v>
      </c>
      <c r="Q496" t="str">
        <f>IF($C$15&gt;=4,IF($C$13="Yes",IF(Summary!B492&lt;&gt;"",Summary!B492,""),""),"")</f>
        <v/>
      </c>
      <c r="R496" t="str">
        <f t="shared" si="91"/>
        <v/>
      </c>
      <c r="S496">
        <f t="shared" si="92"/>
        <v>0</v>
      </c>
      <c r="U496" t="str">
        <f>IF($C$15&gt;=5,IF($C$13="Yes",IF(Summary!B492&lt;&gt;"",Summary!B492,""),""),"")</f>
        <v/>
      </c>
      <c r="V496" t="str">
        <f t="shared" si="93"/>
        <v/>
      </c>
      <c r="W496">
        <f t="shared" si="94"/>
        <v>0</v>
      </c>
      <c r="Y496" t="str">
        <f>IF($C$13="Yes",IF(Summary!B492&lt;&gt;"",Summary!B492,""),"")</f>
        <v/>
      </c>
      <c r="Z496" s="439" t="str">
        <f t="shared" si="95"/>
        <v/>
      </c>
      <c r="AA496" t="str">
        <f t="shared" si="84"/>
        <v/>
      </c>
    </row>
    <row r="497" spans="2:27">
      <c r="B497" t="str">
        <f>IF(Summary!B493&lt;&gt;"",Summary!B493,"")</f>
        <v/>
      </c>
      <c r="C497" t="str">
        <f>IF(Summary!C493&lt;&gt;"",Summary!C493,"")</f>
        <v/>
      </c>
      <c r="E497" t="str">
        <f>IF($C$15&gt;=1,IF($C$13="Yes",IF(Summary!B493&lt;&gt;"",Summary!B493,""),""),"")</f>
        <v/>
      </c>
      <c r="F497" t="str">
        <f t="shared" si="85"/>
        <v/>
      </c>
      <c r="G497">
        <f t="shared" si="86"/>
        <v>0</v>
      </c>
      <c r="I497" t="str">
        <f>IF($C$15&gt;=2,IF($C$13="Yes",IF(Summary!B493&lt;&gt;"",Summary!B493,""),""),"")</f>
        <v/>
      </c>
      <c r="J497" t="str">
        <f t="shared" si="87"/>
        <v/>
      </c>
      <c r="K497">
        <f t="shared" si="88"/>
        <v>0</v>
      </c>
      <c r="M497" t="str">
        <f>IF($C$15&gt;=3,IF($C$13="Yes",IF(Summary!B493&lt;&gt;"",Summary!B493,""),""),"")</f>
        <v/>
      </c>
      <c r="N497" t="str">
        <f t="shared" si="89"/>
        <v/>
      </c>
      <c r="O497">
        <f t="shared" si="90"/>
        <v>0</v>
      </c>
      <c r="Q497" t="str">
        <f>IF($C$15&gt;=4,IF($C$13="Yes",IF(Summary!B493&lt;&gt;"",Summary!B493,""),""),"")</f>
        <v/>
      </c>
      <c r="R497" t="str">
        <f t="shared" si="91"/>
        <v/>
      </c>
      <c r="S497">
        <f t="shared" si="92"/>
        <v>0</v>
      </c>
      <c r="U497" t="str">
        <f>IF($C$15&gt;=5,IF($C$13="Yes",IF(Summary!B493&lt;&gt;"",Summary!B493,""),""),"")</f>
        <v/>
      </c>
      <c r="V497" t="str">
        <f t="shared" si="93"/>
        <v/>
      </c>
      <c r="W497">
        <f t="shared" si="94"/>
        <v>0</v>
      </c>
      <c r="Y497" t="str">
        <f>IF($C$13="Yes",IF(Summary!B493&lt;&gt;"",Summary!B493,""),"")</f>
        <v/>
      </c>
      <c r="Z497" s="439" t="str">
        <f t="shared" si="95"/>
        <v/>
      </c>
      <c r="AA497" t="str">
        <f t="shared" si="84"/>
        <v/>
      </c>
    </row>
    <row r="498" spans="2:27">
      <c r="B498" t="str">
        <f>IF(Summary!B494&lt;&gt;"",Summary!B494,"")</f>
        <v/>
      </c>
      <c r="C498" t="str">
        <f>IF(Summary!C494&lt;&gt;"",Summary!C494,"")</f>
        <v/>
      </c>
      <c r="E498" t="str">
        <f>IF($C$15&gt;=1,IF($C$13="Yes",IF(Summary!B494&lt;&gt;"",Summary!B494,""),""),"")</f>
        <v/>
      </c>
      <c r="F498" t="str">
        <f t="shared" si="85"/>
        <v/>
      </c>
      <c r="G498">
        <f t="shared" si="86"/>
        <v>0</v>
      </c>
      <c r="I498" t="str">
        <f>IF($C$15&gt;=2,IF($C$13="Yes",IF(Summary!B494&lt;&gt;"",Summary!B494,""),""),"")</f>
        <v/>
      </c>
      <c r="J498" t="str">
        <f t="shared" si="87"/>
        <v/>
      </c>
      <c r="K498">
        <f t="shared" si="88"/>
        <v>0</v>
      </c>
      <c r="M498" t="str">
        <f>IF($C$15&gt;=3,IF($C$13="Yes",IF(Summary!B494&lt;&gt;"",Summary!B494,""),""),"")</f>
        <v/>
      </c>
      <c r="N498" t="str">
        <f t="shared" si="89"/>
        <v/>
      </c>
      <c r="O498">
        <f t="shared" si="90"/>
        <v>0</v>
      </c>
      <c r="Q498" t="str">
        <f>IF($C$15&gt;=4,IF($C$13="Yes",IF(Summary!B494&lt;&gt;"",Summary!B494,""),""),"")</f>
        <v/>
      </c>
      <c r="R498" t="str">
        <f t="shared" si="91"/>
        <v/>
      </c>
      <c r="S498">
        <f t="shared" si="92"/>
        <v>0</v>
      </c>
      <c r="U498" t="str">
        <f>IF($C$15&gt;=5,IF($C$13="Yes",IF(Summary!B494&lt;&gt;"",Summary!B494,""),""),"")</f>
        <v/>
      </c>
      <c r="V498" t="str">
        <f t="shared" si="93"/>
        <v/>
      </c>
      <c r="W498">
        <f t="shared" si="94"/>
        <v>0</v>
      </c>
      <c r="Y498" t="str">
        <f>IF($C$13="Yes",IF(Summary!B494&lt;&gt;"",Summary!B494,""),"")</f>
        <v/>
      </c>
      <c r="Z498" s="439" t="str">
        <f t="shared" si="95"/>
        <v/>
      </c>
      <c r="AA498" t="str">
        <f t="shared" si="84"/>
        <v/>
      </c>
    </row>
    <row r="499" spans="2:27">
      <c r="B499" t="str">
        <f>IF(Summary!B495&lt;&gt;"",Summary!B495,"")</f>
        <v/>
      </c>
      <c r="C499" t="str">
        <f>IF(Summary!C495&lt;&gt;"",Summary!C495,"")</f>
        <v/>
      </c>
      <c r="E499" t="str">
        <f>IF($C$15&gt;=1,IF($C$13="Yes",IF(Summary!B495&lt;&gt;"",Summary!B495,""),""),"")</f>
        <v/>
      </c>
      <c r="F499" t="str">
        <f t="shared" si="85"/>
        <v/>
      </c>
      <c r="G499">
        <f t="shared" si="86"/>
        <v>0</v>
      </c>
      <c r="I499" t="str">
        <f>IF($C$15&gt;=2,IF($C$13="Yes",IF(Summary!B495&lt;&gt;"",Summary!B495,""),""),"")</f>
        <v/>
      </c>
      <c r="J499" t="str">
        <f t="shared" si="87"/>
        <v/>
      </c>
      <c r="K499">
        <f t="shared" si="88"/>
        <v>0</v>
      </c>
      <c r="M499" t="str">
        <f>IF($C$15&gt;=3,IF($C$13="Yes",IF(Summary!B495&lt;&gt;"",Summary!B495,""),""),"")</f>
        <v/>
      </c>
      <c r="N499" t="str">
        <f t="shared" si="89"/>
        <v/>
      </c>
      <c r="O499">
        <f t="shared" si="90"/>
        <v>0</v>
      </c>
      <c r="Q499" t="str">
        <f>IF($C$15&gt;=4,IF($C$13="Yes",IF(Summary!B495&lt;&gt;"",Summary!B495,""),""),"")</f>
        <v/>
      </c>
      <c r="R499" t="str">
        <f t="shared" si="91"/>
        <v/>
      </c>
      <c r="S499">
        <f t="shared" si="92"/>
        <v>0</v>
      </c>
      <c r="U499" t="str">
        <f>IF($C$15&gt;=5,IF($C$13="Yes",IF(Summary!B495&lt;&gt;"",Summary!B495,""),""),"")</f>
        <v/>
      </c>
      <c r="V499" t="str">
        <f t="shared" si="93"/>
        <v/>
      </c>
      <c r="W499">
        <f t="shared" si="94"/>
        <v>0</v>
      </c>
      <c r="Y499" t="str">
        <f>IF($C$13="Yes",IF(Summary!B495&lt;&gt;"",Summary!B495,""),"")</f>
        <v/>
      </c>
      <c r="Z499" s="439" t="str">
        <f t="shared" si="95"/>
        <v/>
      </c>
      <c r="AA499" t="str">
        <f t="shared" si="84"/>
        <v/>
      </c>
    </row>
    <row r="500" spans="2:27">
      <c r="B500" t="str">
        <f>IF(Summary!B496&lt;&gt;"",Summary!B496,"")</f>
        <v/>
      </c>
      <c r="C500" t="str">
        <f>IF(Summary!C496&lt;&gt;"",Summary!C496,"")</f>
        <v/>
      </c>
      <c r="E500" t="str">
        <f>IF($C$15&gt;=1,IF($C$13="Yes",IF(Summary!B496&lt;&gt;"",Summary!B496,""),""),"")</f>
        <v/>
      </c>
      <c r="F500" t="str">
        <f t="shared" si="85"/>
        <v/>
      </c>
      <c r="G500">
        <f t="shared" si="86"/>
        <v>0</v>
      </c>
      <c r="I500" t="str">
        <f>IF($C$15&gt;=2,IF($C$13="Yes",IF(Summary!B496&lt;&gt;"",Summary!B496,""),""),"")</f>
        <v/>
      </c>
      <c r="J500" t="str">
        <f t="shared" si="87"/>
        <v/>
      </c>
      <c r="K500">
        <f t="shared" si="88"/>
        <v>0</v>
      </c>
      <c r="M500" t="str">
        <f>IF($C$15&gt;=3,IF($C$13="Yes",IF(Summary!B496&lt;&gt;"",Summary!B496,""),""),"")</f>
        <v/>
      </c>
      <c r="N500" t="str">
        <f t="shared" si="89"/>
        <v/>
      </c>
      <c r="O500">
        <f t="shared" si="90"/>
        <v>0</v>
      </c>
      <c r="Q500" t="str">
        <f>IF($C$15&gt;=4,IF($C$13="Yes",IF(Summary!B496&lt;&gt;"",Summary!B496,""),""),"")</f>
        <v/>
      </c>
      <c r="R500" t="str">
        <f t="shared" si="91"/>
        <v/>
      </c>
      <c r="S500">
        <f t="shared" si="92"/>
        <v>0</v>
      </c>
      <c r="U500" t="str">
        <f>IF($C$15&gt;=5,IF($C$13="Yes",IF(Summary!B496&lt;&gt;"",Summary!B496,""),""),"")</f>
        <v/>
      </c>
      <c r="V500" t="str">
        <f t="shared" si="93"/>
        <v/>
      </c>
      <c r="W500">
        <f t="shared" si="94"/>
        <v>0</v>
      </c>
      <c r="Y500" t="str">
        <f>IF($C$13="Yes",IF(Summary!B496&lt;&gt;"",Summary!B496,""),"")</f>
        <v/>
      </c>
      <c r="Z500" s="439" t="str">
        <f t="shared" si="95"/>
        <v/>
      </c>
      <c r="AA500" t="str">
        <f t="shared" si="84"/>
        <v/>
      </c>
    </row>
    <row r="501" spans="2:27">
      <c r="B501" t="str">
        <f>IF(Summary!B497&lt;&gt;"",Summary!B497,"")</f>
        <v/>
      </c>
      <c r="C501" t="str">
        <f>IF(Summary!C497&lt;&gt;"",Summary!C497,"")</f>
        <v/>
      </c>
      <c r="E501" t="str">
        <f>IF($C$15&gt;=1,IF($C$13="Yes",IF(Summary!B497&lt;&gt;"",Summary!B497,""),""),"")</f>
        <v/>
      </c>
      <c r="F501" t="str">
        <f t="shared" si="85"/>
        <v/>
      </c>
      <c r="G501">
        <f t="shared" si="86"/>
        <v>0</v>
      </c>
      <c r="I501" t="str">
        <f>IF($C$15&gt;=2,IF($C$13="Yes",IF(Summary!B497&lt;&gt;"",Summary!B497,""),""),"")</f>
        <v/>
      </c>
      <c r="J501" t="str">
        <f t="shared" si="87"/>
        <v/>
      </c>
      <c r="K501">
        <f t="shared" si="88"/>
        <v>0</v>
      </c>
      <c r="M501" t="str">
        <f>IF($C$15&gt;=3,IF($C$13="Yes",IF(Summary!B497&lt;&gt;"",Summary!B497,""),""),"")</f>
        <v/>
      </c>
      <c r="N501" t="str">
        <f t="shared" si="89"/>
        <v/>
      </c>
      <c r="O501">
        <f t="shared" si="90"/>
        <v>0</v>
      </c>
      <c r="Q501" t="str">
        <f>IF($C$15&gt;=4,IF($C$13="Yes",IF(Summary!B497&lt;&gt;"",Summary!B497,""),""),"")</f>
        <v/>
      </c>
      <c r="R501" t="str">
        <f t="shared" si="91"/>
        <v/>
      </c>
      <c r="S501">
        <f t="shared" si="92"/>
        <v>0</v>
      </c>
      <c r="U501" t="str">
        <f>IF($C$15&gt;=5,IF($C$13="Yes",IF(Summary!B497&lt;&gt;"",Summary!B497,""),""),"")</f>
        <v/>
      </c>
      <c r="V501" t="str">
        <f t="shared" si="93"/>
        <v/>
      </c>
      <c r="W501">
        <f t="shared" si="94"/>
        <v>0</v>
      </c>
      <c r="Y501" t="str">
        <f>IF($C$13="Yes",IF(Summary!B497&lt;&gt;"",Summary!B497,""),"")</f>
        <v/>
      </c>
      <c r="Z501" s="439" t="str">
        <f t="shared" si="95"/>
        <v/>
      </c>
      <c r="AA501" t="str">
        <f t="shared" si="84"/>
        <v/>
      </c>
    </row>
    <row r="502" spans="2:27">
      <c r="B502" t="str">
        <f>IF(Summary!B498&lt;&gt;"",Summary!B498,"")</f>
        <v/>
      </c>
      <c r="C502" t="str">
        <f>IF(Summary!C498&lt;&gt;"",Summary!C498,"")</f>
        <v/>
      </c>
      <c r="E502" t="str">
        <f>IF($C$15&gt;=1,IF($C$13="Yes",IF(Summary!B498&lt;&gt;"",Summary!B498,""),""),"")</f>
        <v/>
      </c>
      <c r="F502" t="str">
        <f t="shared" si="85"/>
        <v/>
      </c>
      <c r="G502">
        <f t="shared" si="86"/>
        <v>0</v>
      </c>
      <c r="I502" t="str">
        <f>IF($C$15&gt;=2,IF($C$13="Yes",IF(Summary!B498&lt;&gt;"",Summary!B498,""),""),"")</f>
        <v/>
      </c>
      <c r="J502" t="str">
        <f t="shared" si="87"/>
        <v/>
      </c>
      <c r="K502">
        <f t="shared" si="88"/>
        <v>0</v>
      </c>
      <c r="M502" t="str">
        <f>IF($C$15&gt;=3,IF($C$13="Yes",IF(Summary!B498&lt;&gt;"",Summary!B498,""),""),"")</f>
        <v/>
      </c>
      <c r="N502" t="str">
        <f t="shared" si="89"/>
        <v/>
      </c>
      <c r="O502">
        <f t="shared" si="90"/>
        <v>0</v>
      </c>
      <c r="Q502" t="str">
        <f>IF($C$15&gt;=4,IF($C$13="Yes",IF(Summary!B498&lt;&gt;"",Summary!B498,""),""),"")</f>
        <v/>
      </c>
      <c r="R502" t="str">
        <f t="shared" si="91"/>
        <v/>
      </c>
      <c r="S502">
        <f t="shared" si="92"/>
        <v>0</v>
      </c>
      <c r="U502" t="str">
        <f>IF($C$15&gt;=5,IF($C$13="Yes",IF(Summary!B498&lt;&gt;"",Summary!B498,""),""),"")</f>
        <v/>
      </c>
      <c r="V502" t="str">
        <f t="shared" si="93"/>
        <v/>
      </c>
      <c r="W502">
        <f t="shared" si="94"/>
        <v>0</v>
      </c>
      <c r="Y502" t="str">
        <f>IF($C$13="Yes",IF(Summary!B498&lt;&gt;"",Summary!B498,""),"")</f>
        <v/>
      </c>
      <c r="Z502" s="439" t="str">
        <f t="shared" si="95"/>
        <v/>
      </c>
      <c r="AA502" t="str">
        <f t="shared" si="84"/>
        <v/>
      </c>
    </row>
    <row r="503" spans="2:27">
      <c r="B503" t="str">
        <f>IF(Summary!B499&lt;&gt;"",Summary!B499,"")</f>
        <v/>
      </c>
      <c r="C503" t="str">
        <f>IF(Summary!C499&lt;&gt;"",Summary!C499,"")</f>
        <v/>
      </c>
      <c r="E503" t="str">
        <f>IF($C$15&gt;=1,IF($C$13="Yes",IF(Summary!B499&lt;&gt;"",Summary!B499,""),""),"")</f>
        <v/>
      </c>
      <c r="F503" t="str">
        <f t="shared" si="85"/>
        <v/>
      </c>
      <c r="G503">
        <f t="shared" si="86"/>
        <v>0</v>
      </c>
      <c r="I503" t="str">
        <f>IF($C$15&gt;=2,IF($C$13="Yes",IF(Summary!B499&lt;&gt;"",Summary!B499,""),""),"")</f>
        <v/>
      </c>
      <c r="J503" t="str">
        <f t="shared" si="87"/>
        <v/>
      </c>
      <c r="K503">
        <f t="shared" si="88"/>
        <v>0</v>
      </c>
      <c r="M503" t="str">
        <f>IF($C$15&gt;=3,IF($C$13="Yes",IF(Summary!B499&lt;&gt;"",Summary!B499,""),""),"")</f>
        <v/>
      </c>
      <c r="N503" t="str">
        <f t="shared" si="89"/>
        <v/>
      </c>
      <c r="O503">
        <f t="shared" si="90"/>
        <v>0</v>
      </c>
      <c r="Q503" t="str">
        <f>IF($C$15&gt;=4,IF($C$13="Yes",IF(Summary!B499&lt;&gt;"",Summary!B499,""),""),"")</f>
        <v/>
      </c>
      <c r="R503" t="str">
        <f t="shared" si="91"/>
        <v/>
      </c>
      <c r="S503">
        <f t="shared" si="92"/>
        <v>0</v>
      </c>
      <c r="U503" t="str">
        <f>IF($C$15&gt;=5,IF($C$13="Yes",IF(Summary!B499&lt;&gt;"",Summary!B499,""),""),"")</f>
        <v/>
      </c>
      <c r="V503" t="str">
        <f t="shared" si="93"/>
        <v/>
      </c>
      <c r="W503">
        <f t="shared" si="94"/>
        <v>0</v>
      </c>
      <c r="Y503" t="str">
        <f>IF($C$13="Yes",IF(Summary!B499&lt;&gt;"",Summary!B499,""),"")</f>
        <v/>
      </c>
      <c r="Z503" s="439" t="str">
        <f t="shared" si="95"/>
        <v/>
      </c>
      <c r="AA503" t="str">
        <f t="shared" si="84"/>
        <v/>
      </c>
    </row>
    <row r="504" spans="2:27">
      <c r="B504" t="str">
        <f>IF(Summary!B500&lt;&gt;"",Summary!B500,"")</f>
        <v/>
      </c>
      <c r="C504" t="str">
        <f>IF(Summary!C500&lt;&gt;"",Summary!C500,"")</f>
        <v/>
      </c>
      <c r="E504" t="str">
        <f>IF($C$15&gt;=1,IF($C$13="Yes",IF(Summary!B500&lt;&gt;"",Summary!B500,""),""),"")</f>
        <v/>
      </c>
      <c r="F504" t="str">
        <f t="shared" si="85"/>
        <v/>
      </c>
      <c r="G504">
        <f t="shared" si="86"/>
        <v>0</v>
      </c>
      <c r="I504" t="str">
        <f>IF($C$15&gt;=2,IF($C$13="Yes",IF(Summary!B500&lt;&gt;"",Summary!B500,""),""),"")</f>
        <v/>
      </c>
      <c r="J504" t="str">
        <f t="shared" si="87"/>
        <v/>
      </c>
      <c r="K504">
        <f t="shared" si="88"/>
        <v>0</v>
      </c>
      <c r="M504" t="str">
        <f>IF($C$15&gt;=3,IF($C$13="Yes",IF(Summary!B500&lt;&gt;"",Summary!B500,""),""),"")</f>
        <v/>
      </c>
      <c r="N504" t="str">
        <f t="shared" si="89"/>
        <v/>
      </c>
      <c r="O504">
        <f t="shared" si="90"/>
        <v>0</v>
      </c>
      <c r="Q504" t="str">
        <f>IF($C$15&gt;=4,IF($C$13="Yes",IF(Summary!B500&lt;&gt;"",Summary!B500,""),""),"")</f>
        <v/>
      </c>
      <c r="R504" t="str">
        <f t="shared" si="91"/>
        <v/>
      </c>
      <c r="S504">
        <f t="shared" si="92"/>
        <v>0</v>
      </c>
      <c r="U504" t="str">
        <f>IF($C$15&gt;=5,IF($C$13="Yes",IF(Summary!B500&lt;&gt;"",Summary!B500,""),""),"")</f>
        <v/>
      </c>
      <c r="V504" t="str">
        <f t="shared" si="93"/>
        <v/>
      </c>
      <c r="W504">
        <f t="shared" si="94"/>
        <v>0</v>
      </c>
      <c r="Y504" t="str">
        <f>IF($C$13="Yes",IF(Summary!B500&lt;&gt;"",Summary!B500,""),"")</f>
        <v/>
      </c>
      <c r="Z504" s="439" t="str">
        <f t="shared" si="95"/>
        <v/>
      </c>
      <c r="AA504" t="str">
        <f t="shared" si="84"/>
        <v/>
      </c>
    </row>
    <row r="505" spans="2:27">
      <c r="B505" t="str">
        <f>IF(Summary!B501&lt;&gt;"",Summary!B501,"")</f>
        <v/>
      </c>
      <c r="C505" t="str">
        <f>IF(Summary!C501&lt;&gt;"",Summary!C501,"")</f>
        <v/>
      </c>
      <c r="E505" t="str">
        <f>IF($C$15&gt;=1,IF($C$13="Yes",IF(Summary!B501&lt;&gt;"",Summary!B501,""),""),"")</f>
        <v/>
      </c>
      <c r="F505" t="str">
        <f t="shared" si="85"/>
        <v/>
      </c>
      <c r="G505">
        <f t="shared" si="86"/>
        <v>0</v>
      </c>
      <c r="I505" t="str">
        <f>IF($C$15&gt;=2,IF($C$13="Yes",IF(Summary!B501&lt;&gt;"",Summary!B501,""),""),"")</f>
        <v/>
      </c>
      <c r="J505" t="str">
        <f t="shared" si="87"/>
        <v/>
      </c>
      <c r="K505">
        <f t="shared" si="88"/>
        <v>0</v>
      </c>
      <c r="M505" t="str">
        <f>IF($C$15&gt;=3,IF($C$13="Yes",IF(Summary!B501&lt;&gt;"",Summary!B501,""),""),"")</f>
        <v/>
      </c>
      <c r="N505" t="str">
        <f t="shared" si="89"/>
        <v/>
      </c>
      <c r="O505">
        <f t="shared" si="90"/>
        <v>0</v>
      </c>
      <c r="Q505" t="str">
        <f>IF($C$15&gt;=4,IF($C$13="Yes",IF(Summary!B501&lt;&gt;"",Summary!B501,""),""),"")</f>
        <v/>
      </c>
      <c r="R505" t="str">
        <f t="shared" si="91"/>
        <v/>
      </c>
      <c r="S505">
        <f t="shared" si="92"/>
        <v>0</v>
      </c>
      <c r="U505" t="str">
        <f>IF($C$15&gt;=5,IF($C$13="Yes",IF(Summary!B501&lt;&gt;"",Summary!B501,""),""),"")</f>
        <v/>
      </c>
      <c r="V505" t="str">
        <f t="shared" si="93"/>
        <v/>
      </c>
      <c r="W505">
        <f t="shared" si="94"/>
        <v>0</v>
      </c>
      <c r="Y505" t="str">
        <f>IF($C$13="Yes",IF(Summary!B501&lt;&gt;"",Summary!B501,""),"")</f>
        <v/>
      </c>
      <c r="Z505" s="439" t="str">
        <f t="shared" si="95"/>
        <v/>
      </c>
      <c r="AA505" t="str">
        <f t="shared" si="84"/>
        <v/>
      </c>
    </row>
    <row r="506" spans="2:27">
      <c r="B506" t="str">
        <f>IF(Summary!B502&lt;&gt;"",Summary!B502,"")</f>
        <v/>
      </c>
      <c r="C506" t="str">
        <f>IF(Summary!C502&lt;&gt;"",Summary!C502,"")</f>
        <v/>
      </c>
      <c r="E506" t="str">
        <f>IF($C$15&gt;=1,IF($C$13="Yes",IF(Summary!B502&lt;&gt;"",Summary!B502,""),""),"")</f>
        <v/>
      </c>
      <c r="F506" t="str">
        <f t="shared" si="85"/>
        <v/>
      </c>
      <c r="G506">
        <f t="shared" si="86"/>
        <v>0</v>
      </c>
      <c r="I506" t="str">
        <f>IF($C$15&gt;=2,IF($C$13="Yes",IF(Summary!B502&lt;&gt;"",Summary!B502,""),""),"")</f>
        <v/>
      </c>
      <c r="J506" t="str">
        <f t="shared" si="87"/>
        <v/>
      </c>
      <c r="K506">
        <f t="shared" si="88"/>
        <v>0</v>
      </c>
      <c r="M506" t="str">
        <f>IF($C$15&gt;=3,IF($C$13="Yes",IF(Summary!B502&lt;&gt;"",Summary!B502,""),""),"")</f>
        <v/>
      </c>
      <c r="N506" t="str">
        <f t="shared" si="89"/>
        <v/>
      </c>
      <c r="O506">
        <f t="shared" si="90"/>
        <v>0</v>
      </c>
      <c r="Q506" t="str">
        <f>IF($C$15&gt;=4,IF($C$13="Yes",IF(Summary!B502&lt;&gt;"",Summary!B502,""),""),"")</f>
        <v/>
      </c>
      <c r="R506" t="str">
        <f t="shared" si="91"/>
        <v/>
      </c>
      <c r="S506">
        <f t="shared" si="92"/>
        <v>0</v>
      </c>
      <c r="U506" t="str">
        <f>IF($C$15&gt;=5,IF($C$13="Yes",IF(Summary!B502&lt;&gt;"",Summary!B502,""),""),"")</f>
        <v/>
      </c>
      <c r="V506" t="str">
        <f t="shared" si="93"/>
        <v/>
      </c>
      <c r="W506">
        <f t="shared" si="94"/>
        <v>0</v>
      </c>
      <c r="Y506" t="str">
        <f>IF($C$13="Yes",IF(Summary!B502&lt;&gt;"",Summary!B502,""),"")</f>
        <v/>
      </c>
      <c r="Z506" s="439" t="str">
        <f t="shared" si="95"/>
        <v/>
      </c>
      <c r="AA506" t="str">
        <f t="shared" si="84"/>
        <v/>
      </c>
    </row>
    <row r="507" spans="2:27">
      <c r="B507" t="str">
        <f>IF(Summary!B503&lt;&gt;"",Summary!B503,"")</f>
        <v/>
      </c>
      <c r="C507" t="str">
        <f>IF(Summary!C503&lt;&gt;"",Summary!C503,"")</f>
        <v/>
      </c>
      <c r="E507" t="str">
        <f>IF($C$15&gt;=1,IF($C$13="Yes",IF(Summary!B503&lt;&gt;"",Summary!B503,""),""),"")</f>
        <v/>
      </c>
      <c r="F507" t="str">
        <f t="shared" si="85"/>
        <v/>
      </c>
      <c r="G507">
        <f t="shared" si="86"/>
        <v>0</v>
      </c>
      <c r="I507" t="str">
        <f>IF($C$15&gt;=2,IF($C$13="Yes",IF(Summary!B503&lt;&gt;"",Summary!B503,""),""),"")</f>
        <v/>
      </c>
      <c r="J507" t="str">
        <f t="shared" si="87"/>
        <v/>
      </c>
      <c r="K507">
        <f t="shared" si="88"/>
        <v>0</v>
      </c>
      <c r="M507" t="str">
        <f>IF($C$15&gt;=3,IF($C$13="Yes",IF(Summary!B503&lt;&gt;"",Summary!B503,""),""),"")</f>
        <v/>
      </c>
      <c r="N507" t="str">
        <f t="shared" si="89"/>
        <v/>
      </c>
      <c r="O507">
        <f t="shared" si="90"/>
        <v>0</v>
      </c>
      <c r="Q507" t="str">
        <f>IF($C$15&gt;=4,IF($C$13="Yes",IF(Summary!B503&lt;&gt;"",Summary!B503,""),""),"")</f>
        <v/>
      </c>
      <c r="R507" t="str">
        <f t="shared" si="91"/>
        <v/>
      </c>
      <c r="S507">
        <f t="shared" si="92"/>
        <v>0</v>
      </c>
      <c r="U507" t="str">
        <f>IF($C$15&gt;=5,IF($C$13="Yes",IF(Summary!B503&lt;&gt;"",Summary!B503,""),""),"")</f>
        <v/>
      </c>
      <c r="V507" t="str">
        <f t="shared" si="93"/>
        <v/>
      </c>
      <c r="W507">
        <f t="shared" si="94"/>
        <v>0</v>
      </c>
      <c r="Y507" t="str">
        <f>IF($C$13="Yes",IF(Summary!B503&lt;&gt;"",Summary!B503,""),"")</f>
        <v/>
      </c>
      <c r="Z507" s="439" t="str">
        <f t="shared" si="95"/>
        <v/>
      </c>
      <c r="AA507" t="str">
        <f t="shared" si="84"/>
        <v/>
      </c>
    </row>
    <row r="508" spans="2:27">
      <c r="B508" t="str">
        <f>IF(Summary!B504&lt;&gt;"",Summary!B504,"")</f>
        <v/>
      </c>
      <c r="C508" t="str">
        <f>IF(Summary!C504&lt;&gt;"",Summary!C504,"")</f>
        <v/>
      </c>
      <c r="E508" t="str">
        <f>IF($C$15&gt;=1,IF($C$13="Yes",IF(Summary!B504&lt;&gt;"",Summary!B504,""),""),"")</f>
        <v/>
      </c>
      <c r="F508" t="str">
        <f t="shared" si="85"/>
        <v/>
      </c>
      <c r="G508">
        <f t="shared" si="86"/>
        <v>0</v>
      </c>
      <c r="I508" t="str">
        <f>IF($C$15&gt;=2,IF($C$13="Yes",IF(Summary!B504&lt;&gt;"",Summary!B504,""),""),"")</f>
        <v/>
      </c>
      <c r="J508" t="str">
        <f t="shared" si="87"/>
        <v/>
      </c>
      <c r="K508">
        <f t="shared" si="88"/>
        <v>0</v>
      </c>
      <c r="M508" t="str">
        <f>IF($C$15&gt;=3,IF($C$13="Yes",IF(Summary!B504&lt;&gt;"",Summary!B504,""),""),"")</f>
        <v/>
      </c>
      <c r="N508" t="str">
        <f t="shared" si="89"/>
        <v/>
      </c>
      <c r="O508">
        <f t="shared" si="90"/>
        <v>0</v>
      </c>
      <c r="Q508" t="str">
        <f>IF($C$15&gt;=4,IF($C$13="Yes",IF(Summary!B504&lt;&gt;"",Summary!B504,""),""),"")</f>
        <v/>
      </c>
      <c r="R508" t="str">
        <f t="shared" si="91"/>
        <v/>
      </c>
      <c r="S508">
        <f t="shared" si="92"/>
        <v>0</v>
      </c>
      <c r="U508" t="str">
        <f>IF($C$15&gt;=5,IF($C$13="Yes",IF(Summary!B504&lt;&gt;"",Summary!B504,""),""),"")</f>
        <v/>
      </c>
      <c r="V508" t="str">
        <f t="shared" si="93"/>
        <v/>
      </c>
      <c r="W508">
        <f t="shared" si="94"/>
        <v>0</v>
      </c>
      <c r="Y508" t="str">
        <f>IF($C$13="Yes",IF(Summary!B504&lt;&gt;"",Summary!B504,""),"")</f>
        <v/>
      </c>
      <c r="Z508" s="439" t="str">
        <f t="shared" si="95"/>
        <v/>
      </c>
      <c r="AA508" t="str">
        <f t="shared" si="84"/>
        <v/>
      </c>
    </row>
    <row r="509" spans="2:27">
      <c r="B509" t="str">
        <f>IF(Summary!B505&lt;&gt;"",Summary!B505,"")</f>
        <v/>
      </c>
      <c r="C509" t="str">
        <f>IF(Summary!C505&lt;&gt;"",Summary!C505,"")</f>
        <v/>
      </c>
      <c r="E509" t="str">
        <f>IF($C$15&gt;=1,IF($C$13="Yes",IF(Summary!B505&lt;&gt;"",Summary!B505,""),""),"")</f>
        <v/>
      </c>
      <c r="F509" t="str">
        <f t="shared" si="85"/>
        <v/>
      </c>
      <c r="G509">
        <f t="shared" si="86"/>
        <v>0</v>
      </c>
      <c r="I509" t="str">
        <f>IF($C$15&gt;=2,IF($C$13="Yes",IF(Summary!B505&lt;&gt;"",Summary!B505,""),""),"")</f>
        <v/>
      </c>
      <c r="J509" t="str">
        <f t="shared" si="87"/>
        <v/>
      </c>
      <c r="K509">
        <f t="shared" si="88"/>
        <v>0</v>
      </c>
      <c r="M509" t="str">
        <f>IF($C$15&gt;=3,IF($C$13="Yes",IF(Summary!B505&lt;&gt;"",Summary!B505,""),""),"")</f>
        <v/>
      </c>
      <c r="N509" t="str">
        <f t="shared" si="89"/>
        <v/>
      </c>
      <c r="O509">
        <f t="shared" si="90"/>
        <v>0</v>
      </c>
      <c r="Q509" t="str">
        <f>IF($C$15&gt;=4,IF($C$13="Yes",IF(Summary!B505&lt;&gt;"",Summary!B505,""),""),"")</f>
        <v/>
      </c>
      <c r="R509" t="str">
        <f t="shared" si="91"/>
        <v/>
      </c>
      <c r="S509">
        <f t="shared" si="92"/>
        <v>0</v>
      </c>
      <c r="U509" t="str">
        <f>IF($C$15&gt;=5,IF($C$13="Yes",IF(Summary!B505&lt;&gt;"",Summary!B505,""),""),"")</f>
        <v/>
      </c>
      <c r="V509" t="str">
        <f t="shared" si="93"/>
        <v/>
      </c>
      <c r="W509">
        <f t="shared" si="94"/>
        <v>0</v>
      </c>
      <c r="Y509" t="str">
        <f>IF($C$13="Yes",IF(Summary!B505&lt;&gt;"",Summary!B505,""),"")</f>
        <v/>
      </c>
      <c r="Z509" s="439" t="str">
        <f t="shared" si="95"/>
        <v/>
      </c>
      <c r="AA509" t="str">
        <f t="shared" si="84"/>
        <v/>
      </c>
    </row>
    <row r="510" spans="2:27">
      <c r="Z510" s="431"/>
    </row>
    <row r="511" spans="2:27">
      <c r="Z511" s="431"/>
    </row>
    <row r="512" spans="2:27">
      <c r="Z512" s="431"/>
    </row>
    <row r="513" spans="26:26">
      <c r="Z513" s="431"/>
    </row>
    <row r="514" spans="26:26">
      <c r="Z514" s="431"/>
    </row>
    <row r="515" spans="26:26">
      <c r="Z515" s="431"/>
    </row>
    <row r="516" spans="26:26">
      <c r="Z516" s="431"/>
    </row>
    <row r="517" spans="26:26">
      <c r="Z517" s="431"/>
    </row>
    <row r="518" spans="26:26">
      <c r="Z518" s="431"/>
    </row>
    <row r="519" spans="26:26">
      <c r="Z519" s="431"/>
    </row>
    <row r="520" spans="26:26">
      <c r="Z520" s="431"/>
    </row>
    <row r="521" spans="26:26">
      <c r="Z521" s="431"/>
    </row>
    <row r="522" spans="26:26">
      <c r="Z522" s="431"/>
    </row>
    <row r="523" spans="26:26">
      <c r="Z523" s="431"/>
    </row>
    <row r="524" spans="26:26">
      <c r="Z524" s="431"/>
    </row>
    <row r="525" spans="26:26">
      <c r="Z525" s="431"/>
    </row>
    <row r="526" spans="26:26">
      <c r="Z526" s="431"/>
    </row>
    <row r="527" spans="26:26">
      <c r="Z527" s="431"/>
    </row>
    <row r="528" spans="26:26">
      <c r="Z528" s="431"/>
    </row>
    <row r="529" spans="26:26">
      <c r="Z529" s="431"/>
    </row>
    <row r="530" spans="26:26">
      <c r="Z530" s="431"/>
    </row>
    <row r="531" spans="26:26">
      <c r="Z531" s="431"/>
    </row>
  </sheetData>
  <sheetProtection algorithmName="SHA-512" hashValue="WJq+uYcbDY7AR6UkDOIbTG7W3EAPAu+LBFPyQ3Em8XBd9QsZaoSr5huNPNSrZOi0vUsoziXkvyA7tjS+XuTuxg==" saltValue="DY93CHdTX1ZGmdQRKa36kQ==" spinCount="100000" sheet="1" objects="1" scenarios="1"/>
  <mergeCells count="13">
    <mergeCell ref="AD25:AE25"/>
    <mergeCell ref="AD22:AE23"/>
    <mergeCell ref="AD24:AE24"/>
    <mergeCell ref="I13:Q13"/>
    <mergeCell ref="Y17:Z17"/>
    <mergeCell ref="D1:Q1"/>
    <mergeCell ref="D2:Q8"/>
    <mergeCell ref="U17:V17"/>
    <mergeCell ref="E17:F17"/>
    <mergeCell ref="I17:J17"/>
    <mergeCell ref="M17:N17"/>
    <mergeCell ref="Q17:R17"/>
    <mergeCell ref="R1:U8"/>
  </mergeCells>
  <conditionalFormatting sqref="B18:B509">
    <cfRule type="expression" dxfId="49" priority="32">
      <formula>B18&lt;&gt;""</formula>
    </cfRule>
  </conditionalFormatting>
  <conditionalFormatting sqref="C14">
    <cfRule type="expression" dxfId="48" priority="1">
      <formula>$C$14&lt;50%</formula>
    </cfRule>
  </conditionalFormatting>
  <conditionalFormatting sqref="C18:C509">
    <cfRule type="expression" dxfId="47" priority="33">
      <formula>B18&lt;&gt;""</formula>
    </cfRule>
  </conditionalFormatting>
  <conditionalFormatting sqref="E18:E509">
    <cfRule type="expression" dxfId="46" priority="39">
      <formula>E18&lt;&gt;""</formula>
    </cfRule>
  </conditionalFormatting>
  <conditionalFormatting sqref="E18:F509">
    <cfRule type="expression" dxfId="45" priority="20">
      <formula>$C$15&lt;2</formula>
    </cfRule>
  </conditionalFormatting>
  <conditionalFormatting sqref="E17:G17">
    <cfRule type="expression" dxfId="44" priority="25">
      <formula>$C$15&lt;2</formula>
    </cfRule>
    <cfRule type="expression" dxfId="43" priority="45">
      <formula>$C$15&gt;=2</formula>
    </cfRule>
  </conditionalFormatting>
  <conditionalFormatting sqref="F18:F509">
    <cfRule type="expression" dxfId="42" priority="31">
      <formula>E18&lt;&gt;""</formula>
    </cfRule>
  </conditionalFormatting>
  <conditionalFormatting sqref="I18:I509">
    <cfRule type="expression" dxfId="41" priority="38">
      <formula>I18&lt;&gt;""</formula>
    </cfRule>
  </conditionalFormatting>
  <conditionalFormatting sqref="I17:J17">
    <cfRule type="expression" dxfId="40" priority="24">
      <formula>$C$15&lt;3</formula>
    </cfRule>
    <cfRule type="expression" dxfId="39" priority="44">
      <formula>$C$13&gt;3</formula>
    </cfRule>
  </conditionalFormatting>
  <conditionalFormatting sqref="I18:J509">
    <cfRule type="expression" dxfId="38" priority="19">
      <formula>$C$15&lt;3</formula>
    </cfRule>
  </conditionalFormatting>
  <conditionalFormatting sqref="J18:J509">
    <cfRule type="expression" dxfId="37" priority="30">
      <formula>I18&lt;&gt;""</formula>
    </cfRule>
  </conditionalFormatting>
  <conditionalFormatting sqref="K17">
    <cfRule type="expression" dxfId="36" priority="13">
      <formula>$C$15&lt;2</formula>
    </cfRule>
    <cfRule type="expression" dxfId="35" priority="14">
      <formula>$C$15&gt;=2</formula>
    </cfRule>
  </conditionalFormatting>
  <conditionalFormatting sqref="M18:M509">
    <cfRule type="expression" dxfId="34" priority="37">
      <formula>M18&lt;&gt;""</formula>
    </cfRule>
  </conditionalFormatting>
  <conditionalFormatting sqref="M17:N17">
    <cfRule type="expression" dxfId="33" priority="23">
      <formula>$C$15&lt;4</formula>
    </cfRule>
    <cfRule type="expression" dxfId="32" priority="43">
      <formula>$C$13&gt;4</formula>
    </cfRule>
  </conditionalFormatting>
  <conditionalFormatting sqref="M18:N509">
    <cfRule type="expression" dxfId="31" priority="18">
      <formula>$C$15&lt;4</formula>
    </cfRule>
  </conditionalFormatting>
  <conditionalFormatting sqref="N18:N509">
    <cfRule type="expression" dxfId="30" priority="29">
      <formula>M18&lt;&gt;""</formula>
    </cfRule>
  </conditionalFormatting>
  <conditionalFormatting sqref="O17">
    <cfRule type="expression" dxfId="29" priority="11">
      <formula>$C$15&lt;2</formula>
    </cfRule>
    <cfRule type="expression" dxfId="28" priority="12">
      <formula>$C$15&gt;=2</formula>
    </cfRule>
  </conditionalFormatting>
  <conditionalFormatting sqref="Q18:Q509">
    <cfRule type="expression" dxfId="27" priority="36">
      <formula>Q18&lt;&gt;""</formula>
    </cfRule>
  </conditionalFormatting>
  <conditionalFormatting sqref="Q17:R17">
    <cfRule type="expression" dxfId="26" priority="42">
      <formula>$C$13&gt;5</formula>
    </cfRule>
    <cfRule type="expression" dxfId="25" priority="22">
      <formula>$C$15&lt;5</formula>
    </cfRule>
  </conditionalFormatting>
  <conditionalFormatting sqref="Q18:R509">
    <cfRule type="expression" dxfId="24" priority="17">
      <formula>$C$15&lt;5</formula>
    </cfRule>
  </conditionalFormatting>
  <conditionalFormatting sqref="R18:R509">
    <cfRule type="expression" dxfId="23" priority="28">
      <formula>Q18&lt;&gt;""</formula>
    </cfRule>
  </conditionalFormatting>
  <conditionalFormatting sqref="S17">
    <cfRule type="expression" dxfId="22" priority="10">
      <formula>$C$15&gt;=2</formula>
    </cfRule>
    <cfRule type="expression" dxfId="21" priority="9">
      <formula>$C$15&lt;2</formula>
    </cfRule>
  </conditionalFormatting>
  <conditionalFormatting sqref="U18:U509">
    <cfRule type="expression" dxfId="20" priority="35">
      <formula>U18&lt;&gt;""</formula>
    </cfRule>
  </conditionalFormatting>
  <conditionalFormatting sqref="U17:V17">
    <cfRule type="expression" dxfId="19" priority="21">
      <formula>$C$15&lt;6</formula>
    </cfRule>
    <cfRule type="expression" dxfId="18" priority="41">
      <formula>$C$13&gt;6</formula>
    </cfRule>
  </conditionalFormatting>
  <conditionalFormatting sqref="U18:V509">
    <cfRule type="expression" dxfId="17" priority="16">
      <formula>$C$15&lt;6</formula>
    </cfRule>
  </conditionalFormatting>
  <conditionalFormatting sqref="V18:V509">
    <cfRule type="expression" dxfId="16" priority="27">
      <formula>U18&lt;&gt;""</formula>
    </cfRule>
  </conditionalFormatting>
  <conditionalFormatting sqref="W17">
    <cfRule type="expression" dxfId="15" priority="8">
      <formula>$C$15&gt;=2</formula>
    </cfRule>
    <cfRule type="expression" dxfId="14" priority="7">
      <formula>$C$15&lt;2</formula>
    </cfRule>
  </conditionalFormatting>
  <conditionalFormatting sqref="Y18:Y509">
    <cfRule type="expression" dxfId="13" priority="34">
      <formula>Y18&lt;&gt;""</formula>
    </cfRule>
  </conditionalFormatting>
  <conditionalFormatting sqref="Z18:Z509">
    <cfRule type="expression" dxfId="12" priority="6">
      <formula>Y18&lt;&gt;""</formula>
    </cfRule>
    <cfRule type="expression" dxfId="11" priority="5">
      <formula>Y18=""</formula>
    </cfRule>
  </conditionalFormatting>
  <conditionalFormatting sqref="AA17">
    <cfRule type="expression" dxfId="10" priority="4">
      <formula>$C$15&gt;=2</formula>
    </cfRule>
    <cfRule type="expression" dxfId="9" priority="3">
      <formula>$C$15&lt;2</formula>
    </cfRule>
  </conditionalFormatting>
  <dataValidations count="2">
    <dataValidation type="list" allowBlank="1" showInputMessage="1" showErrorMessage="1" sqref="C13" xr:uid="{A60EBE40-43BC-4E68-B8C0-74D5E0F51C95}">
      <formula1>"Yes,No"</formula1>
    </dataValidation>
    <dataValidation type="list" allowBlank="1" showInputMessage="1" showErrorMessage="1" sqref="C15" xr:uid="{ED9E0537-1822-4333-8CD4-47FEE44A53E9}">
      <formula1>"1,2,3,4,5,6"</formula1>
    </dataValidation>
  </dataValidation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9"/>
  <dimension ref="A1:XFD533"/>
  <sheetViews>
    <sheetView showGridLines="0" topLeftCell="A494" zoomScale="80" zoomScaleNormal="80" workbookViewId="0">
      <selection activeCell="D533" sqref="A533:D533"/>
    </sheetView>
  </sheetViews>
  <sheetFormatPr defaultRowHeight="14.5"/>
  <cols>
    <col min="1" max="1" width="4.54296875" customWidth="1"/>
    <col min="2" max="2" width="71.54296875" style="19" customWidth="1"/>
    <col min="3" max="3" width="79.1796875" style="19" customWidth="1"/>
    <col min="4" max="4" width="72.1796875" style="19" customWidth="1"/>
    <col min="5" max="5" width="21.54296875" bestFit="1" customWidth="1"/>
  </cols>
  <sheetData>
    <row r="1" spans="1:5">
      <c r="A1" s="3" t="s">
        <v>1601</v>
      </c>
      <c r="B1" s="3" t="s">
        <v>1600</v>
      </c>
      <c r="C1" s="3" t="s">
        <v>1986</v>
      </c>
      <c r="D1" s="3" t="s">
        <v>1987</v>
      </c>
      <c r="E1" s="3" t="s">
        <v>1960</v>
      </c>
    </row>
    <row r="2" spans="1:5" ht="29">
      <c r="A2" s="1">
        <v>1</v>
      </c>
      <c r="B2" s="53" t="s">
        <v>5896</v>
      </c>
      <c r="C2" s="53" t="s">
        <v>5897</v>
      </c>
      <c r="D2" s="53" t="s">
        <v>5898</v>
      </c>
      <c r="E2" s="13" t="s">
        <v>5839</v>
      </c>
    </row>
    <row r="3" spans="1:5">
      <c r="A3" s="1">
        <v>2</v>
      </c>
      <c r="B3" s="27" t="s">
        <v>5839</v>
      </c>
      <c r="C3" s="27" t="s">
        <v>1929</v>
      </c>
      <c r="D3" s="27" t="s">
        <v>1938</v>
      </c>
      <c r="E3" s="13" t="s">
        <v>5839</v>
      </c>
    </row>
    <row r="4" spans="1:5">
      <c r="A4" s="1">
        <v>3</v>
      </c>
      <c r="B4" s="27" t="s">
        <v>1579</v>
      </c>
      <c r="C4" s="27" t="s">
        <v>1577</v>
      </c>
      <c r="D4" s="27" t="s">
        <v>1579</v>
      </c>
      <c r="E4" s="13" t="s">
        <v>5839</v>
      </c>
    </row>
    <row r="5" spans="1:5">
      <c r="A5" s="1">
        <v>4</v>
      </c>
      <c r="B5" s="27" t="s">
        <v>2253</v>
      </c>
      <c r="C5" s="27" t="s">
        <v>1578</v>
      </c>
      <c r="D5" s="27" t="s">
        <v>2253</v>
      </c>
      <c r="E5" s="13" t="s">
        <v>5839</v>
      </c>
    </row>
    <row r="6" spans="1:5">
      <c r="A6" s="1">
        <v>5</v>
      </c>
      <c r="B6" s="27" t="s">
        <v>1589</v>
      </c>
      <c r="C6" s="27" t="s">
        <v>1930</v>
      </c>
      <c r="D6" s="27" t="s">
        <v>2254</v>
      </c>
      <c r="E6" s="13" t="s">
        <v>5839</v>
      </c>
    </row>
    <row r="7" spans="1:5">
      <c r="A7" s="1">
        <v>6</v>
      </c>
      <c r="B7" s="27" t="s">
        <v>1580</v>
      </c>
      <c r="C7" s="27" t="s">
        <v>1931</v>
      </c>
      <c r="D7" s="27" t="s">
        <v>1939</v>
      </c>
      <c r="E7" s="13" t="s">
        <v>5839</v>
      </c>
    </row>
    <row r="8" spans="1:5">
      <c r="A8" s="1">
        <v>7</v>
      </c>
      <c r="B8" s="27" t="s">
        <v>1581</v>
      </c>
      <c r="C8" s="27" t="s">
        <v>2255</v>
      </c>
      <c r="D8" s="27" t="s">
        <v>2256</v>
      </c>
      <c r="E8" s="13" t="s">
        <v>5839</v>
      </c>
    </row>
    <row r="9" spans="1:5">
      <c r="A9" s="1">
        <v>8</v>
      </c>
      <c r="B9" s="27" t="s">
        <v>2257</v>
      </c>
      <c r="C9" s="27" t="s">
        <v>2258</v>
      </c>
      <c r="D9" s="27" t="s">
        <v>2259</v>
      </c>
      <c r="E9" s="13" t="s">
        <v>5839</v>
      </c>
    </row>
    <row r="10" spans="1:5">
      <c r="A10" s="1">
        <v>9</v>
      </c>
      <c r="B10" s="27" t="s">
        <v>142</v>
      </c>
      <c r="C10" s="27" t="s">
        <v>2260</v>
      </c>
      <c r="D10" s="27" t="s">
        <v>142</v>
      </c>
      <c r="E10" s="13" t="s">
        <v>5839</v>
      </c>
    </row>
    <row r="11" spans="1:5">
      <c r="A11" s="1">
        <v>10</v>
      </c>
      <c r="B11" s="27" t="s">
        <v>1582</v>
      </c>
      <c r="C11" s="27" t="s">
        <v>1937</v>
      </c>
      <c r="D11" s="27" t="s">
        <v>1940</v>
      </c>
      <c r="E11" s="13" t="s">
        <v>5839</v>
      </c>
    </row>
    <row r="12" spans="1:5">
      <c r="A12" s="1">
        <v>11</v>
      </c>
      <c r="B12" s="27" t="s">
        <v>1583</v>
      </c>
      <c r="C12" s="27" t="s">
        <v>1583</v>
      </c>
      <c r="D12" s="27" t="s">
        <v>1583</v>
      </c>
      <c r="E12" s="13" t="s">
        <v>5839</v>
      </c>
    </row>
    <row r="13" spans="1:5">
      <c r="A13" s="1">
        <v>12</v>
      </c>
      <c r="B13" s="27" t="s">
        <v>1584</v>
      </c>
      <c r="C13" s="27" t="s">
        <v>1932</v>
      </c>
      <c r="D13" s="27" t="s">
        <v>1941</v>
      </c>
      <c r="E13" s="13" t="s">
        <v>5839</v>
      </c>
    </row>
    <row r="14" spans="1:5">
      <c r="A14" s="1">
        <v>13</v>
      </c>
      <c r="B14" s="27" t="s">
        <v>1585</v>
      </c>
      <c r="C14" s="27" t="s">
        <v>1933</v>
      </c>
      <c r="D14" s="27" t="s">
        <v>1942</v>
      </c>
      <c r="E14" s="13" t="s">
        <v>5839</v>
      </c>
    </row>
    <row r="15" spans="1:5">
      <c r="A15" s="1">
        <v>14</v>
      </c>
      <c r="B15" s="27" t="s">
        <v>1586</v>
      </c>
      <c r="C15" s="27" t="s">
        <v>1934</v>
      </c>
      <c r="D15" s="27" t="s">
        <v>1943</v>
      </c>
      <c r="E15" s="13" t="s">
        <v>5839</v>
      </c>
    </row>
    <row r="16" spans="1:5">
      <c r="A16" s="1">
        <v>15</v>
      </c>
      <c r="B16" s="27" t="s">
        <v>1587</v>
      </c>
      <c r="C16" s="27" t="s">
        <v>1935</v>
      </c>
      <c r="D16" s="57" t="s">
        <v>1944</v>
      </c>
      <c r="E16" s="13" t="s">
        <v>5839</v>
      </c>
    </row>
    <row r="17" spans="1:5">
      <c r="A17" s="1">
        <v>16</v>
      </c>
      <c r="B17" s="27" t="s">
        <v>1588</v>
      </c>
      <c r="C17" s="27" t="s">
        <v>1936</v>
      </c>
      <c r="D17" s="27" t="s">
        <v>1945</v>
      </c>
      <c r="E17" s="13" t="s">
        <v>5839</v>
      </c>
    </row>
    <row r="18" spans="1:5">
      <c r="A18" s="1">
        <v>17</v>
      </c>
      <c r="B18" s="27" t="s">
        <v>1602</v>
      </c>
      <c r="C18" s="27" t="s">
        <v>1602</v>
      </c>
      <c r="D18" s="27" t="s">
        <v>1602</v>
      </c>
      <c r="E18" s="13" t="s">
        <v>5839</v>
      </c>
    </row>
    <row r="19" spans="1:5">
      <c r="A19" s="1">
        <v>18</v>
      </c>
      <c r="B19" s="27" t="s">
        <v>1603</v>
      </c>
      <c r="C19" s="27" t="s">
        <v>2261</v>
      </c>
      <c r="D19" s="27" t="s">
        <v>2272</v>
      </c>
      <c r="E19" s="13" t="s">
        <v>5839</v>
      </c>
    </row>
    <row r="20" spans="1:5">
      <c r="A20" s="1">
        <v>19</v>
      </c>
      <c r="B20" s="27" t="s">
        <v>1590</v>
      </c>
      <c r="C20" s="27" t="s">
        <v>2262</v>
      </c>
      <c r="D20" s="27" t="s">
        <v>3349</v>
      </c>
      <c r="E20" s="13" t="s">
        <v>5839</v>
      </c>
    </row>
    <row r="21" spans="1:5">
      <c r="A21" s="1">
        <v>20</v>
      </c>
      <c r="B21" s="27" t="s">
        <v>1591</v>
      </c>
      <c r="C21" s="27" t="s">
        <v>2264</v>
      </c>
      <c r="D21" s="27" t="s">
        <v>2263</v>
      </c>
      <c r="E21" s="13" t="s">
        <v>5839</v>
      </c>
    </row>
    <row r="22" spans="1:5">
      <c r="A22" s="1">
        <v>21</v>
      </c>
      <c r="B22" s="27" t="s">
        <v>143</v>
      </c>
      <c r="C22" s="27" t="s">
        <v>1937</v>
      </c>
      <c r="D22" s="27" t="s">
        <v>1940</v>
      </c>
      <c r="E22" s="13" t="s">
        <v>5839</v>
      </c>
    </row>
    <row r="23" spans="1:5">
      <c r="A23" s="1">
        <v>22</v>
      </c>
      <c r="B23" s="27" t="s">
        <v>1583</v>
      </c>
      <c r="C23" s="27" t="s">
        <v>1583</v>
      </c>
      <c r="D23" s="27" t="s">
        <v>1583</v>
      </c>
      <c r="E23" s="13" t="s">
        <v>5839</v>
      </c>
    </row>
    <row r="24" spans="1:5">
      <c r="A24" s="1">
        <v>23</v>
      </c>
      <c r="B24" s="27" t="s">
        <v>2265</v>
      </c>
      <c r="C24" s="27" t="s">
        <v>2266</v>
      </c>
      <c r="D24" s="27" t="s">
        <v>2267</v>
      </c>
      <c r="E24" s="13" t="s">
        <v>5839</v>
      </c>
    </row>
    <row r="25" spans="1:5">
      <c r="A25" s="1">
        <v>24</v>
      </c>
      <c r="B25" s="27" t="s">
        <v>2268</v>
      </c>
      <c r="C25" s="27" t="s">
        <v>1961</v>
      </c>
      <c r="D25" s="27" t="s">
        <v>3350</v>
      </c>
      <c r="E25" s="13" t="s">
        <v>5839</v>
      </c>
    </row>
    <row r="26" spans="1:5">
      <c r="A26" s="1">
        <v>25</v>
      </c>
      <c r="B26" s="27" t="s">
        <v>1595</v>
      </c>
      <c r="C26" s="27" t="s">
        <v>1962</v>
      </c>
      <c r="D26" s="27" t="s">
        <v>3351</v>
      </c>
      <c r="E26" s="13" t="s">
        <v>5839</v>
      </c>
    </row>
    <row r="27" spans="1:5">
      <c r="A27" s="1">
        <v>26</v>
      </c>
      <c r="B27" s="27" t="s">
        <v>1597</v>
      </c>
      <c r="C27" s="27" t="s">
        <v>2269</v>
      </c>
      <c r="D27" s="27" t="s">
        <v>1971</v>
      </c>
      <c r="E27" s="13" t="s">
        <v>5839</v>
      </c>
    </row>
    <row r="28" spans="1:5">
      <c r="A28" s="1">
        <v>27</v>
      </c>
      <c r="B28" s="27" t="s">
        <v>1596</v>
      </c>
      <c r="C28" s="27" t="s">
        <v>2270</v>
      </c>
      <c r="D28" s="27" t="s">
        <v>1972</v>
      </c>
      <c r="E28" s="13" t="s">
        <v>5839</v>
      </c>
    </row>
    <row r="29" spans="1:5">
      <c r="A29" s="1">
        <v>28</v>
      </c>
      <c r="B29" s="27" t="s">
        <v>1593</v>
      </c>
      <c r="C29" s="27" t="s">
        <v>1963</v>
      </c>
      <c r="D29" s="27" t="s">
        <v>1973</v>
      </c>
      <c r="E29" s="13" t="s">
        <v>5839</v>
      </c>
    </row>
    <row r="30" spans="1:5">
      <c r="A30" s="1">
        <v>29</v>
      </c>
      <c r="B30" s="27" t="s">
        <v>141</v>
      </c>
      <c r="C30" s="27" t="s">
        <v>1964</v>
      </c>
      <c r="D30" s="27" t="s">
        <v>1974</v>
      </c>
      <c r="E30" s="13" t="s">
        <v>5839</v>
      </c>
    </row>
    <row r="31" spans="1:5">
      <c r="A31" s="1">
        <v>30</v>
      </c>
      <c r="B31" s="27" t="s">
        <v>1968</v>
      </c>
      <c r="C31" s="27" t="s">
        <v>1969</v>
      </c>
      <c r="D31" s="27" t="s">
        <v>1975</v>
      </c>
      <c r="E31" s="13" t="s">
        <v>5839</v>
      </c>
    </row>
    <row r="32" spans="1:5">
      <c r="A32" s="1">
        <v>31</v>
      </c>
      <c r="B32" s="27" t="s">
        <v>1594</v>
      </c>
      <c r="C32" s="27" t="s">
        <v>1970</v>
      </c>
      <c r="D32" s="27" t="s">
        <v>1970</v>
      </c>
      <c r="E32" s="13" t="s">
        <v>5839</v>
      </c>
    </row>
    <row r="33" spans="1:5">
      <c r="A33" s="1">
        <v>32</v>
      </c>
      <c r="B33" s="27" t="s">
        <v>2274</v>
      </c>
      <c r="C33" s="27" t="s">
        <v>2273</v>
      </c>
      <c r="D33" s="27" t="s">
        <v>3352</v>
      </c>
      <c r="E33" s="13" t="s">
        <v>5839</v>
      </c>
    </row>
    <row r="34" spans="1:5">
      <c r="A34" s="1">
        <v>33</v>
      </c>
      <c r="B34" s="27" t="s">
        <v>145</v>
      </c>
      <c r="C34" s="27" t="s">
        <v>1965</v>
      </c>
      <c r="D34" s="27" t="s">
        <v>2275</v>
      </c>
      <c r="E34" s="13" t="s">
        <v>5839</v>
      </c>
    </row>
    <row r="35" spans="1:5">
      <c r="A35" s="1">
        <v>34</v>
      </c>
      <c r="B35" s="27" t="s">
        <v>2276</v>
      </c>
      <c r="C35" s="27" t="s">
        <v>1953</v>
      </c>
      <c r="D35" s="27" t="s">
        <v>1976</v>
      </c>
      <c r="E35" s="13" t="s">
        <v>5839</v>
      </c>
    </row>
    <row r="36" spans="1:5">
      <c r="A36" s="1">
        <v>35</v>
      </c>
      <c r="B36" s="27" t="s">
        <v>1598</v>
      </c>
      <c r="C36" s="27" t="s">
        <v>1966</v>
      </c>
      <c r="D36" s="27" t="s">
        <v>1977</v>
      </c>
      <c r="E36" s="13" t="s">
        <v>5839</v>
      </c>
    </row>
    <row r="37" spans="1:5">
      <c r="A37" s="1">
        <v>36</v>
      </c>
      <c r="B37" s="27" t="s">
        <v>143</v>
      </c>
      <c r="C37" s="27" t="s">
        <v>1937</v>
      </c>
      <c r="D37" s="27" t="s">
        <v>1940</v>
      </c>
      <c r="E37" s="1" t="s">
        <v>5839</v>
      </c>
    </row>
    <row r="38" spans="1:5">
      <c r="A38" s="1">
        <v>37</v>
      </c>
      <c r="B38" s="27" t="s">
        <v>1592</v>
      </c>
      <c r="C38" s="27" t="s">
        <v>144</v>
      </c>
      <c r="D38" s="27" t="s">
        <v>144</v>
      </c>
      <c r="E38" s="1" t="s">
        <v>5839</v>
      </c>
    </row>
    <row r="39" spans="1:5">
      <c r="A39" s="1">
        <v>38</v>
      </c>
      <c r="B39" s="27" t="s">
        <v>1599</v>
      </c>
      <c r="C39" s="27" t="s">
        <v>1967</v>
      </c>
      <c r="D39" s="27" t="s">
        <v>1978</v>
      </c>
      <c r="E39" s="13" t="s">
        <v>5839</v>
      </c>
    </row>
    <row r="40" spans="1:5">
      <c r="A40" s="1">
        <v>39</v>
      </c>
      <c r="B40" s="27" t="s">
        <v>1984</v>
      </c>
      <c r="C40" s="27" t="s">
        <v>1985</v>
      </c>
      <c r="D40" s="27" t="s">
        <v>1984</v>
      </c>
      <c r="E40" s="13" t="s">
        <v>5839</v>
      </c>
    </row>
    <row r="41" spans="1:5">
      <c r="A41" s="1">
        <v>40</v>
      </c>
      <c r="B41" s="27" t="s">
        <v>1604</v>
      </c>
      <c r="C41" s="27" t="s">
        <v>1979</v>
      </c>
      <c r="D41" s="27" t="s">
        <v>1980</v>
      </c>
      <c r="E41" s="15" t="s">
        <v>1981</v>
      </c>
    </row>
    <row r="42" spans="1:5">
      <c r="A42" s="1">
        <v>41</v>
      </c>
      <c r="B42" s="27" t="s">
        <v>1606</v>
      </c>
      <c r="C42" s="27" t="s">
        <v>1988</v>
      </c>
      <c r="D42" s="27" t="s">
        <v>1606</v>
      </c>
      <c r="E42" s="15" t="s">
        <v>1981</v>
      </c>
    </row>
    <row r="43" spans="1:5">
      <c r="A43" s="1">
        <v>42</v>
      </c>
      <c r="B43" s="27" t="s">
        <v>24</v>
      </c>
      <c r="C43" s="27" t="s">
        <v>1989</v>
      </c>
      <c r="D43" s="27" t="s">
        <v>24</v>
      </c>
      <c r="E43" s="15" t="s">
        <v>1981</v>
      </c>
    </row>
    <row r="44" spans="1:5">
      <c r="A44" s="1">
        <v>43</v>
      </c>
      <c r="B44" s="27" t="s">
        <v>1605</v>
      </c>
      <c r="C44" s="27" t="s">
        <v>1990</v>
      </c>
      <c r="D44" s="27" t="s">
        <v>1991</v>
      </c>
      <c r="E44" s="15" t="s">
        <v>1981</v>
      </c>
    </row>
    <row r="45" spans="1:5">
      <c r="A45" s="1">
        <v>46</v>
      </c>
      <c r="B45" s="27" t="s">
        <v>466</v>
      </c>
      <c r="C45" s="27" t="s">
        <v>1983</v>
      </c>
      <c r="D45" s="27" t="s">
        <v>2277</v>
      </c>
      <c r="E45" s="14" t="s">
        <v>1982</v>
      </c>
    </row>
    <row r="46" spans="1:5">
      <c r="A46" s="1">
        <v>47</v>
      </c>
      <c r="B46" s="27" t="s">
        <v>2058</v>
      </c>
      <c r="C46" s="27" t="s">
        <v>2181</v>
      </c>
      <c r="D46" s="27" t="s">
        <v>3353</v>
      </c>
      <c r="E46" s="14" t="s">
        <v>1982</v>
      </c>
    </row>
    <row r="47" spans="1:5">
      <c r="A47" s="1">
        <v>48</v>
      </c>
      <c r="B47" s="27" t="s">
        <v>2278</v>
      </c>
      <c r="C47" s="27" t="s">
        <v>2279</v>
      </c>
      <c r="D47" s="27" t="s">
        <v>2182</v>
      </c>
      <c r="E47" s="14" t="s">
        <v>1982</v>
      </c>
    </row>
    <row r="48" spans="1:5">
      <c r="A48" s="1">
        <v>49</v>
      </c>
      <c r="B48" s="54" t="s">
        <v>449</v>
      </c>
      <c r="C48" s="27" t="s">
        <v>2183</v>
      </c>
      <c r="D48" s="27" t="s">
        <v>2184</v>
      </c>
      <c r="E48" s="14" t="s">
        <v>1982</v>
      </c>
    </row>
    <row r="49" spans="1:5">
      <c r="A49" s="1">
        <v>50</v>
      </c>
      <c r="B49" s="238" t="s">
        <v>2824</v>
      </c>
      <c r="C49" s="27" t="s">
        <v>2825</v>
      </c>
      <c r="D49" s="27" t="s">
        <v>2826</v>
      </c>
      <c r="E49" s="14" t="s">
        <v>1982</v>
      </c>
    </row>
    <row r="50" spans="1:5">
      <c r="A50" s="1">
        <v>51</v>
      </c>
      <c r="B50" s="55" t="s">
        <v>2048</v>
      </c>
      <c r="C50" s="27" t="s">
        <v>2185</v>
      </c>
      <c r="D50" s="27" t="s">
        <v>2186</v>
      </c>
      <c r="E50" s="14" t="s">
        <v>1982</v>
      </c>
    </row>
    <row r="51" spans="1:5">
      <c r="A51" s="1">
        <v>52</v>
      </c>
      <c r="B51" s="8" t="s">
        <v>2049</v>
      </c>
      <c r="C51" s="27" t="s">
        <v>2285</v>
      </c>
      <c r="D51" s="27" t="s">
        <v>2284</v>
      </c>
      <c r="E51" s="14" t="s">
        <v>1982</v>
      </c>
    </row>
    <row r="52" spans="1:5">
      <c r="A52" s="1">
        <v>53</v>
      </c>
      <c r="B52" s="8" t="s">
        <v>2050</v>
      </c>
      <c r="C52" s="27" t="s">
        <v>2336</v>
      </c>
      <c r="D52" s="27" t="s">
        <v>3354</v>
      </c>
      <c r="E52" s="14" t="s">
        <v>1982</v>
      </c>
    </row>
    <row r="53" spans="1:5">
      <c r="A53" s="1">
        <v>54</v>
      </c>
      <c r="B53" s="8" t="s">
        <v>2045</v>
      </c>
      <c r="C53" s="162" t="s">
        <v>2286</v>
      </c>
      <c r="D53" s="162" t="s">
        <v>2391</v>
      </c>
      <c r="E53" s="14" t="s">
        <v>1982</v>
      </c>
    </row>
    <row r="54" spans="1:5">
      <c r="A54" s="1">
        <v>55</v>
      </c>
      <c r="B54" s="8" t="s">
        <v>2046</v>
      </c>
      <c r="C54" s="27" t="s">
        <v>2281</v>
      </c>
      <c r="D54" s="27" t="s">
        <v>2280</v>
      </c>
      <c r="E54" s="14" t="s">
        <v>1982</v>
      </c>
    </row>
    <row r="55" spans="1:5">
      <c r="A55" s="1">
        <v>56</v>
      </c>
      <c r="B55" s="8" t="s">
        <v>2051</v>
      </c>
      <c r="C55" s="27" t="s">
        <v>2337</v>
      </c>
      <c r="D55" s="27" t="s">
        <v>3355</v>
      </c>
      <c r="E55" s="14" t="s">
        <v>1982</v>
      </c>
    </row>
    <row r="56" spans="1:5">
      <c r="A56" s="1">
        <v>57</v>
      </c>
      <c r="B56" s="8" t="s">
        <v>2047</v>
      </c>
      <c r="C56" s="27" t="s">
        <v>2282</v>
      </c>
      <c r="D56" s="27" t="s">
        <v>2187</v>
      </c>
      <c r="E56" s="14" t="s">
        <v>1982</v>
      </c>
    </row>
    <row r="57" spans="1:5">
      <c r="A57" s="1">
        <v>58</v>
      </c>
      <c r="B57" s="8" t="s">
        <v>2052</v>
      </c>
      <c r="C57" s="27" t="s">
        <v>2188</v>
      </c>
      <c r="D57" s="27" t="s">
        <v>3356</v>
      </c>
      <c r="E57" s="14" t="s">
        <v>1982</v>
      </c>
    </row>
    <row r="58" spans="1:5">
      <c r="A58" s="1">
        <v>59</v>
      </c>
      <c r="B58" s="56" t="s">
        <v>2390</v>
      </c>
      <c r="C58" s="27" t="s">
        <v>2283</v>
      </c>
      <c r="D58" s="27" t="s">
        <v>2189</v>
      </c>
      <c r="E58" s="14" t="s">
        <v>1982</v>
      </c>
    </row>
    <row r="59" spans="1:5">
      <c r="A59" s="1">
        <v>60</v>
      </c>
      <c r="B59" s="8" t="s">
        <v>2053</v>
      </c>
      <c r="C59" s="27" t="s">
        <v>2338</v>
      </c>
      <c r="D59" s="27" t="s">
        <v>3357</v>
      </c>
      <c r="E59" s="14" t="s">
        <v>1982</v>
      </c>
    </row>
    <row r="60" spans="1:5">
      <c r="A60" s="1">
        <v>61</v>
      </c>
      <c r="B60" s="8" t="s">
        <v>2054</v>
      </c>
      <c r="C60" s="27" t="s">
        <v>2339</v>
      </c>
      <c r="D60" s="27" t="s">
        <v>2190</v>
      </c>
      <c r="E60" s="14" t="s">
        <v>1982</v>
      </c>
    </row>
    <row r="61" spans="1:5">
      <c r="A61" s="1">
        <v>62</v>
      </c>
      <c r="B61" s="8" t="s">
        <v>2341</v>
      </c>
      <c r="C61" s="27" t="s">
        <v>2340</v>
      </c>
      <c r="D61" s="27" t="s">
        <v>2342</v>
      </c>
      <c r="E61" s="14" t="s">
        <v>1982</v>
      </c>
    </row>
    <row r="62" spans="1:5">
      <c r="A62" s="1">
        <v>63</v>
      </c>
      <c r="B62" s="8" t="s">
        <v>2027</v>
      </c>
      <c r="C62" s="27" t="s">
        <v>2191</v>
      </c>
      <c r="D62" s="27" t="s">
        <v>2192</v>
      </c>
      <c r="E62" s="14" t="s">
        <v>1982</v>
      </c>
    </row>
    <row r="63" spans="1:5">
      <c r="A63" s="1">
        <v>64</v>
      </c>
      <c r="B63" s="8" t="s">
        <v>2055</v>
      </c>
      <c r="C63" s="27" t="s">
        <v>2193</v>
      </c>
      <c r="D63" s="27" t="s">
        <v>2194</v>
      </c>
      <c r="E63" s="14" t="s">
        <v>1982</v>
      </c>
    </row>
    <row r="64" spans="1:5">
      <c r="A64" s="1">
        <v>65</v>
      </c>
      <c r="B64" s="8" t="s">
        <v>2056</v>
      </c>
      <c r="C64" s="27" t="s">
        <v>2343</v>
      </c>
      <c r="D64" s="27" t="s">
        <v>2195</v>
      </c>
      <c r="E64" s="14" t="s">
        <v>1982</v>
      </c>
    </row>
    <row r="65" spans="1:5">
      <c r="A65" s="1">
        <v>66</v>
      </c>
      <c r="B65" s="8" t="s">
        <v>2057</v>
      </c>
      <c r="C65" s="27" t="s">
        <v>2196</v>
      </c>
      <c r="D65" s="27" t="s">
        <v>2197</v>
      </c>
      <c r="E65" s="14" t="s">
        <v>1982</v>
      </c>
    </row>
    <row r="66" spans="1:5">
      <c r="A66" s="1">
        <v>67</v>
      </c>
      <c r="B66" s="8" t="s">
        <v>2059</v>
      </c>
      <c r="C66" s="1" t="s">
        <v>2249</v>
      </c>
      <c r="D66" s="1" t="s">
        <v>3358</v>
      </c>
      <c r="E66" s="14" t="s">
        <v>1982</v>
      </c>
    </row>
    <row r="67" spans="1:5">
      <c r="A67" s="1">
        <v>68</v>
      </c>
      <c r="B67" s="8" t="s">
        <v>461</v>
      </c>
      <c r="C67" s="1" t="s">
        <v>2344</v>
      </c>
      <c r="D67" s="1" t="s">
        <v>2245</v>
      </c>
      <c r="E67" s="14" t="s">
        <v>1982</v>
      </c>
    </row>
    <row r="68" spans="1:5">
      <c r="A68" s="1">
        <v>69</v>
      </c>
      <c r="B68" s="8" t="s">
        <v>463</v>
      </c>
      <c r="C68" s="1" t="s">
        <v>2345</v>
      </c>
      <c r="D68" s="1" t="s">
        <v>3359</v>
      </c>
      <c r="E68" s="14" t="s">
        <v>1982</v>
      </c>
    </row>
    <row r="69" spans="1:5">
      <c r="A69" s="1">
        <v>70</v>
      </c>
      <c r="B69" s="8" t="s">
        <v>2060</v>
      </c>
      <c r="C69" s="1" t="s">
        <v>2246</v>
      </c>
      <c r="D69" s="1" t="s">
        <v>3360</v>
      </c>
      <c r="E69" s="14" t="s">
        <v>1982</v>
      </c>
    </row>
    <row r="70" spans="1:5">
      <c r="A70" s="1">
        <v>71</v>
      </c>
      <c r="B70" s="26" t="s">
        <v>2061</v>
      </c>
      <c r="C70" s="1" t="s">
        <v>2346</v>
      </c>
      <c r="D70" s="1" t="s">
        <v>3361</v>
      </c>
      <c r="E70" s="14" t="s">
        <v>1982</v>
      </c>
    </row>
    <row r="71" spans="1:5">
      <c r="A71" s="1">
        <v>72</v>
      </c>
      <c r="B71" s="26" t="s">
        <v>2153</v>
      </c>
      <c r="C71" s="1" t="s">
        <v>2347</v>
      </c>
      <c r="D71" s="1" t="s">
        <v>2247</v>
      </c>
      <c r="E71" s="14" t="s">
        <v>1982</v>
      </c>
    </row>
    <row r="72" spans="1:5">
      <c r="A72" s="1">
        <v>73</v>
      </c>
      <c r="B72" s="26" t="s">
        <v>2111</v>
      </c>
      <c r="C72" s="1" t="s">
        <v>2348</v>
      </c>
      <c r="D72" s="1" t="s">
        <v>3362</v>
      </c>
      <c r="E72" s="14" t="s">
        <v>1982</v>
      </c>
    </row>
    <row r="73" spans="1:5">
      <c r="A73" s="1">
        <v>74</v>
      </c>
      <c r="B73" s="26" t="s">
        <v>2180</v>
      </c>
      <c r="C73" s="1" t="s">
        <v>2248</v>
      </c>
      <c r="D73" s="1" t="s">
        <v>3363</v>
      </c>
      <c r="E73" s="14" t="s">
        <v>1982</v>
      </c>
    </row>
    <row r="74" spans="1:5">
      <c r="A74" s="1">
        <v>75</v>
      </c>
      <c r="B74" s="26" t="s">
        <v>2152</v>
      </c>
      <c r="C74" s="1" t="s">
        <v>2349</v>
      </c>
      <c r="D74" s="1" t="s">
        <v>3364</v>
      </c>
      <c r="E74" s="14" t="s">
        <v>1982</v>
      </c>
    </row>
    <row r="75" spans="1:5">
      <c r="A75" s="1">
        <v>76</v>
      </c>
      <c r="B75" s="56" t="s">
        <v>3233</v>
      </c>
      <c r="C75" s="1" t="s">
        <v>3234</v>
      </c>
      <c r="D75" s="1" t="s">
        <v>3235</v>
      </c>
      <c r="E75" s="14" t="s">
        <v>1982</v>
      </c>
    </row>
    <row r="76" spans="1:5">
      <c r="A76" s="1">
        <v>77</v>
      </c>
      <c r="B76" s="27" t="s">
        <v>2369</v>
      </c>
      <c r="C76" s="27" t="s">
        <v>2368</v>
      </c>
      <c r="D76" s="27" t="s">
        <v>2370</v>
      </c>
      <c r="E76" s="13" t="s">
        <v>5839</v>
      </c>
    </row>
    <row r="77" spans="1:5">
      <c r="A77" s="1">
        <v>78</v>
      </c>
      <c r="B77" s="27" t="s">
        <v>2075</v>
      </c>
      <c r="C77" s="27" t="s">
        <v>2202</v>
      </c>
      <c r="D77" s="27" t="s">
        <v>3365</v>
      </c>
      <c r="E77" s="13" t="s">
        <v>5839</v>
      </c>
    </row>
    <row r="78" spans="1:5">
      <c r="A78" s="1">
        <v>79</v>
      </c>
      <c r="B78" s="27" t="s">
        <v>2493</v>
      </c>
      <c r="C78" s="27" t="s">
        <v>2494</v>
      </c>
      <c r="D78" s="27" t="s">
        <v>2495</v>
      </c>
      <c r="E78" s="13" t="s">
        <v>5839</v>
      </c>
    </row>
    <row r="79" spans="1:5">
      <c r="A79" s="1">
        <v>80</v>
      </c>
      <c r="B79" s="27" t="s">
        <v>2079</v>
      </c>
      <c r="C79" s="27" t="s">
        <v>2203</v>
      </c>
      <c r="D79" s="27" t="s">
        <v>2204</v>
      </c>
      <c r="E79" s="13" t="s">
        <v>5839</v>
      </c>
    </row>
    <row r="80" spans="1:5">
      <c r="A80" s="1">
        <v>81</v>
      </c>
      <c r="B80" s="27" t="s">
        <v>2072</v>
      </c>
      <c r="C80" s="27" t="s">
        <v>2205</v>
      </c>
      <c r="D80" s="27" t="s">
        <v>3366</v>
      </c>
      <c r="E80" s="13" t="s">
        <v>5839</v>
      </c>
    </row>
    <row r="81" spans="1:5">
      <c r="A81" s="1">
        <v>82</v>
      </c>
      <c r="B81" s="27" t="s">
        <v>2088</v>
      </c>
      <c r="C81" s="27" t="s">
        <v>2206</v>
      </c>
      <c r="D81" s="27" t="s">
        <v>2207</v>
      </c>
      <c r="E81" s="13" t="s">
        <v>5839</v>
      </c>
    </row>
    <row r="82" spans="1:5">
      <c r="A82" s="1">
        <v>83</v>
      </c>
      <c r="B82" s="27" t="s">
        <v>2080</v>
      </c>
      <c r="C82" s="27" t="s">
        <v>2208</v>
      </c>
      <c r="D82" s="27" t="s">
        <v>3367</v>
      </c>
      <c r="E82" s="13" t="s">
        <v>5839</v>
      </c>
    </row>
    <row r="83" spans="1:5">
      <c r="A83" s="1">
        <v>84</v>
      </c>
      <c r="B83" s="27" t="s">
        <v>2155</v>
      </c>
      <c r="C83" s="27" t="s">
        <v>2209</v>
      </c>
      <c r="D83" s="27" t="s">
        <v>2210</v>
      </c>
      <c r="E83" s="13" t="s">
        <v>5839</v>
      </c>
    </row>
    <row r="84" spans="1:5">
      <c r="A84" s="1">
        <v>85</v>
      </c>
      <c r="B84" s="27" t="s">
        <v>2073</v>
      </c>
      <c r="C84" s="27" t="s">
        <v>2211</v>
      </c>
      <c r="D84" s="27" t="s">
        <v>2212</v>
      </c>
      <c r="E84" s="13" t="s">
        <v>5839</v>
      </c>
    </row>
    <row r="85" spans="1:5">
      <c r="A85" s="1">
        <v>86</v>
      </c>
      <c r="B85" s="27" t="s">
        <v>2089</v>
      </c>
      <c r="C85" s="27" t="s">
        <v>2213</v>
      </c>
      <c r="D85" s="27" t="s">
        <v>2214</v>
      </c>
      <c r="E85" s="13" t="s">
        <v>5839</v>
      </c>
    </row>
    <row r="86" spans="1:5">
      <c r="A86" s="1">
        <v>87</v>
      </c>
      <c r="B86" s="27" t="s">
        <v>2090</v>
      </c>
      <c r="C86" s="27" t="s">
        <v>2215</v>
      </c>
      <c r="D86" s="27" t="s">
        <v>2216</v>
      </c>
      <c r="E86" s="13" t="s">
        <v>5839</v>
      </c>
    </row>
    <row r="87" spans="1:5">
      <c r="A87" s="1">
        <v>88</v>
      </c>
      <c r="B87" s="27" t="s">
        <v>2091</v>
      </c>
      <c r="C87" s="27" t="s">
        <v>2217</v>
      </c>
      <c r="D87" s="27" t="s">
        <v>2218</v>
      </c>
      <c r="E87" s="13" t="s">
        <v>5839</v>
      </c>
    </row>
    <row r="88" spans="1:5">
      <c r="A88" s="1">
        <v>89</v>
      </c>
      <c r="B88" s="27" t="s">
        <v>2092</v>
      </c>
      <c r="C88" s="27" t="s">
        <v>2219</v>
      </c>
      <c r="D88" s="27" t="s">
        <v>2220</v>
      </c>
      <c r="E88" s="13" t="s">
        <v>5839</v>
      </c>
    </row>
    <row r="89" spans="1:5">
      <c r="A89" s="1">
        <v>90</v>
      </c>
      <c r="B89" s="27" t="s">
        <v>3243</v>
      </c>
      <c r="C89" s="27" t="s">
        <v>2221</v>
      </c>
      <c r="D89" s="27" t="s">
        <v>2222</v>
      </c>
      <c r="E89" s="13" t="s">
        <v>5839</v>
      </c>
    </row>
    <row r="90" spans="1:5">
      <c r="A90" s="1">
        <v>91</v>
      </c>
      <c r="B90" s="27" t="s">
        <v>3244</v>
      </c>
      <c r="C90" s="27" t="s">
        <v>2223</v>
      </c>
      <c r="D90" s="27" t="s">
        <v>3368</v>
      </c>
      <c r="E90" s="13" t="s">
        <v>5839</v>
      </c>
    </row>
    <row r="91" spans="1:5">
      <c r="A91" s="1">
        <v>92</v>
      </c>
      <c r="B91" s="27" t="s">
        <v>5920</v>
      </c>
      <c r="C91" s="27" t="s">
        <v>5922</v>
      </c>
      <c r="D91" s="27" t="s">
        <v>5921</v>
      </c>
      <c r="E91" s="13" t="s">
        <v>5839</v>
      </c>
    </row>
    <row r="92" spans="1:5">
      <c r="A92" s="1">
        <v>93</v>
      </c>
      <c r="B92" s="27" t="s">
        <v>2076</v>
      </c>
      <c r="C92" s="27" t="s">
        <v>2224</v>
      </c>
      <c r="D92" s="27" t="s">
        <v>3369</v>
      </c>
      <c r="E92" s="13" t="s">
        <v>5839</v>
      </c>
    </row>
    <row r="93" spans="1:5">
      <c r="A93" s="1">
        <v>94</v>
      </c>
      <c r="B93" s="27" t="s">
        <v>2158</v>
      </c>
      <c r="C93" s="27" t="s">
        <v>2225</v>
      </c>
      <c r="D93" s="27" t="s">
        <v>3370</v>
      </c>
      <c r="E93" s="13" t="s">
        <v>5839</v>
      </c>
    </row>
    <row r="94" spans="1:5">
      <c r="A94" s="1">
        <v>95</v>
      </c>
      <c r="B94" s="27" t="s">
        <v>2101</v>
      </c>
      <c r="C94" s="27" t="s">
        <v>2226</v>
      </c>
      <c r="D94" s="27" t="s">
        <v>3371</v>
      </c>
      <c r="E94" s="13" t="s">
        <v>5839</v>
      </c>
    </row>
    <row r="95" spans="1:5">
      <c r="A95" s="1">
        <v>96</v>
      </c>
      <c r="B95" s="27" t="s">
        <v>2102</v>
      </c>
      <c r="C95" s="27" t="s">
        <v>2227</v>
      </c>
      <c r="D95" s="27" t="s">
        <v>2228</v>
      </c>
      <c r="E95" s="13" t="s">
        <v>5839</v>
      </c>
    </row>
    <row r="96" spans="1:5">
      <c r="A96" s="1">
        <v>97</v>
      </c>
      <c r="B96" s="27" t="s">
        <v>2159</v>
      </c>
      <c r="C96" s="27" t="s">
        <v>2229</v>
      </c>
      <c r="D96" s="27" t="s">
        <v>2230</v>
      </c>
      <c r="E96" s="13" t="s">
        <v>5839</v>
      </c>
    </row>
    <row r="97" spans="1:6">
      <c r="A97" s="1">
        <v>98</v>
      </c>
      <c r="B97" s="27" t="s">
        <v>2160</v>
      </c>
      <c r="C97" s="27" t="s">
        <v>2231</v>
      </c>
      <c r="D97" s="27" t="s">
        <v>3372</v>
      </c>
      <c r="E97" s="13" t="s">
        <v>5839</v>
      </c>
    </row>
    <row r="98" spans="1:6">
      <c r="A98" s="1">
        <v>99</v>
      </c>
      <c r="B98" s="27" t="s">
        <v>2161</v>
      </c>
      <c r="C98" s="27" t="s">
        <v>2232</v>
      </c>
      <c r="D98" s="27" t="s">
        <v>2233</v>
      </c>
      <c r="E98" s="49" t="s">
        <v>5839</v>
      </c>
    </row>
    <row r="99" spans="1:6">
      <c r="A99" s="1">
        <v>100</v>
      </c>
      <c r="B99" s="27" t="s">
        <v>2095</v>
      </c>
      <c r="C99" s="27" t="s">
        <v>2234</v>
      </c>
      <c r="D99" s="27" t="s">
        <v>2235</v>
      </c>
      <c r="E99" s="49" t="s">
        <v>5839</v>
      </c>
    </row>
    <row r="100" spans="1:6">
      <c r="A100" s="1">
        <v>101</v>
      </c>
      <c r="B100" s="48" t="s">
        <v>2013</v>
      </c>
      <c r="C100" s="27" t="s">
        <v>2236</v>
      </c>
      <c r="D100" s="27" t="s">
        <v>3373</v>
      </c>
      <c r="E100" s="14" t="s">
        <v>1982</v>
      </c>
    </row>
    <row r="101" spans="1:6">
      <c r="A101" s="1">
        <v>102</v>
      </c>
      <c r="B101" s="48" t="s">
        <v>2014</v>
      </c>
      <c r="C101" s="27" t="s">
        <v>2237</v>
      </c>
      <c r="D101" s="27" t="s">
        <v>2238</v>
      </c>
      <c r="E101" s="14" t="s">
        <v>1982</v>
      </c>
    </row>
    <row r="102" spans="1:6">
      <c r="A102" s="1">
        <v>103</v>
      </c>
      <c r="B102" s="48" t="s">
        <v>2023</v>
      </c>
      <c r="C102" s="27" t="s">
        <v>2239</v>
      </c>
      <c r="D102" s="27" t="s">
        <v>3374</v>
      </c>
      <c r="E102" s="14" t="s">
        <v>1982</v>
      </c>
    </row>
    <row r="103" spans="1:6">
      <c r="A103" s="1">
        <v>104</v>
      </c>
      <c r="B103" s="48" t="s">
        <v>2015</v>
      </c>
      <c r="C103" s="27" t="s">
        <v>2240</v>
      </c>
      <c r="D103" s="27" t="s">
        <v>2241</v>
      </c>
      <c r="E103" s="14" t="s">
        <v>1982</v>
      </c>
    </row>
    <row r="104" spans="1:6">
      <c r="A104" s="1">
        <v>105</v>
      </c>
      <c r="B104" s="8" t="s">
        <v>2020</v>
      </c>
      <c r="C104" s="27" t="s">
        <v>2242</v>
      </c>
      <c r="D104" s="27" t="s">
        <v>2243</v>
      </c>
      <c r="E104" s="14" t="s">
        <v>1982</v>
      </c>
    </row>
    <row r="105" spans="1:6">
      <c r="A105" s="1">
        <v>106</v>
      </c>
      <c r="B105" s="52" t="s">
        <v>2021</v>
      </c>
      <c r="C105" s="50" t="s">
        <v>2244</v>
      </c>
      <c r="D105" s="50" t="s">
        <v>3375</v>
      </c>
      <c r="E105" s="14" t="s">
        <v>1982</v>
      </c>
    </row>
    <row r="106" spans="1:6">
      <c r="A106" s="1">
        <v>107</v>
      </c>
      <c r="B106" s="8" t="s">
        <v>2022</v>
      </c>
      <c r="C106" s="27" t="s">
        <v>2398</v>
      </c>
      <c r="D106" s="27" t="s">
        <v>2399</v>
      </c>
      <c r="E106" s="14" t="s">
        <v>1982</v>
      </c>
    </row>
    <row r="107" spans="1:6">
      <c r="A107" s="1">
        <v>108</v>
      </c>
      <c r="B107" s="8" t="s">
        <v>2400</v>
      </c>
      <c r="C107" s="27" t="s">
        <v>2401</v>
      </c>
      <c r="D107" s="8" t="s">
        <v>3376</v>
      </c>
      <c r="E107" s="14" t="s">
        <v>1982</v>
      </c>
    </row>
    <row r="108" spans="1:6">
      <c r="A108" s="1">
        <v>109</v>
      </c>
      <c r="B108" s="8" t="s">
        <v>2250</v>
      </c>
      <c r="C108" s="27" t="s">
        <v>2402</v>
      </c>
      <c r="D108" s="8" t="s">
        <v>2403</v>
      </c>
      <c r="E108" s="14" t="s">
        <v>1982</v>
      </c>
    </row>
    <row r="109" spans="1:6">
      <c r="A109" s="1">
        <v>110</v>
      </c>
      <c r="B109" s="27" t="str">
        <f>VLOOKUP(F109,'BASE_FUNCOES (hide)'!$A$4:$D$676,2,FALSE)</f>
        <v>iOS - Exames Laboratoriais</v>
      </c>
      <c r="C109" s="27" t="str">
        <f>VLOOKUP(F109,'BASE_FUNCOES (hide)'!$A$4:$D$676,3,FALSE)</f>
        <v>iOS - Laboratory Tests</v>
      </c>
      <c r="D109" s="27" t="str">
        <f>VLOOKUP(F109,'BASE_FUNCOES (hide)'!$A$4:$D$676,4,FALSE)</f>
        <v>iOS - Exámenes de Laboratorio</v>
      </c>
      <c r="E109" s="14" t="s">
        <v>1982</v>
      </c>
      <c r="F109" s="1">
        <v>2687</v>
      </c>
    </row>
    <row r="110" spans="1:6">
      <c r="A110" s="1">
        <v>111</v>
      </c>
      <c r="B110" s="27" t="str">
        <f>VLOOKUP(F110,'BASE_FUNCOES (hide)'!$A$4:$D$676,2,FALSE)</f>
        <v>iOS - Evoluções</v>
      </c>
      <c r="C110" s="27" t="str">
        <f>VLOOKUP(F110,'BASE_FUNCOES (hide)'!$A$4:$D$676,3,FALSE)</f>
        <v>iOS - Clinical notes</v>
      </c>
      <c r="D110" s="27" t="str">
        <f>VLOOKUP(F110,'BASE_FUNCOES (hide)'!$A$4:$D$676,4,FALSE)</f>
        <v>iOS - Evoluciones</v>
      </c>
      <c r="E110" s="14" t="s">
        <v>1982</v>
      </c>
      <c r="F110" s="1">
        <v>2703</v>
      </c>
    </row>
    <row r="111" spans="1:6">
      <c r="A111" s="1">
        <v>112</v>
      </c>
      <c r="B111" s="27" t="str">
        <f>VLOOKUP(F111,'BASE_FUNCOES (hide)'!$A$4:$D$676,2,FALSE)</f>
        <v>iOS - Exames No Laboratoriais</v>
      </c>
      <c r="C111" s="27" t="str">
        <f>VLOOKUP(F111,'BASE_FUNCOES (hide)'!$A$4:$D$676,3,FALSE)</f>
        <v>iOS - Non-Laboratory Tests</v>
      </c>
      <c r="D111" s="27" t="str">
        <f>VLOOKUP(F111,'BASE_FUNCOES (hide)'!$A$4:$D$676,4,FALSE)</f>
        <v>iOS - Estudios de Gabinete</v>
      </c>
      <c r="E111" s="14" t="s">
        <v>1982</v>
      </c>
      <c r="F111" s="1">
        <v>2689</v>
      </c>
    </row>
    <row r="112" spans="1:6">
      <c r="A112" s="1">
        <v>113</v>
      </c>
      <c r="B112" s="27" t="str">
        <f>VLOOKUP(F112,'BASE_FUNCOES (hide)'!$A$4:$D$676,2,FALSE)</f>
        <v>iOS - Diagnósticos</v>
      </c>
      <c r="C112" s="27" t="str">
        <f>VLOOKUP(F112,'BASE_FUNCOES (hide)'!$A$4:$D$676,3,FALSE)</f>
        <v>iOS - Diagnosis</v>
      </c>
      <c r="D112" s="27" t="str">
        <f>VLOOKUP(F112,'BASE_FUNCOES (hide)'!$A$4:$D$676,4,FALSE)</f>
        <v>iOS - Diagnósticos</v>
      </c>
      <c r="E112" s="14" t="s">
        <v>1982</v>
      </c>
      <c r="F112" s="1">
        <v>2682</v>
      </c>
    </row>
    <row r="113" spans="1:6">
      <c r="A113" s="1">
        <v>114</v>
      </c>
      <c r="B113" s="27" t="str">
        <f>VLOOKUP(F113,'BASE_FUNCOES (hide)'!$A$4:$D$676,2,FALSE)</f>
        <v>iOS - PEP</v>
      </c>
      <c r="C113" s="27" t="str">
        <f>VLOOKUP(F113,'BASE_FUNCOES (hide)'!$A$4:$D$676,3,FALSE)</f>
        <v>iOS - Electronic Patient Chart</v>
      </c>
      <c r="D113" s="27" t="str">
        <f>VLOOKUP(F113,'BASE_FUNCOES (hide)'!$A$4:$D$676,4,FALSE)</f>
        <v>iOS - ECE</v>
      </c>
      <c r="E113" s="14" t="s">
        <v>1982</v>
      </c>
      <c r="F113" s="1">
        <v>2681</v>
      </c>
    </row>
    <row r="114" spans="1:6">
      <c r="A114" s="1">
        <v>115</v>
      </c>
      <c r="B114" s="27" t="str">
        <f>VLOOKUP(F114,'BASE_FUNCOES (hide)'!$A$4:$D$676,2,FALSE)</f>
        <v>iOS - Sinais Vitais e Monitorização</v>
      </c>
      <c r="C114" s="27" t="str">
        <f>VLOOKUP(F114,'BASE_FUNCOES (hide)'!$A$4:$D$676,3,FALSE)</f>
        <v>iOS - Vital Signs and Monitoring</v>
      </c>
      <c r="D114" s="27" t="str">
        <f>VLOOKUP(F114,'BASE_FUNCOES (hide)'!$A$4:$D$676,4,FALSE)</f>
        <v>iOS - Signos Vitales y Monitorización</v>
      </c>
      <c r="E114" s="14" t="s">
        <v>1982</v>
      </c>
      <c r="F114" s="1">
        <v>2685</v>
      </c>
    </row>
    <row r="115" spans="1:6">
      <c r="A115" s="1">
        <v>116</v>
      </c>
      <c r="B115" s="8" t="s">
        <v>2405</v>
      </c>
      <c r="C115" s="56" t="s">
        <v>2404</v>
      </c>
      <c r="D115" s="8" t="s">
        <v>3377</v>
      </c>
      <c r="E115" s="14" t="s">
        <v>1982</v>
      </c>
    </row>
    <row r="116" spans="1:6">
      <c r="A116" s="1">
        <v>117</v>
      </c>
      <c r="B116" s="8" t="s">
        <v>2251</v>
      </c>
      <c r="C116" s="56" t="s">
        <v>2406</v>
      </c>
      <c r="D116" s="8" t="s">
        <v>3378</v>
      </c>
      <c r="E116" s="14" t="s">
        <v>1982</v>
      </c>
    </row>
    <row r="117" spans="1:6">
      <c r="A117" s="1">
        <v>118</v>
      </c>
      <c r="B117" s="51" t="s">
        <v>190</v>
      </c>
      <c r="C117" s="56" t="s">
        <v>2407</v>
      </c>
      <c r="D117" s="8" t="s">
        <v>3379</v>
      </c>
      <c r="E117" s="14" t="s">
        <v>1982</v>
      </c>
    </row>
    <row r="118" spans="1:6">
      <c r="A118" s="1">
        <v>119</v>
      </c>
      <c r="B118" s="51" t="s">
        <v>1927</v>
      </c>
      <c r="C118" s="56" t="s">
        <v>2408</v>
      </c>
      <c r="D118" s="8" t="s">
        <v>2409</v>
      </c>
      <c r="E118" s="14" t="s">
        <v>1982</v>
      </c>
    </row>
    <row r="119" spans="1:6">
      <c r="A119" s="1">
        <v>120</v>
      </c>
      <c r="B119" s="51" t="s">
        <v>1926</v>
      </c>
      <c r="C119" s="56" t="s">
        <v>2410</v>
      </c>
      <c r="D119" s="8" t="s">
        <v>3380</v>
      </c>
      <c r="E119" s="14" t="s">
        <v>1982</v>
      </c>
    </row>
    <row r="120" spans="1:6">
      <c r="A120" s="1">
        <v>121</v>
      </c>
      <c r="B120" s="51" t="s">
        <v>1924</v>
      </c>
      <c r="C120" s="56" t="s">
        <v>2411</v>
      </c>
      <c r="D120" s="8" t="s">
        <v>2412</v>
      </c>
      <c r="E120" s="14" t="s">
        <v>1982</v>
      </c>
    </row>
    <row r="121" spans="1:6">
      <c r="A121" s="1">
        <v>122</v>
      </c>
      <c r="B121" s="51" t="s">
        <v>1925</v>
      </c>
      <c r="C121" s="56" t="s">
        <v>2414</v>
      </c>
      <c r="D121" s="8" t="s">
        <v>2413</v>
      </c>
      <c r="E121" s="14" t="s">
        <v>1982</v>
      </c>
    </row>
    <row r="122" spans="1:6">
      <c r="A122" s="1">
        <v>123</v>
      </c>
      <c r="B122" s="51" t="s">
        <v>109</v>
      </c>
      <c r="C122" s="56" t="s">
        <v>2415</v>
      </c>
      <c r="D122" s="8" t="s">
        <v>3381</v>
      </c>
      <c r="E122" s="14" t="s">
        <v>1982</v>
      </c>
    </row>
    <row r="123" spans="1:6">
      <c r="A123" s="1">
        <v>124</v>
      </c>
      <c r="B123" s="51" t="s">
        <v>1923</v>
      </c>
      <c r="C123" s="56" t="s">
        <v>2416</v>
      </c>
      <c r="D123" s="8" t="s">
        <v>2417</v>
      </c>
      <c r="E123" s="14" t="s">
        <v>1982</v>
      </c>
    </row>
    <row r="124" spans="1:6">
      <c r="A124" s="1">
        <v>125</v>
      </c>
      <c r="B124" s="51" t="s">
        <v>231</v>
      </c>
      <c r="C124" s="56" t="s">
        <v>2418</v>
      </c>
      <c r="D124" s="8" t="s">
        <v>822</v>
      </c>
      <c r="E124" s="14" t="s">
        <v>1982</v>
      </c>
    </row>
    <row r="125" spans="1:6">
      <c r="A125" s="1">
        <v>126</v>
      </c>
      <c r="B125" s="51" t="s">
        <v>281</v>
      </c>
      <c r="C125" s="56" t="s">
        <v>2419</v>
      </c>
      <c r="D125" s="8" t="s">
        <v>3382</v>
      </c>
      <c r="E125" s="14" t="s">
        <v>1982</v>
      </c>
    </row>
    <row r="126" spans="1:6">
      <c r="A126" s="1">
        <v>127</v>
      </c>
      <c r="B126" s="51" t="s">
        <v>2037</v>
      </c>
      <c r="C126" s="56" t="s">
        <v>2420</v>
      </c>
      <c r="D126" s="8" t="s">
        <v>2037</v>
      </c>
      <c r="E126" s="14" t="s">
        <v>1982</v>
      </c>
    </row>
    <row r="127" spans="1:6">
      <c r="A127" s="1">
        <v>128</v>
      </c>
      <c r="B127" s="56" t="s">
        <v>2013</v>
      </c>
      <c r="C127" s="56" t="s">
        <v>2421</v>
      </c>
      <c r="D127" s="27" t="s">
        <v>3383</v>
      </c>
      <c r="E127" s="14" t="s">
        <v>1982</v>
      </c>
    </row>
    <row r="128" spans="1:6">
      <c r="A128" s="1">
        <v>129</v>
      </c>
      <c r="B128" s="56" t="s">
        <v>2014</v>
      </c>
      <c r="C128" s="56" t="s">
        <v>2422</v>
      </c>
      <c r="D128" s="27" t="s">
        <v>2429</v>
      </c>
      <c r="E128" s="14" t="s">
        <v>1982</v>
      </c>
    </row>
    <row r="129" spans="1:5">
      <c r="A129" s="1">
        <v>130</v>
      </c>
      <c r="B129" s="56" t="s">
        <v>2023</v>
      </c>
      <c r="C129" s="56" t="s">
        <v>2423</v>
      </c>
      <c r="D129" s="27" t="s">
        <v>3384</v>
      </c>
      <c r="E129" s="14" t="s">
        <v>1982</v>
      </c>
    </row>
    <row r="130" spans="1:5">
      <c r="A130" s="1">
        <v>131</v>
      </c>
      <c r="B130" s="56" t="s">
        <v>2354</v>
      </c>
      <c r="C130" s="56" t="s">
        <v>2424</v>
      </c>
      <c r="D130" s="27" t="s">
        <v>2427</v>
      </c>
      <c r="E130" s="14" t="s">
        <v>1982</v>
      </c>
    </row>
    <row r="131" spans="1:5">
      <c r="A131" s="1">
        <v>132</v>
      </c>
      <c r="B131" s="56" t="s">
        <v>2020</v>
      </c>
      <c r="C131" s="56" t="s">
        <v>2425</v>
      </c>
      <c r="D131" s="27" t="s">
        <v>2428</v>
      </c>
      <c r="E131" s="14" t="s">
        <v>1982</v>
      </c>
    </row>
    <row r="132" spans="1:5">
      <c r="A132" s="1">
        <v>133</v>
      </c>
      <c r="B132" s="56" t="s">
        <v>2021</v>
      </c>
      <c r="C132" s="56" t="s">
        <v>2426</v>
      </c>
      <c r="D132" s="27" t="s">
        <v>3385</v>
      </c>
      <c r="E132" s="14" t="s">
        <v>1982</v>
      </c>
    </row>
    <row r="133" spans="1:5">
      <c r="A133" s="1">
        <v>134</v>
      </c>
      <c r="B133" s="56" t="s">
        <v>2022</v>
      </c>
      <c r="C133" s="56" t="s">
        <v>2398</v>
      </c>
      <c r="D133" s="27" t="s">
        <v>2399</v>
      </c>
      <c r="E133" s="14" t="s">
        <v>1982</v>
      </c>
    </row>
    <row r="134" spans="1:5">
      <c r="A134" s="1">
        <v>136</v>
      </c>
      <c r="B134" s="27" t="s">
        <v>2075</v>
      </c>
      <c r="C134" s="27" t="s">
        <v>2430</v>
      </c>
      <c r="D134" s="27" t="s">
        <v>3386</v>
      </c>
      <c r="E134" s="13" t="s">
        <v>3474</v>
      </c>
    </row>
    <row r="135" spans="1:5">
      <c r="A135" s="1">
        <v>137</v>
      </c>
      <c r="B135" s="27" t="s">
        <v>2493</v>
      </c>
      <c r="C135" s="27" t="s">
        <v>2494</v>
      </c>
      <c r="D135" s="27" t="s">
        <v>2495</v>
      </c>
      <c r="E135" s="13" t="s">
        <v>3474</v>
      </c>
    </row>
    <row r="136" spans="1:5">
      <c r="A136" s="1">
        <v>138</v>
      </c>
      <c r="B136" s="27" t="s">
        <v>2079</v>
      </c>
      <c r="C136" s="27" t="s">
        <v>2431</v>
      </c>
      <c r="D136" s="27" t="s">
        <v>3387</v>
      </c>
      <c r="E136" s="13" t="s">
        <v>3474</v>
      </c>
    </row>
    <row r="137" spans="1:5">
      <c r="A137" s="1">
        <v>139</v>
      </c>
      <c r="B137" s="27" t="s">
        <v>2072</v>
      </c>
      <c r="C137" s="27" t="s">
        <v>2432</v>
      </c>
      <c r="D137" s="27" t="s">
        <v>2443</v>
      </c>
      <c r="E137" s="13" t="s">
        <v>3474</v>
      </c>
    </row>
    <row r="138" spans="1:5">
      <c r="A138" s="1">
        <v>140</v>
      </c>
      <c r="B138" s="27" t="s">
        <v>2088</v>
      </c>
      <c r="C138" s="27" t="s">
        <v>2433</v>
      </c>
      <c r="D138" s="27" t="s">
        <v>2207</v>
      </c>
      <c r="E138" s="13" t="s">
        <v>3474</v>
      </c>
    </row>
    <row r="139" spans="1:5">
      <c r="A139" s="1">
        <v>141</v>
      </c>
      <c r="B139" s="27" t="s">
        <v>2080</v>
      </c>
      <c r="C139" s="27" t="s">
        <v>2434</v>
      </c>
      <c r="D139" s="27" t="s">
        <v>2444</v>
      </c>
      <c r="E139" s="13" t="s">
        <v>3474</v>
      </c>
    </row>
    <row r="140" spans="1:5">
      <c r="A140" s="1">
        <v>142</v>
      </c>
      <c r="B140" s="27" t="s">
        <v>2155</v>
      </c>
      <c r="C140" s="27" t="s">
        <v>2435</v>
      </c>
      <c r="D140" s="27" t="s">
        <v>2210</v>
      </c>
      <c r="E140" s="13" t="s">
        <v>3474</v>
      </c>
    </row>
    <row r="141" spans="1:5">
      <c r="A141" s="1">
        <v>143</v>
      </c>
      <c r="B141" s="27" t="s">
        <v>2156</v>
      </c>
      <c r="C141" s="27" t="s">
        <v>1930</v>
      </c>
      <c r="D141" s="27" t="s">
        <v>2445</v>
      </c>
      <c r="E141" s="13" t="s">
        <v>3474</v>
      </c>
    </row>
    <row r="142" spans="1:5">
      <c r="A142" s="1">
        <v>144</v>
      </c>
      <c r="B142" s="27" t="s">
        <v>1576</v>
      </c>
      <c r="C142" s="27" t="s">
        <v>1929</v>
      </c>
      <c r="D142" s="27" t="s">
        <v>1938</v>
      </c>
      <c r="E142" s="13" t="s">
        <v>3474</v>
      </c>
    </row>
    <row r="143" spans="1:5">
      <c r="A143" s="1">
        <v>145</v>
      </c>
      <c r="B143" s="27" t="s">
        <v>2073</v>
      </c>
      <c r="C143" s="27" t="s">
        <v>2211</v>
      </c>
      <c r="D143" s="27" t="s">
        <v>2446</v>
      </c>
      <c r="E143" s="13" t="s">
        <v>3474</v>
      </c>
    </row>
    <row r="144" spans="1:5">
      <c r="A144" s="1">
        <v>146</v>
      </c>
      <c r="B144" s="27" t="s">
        <v>2089</v>
      </c>
      <c r="C144" s="27" t="s">
        <v>2436</v>
      </c>
      <c r="D144" s="27" t="s">
        <v>2447</v>
      </c>
      <c r="E144" s="13" t="s">
        <v>3474</v>
      </c>
    </row>
    <row r="145" spans="1:5">
      <c r="A145" s="1">
        <v>147</v>
      </c>
      <c r="B145" s="27" t="s">
        <v>2090</v>
      </c>
      <c r="C145" s="27" t="s">
        <v>2437</v>
      </c>
      <c r="D145" s="27" t="s">
        <v>2448</v>
      </c>
      <c r="E145" s="13" t="s">
        <v>3474</v>
      </c>
    </row>
    <row r="146" spans="1:5">
      <c r="A146" s="1">
        <v>148</v>
      </c>
      <c r="B146" s="27" t="s">
        <v>2091</v>
      </c>
      <c r="C146" s="27" t="s">
        <v>2438</v>
      </c>
      <c r="D146" s="27" t="s">
        <v>2218</v>
      </c>
      <c r="E146" s="13" t="s">
        <v>3474</v>
      </c>
    </row>
    <row r="147" spans="1:5">
      <c r="A147" s="1">
        <v>149</v>
      </c>
      <c r="B147" s="27" t="s">
        <v>2092</v>
      </c>
      <c r="C147" s="27" t="s">
        <v>2439</v>
      </c>
      <c r="D147" s="27" t="s">
        <v>3388</v>
      </c>
      <c r="E147" s="13" t="s">
        <v>3474</v>
      </c>
    </row>
    <row r="148" spans="1:5">
      <c r="A148" s="1">
        <v>150</v>
      </c>
      <c r="B148" s="27" t="s">
        <v>2157</v>
      </c>
      <c r="C148" s="27" t="s">
        <v>2440</v>
      </c>
      <c r="D148" s="27" t="s">
        <v>3389</v>
      </c>
      <c r="E148" s="13" t="s">
        <v>3474</v>
      </c>
    </row>
    <row r="149" spans="1:5">
      <c r="A149" s="1">
        <v>151</v>
      </c>
      <c r="B149" s="27" t="s">
        <v>2093</v>
      </c>
      <c r="C149" s="27" t="s">
        <v>2441</v>
      </c>
      <c r="D149" s="27" t="s">
        <v>3390</v>
      </c>
      <c r="E149" s="13" t="s">
        <v>3474</v>
      </c>
    </row>
    <row r="150" spans="1:5">
      <c r="A150" s="1">
        <v>152</v>
      </c>
      <c r="B150" s="27" t="s">
        <v>2094</v>
      </c>
      <c r="C150" s="27" t="s">
        <v>2442</v>
      </c>
      <c r="D150" s="27" t="s">
        <v>2449</v>
      </c>
      <c r="E150" s="13" t="s">
        <v>3474</v>
      </c>
    </row>
    <row r="151" spans="1:5">
      <c r="A151" s="1">
        <v>153</v>
      </c>
      <c r="B151" s="27" t="s">
        <v>2076</v>
      </c>
      <c r="C151" s="27" t="s">
        <v>2450</v>
      </c>
      <c r="D151" s="27" t="s">
        <v>3369</v>
      </c>
      <c r="E151" s="13" t="s">
        <v>3474</v>
      </c>
    </row>
    <row r="152" spans="1:5">
      <c r="A152" s="1">
        <v>154</v>
      </c>
      <c r="B152" s="27" t="s">
        <v>2158</v>
      </c>
      <c r="C152" s="27" t="s">
        <v>2451</v>
      </c>
      <c r="D152" s="27" t="s">
        <v>3391</v>
      </c>
      <c r="E152" s="13" t="s">
        <v>3474</v>
      </c>
    </row>
    <row r="153" spans="1:5">
      <c r="A153" s="1">
        <v>155</v>
      </c>
      <c r="B153" s="27" t="s">
        <v>2101</v>
      </c>
      <c r="C153" s="27" t="s">
        <v>2226</v>
      </c>
      <c r="D153" s="27" t="s">
        <v>3371</v>
      </c>
      <c r="E153" s="13" t="s">
        <v>3474</v>
      </c>
    </row>
    <row r="154" spans="1:5">
      <c r="A154" s="1">
        <v>156</v>
      </c>
      <c r="B154" s="27" t="s">
        <v>2102</v>
      </c>
      <c r="C154" s="27" t="s">
        <v>2452</v>
      </c>
      <c r="D154" s="27" t="s">
        <v>2457</v>
      </c>
      <c r="E154" s="13" t="s">
        <v>3474</v>
      </c>
    </row>
    <row r="155" spans="1:5">
      <c r="A155" s="1">
        <v>157</v>
      </c>
      <c r="B155" s="27" t="s">
        <v>2159</v>
      </c>
      <c r="C155" s="27" t="s">
        <v>2453</v>
      </c>
      <c r="D155" s="27" t="s">
        <v>2230</v>
      </c>
      <c r="E155" s="13" t="s">
        <v>3474</v>
      </c>
    </row>
    <row r="156" spans="1:5">
      <c r="A156" s="1">
        <v>158</v>
      </c>
      <c r="B156" s="27" t="s">
        <v>2160</v>
      </c>
      <c r="C156" s="27" t="s">
        <v>2454</v>
      </c>
      <c r="D156" s="27" t="s">
        <v>2458</v>
      </c>
      <c r="E156" s="13" t="s">
        <v>3474</v>
      </c>
    </row>
    <row r="157" spans="1:5">
      <c r="A157" s="1">
        <v>159</v>
      </c>
      <c r="B157" s="27" t="s">
        <v>2161</v>
      </c>
      <c r="C157" s="27" t="s">
        <v>2232</v>
      </c>
      <c r="D157" s="27" t="s">
        <v>2233</v>
      </c>
      <c r="E157" s="13" t="s">
        <v>3474</v>
      </c>
    </row>
    <row r="158" spans="1:5">
      <c r="A158" s="1">
        <v>160</v>
      </c>
      <c r="B158" s="27" t="s">
        <v>145</v>
      </c>
      <c r="C158" s="27" t="s">
        <v>1965</v>
      </c>
      <c r="D158" s="27" t="s">
        <v>2459</v>
      </c>
      <c r="E158" s="13" t="s">
        <v>3474</v>
      </c>
    </row>
    <row r="159" spans="1:5">
      <c r="A159" s="1">
        <v>161</v>
      </c>
      <c r="B159" s="27" t="s">
        <v>2252</v>
      </c>
      <c r="C159" s="27" t="s">
        <v>2455</v>
      </c>
      <c r="D159" s="27" t="s">
        <v>2460</v>
      </c>
      <c r="E159" s="13" t="s">
        <v>3474</v>
      </c>
    </row>
    <row r="160" spans="1:5">
      <c r="A160" s="1">
        <v>162</v>
      </c>
      <c r="B160" s="27" t="s">
        <v>1576</v>
      </c>
      <c r="C160" s="27" t="s">
        <v>1929</v>
      </c>
      <c r="D160" s="27" t="s">
        <v>1938</v>
      </c>
      <c r="E160" s="13" t="s">
        <v>3474</v>
      </c>
    </row>
    <row r="161" spans="1:5">
      <c r="A161" s="1">
        <v>163</v>
      </c>
      <c r="B161" s="27" t="s">
        <v>2073</v>
      </c>
      <c r="C161" s="27" t="s">
        <v>2211</v>
      </c>
      <c r="D161" s="27" t="s">
        <v>2446</v>
      </c>
      <c r="E161" s="13" t="s">
        <v>3474</v>
      </c>
    </row>
    <row r="162" spans="1:5">
      <c r="A162" s="1">
        <v>164</v>
      </c>
      <c r="B162" s="27" t="s">
        <v>145</v>
      </c>
      <c r="C162" s="27" t="s">
        <v>1965</v>
      </c>
      <c r="D162" s="27" t="s">
        <v>2459</v>
      </c>
      <c r="E162" s="13" t="s">
        <v>3474</v>
      </c>
    </row>
    <row r="163" spans="1:5">
      <c r="A163" s="1">
        <v>165</v>
      </c>
      <c r="B163" s="27" t="s">
        <v>2026</v>
      </c>
      <c r="C163" s="27" t="s">
        <v>2456</v>
      </c>
      <c r="D163" s="27" t="s">
        <v>2461</v>
      </c>
      <c r="E163" s="13" t="s">
        <v>3474</v>
      </c>
    </row>
    <row r="164" spans="1:5">
      <c r="A164" s="1">
        <v>166</v>
      </c>
      <c r="B164" s="27" t="s">
        <v>2271</v>
      </c>
      <c r="C164" s="58" t="s">
        <v>2334</v>
      </c>
      <c r="D164" s="58" t="s">
        <v>2462</v>
      </c>
      <c r="E164" s="14" t="s">
        <v>1982</v>
      </c>
    </row>
    <row r="165" spans="1:5">
      <c r="A165" s="1">
        <v>167</v>
      </c>
      <c r="B165" s="27" t="s">
        <v>2289</v>
      </c>
      <c r="C165" s="58" t="s">
        <v>2335</v>
      </c>
      <c r="D165" s="58" t="s">
        <v>5868</v>
      </c>
      <c r="E165" s="14" t="s">
        <v>1982</v>
      </c>
    </row>
    <row r="166" spans="1:5">
      <c r="A166" s="1">
        <v>168</v>
      </c>
      <c r="B166" s="66" t="s">
        <v>2009</v>
      </c>
      <c r="C166" s="27" t="s">
        <v>2463</v>
      </c>
      <c r="D166" s="27" t="s">
        <v>3392</v>
      </c>
      <c r="E166" s="13" t="s">
        <v>3231</v>
      </c>
    </row>
    <row r="167" spans="1:5">
      <c r="A167" s="1">
        <v>169</v>
      </c>
      <c r="B167" s="66" t="s">
        <v>2010</v>
      </c>
      <c r="C167" s="27" t="s">
        <v>2464</v>
      </c>
      <c r="D167" s="27" t="s">
        <v>2465</v>
      </c>
      <c r="E167" s="13" t="s">
        <v>3231</v>
      </c>
    </row>
    <row r="168" spans="1:5">
      <c r="A168" s="1">
        <v>170</v>
      </c>
      <c r="B168" s="66" t="s">
        <v>2011</v>
      </c>
      <c r="C168" s="66" t="s">
        <v>2011</v>
      </c>
      <c r="D168" s="372" t="s">
        <v>2011</v>
      </c>
      <c r="E168" s="13" t="s">
        <v>3231</v>
      </c>
    </row>
    <row r="169" spans="1:5">
      <c r="A169" s="1">
        <v>171</v>
      </c>
      <c r="B169" s="66" t="s">
        <v>2011</v>
      </c>
      <c r="C169" s="66" t="s">
        <v>2011</v>
      </c>
      <c r="D169" s="372" t="s">
        <v>2011</v>
      </c>
      <c r="E169" s="13" t="s">
        <v>3231</v>
      </c>
    </row>
    <row r="170" spans="1:5">
      <c r="A170" s="1">
        <v>172</v>
      </c>
      <c r="B170" s="66" t="s">
        <v>2011</v>
      </c>
      <c r="C170" s="66" t="s">
        <v>2011</v>
      </c>
      <c r="D170" s="372" t="s">
        <v>2011</v>
      </c>
      <c r="E170" s="13" t="s">
        <v>3231</v>
      </c>
    </row>
    <row r="171" spans="1:5">
      <c r="A171" s="1">
        <v>173</v>
      </c>
      <c r="B171" s="170" t="s">
        <v>2374</v>
      </c>
      <c r="C171" s="27" t="s">
        <v>2466</v>
      </c>
      <c r="D171" s="27" t="s">
        <v>3393</v>
      </c>
      <c r="E171" s="13" t="s">
        <v>3231</v>
      </c>
    </row>
    <row r="172" spans="1:5">
      <c r="A172" s="1">
        <v>174</v>
      </c>
      <c r="B172" s="170" t="s">
        <v>2375</v>
      </c>
      <c r="C172" s="174" t="s">
        <v>2467</v>
      </c>
      <c r="D172" s="372" t="s">
        <v>3394</v>
      </c>
      <c r="E172" s="13" t="s">
        <v>3231</v>
      </c>
    </row>
    <row r="173" spans="1:5">
      <c r="A173" s="1">
        <v>175</v>
      </c>
      <c r="B173" s="170" t="s">
        <v>2375</v>
      </c>
      <c r="C173" s="174" t="s">
        <v>2467</v>
      </c>
      <c r="D173" s="372" t="s">
        <v>3394</v>
      </c>
      <c r="E173" s="13" t="s">
        <v>3231</v>
      </c>
    </row>
    <row r="174" spans="1:5">
      <c r="A174" s="1">
        <v>176</v>
      </c>
      <c r="B174" s="170" t="s">
        <v>2375</v>
      </c>
      <c r="C174" s="174" t="s">
        <v>2467</v>
      </c>
      <c r="D174" s="372" t="s">
        <v>3394</v>
      </c>
      <c r="E174" s="13" t="s">
        <v>3231</v>
      </c>
    </row>
    <row r="175" spans="1:5">
      <c r="A175" s="1">
        <v>177</v>
      </c>
      <c r="B175" s="66" t="s">
        <v>2016</v>
      </c>
      <c r="C175" s="27" t="s">
        <v>2468</v>
      </c>
      <c r="D175" s="27" t="s">
        <v>3395</v>
      </c>
      <c r="E175" s="13" t="s">
        <v>3231</v>
      </c>
    </row>
    <row r="176" spans="1:5">
      <c r="A176" s="1">
        <v>178</v>
      </c>
      <c r="B176" s="136" t="s">
        <v>2355</v>
      </c>
      <c r="C176" s="27" t="s">
        <v>2469</v>
      </c>
      <c r="D176" s="27" t="s">
        <v>2482</v>
      </c>
      <c r="E176" s="13" t="s">
        <v>3231</v>
      </c>
    </row>
    <row r="177" spans="1:5">
      <c r="A177" s="1">
        <v>179</v>
      </c>
      <c r="B177" s="66" t="s">
        <v>2017</v>
      </c>
      <c r="C177" s="27" t="s">
        <v>2470</v>
      </c>
      <c r="D177" s="27" t="s">
        <v>2483</v>
      </c>
      <c r="E177" s="13" t="s">
        <v>3231</v>
      </c>
    </row>
    <row r="178" spans="1:5">
      <c r="A178" s="1">
        <v>180</v>
      </c>
      <c r="B178" s="66" t="s">
        <v>2008</v>
      </c>
      <c r="C178" s="27" t="s">
        <v>2471</v>
      </c>
      <c r="D178" s="27" t="s">
        <v>2484</v>
      </c>
      <c r="E178" s="13" t="s">
        <v>3231</v>
      </c>
    </row>
    <row r="179" spans="1:5">
      <c r="A179" s="1">
        <v>181</v>
      </c>
      <c r="B179" s="66" t="s">
        <v>2018</v>
      </c>
      <c r="C179" s="27" t="s">
        <v>2472</v>
      </c>
      <c r="D179" s="27" t="s">
        <v>2485</v>
      </c>
      <c r="E179" s="13" t="s">
        <v>3231</v>
      </c>
    </row>
    <row r="180" spans="1:5">
      <c r="A180" s="1">
        <v>182</v>
      </c>
      <c r="B180" s="66" t="s">
        <v>2016</v>
      </c>
      <c r="C180" s="27" t="s">
        <v>2468</v>
      </c>
      <c r="D180" s="27" t="s">
        <v>3396</v>
      </c>
      <c r="E180" s="13" t="s">
        <v>3231</v>
      </c>
    </row>
    <row r="181" spans="1:5">
      <c r="A181" s="1">
        <v>183</v>
      </c>
      <c r="B181" s="66" t="s">
        <v>2017</v>
      </c>
      <c r="C181" s="27" t="s">
        <v>2470</v>
      </c>
      <c r="D181" s="27" t="s">
        <v>2483</v>
      </c>
      <c r="E181" s="13" t="s">
        <v>3231</v>
      </c>
    </row>
    <row r="182" spans="1:5">
      <c r="A182" s="1">
        <v>184</v>
      </c>
      <c r="B182" s="66" t="s">
        <v>2008</v>
      </c>
      <c r="C182" s="27" t="s">
        <v>2471</v>
      </c>
      <c r="D182" s="27" t="s">
        <v>2484</v>
      </c>
      <c r="E182" s="13" t="s">
        <v>3231</v>
      </c>
    </row>
    <row r="183" spans="1:5">
      <c r="A183" s="1">
        <v>185</v>
      </c>
      <c r="B183" s="66" t="s">
        <v>2018</v>
      </c>
      <c r="C183" s="27" t="s">
        <v>2472</v>
      </c>
      <c r="D183" s="27" t="s">
        <v>2485</v>
      </c>
      <c r="E183" s="13" t="s">
        <v>3231</v>
      </c>
    </row>
    <row r="184" spans="1:5">
      <c r="A184" s="1">
        <v>186</v>
      </c>
      <c r="B184" s="27" t="s">
        <v>2473</v>
      </c>
      <c r="C184" s="27" t="s">
        <v>2473</v>
      </c>
      <c r="D184" s="27" t="s">
        <v>2473</v>
      </c>
      <c r="E184" s="13" t="s">
        <v>3231</v>
      </c>
    </row>
    <row r="185" spans="1:5">
      <c r="A185" s="1">
        <v>187</v>
      </c>
      <c r="B185" s="27" t="s">
        <v>2474</v>
      </c>
      <c r="C185" s="27" t="s">
        <v>2474</v>
      </c>
      <c r="D185" s="27" t="s">
        <v>2474</v>
      </c>
      <c r="E185" s="13" t="s">
        <v>3231</v>
      </c>
    </row>
    <row r="186" spans="1:5">
      <c r="A186" s="1">
        <v>188</v>
      </c>
      <c r="B186" s="27" t="s">
        <v>2475</v>
      </c>
      <c r="C186" s="27" t="s">
        <v>2475</v>
      </c>
      <c r="D186" s="27" t="s">
        <v>2475</v>
      </c>
      <c r="E186" s="13" t="s">
        <v>3231</v>
      </c>
    </row>
    <row r="187" spans="1:5">
      <c r="A187" s="1">
        <v>189</v>
      </c>
      <c r="B187" s="27" t="s">
        <v>2476</v>
      </c>
      <c r="C187" s="27" t="s">
        <v>2476</v>
      </c>
      <c r="D187" s="27" t="s">
        <v>2476</v>
      </c>
      <c r="E187" s="13" t="s">
        <v>3231</v>
      </c>
    </row>
    <row r="188" spans="1:5">
      <c r="A188" s="1">
        <v>190</v>
      </c>
      <c r="B188" s="27" t="s">
        <v>2366</v>
      </c>
      <c r="C188" s="27" t="s">
        <v>2477</v>
      </c>
      <c r="D188" s="27" t="s">
        <v>2486</v>
      </c>
      <c r="E188" s="13" t="s">
        <v>3231</v>
      </c>
    </row>
    <row r="189" spans="1:5">
      <c r="A189" s="1">
        <v>191</v>
      </c>
      <c r="B189" s="27" t="s">
        <v>2373</v>
      </c>
      <c r="C189" s="27" t="s">
        <v>2478</v>
      </c>
      <c r="D189" s="27" t="s">
        <v>2487</v>
      </c>
      <c r="E189" s="13" t="s">
        <v>3231</v>
      </c>
    </row>
    <row r="190" spans="1:5">
      <c r="A190" s="1">
        <v>192</v>
      </c>
      <c r="B190" s="27" t="s">
        <v>2479</v>
      </c>
      <c r="C190" s="27" t="s">
        <v>2479</v>
      </c>
      <c r="D190" s="27" t="s">
        <v>2479</v>
      </c>
      <c r="E190" s="13" t="s">
        <v>3231</v>
      </c>
    </row>
    <row r="191" spans="1:5">
      <c r="A191" s="1">
        <v>193</v>
      </c>
      <c r="B191" s="27" t="s">
        <v>2480</v>
      </c>
      <c r="C191" s="27" t="s">
        <v>2480</v>
      </c>
      <c r="D191" s="27" t="s">
        <v>2480</v>
      </c>
      <c r="E191" s="13" t="s">
        <v>3231</v>
      </c>
    </row>
    <row r="192" spans="1:5">
      <c r="A192" s="1">
        <v>194</v>
      </c>
      <c r="B192" s="27" t="s">
        <v>2481</v>
      </c>
      <c r="C192" s="27" t="s">
        <v>2481</v>
      </c>
      <c r="D192" s="27" t="s">
        <v>2481</v>
      </c>
      <c r="E192" s="13" t="s">
        <v>3231</v>
      </c>
    </row>
    <row r="193" spans="1:5">
      <c r="A193" s="1">
        <v>195</v>
      </c>
      <c r="B193" s="27" t="s">
        <v>5865</v>
      </c>
      <c r="C193" s="27" t="s">
        <v>5865</v>
      </c>
      <c r="D193" s="27" t="s">
        <v>5865</v>
      </c>
      <c r="E193" s="13" t="s">
        <v>3231</v>
      </c>
    </row>
    <row r="194" spans="1:5">
      <c r="A194" s="1">
        <v>196</v>
      </c>
      <c r="B194" s="27" t="s">
        <v>2491</v>
      </c>
      <c r="C194" s="27" t="s">
        <v>2491</v>
      </c>
      <c r="D194" s="27" t="s">
        <v>2491</v>
      </c>
      <c r="E194" s="13" t="s">
        <v>3231</v>
      </c>
    </row>
    <row r="195" spans="1:5">
      <c r="A195" s="1">
        <v>197</v>
      </c>
      <c r="B195" s="27" t="s">
        <v>2488</v>
      </c>
      <c r="C195" s="27" t="s">
        <v>2488</v>
      </c>
      <c r="D195" s="27" t="s">
        <v>2488</v>
      </c>
      <c r="E195" s="13" t="s">
        <v>3231</v>
      </c>
    </row>
    <row r="196" spans="1:5">
      <c r="A196" s="1">
        <v>198</v>
      </c>
      <c r="B196" s="27" t="s">
        <v>2489</v>
      </c>
      <c r="C196" s="27" t="s">
        <v>2489</v>
      </c>
      <c r="D196" s="27" t="s">
        <v>2489</v>
      </c>
      <c r="E196" s="13" t="s">
        <v>3231</v>
      </c>
    </row>
    <row r="197" spans="1:5">
      <c r="A197" s="1">
        <v>199</v>
      </c>
      <c r="B197" s="27" t="s">
        <v>1997</v>
      </c>
      <c r="C197" s="27" t="s">
        <v>2490</v>
      </c>
      <c r="D197" s="27" t="s">
        <v>3397</v>
      </c>
      <c r="E197" s="13" t="s">
        <v>3231</v>
      </c>
    </row>
    <row r="198" spans="1:5">
      <c r="A198" s="1">
        <v>200</v>
      </c>
      <c r="B198" s="8" t="s">
        <v>2497</v>
      </c>
      <c r="C198" s="8" t="s">
        <v>2498</v>
      </c>
      <c r="D198" s="8" t="s">
        <v>3398</v>
      </c>
      <c r="E198" s="13" t="s">
        <v>3474</v>
      </c>
    </row>
    <row r="199" spans="1:5">
      <c r="A199" s="1">
        <v>201</v>
      </c>
      <c r="B199" s="8" t="s">
        <v>2064</v>
      </c>
      <c r="C199" s="8" t="s">
        <v>2499</v>
      </c>
      <c r="D199" s="8" t="s">
        <v>2064</v>
      </c>
      <c r="E199" s="13" t="s">
        <v>5839</v>
      </c>
    </row>
    <row r="200" spans="1:5">
      <c r="A200" s="1">
        <v>202</v>
      </c>
      <c r="B200" s="8" t="s">
        <v>2199</v>
      </c>
      <c r="C200" s="8" t="s">
        <v>2500</v>
      </c>
      <c r="D200" s="176" t="s">
        <v>2501</v>
      </c>
      <c r="E200" s="13" t="s">
        <v>5839</v>
      </c>
    </row>
    <row r="201" spans="1:5">
      <c r="A201" s="1">
        <v>203</v>
      </c>
      <c r="B201" s="8" t="s">
        <v>2502</v>
      </c>
      <c r="C201" s="250" t="s">
        <v>2503</v>
      </c>
      <c r="D201" s="250" t="s">
        <v>2504</v>
      </c>
      <c r="E201" s="13" t="s">
        <v>5839</v>
      </c>
    </row>
    <row r="202" spans="1:5">
      <c r="A202" s="1">
        <v>204</v>
      </c>
      <c r="B202" s="8" t="s">
        <v>2957</v>
      </c>
      <c r="C202" s="8" t="s">
        <v>2958</v>
      </c>
      <c r="D202" s="8" t="s">
        <v>2959</v>
      </c>
      <c r="E202" s="13" t="s">
        <v>3474</v>
      </c>
    </row>
    <row r="203" spans="1:5">
      <c r="A203" s="1">
        <v>205</v>
      </c>
      <c r="B203" s="8" t="s">
        <v>2200</v>
      </c>
      <c r="C203" s="8" t="s">
        <v>2505</v>
      </c>
      <c r="D203" s="8" t="s">
        <v>2506</v>
      </c>
      <c r="E203" s="177" t="s">
        <v>2507</v>
      </c>
    </row>
    <row r="204" spans="1:5">
      <c r="A204" s="1">
        <v>206</v>
      </c>
      <c r="B204" s="8" t="s">
        <v>2384</v>
      </c>
      <c r="C204" s="8" t="s">
        <v>2508</v>
      </c>
      <c r="D204" s="8" t="s">
        <v>3399</v>
      </c>
      <c r="E204" s="177" t="s">
        <v>2507</v>
      </c>
    </row>
    <row r="205" spans="1:5">
      <c r="A205" s="1">
        <v>207</v>
      </c>
      <c r="B205" s="8" t="s">
        <v>2136</v>
      </c>
      <c r="C205" s="8" t="s">
        <v>2509</v>
      </c>
      <c r="D205" s="8" t="s">
        <v>3400</v>
      </c>
      <c r="E205" s="177" t="s">
        <v>2507</v>
      </c>
    </row>
    <row r="206" spans="1:5">
      <c r="A206" s="1">
        <v>208</v>
      </c>
      <c r="B206" s="8" t="s">
        <v>2385</v>
      </c>
      <c r="C206" s="8" t="s">
        <v>2510</v>
      </c>
      <c r="D206" s="8" t="s">
        <v>2511</v>
      </c>
      <c r="E206" s="177" t="s">
        <v>2507</v>
      </c>
    </row>
    <row r="207" spans="1:5">
      <c r="A207" s="1">
        <v>209</v>
      </c>
      <c r="B207" s="8" t="s">
        <v>2386</v>
      </c>
      <c r="C207" s="176" t="s">
        <v>2512</v>
      </c>
      <c r="D207" s="8" t="s">
        <v>2513</v>
      </c>
      <c r="E207" s="177" t="s">
        <v>2507</v>
      </c>
    </row>
    <row r="208" spans="1:5">
      <c r="A208" s="1">
        <v>210</v>
      </c>
      <c r="B208" s="8" t="s">
        <v>2360</v>
      </c>
      <c r="C208" s="8" t="s">
        <v>2514</v>
      </c>
      <c r="D208" s="8" t="s">
        <v>2515</v>
      </c>
      <c r="E208" s="177" t="s">
        <v>2507</v>
      </c>
    </row>
    <row r="209" spans="1:5">
      <c r="A209" s="1">
        <v>211</v>
      </c>
      <c r="B209" s="8" t="s">
        <v>2359</v>
      </c>
      <c r="C209" s="8" t="s">
        <v>2516</v>
      </c>
      <c r="D209" s="8" t="s">
        <v>2517</v>
      </c>
      <c r="E209" s="177" t="s">
        <v>2507</v>
      </c>
    </row>
    <row r="210" spans="1:5">
      <c r="A210" s="1">
        <v>212</v>
      </c>
      <c r="B210" s="8" t="s">
        <v>849</v>
      </c>
      <c r="C210" s="8" t="s">
        <v>2518</v>
      </c>
      <c r="D210" s="8" t="s">
        <v>851</v>
      </c>
      <c r="E210" s="177" t="s">
        <v>2507</v>
      </c>
    </row>
    <row r="211" spans="1:5">
      <c r="A211" s="1">
        <v>213</v>
      </c>
      <c r="B211" s="8" t="s">
        <v>2137</v>
      </c>
      <c r="C211" s="8" t="s">
        <v>2519</v>
      </c>
      <c r="D211" s="8" t="s">
        <v>2520</v>
      </c>
      <c r="E211" s="177" t="s">
        <v>2507</v>
      </c>
    </row>
    <row r="212" spans="1:5">
      <c r="A212" s="1">
        <v>214</v>
      </c>
      <c r="B212" s="8" t="s">
        <v>2138</v>
      </c>
      <c r="C212" s="8" t="s">
        <v>2521</v>
      </c>
      <c r="D212" s="8" t="s">
        <v>2522</v>
      </c>
      <c r="E212" s="177" t="s">
        <v>2507</v>
      </c>
    </row>
    <row r="213" spans="1:5">
      <c r="A213" s="1">
        <v>215</v>
      </c>
      <c r="B213" s="8" t="s">
        <v>2387</v>
      </c>
      <c r="C213" s="8" t="s">
        <v>2523</v>
      </c>
      <c r="D213" s="8" t="s">
        <v>2524</v>
      </c>
      <c r="E213" s="177" t="s">
        <v>2507</v>
      </c>
    </row>
    <row r="214" spans="1:5">
      <c r="A214" s="1">
        <v>216</v>
      </c>
      <c r="B214" s="8" t="s">
        <v>2078</v>
      </c>
      <c r="C214" s="8" t="s">
        <v>2525</v>
      </c>
      <c r="D214" s="8" t="s">
        <v>2526</v>
      </c>
      <c r="E214" s="177" t="s">
        <v>2507</v>
      </c>
    </row>
    <row r="215" spans="1:5">
      <c r="A215" s="1">
        <v>217</v>
      </c>
      <c r="B215" s="8" t="s">
        <v>1950</v>
      </c>
      <c r="C215" s="8" t="s">
        <v>2527</v>
      </c>
      <c r="D215" s="8" t="s">
        <v>2528</v>
      </c>
      <c r="E215" s="178" t="s">
        <v>1982</v>
      </c>
    </row>
    <row r="216" spans="1:5">
      <c r="A216" s="1">
        <v>218</v>
      </c>
      <c r="B216" s="8" t="s">
        <v>1946</v>
      </c>
      <c r="C216" s="8" t="s">
        <v>2529</v>
      </c>
      <c r="D216" s="8" t="s">
        <v>2530</v>
      </c>
      <c r="E216" s="178" t="s">
        <v>1982</v>
      </c>
    </row>
    <row r="217" spans="1:5">
      <c r="A217" s="1">
        <v>219</v>
      </c>
      <c r="B217" s="8" t="s">
        <v>446</v>
      </c>
      <c r="C217" s="8" t="s">
        <v>2531</v>
      </c>
      <c r="D217" s="8" t="s">
        <v>2532</v>
      </c>
      <c r="E217" s="178" t="s">
        <v>1982</v>
      </c>
    </row>
    <row r="218" spans="1:5">
      <c r="A218" s="1">
        <v>220</v>
      </c>
      <c r="B218" s="8" t="s">
        <v>2113</v>
      </c>
      <c r="C218" s="8" t="s">
        <v>2533</v>
      </c>
      <c r="D218" s="8" t="s">
        <v>2534</v>
      </c>
      <c r="E218" s="178" t="s">
        <v>1982</v>
      </c>
    </row>
    <row r="219" spans="1:5">
      <c r="A219" s="1">
        <v>221</v>
      </c>
      <c r="B219" s="8" t="s">
        <v>399</v>
      </c>
      <c r="C219" s="8" t="s">
        <v>1363</v>
      </c>
      <c r="D219" s="8" t="s">
        <v>1364</v>
      </c>
      <c r="E219" s="178" t="s">
        <v>1982</v>
      </c>
    </row>
    <row r="220" spans="1:5">
      <c r="A220" s="1">
        <v>222</v>
      </c>
      <c r="B220" s="8" t="s">
        <v>2397</v>
      </c>
      <c r="C220" s="8" t="s">
        <v>2535</v>
      </c>
      <c r="D220" s="179" t="s">
        <v>2536</v>
      </c>
      <c r="E220" s="178" t="s">
        <v>1982</v>
      </c>
    </row>
    <row r="221" spans="1:5">
      <c r="A221" s="1">
        <v>223</v>
      </c>
      <c r="B221" s="8" t="s">
        <v>2353</v>
      </c>
      <c r="C221" s="179" t="s">
        <v>2537</v>
      </c>
      <c r="D221" s="179" t="s">
        <v>2538</v>
      </c>
      <c r="E221" s="178" t="s">
        <v>1982</v>
      </c>
    </row>
    <row r="222" spans="1:5">
      <c r="A222" s="1">
        <v>224</v>
      </c>
      <c r="B222" s="8" t="s">
        <v>2357</v>
      </c>
      <c r="C222" s="179" t="s">
        <v>2539</v>
      </c>
      <c r="D222" s="179" t="s">
        <v>2540</v>
      </c>
      <c r="E222" s="178" t="s">
        <v>1982</v>
      </c>
    </row>
    <row r="223" spans="1:5">
      <c r="A223" s="1">
        <v>225</v>
      </c>
      <c r="B223" s="8" t="s">
        <v>2356</v>
      </c>
      <c r="C223" s="179" t="s">
        <v>2541</v>
      </c>
      <c r="D223" s="179" t="s">
        <v>2542</v>
      </c>
      <c r="E223" s="178" t="s">
        <v>1982</v>
      </c>
    </row>
    <row r="224" spans="1:5">
      <c r="A224" s="1">
        <v>226</v>
      </c>
      <c r="B224" s="8" t="s">
        <v>2367</v>
      </c>
      <c r="C224" s="179" t="s">
        <v>2543</v>
      </c>
      <c r="D224" s="179" t="s">
        <v>2544</v>
      </c>
      <c r="E224" s="178" t="s">
        <v>1982</v>
      </c>
    </row>
    <row r="225" spans="1:5">
      <c r="A225" s="1">
        <v>227</v>
      </c>
      <c r="B225" s="8" t="s">
        <v>2147</v>
      </c>
      <c r="C225" s="179" t="s">
        <v>2545</v>
      </c>
      <c r="D225" s="179" t="s">
        <v>2546</v>
      </c>
      <c r="E225" s="178" t="s">
        <v>2130</v>
      </c>
    </row>
    <row r="226" spans="1:5">
      <c r="A226" s="1">
        <v>228</v>
      </c>
      <c r="B226" s="8" t="s">
        <v>2145</v>
      </c>
      <c r="C226" s="179" t="s">
        <v>2547</v>
      </c>
      <c r="D226" s="179" t="s">
        <v>2548</v>
      </c>
      <c r="E226" s="205" t="s">
        <v>2130</v>
      </c>
    </row>
    <row r="227" spans="1:5">
      <c r="A227" s="1">
        <v>229</v>
      </c>
      <c r="B227" s="8" t="s">
        <v>2146</v>
      </c>
      <c r="C227" s="179" t="s">
        <v>2549</v>
      </c>
      <c r="D227" s="179" t="s">
        <v>2550</v>
      </c>
      <c r="E227" s="178" t="s">
        <v>2130</v>
      </c>
    </row>
    <row r="228" spans="1:5">
      <c r="A228" s="1">
        <v>230</v>
      </c>
      <c r="B228" s="8" t="s">
        <v>2130</v>
      </c>
      <c r="C228" s="179" t="s">
        <v>2551</v>
      </c>
      <c r="D228" s="179" t="s">
        <v>2552</v>
      </c>
      <c r="E228" s="178" t="s">
        <v>2130</v>
      </c>
    </row>
    <row r="229" spans="1:5">
      <c r="A229" s="1">
        <v>231</v>
      </c>
      <c r="B229" s="8" t="s">
        <v>2131</v>
      </c>
      <c r="C229" s="179" t="s">
        <v>2553</v>
      </c>
      <c r="D229" s="179" t="s">
        <v>2554</v>
      </c>
      <c r="E229" s="178" t="s">
        <v>2130</v>
      </c>
    </row>
    <row r="230" spans="1:5">
      <c r="A230" s="1">
        <v>232</v>
      </c>
      <c r="B230" s="8" t="s">
        <v>2139</v>
      </c>
      <c r="C230" s="179" t="s">
        <v>2555</v>
      </c>
      <c r="D230" s="179" t="s">
        <v>2556</v>
      </c>
      <c r="E230" s="178" t="s">
        <v>2130</v>
      </c>
    </row>
    <row r="231" spans="1:5">
      <c r="A231" s="1">
        <v>233</v>
      </c>
      <c r="B231" s="8" t="s">
        <v>2142</v>
      </c>
      <c r="C231" s="179" t="s">
        <v>2557</v>
      </c>
      <c r="D231" s="179" t="s">
        <v>2142</v>
      </c>
      <c r="E231" s="178" t="s">
        <v>2130</v>
      </c>
    </row>
    <row r="232" spans="1:5">
      <c r="A232" s="1">
        <v>234</v>
      </c>
      <c r="B232" s="8" t="s">
        <v>2558</v>
      </c>
      <c r="C232" s="179" t="s">
        <v>2559</v>
      </c>
      <c r="D232" s="179" t="s">
        <v>2560</v>
      </c>
      <c r="E232" s="178" t="s">
        <v>2130</v>
      </c>
    </row>
    <row r="233" spans="1:5">
      <c r="A233" s="1">
        <v>235</v>
      </c>
      <c r="B233" s="8" t="s">
        <v>2561</v>
      </c>
      <c r="C233" s="179" t="s">
        <v>2562</v>
      </c>
      <c r="D233" s="179" t="s">
        <v>2563</v>
      </c>
      <c r="E233" s="178" t="s">
        <v>2130</v>
      </c>
    </row>
    <row r="234" spans="1:5">
      <c r="A234" s="1">
        <v>236</v>
      </c>
      <c r="B234" s="8" t="s">
        <v>2143</v>
      </c>
      <c r="C234" s="179" t="s">
        <v>2564</v>
      </c>
      <c r="D234" s="179" t="s">
        <v>2565</v>
      </c>
      <c r="E234" s="178" t="s">
        <v>2130</v>
      </c>
    </row>
    <row r="235" spans="1:5">
      <c r="A235" s="1">
        <v>237</v>
      </c>
      <c r="B235" s="8" t="s">
        <v>2144</v>
      </c>
      <c r="C235" s="179" t="s">
        <v>2566</v>
      </c>
      <c r="D235" s="179" t="s">
        <v>2567</v>
      </c>
      <c r="E235" s="178" t="s">
        <v>2130</v>
      </c>
    </row>
    <row r="236" spans="1:5">
      <c r="A236" s="180">
        <v>238</v>
      </c>
      <c r="B236" s="8" t="s">
        <v>2148</v>
      </c>
      <c r="C236" s="181" t="s">
        <v>2568</v>
      </c>
      <c r="D236" s="179" t="s">
        <v>2569</v>
      </c>
      <c r="E236" s="178" t="s">
        <v>2130</v>
      </c>
    </row>
    <row r="237" spans="1:5">
      <c r="A237" s="180">
        <v>239</v>
      </c>
      <c r="B237" s="8" t="s">
        <v>2132</v>
      </c>
      <c r="C237" s="181" t="s">
        <v>2570</v>
      </c>
      <c r="D237" s="182" t="s">
        <v>2571</v>
      </c>
      <c r="E237" s="178" t="s">
        <v>2130</v>
      </c>
    </row>
    <row r="238" spans="1:5">
      <c r="A238" s="180">
        <v>240</v>
      </c>
      <c r="B238" s="26" t="s">
        <v>2589</v>
      </c>
      <c r="C238" s="192" t="s">
        <v>2614</v>
      </c>
      <c r="D238" s="193" t="s">
        <v>2615</v>
      </c>
      <c r="E238" s="178" t="s">
        <v>2130</v>
      </c>
    </row>
    <row r="239" spans="1:5">
      <c r="A239" s="180">
        <v>241</v>
      </c>
      <c r="B239" s="184" t="s">
        <v>2590</v>
      </c>
      <c r="C239" s="192" t="s">
        <v>2616</v>
      </c>
      <c r="D239" s="193" t="s">
        <v>3401</v>
      </c>
      <c r="E239" s="178" t="s">
        <v>2130</v>
      </c>
    </row>
    <row r="240" spans="1:5" ht="29">
      <c r="A240" s="180">
        <v>242</v>
      </c>
      <c r="B240" s="184" t="s">
        <v>2591</v>
      </c>
      <c r="C240" s="293" t="s">
        <v>2617</v>
      </c>
      <c r="D240" s="194" t="s">
        <v>3295</v>
      </c>
      <c r="E240" s="178" t="s">
        <v>2130</v>
      </c>
    </row>
    <row r="241" spans="1:5">
      <c r="A241" s="180">
        <v>243</v>
      </c>
      <c r="B241" s="184" t="s">
        <v>2592</v>
      </c>
      <c r="C241" s="195" t="s">
        <v>2618</v>
      </c>
      <c r="D241" s="194" t="s">
        <v>3402</v>
      </c>
      <c r="E241" s="178" t="s">
        <v>2130</v>
      </c>
    </row>
    <row r="242" spans="1:5" ht="29">
      <c r="A242" s="180">
        <v>244</v>
      </c>
      <c r="B242" s="184" t="s">
        <v>2593</v>
      </c>
      <c r="C242" s="196" t="s">
        <v>2619</v>
      </c>
      <c r="D242" s="197" t="s">
        <v>3304</v>
      </c>
      <c r="E242" s="178" t="s">
        <v>2130</v>
      </c>
    </row>
    <row r="243" spans="1:5" ht="29">
      <c r="A243" s="180">
        <v>245</v>
      </c>
      <c r="B243" s="184" t="s">
        <v>2594</v>
      </c>
      <c r="C243" s="196" t="s">
        <v>2620</v>
      </c>
      <c r="D243" s="196" t="s">
        <v>3403</v>
      </c>
      <c r="E243" s="178" t="s">
        <v>2130</v>
      </c>
    </row>
    <row r="244" spans="1:5" ht="29">
      <c r="A244" s="180">
        <v>246</v>
      </c>
      <c r="B244" s="184" t="s">
        <v>2595</v>
      </c>
      <c r="C244" s="192" t="s">
        <v>2621</v>
      </c>
      <c r="D244" s="197" t="s">
        <v>2622</v>
      </c>
      <c r="E244" s="178" t="s">
        <v>2130</v>
      </c>
    </row>
    <row r="245" spans="1:5" ht="29">
      <c r="A245" s="180">
        <v>247</v>
      </c>
      <c r="B245" s="184" t="s">
        <v>2596</v>
      </c>
      <c r="C245" s="192" t="s">
        <v>2623</v>
      </c>
      <c r="D245" s="193" t="s">
        <v>3404</v>
      </c>
      <c r="E245" s="178" t="s">
        <v>2130</v>
      </c>
    </row>
    <row r="246" spans="1:5">
      <c r="A246" s="180">
        <v>248</v>
      </c>
      <c r="B246" s="184" t="s">
        <v>2597</v>
      </c>
      <c r="C246" s="192" t="s">
        <v>2624</v>
      </c>
      <c r="D246" s="193" t="s">
        <v>3405</v>
      </c>
      <c r="E246" s="178" t="s">
        <v>2130</v>
      </c>
    </row>
    <row r="247" spans="1:5">
      <c r="A247" s="180">
        <v>249</v>
      </c>
      <c r="B247" s="184" t="s">
        <v>2598</v>
      </c>
      <c r="C247" s="193" t="s">
        <v>2625</v>
      </c>
      <c r="D247" s="113" t="s">
        <v>2626</v>
      </c>
      <c r="E247" s="178" t="s">
        <v>2130</v>
      </c>
    </row>
    <row r="248" spans="1:5">
      <c r="A248" s="180">
        <v>250</v>
      </c>
      <c r="B248" s="184" t="s">
        <v>2599</v>
      </c>
      <c r="C248" s="192" t="s">
        <v>2627</v>
      </c>
      <c r="D248" s="194" t="s">
        <v>2628</v>
      </c>
      <c r="E248" s="178" t="s">
        <v>2130</v>
      </c>
    </row>
    <row r="249" spans="1:5">
      <c r="A249" s="180">
        <v>251</v>
      </c>
      <c r="B249" s="184" t="s">
        <v>2600</v>
      </c>
      <c r="C249" s="196" t="s">
        <v>2629</v>
      </c>
      <c r="D249" s="197" t="s">
        <v>3406</v>
      </c>
      <c r="E249" s="178" t="s">
        <v>2130</v>
      </c>
    </row>
    <row r="250" spans="1:5">
      <c r="A250" s="180">
        <v>252</v>
      </c>
      <c r="B250" s="184" t="s">
        <v>2601</v>
      </c>
      <c r="C250" s="192" t="s">
        <v>2630</v>
      </c>
      <c r="D250" s="113" t="s">
        <v>3407</v>
      </c>
      <c r="E250" s="178" t="s">
        <v>2130</v>
      </c>
    </row>
    <row r="251" spans="1:5">
      <c r="A251" s="180">
        <v>253</v>
      </c>
      <c r="B251" s="184" t="s">
        <v>2602</v>
      </c>
      <c r="C251" s="192" t="s">
        <v>2631</v>
      </c>
      <c r="D251" s="193" t="s">
        <v>2632</v>
      </c>
      <c r="E251" s="178" t="s">
        <v>2130</v>
      </c>
    </row>
    <row r="252" spans="1:5">
      <c r="A252" s="180">
        <v>254</v>
      </c>
      <c r="B252" s="184" t="s">
        <v>2603</v>
      </c>
      <c r="C252" s="192" t="s">
        <v>2633</v>
      </c>
      <c r="D252" s="193" t="s">
        <v>3408</v>
      </c>
      <c r="E252" s="178" t="s">
        <v>2130</v>
      </c>
    </row>
    <row r="253" spans="1:5">
      <c r="A253" s="180">
        <v>255</v>
      </c>
      <c r="B253" s="184" t="s">
        <v>2604</v>
      </c>
      <c r="C253" s="192" t="s">
        <v>2634</v>
      </c>
      <c r="D253" s="193" t="s">
        <v>3409</v>
      </c>
      <c r="E253" s="178" t="s">
        <v>2130</v>
      </c>
    </row>
    <row r="254" spans="1:5">
      <c r="A254" s="180">
        <v>256</v>
      </c>
      <c r="B254" s="184" t="s">
        <v>2605</v>
      </c>
      <c r="C254" s="192" t="s">
        <v>2635</v>
      </c>
      <c r="D254" s="193" t="s">
        <v>3410</v>
      </c>
      <c r="E254" s="178" t="s">
        <v>2130</v>
      </c>
    </row>
    <row r="255" spans="1:5">
      <c r="A255" s="180">
        <v>257</v>
      </c>
      <c r="B255" s="184" t="s">
        <v>2606</v>
      </c>
      <c r="C255" s="192" t="s">
        <v>2636</v>
      </c>
      <c r="D255" s="193" t="s">
        <v>3411</v>
      </c>
      <c r="E255" s="178" t="s">
        <v>2130</v>
      </c>
    </row>
    <row r="256" spans="1:5">
      <c r="A256" s="180">
        <v>258</v>
      </c>
      <c r="B256" s="184" t="s">
        <v>2607</v>
      </c>
      <c r="C256" s="192" t="s">
        <v>2637</v>
      </c>
      <c r="D256" s="193" t="s">
        <v>3412</v>
      </c>
      <c r="E256" s="178" t="s">
        <v>2130</v>
      </c>
    </row>
    <row r="257" spans="1:5">
      <c r="A257" s="180">
        <v>259</v>
      </c>
      <c r="B257" s="184" t="s">
        <v>2608</v>
      </c>
      <c r="C257" s="192" t="s">
        <v>2638</v>
      </c>
      <c r="D257" s="193" t="s">
        <v>2639</v>
      </c>
      <c r="E257" s="178" t="s">
        <v>2130</v>
      </c>
    </row>
    <row r="258" spans="1:5">
      <c r="A258" s="180">
        <v>260</v>
      </c>
      <c r="B258" s="184" t="s">
        <v>2609</v>
      </c>
      <c r="C258" s="192" t="s">
        <v>2640</v>
      </c>
      <c r="D258" s="194" t="s">
        <v>2641</v>
      </c>
      <c r="E258" s="178" t="s">
        <v>2130</v>
      </c>
    </row>
    <row r="259" spans="1:5">
      <c r="A259" s="180">
        <v>261</v>
      </c>
      <c r="B259" s="184" t="s">
        <v>2610</v>
      </c>
      <c r="C259" s="195" t="s">
        <v>2642</v>
      </c>
      <c r="D259" s="193" t="s">
        <v>3413</v>
      </c>
      <c r="E259" s="178" t="s">
        <v>2130</v>
      </c>
    </row>
    <row r="260" spans="1:5" ht="29">
      <c r="A260" s="180">
        <v>262</v>
      </c>
      <c r="B260" s="184" t="s">
        <v>2611</v>
      </c>
      <c r="C260" s="192" t="s">
        <v>2643</v>
      </c>
      <c r="D260" s="193" t="s">
        <v>3414</v>
      </c>
      <c r="E260" s="178" t="s">
        <v>2130</v>
      </c>
    </row>
    <row r="261" spans="1:5">
      <c r="A261" s="180">
        <v>263</v>
      </c>
      <c r="B261" s="184" t="s">
        <v>2612</v>
      </c>
      <c r="C261" s="192" t="s">
        <v>2644</v>
      </c>
      <c r="D261" s="194" t="s">
        <v>3415</v>
      </c>
      <c r="E261" s="178" t="s">
        <v>2130</v>
      </c>
    </row>
    <row r="262" spans="1:5">
      <c r="A262" s="180">
        <v>264</v>
      </c>
      <c r="B262" s="184" t="s">
        <v>2613</v>
      </c>
      <c r="C262" s="192" t="s">
        <v>2645</v>
      </c>
      <c r="D262" s="193" t="s">
        <v>3416</v>
      </c>
      <c r="E262" s="178" t="s">
        <v>2130</v>
      </c>
    </row>
    <row r="263" spans="1:5">
      <c r="A263" s="180">
        <v>265</v>
      </c>
      <c r="B263" s="183" t="s">
        <v>2572</v>
      </c>
      <c r="C263" s="183" t="s">
        <v>2572</v>
      </c>
      <c r="D263" s="183" t="s">
        <v>2572</v>
      </c>
      <c r="E263" s="178" t="s">
        <v>2130</v>
      </c>
    </row>
    <row r="264" spans="1:5">
      <c r="A264" s="180">
        <v>266</v>
      </c>
      <c r="B264" s="184" t="s">
        <v>891</v>
      </c>
      <c r="C264" s="181" t="s">
        <v>2573</v>
      </c>
      <c r="D264" s="179" t="s">
        <v>891</v>
      </c>
      <c r="E264" s="178" t="s">
        <v>2130</v>
      </c>
    </row>
    <row r="265" spans="1:5">
      <c r="A265" s="180">
        <v>267</v>
      </c>
      <c r="B265" s="184" t="s">
        <v>177</v>
      </c>
      <c r="C265" s="181" t="s">
        <v>2574</v>
      </c>
      <c r="D265" s="179" t="s">
        <v>2575</v>
      </c>
      <c r="E265" s="178" t="s">
        <v>2130</v>
      </c>
    </row>
    <row r="266" spans="1:5">
      <c r="A266" s="180">
        <v>268</v>
      </c>
      <c r="B266" s="184" t="s">
        <v>294</v>
      </c>
      <c r="C266" s="181" t="s">
        <v>2576</v>
      </c>
      <c r="D266" s="179" t="s">
        <v>3417</v>
      </c>
      <c r="E266" s="178" t="s">
        <v>2130</v>
      </c>
    </row>
    <row r="267" spans="1:5">
      <c r="A267" s="180">
        <v>269</v>
      </c>
      <c r="B267" s="184" t="s">
        <v>15</v>
      </c>
      <c r="C267" s="181" t="s">
        <v>2577</v>
      </c>
      <c r="D267" s="179" t="s">
        <v>15</v>
      </c>
      <c r="E267" s="178" t="s">
        <v>2130</v>
      </c>
    </row>
    <row r="268" spans="1:5">
      <c r="A268" s="180">
        <v>270</v>
      </c>
      <c r="B268" s="184" t="s">
        <v>10</v>
      </c>
      <c r="C268" s="181" t="s">
        <v>522</v>
      </c>
      <c r="D268" s="179" t="s">
        <v>2578</v>
      </c>
      <c r="E268" s="178" t="s">
        <v>2130</v>
      </c>
    </row>
    <row r="269" spans="1:5">
      <c r="A269" s="180">
        <v>271</v>
      </c>
      <c r="B269" s="184" t="s">
        <v>2579</v>
      </c>
      <c r="C269" s="181" t="s">
        <v>2580</v>
      </c>
      <c r="D269" s="179" t="s">
        <v>3418</v>
      </c>
      <c r="E269" s="178" t="s">
        <v>2130</v>
      </c>
    </row>
    <row r="270" spans="1:5">
      <c r="A270" s="180">
        <v>272</v>
      </c>
      <c r="B270" s="184" t="s">
        <v>2581</v>
      </c>
      <c r="C270" s="181" t="s">
        <v>3026</v>
      </c>
      <c r="D270" s="179" t="s">
        <v>3025</v>
      </c>
      <c r="E270" s="178" t="s">
        <v>2130</v>
      </c>
    </row>
    <row r="271" spans="1:5" ht="29">
      <c r="A271" s="180">
        <v>273</v>
      </c>
      <c r="B271" s="184" t="s">
        <v>2135</v>
      </c>
      <c r="C271" s="292" t="s">
        <v>2582</v>
      </c>
      <c r="D271" s="291" t="s">
        <v>3024</v>
      </c>
      <c r="E271" s="178" t="s">
        <v>2130</v>
      </c>
    </row>
    <row r="272" spans="1:5">
      <c r="A272" s="180">
        <v>274</v>
      </c>
      <c r="B272" s="185" t="s">
        <v>2583</v>
      </c>
      <c r="C272" s="179" t="s">
        <v>2584</v>
      </c>
      <c r="D272" s="182" t="s">
        <v>3419</v>
      </c>
      <c r="E272" s="178" t="s">
        <v>1982</v>
      </c>
    </row>
    <row r="273" spans="1:5">
      <c r="A273" s="180">
        <v>275</v>
      </c>
      <c r="B273" s="185" t="s">
        <v>2492</v>
      </c>
      <c r="C273" s="179" t="s">
        <v>2585</v>
      </c>
      <c r="D273" s="182" t="s">
        <v>3420</v>
      </c>
      <c r="E273" s="178" t="s">
        <v>1982</v>
      </c>
    </row>
    <row r="274" spans="1:5">
      <c r="A274" s="180">
        <v>276</v>
      </c>
      <c r="B274" s="185" t="s">
        <v>445</v>
      </c>
      <c r="C274" s="179" t="s">
        <v>2551</v>
      </c>
      <c r="D274" s="182" t="s">
        <v>1193</v>
      </c>
      <c r="E274" s="178" t="s">
        <v>1982</v>
      </c>
    </row>
    <row r="275" spans="1:5">
      <c r="A275" s="180">
        <v>277</v>
      </c>
      <c r="B275" s="185" t="s">
        <v>2586</v>
      </c>
      <c r="C275" s="179" t="s">
        <v>2588</v>
      </c>
      <c r="D275" s="182" t="s">
        <v>2587</v>
      </c>
      <c r="E275" s="178" t="s">
        <v>1982</v>
      </c>
    </row>
    <row r="276" spans="1:5" ht="58">
      <c r="A276" s="180">
        <v>278</v>
      </c>
      <c r="B276" s="185" t="s">
        <v>2293</v>
      </c>
      <c r="C276" s="291" t="s">
        <v>2647</v>
      </c>
      <c r="D276" s="182" t="s">
        <v>2648</v>
      </c>
      <c r="E276" s="178" t="s">
        <v>1982</v>
      </c>
    </row>
    <row r="277" spans="1:5">
      <c r="A277" s="35">
        <v>279</v>
      </c>
      <c r="B277" s="184" t="s">
        <v>2731</v>
      </c>
      <c r="C277" s="182" t="s">
        <v>2732</v>
      </c>
      <c r="D277" s="182" t="s">
        <v>2733</v>
      </c>
      <c r="E277" s="206" t="s">
        <v>2672</v>
      </c>
    </row>
    <row r="278" spans="1:5">
      <c r="A278" s="1">
        <v>280</v>
      </c>
      <c r="B278" s="27" t="s">
        <v>2673</v>
      </c>
      <c r="C278" s="27" t="s">
        <v>2674</v>
      </c>
      <c r="D278" s="27" t="s">
        <v>2675</v>
      </c>
      <c r="E278" s="206" t="s">
        <v>2672</v>
      </c>
    </row>
    <row r="279" spans="1:5">
      <c r="A279" s="1">
        <v>281</v>
      </c>
      <c r="B279" s="27" t="s">
        <v>2668</v>
      </c>
      <c r="C279" s="27" t="s">
        <v>2676</v>
      </c>
      <c r="D279" s="27" t="s">
        <v>3421</v>
      </c>
      <c r="E279" s="206" t="s">
        <v>2672</v>
      </c>
    </row>
    <row r="280" spans="1:5">
      <c r="A280" s="1">
        <v>282</v>
      </c>
      <c r="B280" s="27" t="s">
        <v>2677</v>
      </c>
      <c r="C280" s="27" t="s">
        <v>2678</v>
      </c>
      <c r="D280" s="27" t="s">
        <v>3422</v>
      </c>
      <c r="E280" s="206" t="s">
        <v>2672</v>
      </c>
    </row>
    <row r="281" spans="1:5">
      <c r="A281" s="1">
        <v>283</v>
      </c>
      <c r="B281" s="27" t="s">
        <v>2679</v>
      </c>
      <c r="C281" s="27" t="s">
        <v>2697</v>
      </c>
      <c r="D281" s="27" t="s">
        <v>3423</v>
      </c>
      <c r="E281" s="206" t="s">
        <v>2672</v>
      </c>
    </row>
    <row r="282" spans="1:5">
      <c r="A282" s="1">
        <v>284</v>
      </c>
      <c r="B282" s="27" t="s">
        <v>2680</v>
      </c>
      <c r="C282" s="27" t="s">
        <v>2681</v>
      </c>
      <c r="D282" s="27" t="s">
        <v>2682</v>
      </c>
      <c r="E282" s="206" t="s">
        <v>2672</v>
      </c>
    </row>
    <row r="283" spans="1:5">
      <c r="A283" s="1">
        <v>285</v>
      </c>
      <c r="B283" s="27" t="s">
        <v>2669</v>
      </c>
      <c r="C283" s="27" t="s">
        <v>2683</v>
      </c>
      <c r="D283" s="27" t="s">
        <v>3424</v>
      </c>
      <c r="E283" s="206" t="s">
        <v>2672</v>
      </c>
    </row>
    <row r="284" spans="1:5">
      <c r="A284" s="1">
        <v>286</v>
      </c>
      <c r="B284" s="27" t="s">
        <v>2670</v>
      </c>
      <c r="C284" s="27" t="s">
        <v>2684</v>
      </c>
      <c r="D284" s="27" t="s">
        <v>2685</v>
      </c>
      <c r="E284" s="206" t="s">
        <v>2672</v>
      </c>
    </row>
    <row r="285" spans="1:5">
      <c r="A285" s="1">
        <v>287</v>
      </c>
      <c r="B285" s="27" t="s">
        <v>2686</v>
      </c>
      <c r="C285" s="27" t="s">
        <v>2687</v>
      </c>
      <c r="D285" s="27" t="s">
        <v>2688</v>
      </c>
      <c r="E285" s="206" t="s">
        <v>2672</v>
      </c>
    </row>
    <row r="286" spans="1:5">
      <c r="A286" s="1">
        <v>288</v>
      </c>
      <c r="B286" s="207" t="s">
        <v>2689</v>
      </c>
      <c r="C286" s="208" t="s">
        <v>2690</v>
      </c>
      <c r="D286" s="208" t="s">
        <v>3425</v>
      </c>
      <c r="E286" s="206" t="s">
        <v>2672</v>
      </c>
    </row>
    <row r="287" spans="1:5">
      <c r="A287" s="1">
        <v>289</v>
      </c>
      <c r="B287" s="27" t="s">
        <v>2691</v>
      </c>
      <c r="C287" s="27" t="s">
        <v>2692</v>
      </c>
      <c r="D287" s="27" t="s">
        <v>2693</v>
      </c>
      <c r="E287" s="206" t="s">
        <v>2672</v>
      </c>
    </row>
    <row r="288" spans="1:5">
      <c r="A288" s="1">
        <v>290</v>
      </c>
      <c r="B288" s="27" t="s">
        <v>2694</v>
      </c>
      <c r="C288" s="27" t="s">
        <v>2695</v>
      </c>
      <c r="D288" s="27" t="s">
        <v>2696</v>
      </c>
      <c r="E288" s="206" t="s">
        <v>2672</v>
      </c>
    </row>
    <row r="289" spans="1:5">
      <c r="A289" s="1">
        <v>291</v>
      </c>
      <c r="B289" s="27" t="s">
        <v>2698</v>
      </c>
      <c r="C289" s="27" t="s">
        <v>2699</v>
      </c>
      <c r="D289" s="27" t="s">
        <v>3426</v>
      </c>
      <c r="E289" s="206" t="s">
        <v>2672</v>
      </c>
    </row>
    <row r="290" spans="1:5">
      <c r="A290" s="1">
        <v>292</v>
      </c>
      <c r="B290" s="27" t="s">
        <v>2700</v>
      </c>
      <c r="C290" s="27" t="s">
        <v>2701</v>
      </c>
      <c r="D290" s="27" t="s">
        <v>3427</v>
      </c>
      <c r="E290" s="206" t="s">
        <v>2672</v>
      </c>
    </row>
    <row r="291" spans="1:5">
      <c r="A291" s="1">
        <v>293</v>
      </c>
      <c r="B291" s="27" t="s">
        <v>2702</v>
      </c>
      <c r="C291" s="27" t="s">
        <v>2703</v>
      </c>
      <c r="D291" s="27" t="s">
        <v>3428</v>
      </c>
      <c r="E291" s="206" t="s">
        <v>2672</v>
      </c>
    </row>
    <row r="292" spans="1:5">
      <c r="A292" s="1">
        <v>294</v>
      </c>
      <c r="B292" s="204" t="s">
        <v>2649</v>
      </c>
      <c r="C292" s="204" t="s">
        <v>2704</v>
      </c>
      <c r="D292" s="207"/>
      <c r="E292" s="206" t="s">
        <v>2672</v>
      </c>
    </row>
    <row r="293" spans="1:5">
      <c r="A293" s="1">
        <v>295</v>
      </c>
      <c r="B293" s="204" t="s">
        <v>2650</v>
      </c>
      <c r="C293" s="204" t="s">
        <v>2705</v>
      </c>
      <c r="D293" s="204"/>
      <c r="E293" s="206" t="s">
        <v>2672</v>
      </c>
    </row>
    <row r="294" spans="1:5">
      <c r="A294" s="1">
        <v>296</v>
      </c>
      <c r="B294" s="204" t="s">
        <v>2651</v>
      </c>
      <c r="C294" s="204" t="s">
        <v>2706</v>
      </c>
      <c r="D294" s="204"/>
      <c r="E294" s="206" t="s">
        <v>2672</v>
      </c>
    </row>
    <row r="295" spans="1:5">
      <c r="A295" s="1">
        <v>297</v>
      </c>
      <c r="B295" s="27" t="s">
        <v>2671</v>
      </c>
      <c r="C295" s="27" t="s">
        <v>2707</v>
      </c>
      <c r="D295" s="27" t="s">
        <v>3429</v>
      </c>
      <c r="E295" s="206" t="s">
        <v>2672</v>
      </c>
    </row>
    <row r="296" spans="1:5">
      <c r="A296" s="1">
        <v>298</v>
      </c>
      <c r="B296" s="27" t="s">
        <v>2708</v>
      </c>
      <c r="C296" s="27" t="s">
        <v>2724</v>
      </c>
      <c r="D296" s="27" t="s">
        <v>2725</v>
      </c>
      <c r="E296" s="206" t="s">
        <v>2672</v>
      </c>
    </row>
    <row r="297" spans="1:5">
      <c r="A297" s="1">
        <v>299</v>
      </c>
      <c r="B297" s="27" t="s">
        <v>2709</v>
      </c>
      <c r="C297" s="27" t="s">
        <v>2726</v>
      </c>
      <c r="D297" s="207" t="s">
        <v>2727</v>
      </c>
      <c r="E297" s="206" t="s">
        <v>2672</v>
      </c>
    </row>
    <row r="298" spans="1:5">
      <c r="A298" s="1">
        <v>300</v>
      </c>
      <c r="B298" s="27" t="s">
        <v>2710</v>
      </c>
      <c r="C298" s="211" t="s">
        <v>2728</v>
      </c>
      <c r="D298" s="27" t="s">
        <v>3430</v>
      </c>
      <c r="E298" s="206" t="s">
        <v>2672</v>
      </c>
    </row>
    <row r="299" spans="1:5">
      <c r="A299" s="1">
        <v>301</v>
      </c>
      <c r="B299" s="27" t="s">
        <v>2711</v>
      </c>
      <c r="C299" s="27" t="s">
        <v>2729</v>
      </c>
      <c r="D299" s="27" t="s">
        <v>2730</v>
      </c>
      <c r="E299" s="206" t="s">
        <v>2672</v>
      </c>
    </row>
    <row r="300" spans="1:5">
      <c r="A300" s="1">
        <v>302</v>
      </c>
      <c r="B300" s="27" t="s">
        <v>2712</v>
      </c>
      <c r="C300" s="27" t="s">
        <v>2734</v>
      </c>
      <c r="D300" s="27" t="s">
        <v>2735</v>
      </c>
      <c r="E300" s="206" t="s">
        <v>2672</v>
      </c>
    </row>
    <row r="301" spans="1:5">
      <c r="A301" s="1">
        <v>303</v>
      </c>
      <c r="B301" s="212" t="s">
        <v>2713</v>
      </c>
      <c r="C301" s="212" t="s">
        <v>2736</v>
      </c>
      <c r="D301" s="212" t="s">
        <v>3431</v>
      </c>
      <c r="E301" s="206" t="s">
        <v>2672</v>
      </c>
    </row>
    <row r="302" spans="1:5">
      <c r="A302" s="1">
        <v>304</v>
      </c>
      <c r="B302" s="27" t="s">
        <v>2714</v>
      </c>
      <c r="C302" s="27" t="s">
        <v>2737</v>
      </c>
      <c r="D302" s="27" t="s">
        <v>2738</v>
      </c>
      <c r="E302" s="206" t="s">
        <v>2672</v>
      </c>
    </row>
    <row r="303" spans="1:5">
      <c r="A303" s="1">
        <v>305</v>
      </c>
      <c r="B303" s="27" t="s">
        <v>2715</v>
      </c>
      <c r="C303" s="27" t="s">
        <v>2739</v>
      </c>
      <c r="D303" s="212" t="s">
        <v>2740</v>
      </c>
      <c r="E303" s="206" t="s">
        <v>2672</v>
      </c>
    </row>
    <row r="304" spans="1:5">
      <c r="A304" s="1">
        <v>306</v>
      </c>
      <c r="B304" s="27" t="s">
        <v>2716</v>
      </c>
      <c r="C304" s="27" t="s">
        <v>2741</v>
      </c>
      <c r="D304" s="27" t="s">
        <v>3432</v>
      </c>
      <c r="E304" s="206" t="s">
        <v>2672</v>
      </c>
    </row>
    <row r="305" spans="1:5">
      <c r="A305" s="1">
        <v>307</v>
      </c>
      <c r="B305" s="27" t="s">
        <v>2717</v>
      </c>
      <c r="C305" s="27" t="s">
        <v>2742</v>
      </c>
      <c r="D305" s="213" t="s">
        <v>2743</v>
      </c>
      <c r="E305" s="206" t="s">
        <v>2672</v>
      </c>
    </row>
    <row r="306" spans="1:5">
      <c r="A306" s="1">
        <v>308</v>
      </c>
      <c r="B306" s="27" t="s">
        <v>2718</v>
      </c>
      <c r="C306" s="53" t="s">
        <v>2744</v>
      </c>
      <c r="D306" s="27" t="s">
        <v>3433</v>
      </c>
      <c r="E306" s="206" t="s">
        <v>2672</v>
      </c>
    </row>
    <row r="307" spans="1:5">
      <c r="A307" s="1">
        <v>309</v>
      </c>
      <c r="B307" s="27" t="s">
        <v>2719</v>
      </c>
      <c r="C307" s="27" t="s">
        <v>2745</v>
      </c>
      <c r="D307" s="27" t="s">
        <v>2746</v>
      </c>
      <c r="E307" s="206" t="s">
        <v>2672</v>
      </c>
    </row>
    <row r="308" spans="1:5">
      <c r="A308" s="1">
        <v>310</v>
      </c>
      <c r="B308" s="27" t="s">
        <v>2720</v>
      </c>
      <c r="C308" s="27" t="s">
        <v>2747</v>
      </c>
      <c r="D308" s="27" t="s">
        <v>2748</v>
      </c>
      <c r="E308" s="206" t="s">
        <v>2672</v>
      </c>
    </row>
    <row r="309" spans="1:5">
      <c r="A309" s="1">
        <v>311</v>
      </c>
      <c r="B309" s="27" t="s">
        <v>2721</v>
      </c>
      <c r="C309" s="27" t="s">
        <v>2749</v>
      </c>
      <c r="D309" s="27" t="s">
        <v>3434</v>
      </c>
      <c r="E309" s="206" t="s">
        <v>2672</v>
      </c>
    </row>
    <row r="310" spans="1:5">
      <c r="A310" s="1">
        <v>312</v>
      </c>
      <c r="B310" s="27" t="s">
        <v>2722</v>
      </c>
      <c r="C310" s="27" t="s">
        <v>2750</v>
      </c>
      <c r="D310" s="27" t="s">
        <v>2751</v>
      </c>
      <c r="E310" s="206" t="s">
        <v>2672</v>
      </c>
    </row>
    <row r="311" spans="1:5">
      <c r="A311" s="1">
        <v>313</v>
      </c>
      <c r="B311" s="27" t="s">
        <v>2723</v>
      </c>
      <c r="C311" s="27" t="s">
        <v>2752</v>
      </c>
      <c r="D311" s="27" t="s">
        <v>2753</v>
      </c>
      <c r="E311" s="206" t="s">
        <v>2672</v>
      </c>
    </row>
    <row r="312" spans="1:5">
      <c r="A312" s="34">
        <v>314</v>
      </c>
      <c r="B312" s="27" t="s">
        <v>2652</v>
      </c>
      <c r="C312" s="217" t="s">
        <v>2755</v>
      </c>
      <c r="D312" s="212" t="s">
        <v>2756</v>
      </c>
      <c r="E312" s="206" t="s">
        <v>2672</v>
      </c>
    </row>
    <row r="313" spans="1:5">
      <c r="A313" s="180">
        <v>315</v>
      </c>
      <c r="B313" s="216" t="s">
        <v>2653</v>
      </c>
      <c r="C313" s="215" t="s">
        <v>2757</v>
      </c>
      <c r="D313" s="215" t="s">
        <v>2758</v>
      </c>
      <c r="E313" s="209" t="s">
        <v>2672</v>
      </c>
    </row>
    <row r="314" spans="1:5">
      <c r="A314" s="180">
        <v>316</v>
      </c>
      <c r="B314" s="216" t="s">
        <v>2654</v>
      </c>
      <c r="C314" s="215" t="s">
        <v>2759</v>
      </c>
      <c r="D314" s="373" t="s">
        <v>2760</v>
      </c>
      <c r="E314" s="209" t="s">
        <v>2672</v>
      </c>
    </row>
    <row r="315" spans="1:5">
      <c r="A315" s="180">
        <v>317</v>
      </c>
      <c r="B315" s="218" t="s">
        <v>2754</v>
      </c>
      <c r="C315" s="219" t="s">
        <v>2761</v>
      </c>
      <c r="D315" s="215" t="s">
        <v>3435</v>
      </c>
      <c r="E315" s="209" t="s">
        <v>2672</v>
      </c>
    </row>
    <row r="316" spans="1:5">
      <c r="A316" s="180">
        <v>318</v>
      </c>
      <c r="B316" s="216" t="s">
        <v>2655</v>
      </c>
      <c r="C316" s="215" t="s">
        <v>2763</v>
      </c>
      <c r="D316" s="215" t="s">
        <v>2765</v>
      </c>
      <c r="E316" s="209" t="s">
        <v>2672</v>
      </c>
    </row>
    <row r="317" spans="1:5">
      <c r="A317" s="180">
        <v>319</v>
      </c>
      <c r="B317" s="216" t="s">
        <v>2656</v>
      </c>
      <c r="C317" s="215" t="s">
        <v>2762</v>
      </c>
      <c r="D317" s="215" t="s">
        <v>2764</v>
      </c>
      <c r="E317" s="209" t="s">
        <v>2672</v>
      </c>
    </row>
    <row r="318" spans="1:5">
      <c r="A318" s="180">
        <v>320</v>
      </c>
      <c r="B318" s="216" t="s">
        <v>2657</v>
      </c>
      <c r="C318" s="215" t="s">
        <v>2766</v>
      </c>
      <c r="D318" s="215" t="s">
        <v>2769</v>
      </c>
      <c r="E318" s="209" t="s">
        <v>2672</v>
      </c>
    </row>
    <row r="319" spans="1:5">
      <c r="A319" s="180">
        <v>321</v>
      </c>
      <c r="B319" s="216" t="s">
        <v>2658</v>
      </c>
      <c r="C319" s="215" t="s">
        <v>2768</v>
      </c>
      <c r="D319" s="215" t="s">
        <v>2770</v>
      </c>
      <c r="E319" s="209" t="s">
        <v>2672</v>
      </c>
    </row>
    <row r="320" spans="1:5">
      <c r="A320" s="180">
        <v>322</v>
      </c>
      <c r="B320" s="216" t="s">
        <v>2659</v>
      </c>
      <c r="C320" s="215" t="s">
        <v>2767</v>
      </c>
      <c r="D320" s="219" t="s">
        <v>2771</v>
      </c>
      <c r="E320" s="209" t="s">
        <v>2672</v>
      </c>
    </row>
    <row r="321" spans="1:5">
      <c r="A321" s="180">
        <v>323</v>
      </c>
      <c r="B321" s="216" t="s">
        <v>2660</v>
      </c>
      <c r="C321" s="215" t="s">
        <v>2772</v>
      </c>
      <c r="D321" s="219" t="s">
        <v>3436</v>
      </c>
      <c r="E321" s="209" t="s">
        <v>2672</v>
      </c>
    </row>
    <row r="322" spans="1:5">
      <c r="A322" s="180">
        <v>324</v>
      </c>
      <c r="B322" s="216" t="s">
        <v>2661</v>
      </c>
      <c r="C322" s="215" t="s">
        <v>2773</v>
      </c>
      <c r="D322" s="215" t="s">
        <v>3437</v>
      </c>
      <c r="E322" s="209" t="s">
        <v>2672</v>
      </c>
    </row>
    <row r="323" spans="1:5">
      <c r="A323" s="180">
        <v>325</v>
      </c>
      <c r="B323" s="214" t="s">
        <v>2662</v>
      </c>
      <c r="C323" s="212" t="s">
        <v>2775</v>
      </c>
      <c r="D323" s="215" t="s">
        <v>2776</v>
      </c>
      <c r="E323" s="209"/>
    </row>
    <row r="324" spans="1:5">
      <c r="A324" s="180">
        <v>326</v>
      </c>
      <c r="B324" s="216" t="s">
        <v>2663</v>
      </c>
      <c r="C324" s="215" t="s">
        <v>2774</v>
      </c>
      <c r="D324" s="215" t="s">
        <v>3438</v>
      </c>
      <c r="E324" s="209" t="s">
        <v>2672</v>
      </c>
    </row>
    <row r="325" spans="1:5">
      <c r="A325" s="180">
        <v>327</v>
      </c>
      <c r="B325" s="216" t="s">
        <v>2664</v>
      </c>
      <c r="C325" s="220" t="s">
        <v>2777</v>
      </c>
      <c r="D325" s="373" t="s">
        <v>2778</v>
      </c>
      <c r="E325" s="209" t="s">
        <v>2672</v>
      </c>
    </row>
    <row r="326" spans="1:5">
      <c r="A326" s="180">
        <v>328</v>
      </c>
      <c r="B326" s="216" t="s">
        <v>2665</v>
      </c>
      <c r="C326" s="220" t="s">
        <v>2779</v>
      </c>
      <c r="D326" s="373" t="s">
        <v>2780</v>
      </c>
      <c r="E326" s="209" t="s">
        <v>2672</v>
      </c>
    </row>
    <row r="327" spans="1:5">
      <c r="A327" s="180">
        <v>329</v>
      </c>
      <c r="B327" s="216" t="s">
        <v>2666</v>
      </c>
      <c r="C327" s="220" t="s">
        <v>2781</v>
      </c>
      <c r="D327" s="373" t="s">
        <v>3439</v>
      </c>
      <c r="E327" s="209" t="s">
        <v>2672</v>
      </c>
    </row>
    <row r="328" spans="1:5">
      <c r="A328" s="180">
        <v>330</v>
      </c>
      <c r="B328" s="216" t="s">
        <v>2667</v>
      </c>
      <c r="C328" s="220" t="s">
        <v>2782</v>
      </c>
      <c r="D328" s="373" t="s">
        <v>3440</v>
      </c>
      <c r="E328" s="209" t="s">
        <v>2672</v>
      </c>
    </row>
    <row r="329" spans="1:5">
      <c r="A329" s="180">
        <v>331</v>
      </c>
      <c r="B329" s="232" t="s">
        <v>2804</v>
      </c>
      <c r="C329" s="215" t="s">
        <v>2806</v>
      </c>
      <c r="D329" s="373" t="s">
        <v>2805</v>
      </c>
      <c r="E329" s="231" t="s">
        <v>1982</v>
      </c>
    </row>
    <row r="330" spans="1:5">
      <c r="A330" s="180">
        <v>332</v>
      </c>
      <c r="B330" s="210" t="str">
        <f>'BASE_FUNCOES (hide)'!B232</f>
        <v>Prontuário Eletrônico Paciente - PEP</v>
      </c>
      <c r="C330" s="210" t="str">
        <f>'BASE_FUNCOES (hide)'!C232</f>
        <v>Electronic Patient Chart</v>
      </c>
      <c r="D330" s="373" t="str">
        <f>'BASE_FUNCOES (hide)'!D232</f>
        <v>Expediente Clínico Electrónico - ECE</v>
      </c>
      <c r="E330" s="231" t="s">
        <v>1982</v>
      </c>
    </row>
    <row r="331" spans="1:5">
      <c r="A331" s="180">
        <v>333</v>
      </c>
      <c r="B331" s="210" t="str">
        <f>'BASE_FUNCOES (hide)'!B627</f>
        <v>Adm. Eletrônica da Prescrição - ADEP</v>
      </c>
      <c r="C331" s="210" t="str">
        <f>'BASE_FUNCOES (hide)'!C627</f>
        <v>eMAR - Electronic Medication Administration Record</v>
      </c>
      <c r="D331" s="373" t="str">
        <f>'BASE_FUNCOES (hide)'!D627</f>
        <v>Adm. Electrónica de la Prescripción - ADEP</v>
      </c>
      <c r="E331" s="231" t="s">
        <v>1982</v>
      </c>
    </row>
    <row r="332" spans="1:5">
      <c r="A332" s="180">
        <v>334</v>
      </c>
      <c r="B332" s="210" t="str">
        <f>'BASE_FUNCOES (hide)'!B449</f>
        <v>CPOE</v>
      </c>
      <c r="C332" s="210" t="str">
        <f>'BASE_FUNCOES (hide)'!C449</f>
        <v>CPOE</v>
      </c>
      <c r="D332" s="373" t="str">
        <f>'BASE_FUNCOES (hide)'!D449</f>
        <v>CPOE</v>
      </c>
      <c r="E332" s="234" t="s">
        <v>1982</v>
      </c>
    </row>
    <row r="333" spans="1:5">
      <c r="A333" s="236">
        <v>335</v>
      </c>
      <c r="B333" s="8" t="s">
        <v>2792</v>
      </c>
      <c r="C333" s="219" t="s">
        <v>2813</v>
      </c>
      <c r="D333" s="219" t="s">
        <v>2792</v>
      </c>
      <c r="E333" s="234" t="s">
        <v>1982</v>
      </c>
    </row>
    <row r="334" spans="1:5">
      <c r="A334" s="236">
        <v>336</v>
      </c>
      <c r="B334" s="8" t="s">
        <v>2793</v>
      </c>
      <c r="C334" s="219" t="s">
        <v>2814</v>
      </c>
      <c r="D334" s="219" t="s">
        <v>2819</v>
      </c>
      <c r="E334" s="234" t="s">
        <v>1982</v>
      </c>
    </row>
    <row r="335" spans="1:5">
      <c r="A335" s="236">
        <v>337</v>
      </c>
      <c r="B335" s="8" t="s">
        <v>2794</v>
      </c>
      <c r="C335" s="219" t="s">
        <v>2815</v>
      </c>
      <c r="D335" s="219" t="s">
        <v>2174</v>
      </c>
      <c r="E335" s="234" t="s">
        <v>1982</v>
      </c>
    </row>
    <row r="336" spans="1:5">
      <c r="A336" s="236">
        <v>338</v>
      </c>
      <c r="B336" s="8" t="s">
        <v>282</v>
      </c>
      <c r="C336" s="219" t="s">
        <v>2816</v>
      </c>
      <c r="D336" s="219" t="s">
        <v>1096</v>
      </c>
      <c r="E336" s="234" t="s">
        <v>1982</v>
      </c>
    </row>
    <row r="337" spans="1:5">
      <c r="A337" s="236">
        <v>339</v>
      </c>
      <c r="B337" s="8" t="s">
        <v>434</v>
      </c>
      <c r="C337" s="219" t="s">
        <v>1534</v>
      </c>
      <c r="D337" s="219" t="s">
        <v>1535</v>
      </c>
      <c r="E337" s="234" t="s">
        <v>1982</v>
      </c>
    </row>
    <row r="338" spans="1:5">
      <c r="A338" s="236">
        <v>340</v>
      </c>
      <c r="B338" s="8" t="s">
        <v>2795</v>
      </c>
      <c r="C338" s="219" t="s">
        <v>2323</v>
      </c>
      <c r="D338" s="219" t="s">
        <v>2175</v>
      </c>
      <c r="E338" s="234" t="s">
        <v>1982</v>
      </c>
    </row>
    <row r="339" spans="1:5">
      <c r="A339" s="236">
        <v>341</v>
      </c>
      <c r="B339" s="8" t="s">
        <v>2796</v>
      </c>
      <c r="C339" s="219" t="s">
        <v>2817</v>
      </c>
      <c r="D339" s="219" t="s">
        <v>3441</v>
      </c>
      <c r="E339" s="234" t="s">
        <v>1982</v>
      </c>
    </row>
    <row r="340" spans="1:5">
      <c r="A340" s="236">
        <v>342</v>
      </c>
      <c r="B340" s="8" t="s">
        <v>2797</v>
      </c>
      <c r="C340" s="235" t="s">
        <v>2818</v>
      </c>
      <c r="D340" s="235" t="s">
        <v>2820</v>
      </c>
      <c r="E340" s="234" t="s">
        <v>1982</v>
      </c>
    </row>
    <row r="341" spans="1:5">
      <c r="A341" s="236">
        <v>343</v>
      </c>
      <c r="B341" s="88" t="s">
        <v>2809</v>
      </c>
      <c r="C341" s="219" t="s">
        <v>2810</v>
      </c>
      <c r="D341" s="27" t="s">
        <v>2811</v>
      </c>
      <c r="E341" s="1" t="s">
        <v>1981</v>
      </c>
    </row>
    <row r="342" spans="1:5">
      <c r="A342" s="34">
        <v>344</v>
      </c>
      <c r="B342" s="74" t="s">
        <v>2807</v>
      </c>
      <c r="C342" s="27" t="s">
        <v>2828</v>
      </c>
      <c r="D342" s="27" t="s">
        <v>3442</v>
      </c>
      <c r="E342" s="234" t="s">
        <v>1982</v>
      </c>
    </row>
    <row r="343" spans="1:5">
      <c r="A343" s="34">
        <v>345</v>
      </c>
      <c r="B343" s="88" t="s">
        <v>2790</v>
      </c>
      <c r="C343" s="27" t="s">
        <v>2829</v>
      </c>
      <c r="D343" s="27" t="s">
        <v>3443</v>
      </c>
      <c r="E343" s="234" t="s">
        <v>1982</v>
      </c>
    </row>
    <row r="344" spans="1:5">
      <c r="A344" s="34">
        <v>346</v>
      </c>
      <c r="B344" s="74" t="s">
        <v>2827</v>
      </c>
      <c r="C344" s="27" t="s">
        <v>2830</v>
      </c>
      <c r="D344" s="27" t="s">
        <v>2831</v>
      </c>
      <c r="E344" s="234" t="s">
        <v>1982</v>
      </c>
    </row>
    <row r="345" spans="1:5">
      <c r="A345" s="34">
        <v>347</v>
      </c>
      <c r="B345" s="74" t="s">
        <v>2852</v>
      </c>
      <c r="C345" s="74" t="s">
        <v>2853</v>
      </c>
      <c r="D345" s="74" t="s">
        <v>3444</v>
      </c>
      <c r="E345" s="249" t="s">
        <v>5839</v>
      </c>
    </row>
    <row r="346" spans="1:5">
      <c r="A346" s="34">
        <v>348</v>
      </c>
      <c r="B346" s="8" t="s">
        <v>3079</v>
      </c>
      <c r="C346" s="250" t="s">
        <v>3080</v>
      </c>
      <c r="D346" s="250" t="s">
        <v>2849</v>
      </c>
      <c r="E346" s="249" t="s">
        <v>5839</v>
      </c>
    </row>
    <row r="347" spans="1:5">
      <c r="A347" s="34">
        <v>350</v>
      </c>
      <c r="B347" s="133" t="s">
        <v>2946</v>
      </c>
      <c r="C347" s="211" t="s">
        <v>2948</v>
      </c>
      <c r="D347" s="250" t="s">
        <v>3445</v>
      </c>
      <c r="E347" s="259" t="s">
        <v>1982</v>
      </c>
    </row>
    <row r="348" spans="1:5">
      <c r="A348" s="34">
        <v>351</v>
      </c>
      <c r="B348" s="260" t="s">
        <v>2025</v>
      </c>
      <c r="C348" s="262" t="s">
        <v>2943</v>
      </c>
      <c r="D348" s="261" t="s">
        <v>2942</v>
      </c>
      <c r="E348" s="259" t="s">
        <v>1982</v>
      </c>
    </row>
    <row r="349" spans="1:5">
      <c r="A349" s="34">
        <v>352</v>
      </c>
      <c r="B349" s="263" t="s">
        <v>8166</v>
      </c>
      <c r="C349" s="263" t="s">
        <v>8167</v>
      </c>
      <c r="D349" s="250" t="s">
        <v>8168</v>
      </c>
      <c r="E349" s="259" t="s">
        <v>1982</v>
      </c>
    </row>
    <row r="350" spans="1:5">
      <c r="A350" s="34">
        <v>353</v>
      </c>
      <c r="B350" s="263" t="s">
        <v>2019</v>
      </c>
      <c r="C350" s="264" t="s">
        <v>2944</v>
      </c>
      <c r="D350" s="250" t="s">
        <v>2945</v>
      </c>
      <c r="E350" s="259" t="s">
        <v>1982</v>
      </c>
    </row>
    <row r="351" spans="1:5">
      <c r="A351" s="34">
        <v>354</v>
      </c>
      <c r="B351" s="133" t="s">
        <v>2947</v>
      </c>
      <c r="C351" s="250" t="s">
        <v>2940</v>
      </c>
      <c r="D351" s="250" t="s">
        <v>2941</v>
      </c>
      <c r="E351" s="259" t="s">
        <v>1982</v>
      </c>
    </row>
    <row r="352" spans="1:5">
      <c r="A352" s="34">
        <v>355</v>
      </c>
      <c r="B352" s="133" t="s">
        <v>2949</v>
      </c>
      <c r="C352" s="250" t="s">
        <v>2950</v>
      </c>
      <c r="D352" s="250" t="s">
        <v>2951</v>
      </c>
      <c r="E352" s="259" t="s">
        <v>1982</v>
      </c>
    </row>
    <row r="353" spans="1:5">
      <c r="A353" s="34">
        <v>356</v>
      </c>
      <c r="B353" s="133" t="s">
        <v>2961</v>
      </c>
      <c r="C353" s="133" t="s">
        <v>2961</v>
      </c>
      <c r="D353" s="133" t="s">
        <v>2961</v>
      </c>
      <c r="E353" s="259" t="s">
        <v>1982</v>
      </c>
    </row>
    <row r="354" spans="1:5" ht="116">
      <c r="A354" s="34">
        <v>357</v>
      </c>
      <c r="B354" s="270" t="s">
        <v>3074</v>
      </c>
      <c r="C354" s="271" t="s">
        <v>3075</v>
      </c>
      <c r="D354" s="271" t="s">
        <v>3446</v>
      </c>
      <c r="E354" s="259" t="s">
        <v>1982</v>
      </c>
    </row>
    <row r="355" spans="1:5">
      <c r="A355" s="34">
        <v>358</v>
      </c>
      <c r="B355" s="133" t="s">
        <v>3022</v>
      </c>
      <c r="C355" s="133" t="s">
        <v>3023</v>
      </c>
      <c r="D355" s="133" t="s">
        <v>3022</v>
      </c>
      <c r="E355" s="259" t="s">
        <v>1982</v>
      </c>
    </row>
    <row r="356" spans="1:5">
      <c r="A356" s="34">
        <v>359</v>
      </c>
      <c r="B356" s="133" t="s">
        <v>2965</v>
      </c>
      <c r="C356" s="133" t="s">
        <v>2967</v>
      </c>
      <c r="D356" s="133" t="s">
        <v>2966</v>
      </c>
      <c r="E356" s="259" t="s">
        <v>1982</v>
      </c>
    </row>
    <row r="357" spans="1:5">
      <c r="A357" s="34">
        <v>360</v>
      </c>
      <c r="B357" s="133" t="s">
        <v>2857</v>
      </c>
      <c r="C357" s="133" t="s">
        <v>2968</v>
      </c>
      <c r="D357" s="133" t="s">
        <v>2969</v>
      </c>
      <c r="E357" s="273" t="s">
        <v>2130</v>
      </c>
    </row>
    <row r="358" spans="1:5" ht="58">
      <c r="A358" s="34">
        <v>361</v>
      </c>
      <c r="B358" s="270" t="s">
        <v>3071</v>
      </c>
      <c r="C358" s="307" t="s">
        <v>3072</v>
      </c>
      <c r="D358" s="270" t="s">
        <v>3073</v>
      </c>
      <c r="E358" s="273" t="s">
        <v>2130</v>
      </c>
    </row>
    <row r="359" spans="1:5">
      <c r="A359" s="34">
        <v>362</v>
      </c>
      <c r="B359" s="133" t="s">
        <v>3176</v>
      </c>
      <c r="C359" s="133" t="s">
        <v>3177</v>
      </c>
      <c r="D359" s="133" t="s">
        <v>3447</v>
      </c>
      <c r="E359" s="284" t="s">
        <v>2979</v>
      </c>
    </row>
    <row r="360" spans="1:5">
      <c r="A360" s="34">
        <v>363</v>
      </c>
      <c r="B360" s="133" t="s">
        <v>3014</v>
      </c>
      <c r="C360" s="270" t="s">
        <v>3013</v>
      </c>
      <c r="D360" s="270" t="s">
        <v>3015</v>
      </c>
      <c r="E360" s="284" t="s">
        <v>5839</v>
      </c>
    </row>
    <row r="361" spans="1:5">
      <c r="A361" s="34">
        <v>364</v>
      </c>
      <c r="B361" s="133" t="s">
        <v>3016</v>
      </c>
      <c r="C361" s="133" t="s">
        <v>3017</v>
      </c>
      <c r="D361" s="133" t="s">
        <v>3448</v>
      </c>
      <c r="E361" s="284" t="s">
        <v>5839</v>
      </c>
    </row>
    <row r="362" spans="1:5">
      <c r="A362" s="34">
        <v>365</v>
      </c>
      <c r="B362" s="133" t="s">
        <v>3036</v>
      </c>
      <c r="C362" s="270" t="s">
        <v>3019</v>
      </c>
      <c r="D362" s="133" t="s">
        <v>3449</v>
      </c>
      <c r="E362" s="284" t="s">
        <v>2507</v>
      </c>
    </row>
    <row r="363" spans="1:5">
      <c r="A363" s="34">
        <v>366</v>
      </c>
      <c r="B363" s="133" t="s">
        <v>3070</v>
      </c>
      <c r="C363" s="133" t="s">
        <v>3076</v>
      </c>
      <c r="D363" s="133" t="s">
        <v>3077</v>
      </c>
      <c r="E363" s="305" t="s">
        <v>3474</v>
      </c>
    </row>
    <row r="364" spans="1:5">
      <c r="A364" s="34">
        <v>367</v>
      </c>
      <c r="B364" s="133" t="s">
        <v>3081</v>
      </c>
      <c r="C364" s="133" t="s">
        <v>3082</v>
      </c>
      <c r="D364" s="133" t="s">
        <v>3083</v>
      </c>
      <c r="E364" s="305" t="s">
        <v>3474</v>
      </c>
    </row>
    <row r="365" spans="1:5">
      <c r="A365" s="34">
        <v>368</v>
      </c>
      <c r="B365" s="133" t="s">
        <v>3029</v>
      </c>
      <c r="C365" s="133" t="s">
        <v>3101</v>
      </c>
      <c r="D365" s="133" t="s">
        <v>3029</v>
      </c>
      <c r="E365" s="305" t="s">
        <v>2962</v>
      </c>
    </row>
    <row r="366" spans="1:5">
      <c r="A366" s="34">
        <v>369</v>
      </c>
      <c r="B366" s="133" t="s">
        <v>3030</v>
      </c>
      <c r="C366" s="133" t="s">
        <v>3102</v>
      </c>
      <c r="D366" s="133" t="s">
        <v>3095</v>
      </c>
      <c r="E366" s="305" t="s">
        <v>2962</v>
      </c>
    </row>
    <row r="367" spans="1:5">
      <c r="A367" s="34">
        <v>370</v>
      </c>
      <c r="B367" s="133" t="s">
        <v>3031</v>
      </c>
      <c r="C367" s="133" t="s">
        <v>3103</v>
      </c>
      <c r="D367" s="133" t="s">
        <v>3096</v>
      </c>
      <c r="E367" s="305" t="s">
        <v>2962</v>
      </c>
    </row>
    <row r="368" spans="1:5">
      <c r="A368" s="34">
        <v>371</v>
      </c>
      <c r="B368" s="133" t="s">
        <v>3027</v>
      </c>
      <c r="C368" s="133" t="s">
        <v>3104</v>
      </c>
      <c r="D368" s="133" t="s">
        <v>3097</v>
      </c>
      <c r="E368" s="305" t="s">
        <v>2962</v>
      </c>
    </row>
    <row r="369" spans="1:5">
      <c r="A369" s="34">
        <v>372</v>
      </c>
      <c r="B369" s="133" t="s">
        <v>3028</v>
      </c>
      <c r="C369" s="133" t="s">
        <v>3105</v>
      </c>
      <c r="D369" s="133" t="s">
        <v>3098</v>
      </c>
      <c r="E369" s="305" t="s">
        <v>2962</v>
      </c>
    </row>
    <row r="370" spans="1:5">
      <c r="A370" s="34">
        <v>373</v>
      </c>
      <c r="B370" s="133" t="s">
        <v>3037</v>
      </c>
      <c r="C370" s="133" t="s">
        <v>3106</v>
      </c>
      <c r="D370" s="133" t="s">
        <v>3099</v>
      </c>
      <c r="E370" s="305" t="s">
        <v>2962</v>
      </c>
    </row>
    <row r="371" spans="1:5">
      <c r="A371" s="34">
        <v>374</v>
      </c>
      <c r="B371" s="133" t="s">
        <v>3050</v>
      </c>
      <c r="C371" s="133" t="s">
        <v>3107</v>
      </c>
      <c r="D371" s="133" t="s">
        <v>3100</v>
      </c>
      <c r="E371" s="305" t="s">
        <v>2962</v>
      </c>
    </row>
    <row r="372" spans="1:5">
      <c r="A372" s="1">
        <v>375</v>
      </c>
      <c r="B372" s="308" t="s">
        <v>3032</v>
      </c>
      <c r="C372" s="308" t="s">
        <v>3109</v>
      </c>
      <c r="D372" s="308" t="s">
        <v>3120</v>
      </c>
      <c r="E372" s="305" t="s">
        <v>2962</v>
      </c>
    </row>
    <row r="373" spans="1:5">
      <c r="A373" s="34">
        <v>376</v>
      </c>
      <c r="B373" s="133" t="s">
        <v>3033</v>
      </c>
      <c r="C373" s="133" t="s">
        <v>3110</v>
      </c>
      <c r="D373" s="133" t="s">
        <v>3121</v>
      </c>
      <c r="E373" s="305" t="s">
        <v>2962</v>
      </c>
    </row>
    <row r="374" spans="1:5">
      <c r="A374" s="34">
        <v>377</v>
      </c>
      <c r="B374" s="133" t="s">
        <v>3035</v>
      </c>
      <c r="C374" s="133" t="s">
        <v>3111</v>
      </c>
      <c r="D374" s="133" t="s">
        <v>3122</v>
      </c>
      <c r="E374" s="305" t="s">
        <v>2962</v>
      </c>
    </row>
    <row r="375" spans="1:5">
      <c r="A375" s="34">
        <v>378</v>
      </c>
      <c r="B375" s="133" t="s">
        <v>3034</v>
      </c>
      <c r="C375" s="133" t="s">
        <v>3112</v>
      </c>
      <c r="D375" s="133" t="s">
        <v>3123</v>
      </c>
      <c r="E375" s="305" t="s">
        <v>2962</v>
      </c>
    </row>
    <row r="376" spans="1:5">
      <c r="A376" s="34">
        <v>379</v>
      </c>
      <c r="B376" s="133" t="s">
        <v>3042</v>
      </c>
      <c r="C376" s="133" t="s">
        <v>3113</v>
      </c>
      <c r="D376" s="133" t="s">
        <v>3124</v>
      </c>
      <c r="E376" s="305" t="s">
        <v>2962</v>
      </c>
    </row>
    <row r="377" spans="1:5">
      <c r="A377" s="34">
        <v>380</v>
      </c>
      <c r="B377" s="133" t="s">
        <v>3108</v>
      </c>
      <c r="C377" s="133" t="s">
        <v>3114</v>
      </c>
      <c r="D377" s="133" t="s">
        <v>3125</v>
      </c>
      <c r="E377" s="305" t="s">
        <v>2962</v>
      </c>
    </row>
    <row r="378" spans="1:5">
      <c r="A378" s="34">
        <v>381</v>
      </c>
      <c r="B378" s="133" t="s">
        <v>3046</v>
      </c>
      <c r="C378" s="133" t="s">
        <v>3115</v>
      </c>
      <c r="D378" s="133" t="s">
        <v>3126</v>
      </c>
      <c r="E378" s="305" t="s">
        <v>2962</v>
      </c>
    </row>
    <row r="379" spans="1:5">
      <c r="A379" s="34">
        <v>382</v>
      </c>
      <c r="B379" s="133" t="s">
        <v>3048</v>
      </c>
      <c r="C379" s="133" t="s">
        <v>3116</v>
      </c>
      <c r="D379" s="133" t="s">
        <v>3450</v>
      </c>
      <c r="E379" s="305" t="s">
        <v>2962</v>
      </c>
    </row>
    <row r="380" spans="1:5">
      <c r="A380" s="1">
        <v>383</v>
      </c>
      <c r="B380" s="308" t="s">
        <v>3051</v>
      </c>
      <c r="C380" s="308" t="s">
        <v>3117</v>
      </c>
      <c r="D380" s="308" t="s">
        <v>3164</v>
      </c>
      <c r="E380" s="305" t="s">
        <v>2962</v>
      </c>
    </row>
    <row r="381" spans="1:5">
      <c r="A381" s="34">
        <v>384</v>
      </c>
      <c r="B381" s="133" t="s">
        <v>3057</v>
      </c>
      <c r="C381" s="133" t="s">
        <v>3118</v>
      </c>
      <c r="D381" s="133" t="s">
        <v>3127</v>
      </c>
      <c r="E381" s="305" t="s">
        <v>2962</v>
      </c>
    </row>
    <row r="382" spans="1:5">
      <c r="A382" s="34">
        <v>385</v>
      </c>
      <c r="B382" s="133" t="s">
        <v>3060</v>
      </c>
      <c r="C382" s="133" t="s">
        <v>3119</v>
      </c>
      <c r="D382" s="133" t="s">
        <v>3128</v>
      </c>
      <c r="E382" s="305" t="s">
        <v>2962</v>
      </c>
    </row>
    <row r="383" spans="1:5" ht="58">
      <c r="A383" s="34">
        <v>386</v>
      </c>
      <c r="B383" s="270" t="s">
        <v>3038</v>
      </c>
      <c r="C383" s="270" t="s">
        <v>3139</v>
      </c>
      <c r="D383" s="270" t="s">
        <v>3146</v>
      </c>
      <c r="E383" s="305" t="s">
        <v>2962</v>
      </c>
    </row>
    <row r="384" spans="1:5" ht="58">
      <c r="A384" s="34">
        <v>387</v>
      </c>
      <c r="B384" s="270" t="s">
        <v>3040</v>
      </c>
      <c r="C384" s="270" t="s">
        <v>3140</v>
      </c>
      <c r="D384" s="270" t="s">
        <v>3147</v>
      </c>
      <c r="E384" s="305" t="s">
        <v>2962</v>
      </c>
    </row>
    <row r="385" spans="1:5">
      <c r="A385" s="34">
        <v>388</v>
      </c>
      <c r="B385" s="133" t="s">
        <v>3165</v>
      </c>
      <c r="C385" s="133" t="s">
        <v>3166</v>
      </c>
      <c r="D385" s="133" t="s">
        <v>3167</v>
      </c>
      <c r="E385" s="305" t="s">
        <v>2962</v>
      </c>
    </row>
    <row r="386" spans="1:5">
      <c r="A386" s="34">
        <v>389</v>
      </c>
      <c r="B386" s="133" t="s">
        <v>3041</v>
      </c>
      <c r="C386" s="133" t="s">
        <v>3130</v>
      </c>
      <c r="D386" s="133" t="s">
        <v>3148</v>
      </c>
      <c r="E386" s="305" t="s">
        <v>2962</v>
      </c>
    </row>
    <row r="387" spans="1:5" ht="72.5">
      <c r="A387" s="34">
        <v>390</v>
      </c>
      <c r="B387" s="270" t="s">
        <v>3129</v>
      </c>
      <c r="C387" s="270" t="s">
        <v>3141</v>
      </c>
      <c r="D387" s="270" t="s">
        <v>3451</v>
      </c>
      <c r="E387" s="305" t="s">
        <v>2962</v>
      </c>
    </row>
    <row r="388" spans="1:5">
      <c r="A388" s="34">
        <v>391</v>
      </c>
      <c r="B388" s="133" t="s">
        <v>3043</v>
      </c>
      <c r="C388" s="133" t="s">
        <v>3131</v>
      </c>
      <c r="D388" s="133" t="s">
        <v>3452</v>
      </c>
      <c r="E388" s="305" t="s">
        <v>2962</v>
      </c>
    </row>
    <row r="389" spans="1:5" ht="29">
      <c r="A389" s="34">
        <v>392</v>
      </c>
      <c r="B389" s="270" t="s">
        <v>3044</v>
      </c>
      <c r="C389" s="270" t="s">
        <v>3142</v>
      </c>
      <c r="D389" s="270" t="s">
        <v>3453</v>
      </c>
      <c r="E389" s="305" t="s">
        <v>2962</v>
      </c>
    </row>
    <row r="390" spans="1:5">
      <c r="A390" s="34">
        <v>393</v>
      </c>
      <c r="B390" s="133" t="s">
        <v>3061</v>
      </c>
      <c r="C390" s="133" t="s">
        <v>3132</v>
      </c>
      <c r="D390" s="133" t="s">
        <v>3149</v>
      </c>
      <c r="E390" s="305" t="s">
        <v>2962</v>
      </c>
    </row>
    <row r="391" spans="1:5" ht="29">
      <c r="A391" s="34">
        <v>394</v>
      </c>
      <c r="B391" s="270" t="s">
        <v>3047</v>
      </c>
      <c r="C391" s="270" t="s">
        <v>3143</v>
      </c>
      <c r="D391" s="270" t="s">
        <v>3454</v>
      </c>
      <c r="E391" s="305" t="s">
        <v>2962</v>
      </c>
    </row>
    <row r="392" spans="1:5" s="311" customFormat="1">
      <c r="A392" s="309">
        <v>395</v>
      </c>
      <c r="B392" s="310" t="s">
        <v>3062</v>
      </c>
      <c r="C392" s="310" t="s">
        <v>3133</v>
      </c>
      <c r="D392" s="310" t="s">
        <v>3455</v>
      </c>
      <c r="E392" s="305" t="s">
        <v>2962</v>
      </c>
    </row>
    <row r="393" spans="1:5" ht="58">
      <c r="A393" s="34">
        <v>396</v>
      </c>
      <c r="B393" s="270" t="s">
        <v>3052</v>
      </c>
      <c r="C393" s="270" t="s">
        <v>3144</v>
      </c>
      <c r="D393" s="270" t="s">
        <v>3456</v>
      </c>
      <c r="E393" s="305" t="s">
        <v>2962</v>
      </c>
    </row>
    <row r="394" spans="1:5">
      <c r="A394" s="34">
        <v>397</v>
      </c>
      <c r="B394" s="133" t="s">
        <v>3054</v>
      </c>
      <c r="C394" s="133" t="s">
        <v>3134</v>
      </c>
      <c r="D394" s="133" t="s">
        <v>3457</v>
      </c>
      <c r="E394" s="305" t="s">
        <v>2962</v>
      </c>
    </row>
    <row r="395" spans="1:5">
      <c r="A395" s="34">
        <v>398</v>
      </c>
      <c r="B395" s="133" t="s">
        <v>3055</v>
      </c>
      <c r="C395" s="133" t="s">
        <v>3135</v>
      </c>
      <c r="D395" s="133" t="s">
        <v>3458</v>
      </c>
      <c r="E395" s="305" t="s">
        <v>2962</v>
      </c>
    </row>
    <row r="396" spans="1:5">
      <c r="A396" s="34">
        <v>399</v>
      </c>
      <c r="B396" s="133" t="s">
        <v>3056</v>
      </c>
      <c r="C396" s="133" t="s">
        <v>3136</v>
      </c>
      <c r="D396" s="133" t="s">
        <v>3459</v>
      </c>
      <c r="E396" s="305" t="s">
        <v>2962</v>
      </c>
    </row>
    <row r="397" spans="1:5">
      <c r="A397" s="34">
        <v>400</v>
      </c>
      <c r="B397" s="133" t="s">
        <v>3053</v>
      </c>
      <c r="C397" s="133" t="s">
        <v>3137</v>
      </c>
      <c r="D397" s="133" t="s">
        <v>3145</v>
      </c>
      <c r="E397" s="305" t="s">
        <v>2962</v>
      </c>
    </row>
    <row r="398" spans="1:5">
      <c r="A398" s="34">
        <v>401</v>
      </c>
      <c r="B398" s="133" t="s">
        <v>3058</v>
      </c>
      <c r="C398" s="133" t="s">
        <v>3138</v>
      </c>
      <c r="D398" s="133" t="s">
        <v>3460</v>
      </c>
      <c r="E398" s="305" t="s">
        <v>2962</v>
      </c>
    </row>
    <row r="399" spans="1:5" s="191" customFormat="1" ht="58">
      <c r="A399" s="43">
        <v>402</v>
      </c>
      <c r="B399" s="313" t="s">
        <v>3168</v>
      </c>
      <c r="C399" s="313" t="s">
        <v>3169</v>
      </c>
      <c r="D399" s="313" t="s">
        <v>3170</v>
      </c>
      <c r="E399" s="312" t="s">
        <v>2962</v>
      </c>
    </row>
    <row r="400" spans="1:5">
      <c r="A400" s="43">
        <v>403</v>
      </c>
      <c r="B400" s="133" t="s">
        <v>3039</v>
      </c>
      <c r="C400" s="133" t="s">
        <v>3150</v>
      </c>
      <c r="D400" s="133" t="s">
        <v>3151</v>
      </c>
      <c r="E400" s="305" t="s">
        <v>2962</v>
      </c>
    </row>
    <row r="401" spans="1:5">
      <c r="A401" s="43">
        <v>404</v>
      </c>
      <c r="B401" s="133" t="s">
        <v>3152</v>
      </c>
      <c r="C401" s="133" t="s">
        <v>3153</v>
      </c>
      <c r="D401" s="133" t="s">
        <v>3153</v>
      </c>
      <c r="E401" s="305" t="s">
        <v>2962</v>
      </c>
    </row>
    <row r="402" spans="1:5">
      <c r="A402" s="43">
        <v>405</v>
      </c>
      <c r="B402" s="133" t="s">
        <v>3045</v>
      </c>
      <c r="C402" s="133" t="s">
        <v>3158</v>
      </c>
      <c r="D402" s="133" t="s">
        <v>3156</v>
      </c>
      <c r="E402" s="305" t="s">
        <v>2962</v>
      </c>
    </row>
    <row r="403" spans="1:5">
      <c r="A403" s="43">
        <v>406</v>
      </c>
      <c r="B403" s="133" t="s">
        <v>3049</v>
      </c>
      <c r="C403" s="133" t="s">
        <v>3159</v>
      </c>
      <c r="D403" s="133" t="s">
        <v>3157</v>
      </c>
      <c r="E403" s="305" t="s">
        <v>2962</v>
      </c>
    </row>
    <row r="404" spans="1:5" ht="43.5">
      <c r="A404" s="43">
        <v>407</v>
      </c>
      <c r="B404" s="315" t="s">
        <v>3174</v>
      </c>
      <c r="C404" s="315" t="s">
        <v>3175</v>
      </c>
      <c r="D404" s="315" t="s">
        <v>3461</v>
      </c>
      <c r="E404" s="305" t="s">
        <v>2962</v>
      </c>
    </row>
    <row r="405" spans="1:5" ht="58">
      <c r="A405" s="43">
        <v>408</v>
      </c>
      <c r="B405" s="270" t="s">
        <v>3155</v>
      </c>
      <c r="C405" s="270" t="s">
        <v>3160</v>
      </c>
      <c r="D405" s="270" t="s">
        <v>3161</v>
      </c>
      <c r="E405" s="305" t="s">
        <v>2962</v>
      </c>
    </row>
    <row r="406" spans="1:5" ht="116">
      <c r="A406" s="43">
        <v>409</v>
      </c>
      <c r="B406" s="270" t="s">
        <v>3162</v>
      </c>
      <c r="C406" s="270" t="s">
        <v>3163</v>
      </c>
      <c r="D406" s="270" t="s">
        <v>3462</v>
      </c>
      <c r="E406" s="305" t="s">
        <v>2962</v>
      </c>
    </row>
    <row r="407" spans="1:5" ht="43.5">
      <c r="A407" s="43">
        <v>410</v>
      </c>
      <c r="B407" s="270" t="s">
        <v>3173</v>
      </c>
      <c r="C407" s="314" t="s">
        <v>3172</v>
      </c>
      <c r="D407" s="314" t="s">
        <v>3171</v>
      </c>
      <c r="E407" s="305"/>
    </row>
    <row r="408" spans="1:5" ht="29">
      <c r="A408" s="43">
        <v>411</v>
      </c>
      <c r="B408" s="270" t="s">
        <v>3178</v>
      </c>
      <c r="C408" s="314" t="s">
        <v>3179</v>
      </c>
      <c r="D408" s="314" t="s">
        <v>3180</v>
      </c>
      <c r="E408" s="316" t="s">
        <v>1982</v>
      </c>
    </row>
    <row r="409" spans="1:5">
      <c r="A409" s="43">
        <v>412</v>
      </c>
      <c r="B409" s="270" t="s">
        <v>3183</v>
      </c>
      <c r="C409" s="270" t="s">
        <v>3195</v>
      </c>
      <c r="D409" s="270" t="s">
        <v>3196</v>
      </c>
      <c r="E409" s="319" t="s">
        <v>5839</v>
      </c>
    </row>
    <row r="410" spans="1:5">
      <c r="A410" s="43">
        <v>413</v>
      </c>
      <c r="B410" s="270" t="s">
        <v>3192</v>
      </c>
      <c r="C410" s="270" t="s">
        <v>3227</v>
      </c>
      <c r="D410" s="270" t="s">
        <v>3463</v>
      </c>
      <c r="E410" s="320" t="s">
        <v>3474</v>
      </c>
    </row>
    <row r="411" spans="1:5">
      <c r="A411" s="43">
        <v>414</v>
      </c>
      <c r="B411" s="270" t="s">
        <v>5906</v>
      </c>
      <c r="C411" s="270" t="s">
        <v>5902</v>
      </c>
      <c r="D411" s="270" t="s">
        <v>5904</v>
      </c>
      <c r="E411" s="320" t="s">
        <v>3474</v>
      </c>
    </row>
    <row r="412" spans="1:5">
      <c r="A412" s="43">
        <v>415</v>
      </c>
      <c r="B412" s="270" t="s">
        <v>5907</v>
      </c>
      <c r="C412" s="270" t="s">
        <v>5903</v>
      </c>
      <c r="D412" s="270" t="s">
        <v>5905</v>
      </c>
      <c r="E412" s="320" t="s">
        <v>3474</v>
      </c>
    </row>
    <row r="413" spans="1:5">
      <c r="A413" s="43">
        <v>416</v>
      </c>
      <c r="B413" s="270" t="s">
        <v>5908</v>
      </c>
      <c r="C413" s="270" t="s">
        <v>3228</v>
      </c>
      <c r="D413" s="270" t="s">
        <v>3229</v>
      </c>
      <c r="E413" s="320" t="s">
        <v>3474</v>
      </c>
    </row>
    <row r="414" spans="1:5">
      <c r="A414" s="43">
        <v>417</v>
      </c>
      <c r="B414" s="270" t="s">
        <v>5909</v>
      </c>
      <c r="C414" s="270" t="s">
        <v>5912</v>
      </c>
      <c r="D414" s="270" t="s">
        <v>5909</v>
      </c>
      <c r="E414" s="320" t="s">
        <v>3474</v>
      </c>
    </row>
    <row r="415" spans="1:5">
      <c r="A415" s="43">
        <v>418</v>
      </c>
      <c r="B415" s="270" t="s">
        <v>5910</v>
      </c>
      <c r="C415" s="270" t="s">
        <v>5913</v>
      </c>
      <c r="D415" s="270" t="s">
        <v>5915</v>
      </c>
      <c r="E415" s="320" t="s">
        <v>3474</v>
      </c>
    </row>
    <row r="416" spans="1:5">
      <c r="A416" s="43">
        <v>419</v>
      </c>
      <c r="B416" s="270" t="s">
        <v>5911</v>
      </c>
      <c r="C416" s="270" t="s">
        <v>5914</v>
      </c>
      <c r="D416" s="270" t="s">
        <v>5916</v>
      </c>
      <c r="E416" s="320" t="s">
        <v>3474</v>
      </c>
    </row>
    <row r="417" spans="1:5">
      <c r="A417" s="43">
        <v>420</v>
      </c>
      <c r="B417" s="270" t="s">
        <v>3202</v>
      </c>
      <c r="C417" s="270" t="s">
        <v>3204</v>
      </c>
      <c r="D417" s="270" t="s">
        <v>3464</v>
      </c>
      <c r="E417" s="320" t="s">
        <v>3474</v>
      </c>
    </row>
    <row r="418" spans="1:5">
      <c r="A418" s="43">
        <v>421</v>
      </c>
      <c r="B418" s="270" t="s">
        <v>3203</v>
      </c>
      <c r="C418" s="270" t="s">
        <v>3205</v>
      </c>
      <c r="D418" s="270" t="s">
        <v>3206</v>
      </c>
      <c r="E418" s="320" t="s">
        <v>3474</v>
      </c>
    </row>
    <row r="419" spans="1:5">
      <c r="A419" s="43">
        <v>422</v>
      </c>
      <c r="B419" s="270" t="s">
        <v>3207</v>
      </c>
      <c r="C419" s="270" t="s">
        <v>3208</v>
      </c>
      <c r="D419" s="270" t="s">
        <v>3209</v>
      </c>
      <c r="E419" s="320" t="s">
        <v>3474</v>
      </c>
    </row>
    <row r="420" spans="1:5">
      <c r="A420" s="43">
        <v>423</v>
      </c>
      <c r="B420" s="270" t="s">
        <v>3187</v>
      </c>
      <c r="C420" s="270" t="s">
        <v>3210</v>
      </c>
      <c r="D420" s="270" t="s">
        <v>3211</v>
      </c>
      <c r="E420" s="320" t="s">
        <v>3474</v>
      </c>
    </row>
    <row r="421" spans="1:5">
      <c r="A421" s="43">
        <v>424</v>
      </c>
      <c r="B421" s="270" t="s">
        <v>13</v>
      </c>
      <c r="C421" s="270" t="s">
        <v>2319</v>
      </c>
      <c r="D421" s="270" t="s">
        <v>2173</v>
      </c>
      <c r="E421" s="320" t="s">
        <v>3474</v>
      </c>
    </row>
    <row r="422" spans="1:5">
      <c r="A422" s="43">
        <v>425</v>
      </c>
      <c r="B422" s="270" t="s">
        <v>3188</v>
      </c>
      <c r="C422" s="270" t="s">
        <v>3212</v>
      </c>
      <c r="D422" s="270" t="s">
        <v>3213</v>
      </c>
      <c r="E422" s="320" t="s">
        <v>3474</v>
      </c>
    </row>
    <row r="423" spans="1:5">
      <c r="A423" s="43">
        <v>426</v>
      </c>
      <c r="B423" s="270" t="s">
        <v>2024</v>
      </c>
      <c r="C423" s="270" t="s">
        <v>2940</v>
      </c>
      <c r="D423" s="270" t="s">
        <v>3214</v>
      </c>
      <c r="E423" s="320" t="s">
        <v>3474</v>
      </c>
    </row>
    <row r="424" spans="1:5">
      <c r="A424" s="43">
        <v>427</v>
      </c>
      <c r="B424" s="270" t="s">
        <v>3189</v>
      </c>
      <c r="C424" s="270" t="s">
        <v>3189</v>
      </c>
      <c r="D424" s="270" t="s">
        <v>3189</v>
      </c>
      <c r="E424" s="320" t="s">
        <v>3474</v>
      </c>
    </row>
    <row r="425" spans="1:5">
      <c r="A425" s="43">
        <v>428</v>
      </c>
      <c r="B425" s="270" t="s">
        <v>3190</v>
      </c>
      <c r="C425" s="270" t="s">
        <v>3190</v>
      </c>
      <c r="D425" s="270" t="s">
        <v>3190</v>
      </c>
      <c r="E425" s="320" t="s">
        <v>3474</v>
      </c>
    </row>
    <row r="426" spans="1:5">
      <c r="A426" s="43">
        <v>429</v>
      </c>
      <c r="B426" s="270" t="s">
        <v>3191</v>
      </c>
      <c r="C426" s="270" t="s">
        <v>3215</v>
      </c>
      <c r="D426" s="270" t="s">
        <v>3216</v>
      </c>
      <c r="E426" s="320" t="s">
        <v>3474</v>
      </c>
    </row>
    <row r="427" spans="1:5">
      <c r="A427" s="43">
        <v>430</v>
      </c>
      <c r="B427" s="270" t="s">
        <v>3185</v>
      </c>
      <c r="C427" s="270" t="s">
        <v>3217</v>
      </c>
      <c r="D427" s="270" t="s">
        <v>3218</v>
      </c>
      <c r="E427" s="320" t="s">
        <v>3474</v>
      </c>
    </row>
    <row r="428" spans="1:5">
      <c r="A428" s="43">
        <v>431</v>
      </c>
      <c r="B428" s="270" t="s">
        <v>3219</v>
      </c>
      <c r="C428" s="270" t="s">
        <v>3220</v>
      </c>
      <c r="D428" s="270" t="s">
        <v>3221</v>
      </c>
      <c r="E428" s="320" t="s">
        <v>3474</v>
      </c>
    </row>
    <row r="429" spans="1:5">
      <c r="A429" s="43">
        <v>432</v>
      </c>
      <c r="B429" s="270" t="s">
        <v>3222</v>
      </c>
      <c r="C429" s="270" t="s">
        <v>3223</v>
      </c>
      <c r="D429" s="270" t="s">
        <v>3224</v>
      </c>
      <c r="E429" s="326" t="s">
        <v>3474</v>
      </c>
    </row>
    <row r="430" spans="1:5">
      <c r="A430" s="43">
        <v>433</v>
      </c>
      <c r="B430" s="270" t="s">
        <v>3230</v>
      </c>
      <c r="C430" s="270" t="s">
        <v>3230</v>
      </c>
      <c r="D430" s="270" t="s">
        <v>3230</v>
      </c>
      <c r="E430" s="326" t="s">
        <v>3231</v>
      </c>
    </row>
    <row r="431" spans="1:5" ht="29">
      <c r="A431" s="43">
        <v>434</v>
      </c>
      <c r="B431" s="416" t="s">
        <v>3248</v>
      </c>
      <c r="C431" s="270" t="s">
        <v>3247</v>
      </c>
      <c r="D431" s="270" t="s">
        <v>3249</v>
      </c>
      <c r="E431" s="326" t="s">
        <v>1982</v>
      </c>
    </row>
    <row r="432" spans="1:5" ht="29">
      <c r="A432" s="43">
        <v>435</v>
      </c>
      <c r="B432" s="416" t="s">
        <v>5867</v>
      </c>
      <c r="C432" s="270" t="s">
        <v>3228</v>
      </c>
      <c r="D432" s="270" t="s">
        <v>5864</v>
      </c>
      <c r="E432" s="371" t="s">
        <v>1982</v>
      </c>
    </row>
    <row r="433" spans="1:5">
      <c r="A433" s="43">
        <v>436</v>
      </c>
      <c r="B433" s="416" t="s">
        <v>5867</v>
      </c>
      <c r="C433" s="270" t="s">
        <v>3228</v>
      </c>
      <c r="D433" s="270" t="s">
        <v>3250</v>
      </c>
      <c r="E433" s="371" t="s">
        <v>1982</v>
      </c>
    </row>
    <row r="434" spans="1:5">
      <c r="A434" s="43">
        <v>437</v>
      </c>
      <c r="B434" s="416" t="s">
        <v>3252</v>
      </c>
      <c r="C434" s="270" t="s">
        <v>3251</v>
      </c>
      <c r="D434" s="270" t="s">
        <v>3253</v>
      </c>
      <c r="E434" s="371" t="s">
        <v>1982</v>
      </c>
    </row>
    <row r="435" spans="1:5">
      <c r="A435" s="43">
        <v>438</v>
      </c>
      <c r="B435" s="416" t="s">
        <v>3255</v>
      </c>
      <c r="C435" s="270" t="s">
        <v>3254</v>
      </c>
      <c r="D435" s="270" t="s">
        <v>3256</v>
      </c>
      <c r="E435" s="371" t="s">
        <v>1982</v>
      </c>
    </row>
    <row r="436" spans="1:5">
      <c r="A436" s="43">
        <v>439</v>
      </c>
      <c r="B436" s="416" t="s">
        <v>3258</v>
      </c>
      <c r="C436" s="270" t="s">
        <v>3257</v>
      </c>
      <c r="D436" s="270" t="s">
        <v>3259</v>
      </c>
      <c r="E436" s="371" t="s">
        <v>1982</v>
      </c>
    </row>
    <row r="437" spans="1:5">
      <c r="A437" s="43">
        <v>440</v>
      </c>
      <c r="B437" s="416" t="s">
        <v>3261</v>
      </c>
      <c r="C437" s="270" t="s">
        <v>3260</v>
      </c>
      <c r="D437" s="270" t="s">
        <v>3262</v>
      </c>
      <c r="E437" s="371" t="s">
        <v>1982</v>
      </c>
    </row>
    <row r="438" spans="1:5">
      <c r="A438" s="43">
        <v>441</v>
      </c>
      <c r="B438" s="416" t="s">
        <v>3264</v>
      </c>
      <c r="C438" s="270" t="s">
        <v>3263</v>
      </c>
      <c r="D438" s="270" t="s">
        <v>3265</v>
      </c>
      <c r="E438" s="371" t="s">
        <v>1982</v>
      </c>
    </row>
    <row r="439" spans="1:5">
      <c r="A439" s="43">
        <v>442</v>
      </c>
      <c r="B439" s="416" t="s">
        <v>3267</v>
      </c>
      <c r="C439" s="270" t="s">
        <v>3266</v>
      </c>
      <c r="D439" s="270" t="s">
        <v>3268</v>
      </c>
      <c r="E439" s="371" t="s">
        <v>1982</v>
      </c>
    </row>
    <row r="440" spans="1:5">
      <c r="A440" s="43">
        <v>443</v>
      </c>
      <c r="B440" s="416" t="s">
        <v>3270</v>
      </c>
      <c r="C440" s="270" t="s">
        <v>3269</v>
      </c>
      <c r="D440" s="270" t="s">
        <v>3271</v>
      </c>
      <c r="E440" s="371" t="s">
        <v>1982</v>
      </c>
    </row>
    <row r="441" spans="1:5">
      <c r="A441" s="43">
        <v>444</v>
      </c>
      <c r="B441" s="270" t="s">
        <v>387</v>
      </c>
      <c r="C441" s="270" t="s">
        <v>2324</v>
      </c>
      <c r="D441" s="270" t="s">
        <v>387</v>
      </c>
      <c r="E441" s="371" t="s">
        <v>1982</v>
      </c>
    </row>
    <row r="442" spans="1:5">
      <c r="A442" s="43">
        <v>445</v>
      </c>
      <c r="B442" s="270" t="s">
        <v>257</v>
      </c>
      <c r="C442" s="270" t="s">
        <v>3272</v>
      </c>
      <c r="D442" s="270" t="s">
        <v>1024</v>
      </c>
      <c r="E442" s="371" t="s">
        <v>1982</v>
      </c>
    </row>
    <row r="443" spans="1:5">
      <c r="A443" s="43">
        <v>446</v>
      </c>
      <c r="B443" s="270" t="s">
        <v>3274</v>
      </c>
      <c r="C443" s="270" t="s">
        <v>3273</v>
      </c>
      <c r="D443" s="270" t="s">
        <v>2178</v>
      </c>
      <c r="E443" s="371" t="s">
        <v>1982</v>
      </c>
    </row>
    <row r="444" spans="1:5">
      <c r="A444" s="43">
        <v>447</v>
      </c>
      <c r="B444" s="270" t="s">
        <v>3276</v>
      </c>
      <c r="C444" s="270" t="s">
        <v>3275</v>
      </c>
      <c r="D444" s="270" t="s">
        <v>3277</v>
      </c>
      <c r="E444" s="371" t="s">
        <v>1982</v>
      </c>
    </row>
    <row r="445" spans="1:5">
      <c r="A445" s="43">
        <v>448</v>
      </c>
      <c r="B445" s="270" t="s">
        <v>3279</v>
      </c>
      <c r="C445" s="270" t="s">
        <v>3278</v>
      </c>
      <c r="D445" s="270" t="s">
        <v>3280</v>
      </c>
      <c r="E445" s="371" t="s">
        <v>1982</v>
      </c>
    </row>
    <row r="446" spans="1:5">
      <c r="A446" s="43">
        <v>449</v>
      </c>
      <c r="B446" s="270" t="s">
        <v>3282</v>
      </c>
      <c r="C446" s="270" t="s">
        <v>3281</v>
      </c>
      <c r="D446" s="270" t="s">
        <v>3283</v>
      </c>
      <c r="E446" s="371" t="s">
        <v>1982</v>
      </c>
    </row>
    <row r="447" spans="1:5">
      <c r="A447" s="43">
        <v>450</v>
      </c>
      <c r="B447" s="270" t="s">
        <v>2382</v>
      </c>
      <c r="C447" s="270" t="s">
        <v>2382</v>
      </c>
      <c r="D447" s="270" t="s">
        <v>2383</v>
      </c>
      <c r="E447" s="371" t="s">
        <v>1982</v>
      </c>
    </row>
    <row r="448" spans="1:5">
      <c r="A448" s="43">
        <v>451</v>
      </c>
      <c r="B448" s="270" t="s">
        <v>3285</v>
      </c>
      <c r="C448" s="270" t="s">
        <v>3284</v>
      </c>
      <c r="D448" s="270" t="s">
        <v>3286</v>
      </c>
      <c r="E448" s="371" t="s">
        <v>1982</v>
      </c>
    </row>
    <row r="449" spans="1:5">
      <c r="A449" s="43">
        <v>452</v>
      </c>
      <c r="B449" s="270" t="s">
        <v>3288</v>
      </c>
      <c r="C449" s="270" t="s">
        <v>3287</v>
      </c>
      <c r="D449" s="270" t="s">
        <v>3289</v>
      </c>
      <c r="E449" s="371" t="s">
        <v>2130</v>
      </c>
    </row>
    <row r="450" spans="1:5">
      <c r="A450" s="43">
        <v>453</v>
      </c>
      <c r="B450" s="270" t="s">
        <v>3291</v>
      </c>
      <c r="C450" s="270" t="s">
        <v>3290</v>
      </c>
      <c r="D450" s="270" t="s">
        <v>3292</v>
      </c>
      <c r="E450" s="371" t="s">
        <v>2130</v>
      </c>
    </row>
    <row r="451" spans="1:5" ht="29">
      <c r="A451" s="43">
        <v>454</v>
      </c>
      <c r="B451" s="270" t="s">
        <v>3294</v>
      </c>
      <c r="C451" s="270" t="s">
        <v>3293</v>
      </c>
      <c r="D451" s="270" t="s">
        <v>3295</v>
      </c>
      <c r="E451" s="371" t="s">
        <v>2130</v>
      </c>
    </row>
    <row r="452" spans="1:5">
      <c r="A452" s="43">
        <v>455</v>
      </c>
      <c r="B452" s="270" t="s">
        <v>3297</v>
      </c>
      <c r="C452" s="270" t="s">
        <v>3296</v>
      </c>
      <c r="D452" s="270" t="s">
        <v>3298</v>
      </c>
      <c r="E452" s="371" t="s">
        <v>2130</v>
      </c>
    </row>
    <row r="453" spans="1:5">
      <c r="A453" s="43">
        <v>456</v>
      </c>
      <c r="B453" s="270" t="s">
        <v>3300</v>
      </c>
      <c r="C453" s="270" t="s">
        <v>3299</v>
      </c>
      <c r="D453" s="270" t="s">
        <v>3301</v>
      </c>
      <c r="E453" s="371" t="s">
        <v>2130</v>
      </c>
    </row>
    <row r="454" spans="1:5" ht="29">
      <c r="A454" s="43">
        <v>457</v>
      </c>
      <c r="B454" s="270" t="s">
        <v>3303</v>
      </c>
      <c r="C454" s="270" t="s">
        <v>3302</v>
      </c>
      <c r="D454" s="270" t="s">
        <v>3304</v>
      </c>
      <c r="E454" s="371" t="s">
        <v>2130</v>
      </c>
    </row>
    <row r="455" spans="1:5" ht="29">
      <c r="A455" s="43">
        <v>458</v>
      </c>
      <c r="B455" s="270" t="s">
        <v>3306</v>
      </c>
      <c r="C455" s="270" t="s">
        <v>3305</v>
      </c>
      <c r="D455" s="270" t="s">
        <v>3307</v>
      </c>
      <c r="E455" s="371" t="s">
        <v>2130</v>
      </c>
    </row>
    <row r="456" spans="1:5" ht="29">
      <c r="A456" s="43">
        <v>459</v>
      </c>
      <c r="B456" s="270" t="s">
        <v>3309</v>
      </c>
      <c r="C456" s="270" t="s">
        <v>3308</v>
      </c>
      <c r="D456" s="270" t="s">
        <v>3310</v>
      </c>
      <c r="E456" s="371" t="s">
        <v>2130</v>
      </c>
    </row>
    <row r="457" spans="1:5">
      <c r="A457" s="43">
        <v>460</v>
      </c>
      <c r="B457" s="270" t="s">
        <v>3312</v>
      </c>
      <c r="C457" s="270" t="s">
        <v>3311</v>
      </c>
      <c r="D457" s="270" t="s">
        <v>3313</v>
      </c>
      <c r="E457" s="371" t="s">
        <v>2130</v>
      </c>
    </row>
    <row r="458" spans="1:5" ht="29">
      <c r="A458" s="43">
        <v>461</v>
      </c>
      <c r="B458" s="270" t="s">
        <v>3315</v>
      </c>
      <c r="C458" s="270" t="s">
        <v>3314</v>
      </c>
      <c r="D458" s="270" t="s">
        <v>3316</v>
      </c>
      <c r="E458" s="371" t="s">
        <v>2130</v>
      </c>
    </row>
    <row r="459" spans="1:5">
      <c r="A459" s="43">
        <v>462</v>
      </c>
      <c r="B459" s="270" t="s">
        <v>3318</v>
      </c>
      <c r="C459" s="270" t="s">
        <v>3317</v>
      </c>
      <c r="D459" s="270" t="s">
        <v>3319</v>
      </c>
      <c r="E459" s="371" t="s">
        <v>2130</v>
      </c>
    </row>
    <row r="460" spans="1:5" ht="29">
      <c r="A460" s="43">
        <v>463</v>
      </c>
      <c r="B460" s="270" t="s">
        <v>3321</v>
      </c>
      <c r="C460" s="270" t="s">
        <v>3320</v>
      </c>
      <c r="D460" s="270" t="s">
        <v>3322</v>
      </c>
      <c r="E460" s="371" t="s">
        <v>2130</v>
      </c>
    </row>
    <row r="461" spans="1:5">
      <c r="A461" s="43">
        <v>464</v>
      </c>
      <c r="B461" s="270" t="s">
        <v>3324</v>
      </c>
      <c r="C461" s="270" t="s">
        <v>3323</v>
      </c>
      <c r="D461" s="270" t="s">
        <v>3325</v>
      </c>
      <c r="E461" s="371" t="s">
        <v>2130</v>
      </c>
    </row>
    <row r="462" spans="1:5">
      <c r="A462" s="43">
        <v>465</v>
      </c>
      <c r="B462" s="270" t="s">
        <v>3327</v>
      </c>
      <c r="C462" s="270" t="s">
        <v>3326</v>
      </c>
      <c r="D462" s="270" t="s">
        <v>3328</v>
      </c>
      <c r="E462" s="371" t="s">
        <v>2130</v>
      </c>
    </row>
    <row r="463" spans="1:5">
      <c r="A463" s="43">
        <v>466</v>
      </c>
      <c r="B463" s="270" t="s">
        <v>3330</v>
      </c>
      <c r="C463" s="270" t="s">
        <v>3329</v>
      </c>
      <c r="D463" s="270" t="s">
        <v>3331</v>
      </c>
      <c r="E463" s="371" t="s">
        <v>2130</v>
      </c>
    </row>
    <row r="464" spans="1:5">
      <c r="A464" s="43">
        <v>467</v>
      </c>
      <c r="B464" s="270" t="s">
        <v>3333</v>
      </c>
      <c r="C464" s="270" t="s">
        <v>3332</v>
      </c>
      <c r="D464" s="270" t="s">
        <v>3334</v>
      </c>
      <c r="E464" s="371" t="s">
        <v>2130</v>
      </c>
    </row>
    <row r="465" spans="1:5">
      <c r="A465" s="43">
        <v>468</v>
      </c>
      <c r="B465" s="270" t="s">
        <v>3336</v>
      </c>
      <c r="C465" s="270" t="s">
        <v>3335</v>
      </c>
      <c r="D465" s="270" t="s">
        <v>3337</v>
      </c>
      <c r="E465" s="371" t="s">
        <v>2130</v>
      </c>
    </row>
    <row r="466" spans="1:5">
      <c r="A466" s="43">
        <v>469</v>
      </c>
      <c r="B466" s="270" t="s">
        <v>3339</v>
      </c>
      <c r="C466" s="270" t="s">
        <v>3338</v>
      </c>
      <c r="D466" s="270" t="s">
        <v>3340</v>
      </c>
      <c r="E466" s="371" t="s">
        <v>2130</v>
      </c>
    </row>
    <row r="467" spans="1:5">
      <c r="A467" s="43">
        <v>470</v>
      </c>
      <c r="B467" s="270" t="s">
        <v>3342</v>
      </c>
      <c r="C467" s="270" t="s">
        <v>3341</v>
      </c>
      <c r="D467" s="270" t="s">
        <v>3343</v>
      </c>
      <c r="E467" s="371" t="s">
        <v>2130</v>
      </c>
    </row>
    <row r="468" spans="1:5">
      <c r="A468" s="43">
        <v>471</v>
      </c>
      <c r="B468" s="270" t="s">
        <v>3345</v>
      </c>
      <c r="C468" s="270" t="s">
        <v>3344</v>
      </c>
      <c r="D468" s="270" t="s">
        <v>3346</v>
      </c>
      <c r="E468" s="371" t="s">
        <v>2130</v>
      </c>
    </row>
    <row r="469" spans="1:5">
      <c r="A469" s="270">
        <v>472</v>
      </c>
      <c r="B469" s="270" t="s">
        <v>3297</v>
      </c>
      <c r="C469" s="270" t="s">
        <v>3296</v>
      </c>
      <c r="D469" s="270" t="s">
        <v>3298</v>
      </c>
      <c r="E469" s="371" t="s">
        <v>2130</v>
      </c>
    </row>
    <row r="470" spans="1:5">
      <c r="A470" s="270">
        <v>473</v>
      </c>
      <c r="B470" s="270" t="s">
        <v>3348</v>
      </c>
      <c r="C470" s="270" t="s">
        <v>3347</v>
      </c>
      <c r="D470" s="270" t="s">
        <v>3301</v>
      </c>
      <c r="E470" s="371" t="s">
        <v>2130</v>
      </c>
    </row>
    <row r="471" spans="1:5">
      <c r="A471" s="381">
        <v>474</v>
      </c>
      <c r="B471" s="19" t="s">
        <v>3471</v>
      </c>
      <c r="C471" s="19" t="s">
        <v>3473</v>
      </c>
      <c r="D471" s="19" t="s">
        <v>3472</v>
      </c>
      <c r="E471" s="380" t="s">
        <v>3474</v>
      </c>
    </row>
    <row r="472" spans="1:5" ht="29">
      <c r="A472" s="1">
        <v>475</v>
      </c>
      <c r="B472" s="53" t="s">
        <v>3315</v>
      </c>
      <c r="C472" s="53" t="s">
        <v>3314</v>
      </c>
      <c r="D472" s="53" t="s">
        <v>3316</v>
      </c>
      <c r="E472" s="371" t="s">
        <v>2130</v>
      </c>
    </row>
    <row r="473" spans="1:5">
      <c r="A473" s="27">
        <v>476</v>
      </c>
      <c r="B473" s="27" t="s">
        <v>5802</v>
      </c>
      <c r="C473" s="27" t="s">
        <v>5805</v>
      </c>
      <c r="D473" s="27" t="s">
        <v>5806</v>
      </c>
      <c r="E473" s="396" t="s">
        <v>1982</v>
      </c>
    </row>
    <row r="474" spans="1:5">
      <c r="A474" s="27">
        <v>477</v>
      </c>
      <c r="B474" s="27" t="s">
        <v>5807</v>
      </c>
      <c r="C474" s="27" t="s">
        <v>5808</v>
      </c>
      <c r="D474" s="27" t="s">
        <v>5809</v>
      </c>
      <c r="E474" s="396" t="s">
        <v>1982</v>
      </c>
    </row>
    <row r="475" spans="1:5">
      <c r="A475" s="27">
        <v>478</v>
      </c>
      <c r="B475" s="27" t="s">
        <v>5812</v>
      </c>
      <c r="C475" s="27" t="s">
        <v>5814</v>
      </c>
      <c r="D475" s="27" t="s">
        <v>5815</v>
      </c>
      <c r="E475" s="396" t="s">
        <v>1982</v>
      </c>
    </row>
    <row r="476" spans="1:5">
      <c r="A476" s="27">
        <v>479</v>
      </c>
      <c r="B476" s="27" t="s">
        <v>5820</v>
      </c>
      <c r="C476" s="27" t="s">
        <v>5821</v>
      </c>
      <c r="D476" s="27" t="s">
        <v>5822</v>
      </c>
      <c r="E476" s="401" t="s">
        <v>1982</v>
      </c>
    </row>
    <row r="477" spans="1:5">
      <c r="A477" s="27">
        <v>480</v>
      </c>
      <c r="B477" s="27" t="s">
        <v>5824</v>
      </c>
      <c r="C477" s="27" t="s">
        <v>5828</v>
      </c>
      <c r="D477" s="27" t="s">
        <v>5829</v>
      </c>
      <c r="E477" s="401" t="s">
        <v>1982</v>
      </c>
    </row>
    <row r="478" spans="1:5">
      <c r="A478" s="27">
        <v>481</v>
      </c>
      <c r="B478" s="27" t="s">
        <v>5832</v>
      </c>
      <c r="C478" s="1" t="s">
        <v>5831</v>
      </c>
      <c r="D478" s="27" t="s">
        <v>5830</v>
      </c>
      <c r="E478" s="401" t="s">
        <v>1982</v>
      </c>
    </row>
    <row r="479" spans="1:5">
      <c r="A479" s="403">
        <v>482</v>
      </c>
      <c r="B479" s="19" t="s">
        <v>2058</v>
      </c>
      <c r="C479" s="19" t="s">
        <v>5834</v>
      </c>
      <c r="D479" s="19" t="s">
        <v>5835</v>
      </c>
      <c r="E479" s="404" t="s">
        <v>1982</v>
      </c>
    </row>
    <row r="480" spans="1:5">
      <c r="A480" s="403">
        <v>483</v>
      </c>
      <c r="B480" s="19" t="s">
        <v>5836</v>
      </c>
      <c r="C480" s="19" t="s">
        <v>5837</v>
      </c>
      <c r="D480" s="19" t="s">
        <v>5838</v>
      </c>
      <c r="E480" s="404" t="s">
        <v>5839</v>
      </c>
    </row>
    <row r="481" spans="1:5">
      <c r="A481" s="27">
        <v>484</v>
      </c>
      <c r="B481" s="27" t="s">
        <v>5840</v>
      </c>
      <c r="C481" s="27" t="s">
        <v>5841</v>
      </c>
      <c r="D481" s="27" t="s">
        <v>5842</v>
      </c>
      <c r="E481" s="407" t="s">
        <v>3474</v>
      </c>
    </row>
    <row r="482" spans="1:5" ht="43.5">
      <c r="A482" s="17">
        <v>485</v>
      </c>
      <c r="B482" s="32" t="s">
        <v>5844</v>
      </c>
      <c r="C482" s="32" t="s">
        <v>5846</v>
      </c>
      <c r="D482" s="32" t="s">
        <v>5845</v>
      </c>
      <c r="E482" s="413" t="s">
        <v>5847</v>
      </c>
    </row>
    <row r="483" spans="1:5">
      <c r="A483" s="27">
        <v>486</v>
      </c>
      <c r="B483" s="27" t="s">
        <v>6314</v>
      </c>
      <c r="C483" s="27" t="s">
        <v>5848</v>
      </c>
      <c r="D483" s="27" t="s">
        <v>5849</v>
      </c>
      <c r="E483" s="413" t="s">
        <v>5847</v>
      </c>
    </row>
    <row r="484" spans="1:5">
      <c r="A484" s="27">
        <v>487</v>
      </c>
      <c r="B484" s="27" t="s">
        <v>3240</v>
      </c>
      <c r="C484" s="27" t="s">
        <v>5853</v>
      </c>
      <c r="D484" s="27" t="s">
        <v>5857</v>
      </c>
      <c r="E484" s="413" t="s">
        <v>5847</v>
      </c>
    </row>
    <row r="485" spans="1:5">
      <c r="A485" s="27">
        <v>488</v>
      </c>
      <c r="B485" s="27" t="s">
        <v>5852</v>
      </c>
      <c r="C485" s="27" t="s">
        <v>5854</v>
      </c>
      <c r="D485" s="27" t="s">
        <v>5859</v>
      </c>
      <c r="E485" s="413" t="s">
        <v>5847</v>
      </c>
    </row>
    <row r="486" spans="1:5">
      <c r="A486" s="27">
        <v>489</v>
      </c>
      <c r="B486" s="27" t="s">
        <v>5850</v>
      </c>
      <c r="C486" s="27" t="s">
        <v>5855</v>
      </c>
      <c r="D486" s="27" t="s">
        <v>5858</v>
      </c>
      <c r="E486" s="413" t="s">
        <v>5847</v>
      </c>
    </row>
    <row r="487" spans="1:5">
      <c r="A487" s="27">
        <v>490</v>
      </c>
      <c r="B487" s="27" t="s">
        <v>5851</v>
      </c>
      <c r="C487" s="27" t="s">
        <v>5856</v>
      </c>
      <c r="D487" s="27" t="s">
        <v>5860</v>
      </c>
      <c r="E487" s="413" t="s">
        <v>5847</v>
      </c>
    </row>
    <row r="488" spans="1:5">
      <c r="A488" s="27">
        <v>491</v>
      </c>
      <c r="B488" s="27" t="s">
        <v>2798</v>
      </c>
      <c r="C488" s="27" t="s">
        <v>5861</v>
      </c>
      <c r="D488" s="27" t="s">
        <v>5862</v>
      </c>
      <c r="E488" s="415" t="s">
        <v>5863</v>
      </c>
    </row>
    <row r="489" spans="1:5">
      <c r="A489" s="27">
        <v>492</v>
      </c>
      <c r="B489" s="27" t="s">
        <v>3184</v>
      </c>
      <c r="C489" s="27"/>
      <c r="D489" s="27"/>
      <c r="E489" s="1"/>
    </row>
    <row r="490" spans="1:5">
      <c r="A490" s="27">
        <v>493</v>
      </c>
      <c r="B490" s="27" t="s">
        <v>5869</v>
      </c>
      <c r="C490" s="27" t="s">
        <v>5870</v>
      </c>
      <c r="D490" s="27" t="s">
        <v>5871</v>
      </c>
      <c r="E490" s="425" t="s">
        <v>3474</v>
      </c>
    </row>
    <row r="491" spans="1:5">
      <c r="A491" s="27">
        <v>494</v>
      </c>
      <c r="B491" s="27" t="s">
        <v>5919</v>
      </c>
      <c r="C491" s="27" t="s">
        <v>5917</v>
      </c>
      <c r="D491" s="27" t="s">
        <v>5918</v>
      </c>
      <c r="E491" s="425" t="s">
        <v>3474</v>
      </c>
    </row>
    <row r="492" spans="1:5">
      <c r="A492" s="27">
        <v>495</v>
      </c>
      <c r="B492" s="27" t="s">
        <v>5972</v>
      </c>
      <c r="C492" s="27" t="s">
        <v>5976</v>
      </c>
      <c r="D492" s="27" t="s">
        <v>5981</v>
      </c>
      <c r="E492" s="425" t="s">
        <v>3474</v>
      </c>
    </row>
    <row r="493" spans="1:5">
      <c r="A493" s="27">
        <v>496</v>
      </c>
      <c r="B493" s="27" t="s">
        <v>5973</v>
      </c>
      <c r="C493" s="27" t="s">
        <v>5977</v>
      </c>
      <c r="D493" s="27" t="s">
        <v>5982</v>
      </c>
      <c r="E493" s="425" t="s">
        <v>3474</v>
      </c>
    </row>
    <row r="494" spans="1:5">
      <c r="A494" s="27">
        <v>497</v>
      </c>
      <c r="B494" s="27" t="s">
        <v>5971</v>
      </c>
      <c r="C494" s="27" t="s">
        <v>5978</v>
      </c>
      <c r="D494" s="27" t="s">
        <v>5983</v>
      </c>
      <c r="E494" s="425" t="s">
        <v>3474</v>
      </c>
    </row>
    <row r="495" spans="1:5">
      <c r="A495" s="27">
        <v>498</v>
      </c>
      <c r="B495" s="27" t="s">
        <v>5974</v>
      </c>
      <c r="C495" s="27" t="s">
        <v>5979</v>
      </c>
      <c r="D495" s="27" t="s">
        <v>5984</v>
      </c>
      <c r="E495" s="425" t="s">
        <v>3474</v>
      </c>
    </row>
    <row r="496" spans="1:5">
      <c r="A496" s="27">
        <v>499</v>
      </c>
      <c r="B496" s="27" t="s">
        <v>5975</v>
      </c>
      <c r="C496" s="27" t="s">
        <v>5980</v>
      </c>
      <c r="D496" s="27" t="s">
        <v>5985</v>
      </c>
      <c r="E496" s="425" t="s">
        <v>3474</v>
      </c>
    </row>
    <row r="497" spans="1:5 16384:16384">
      <c r="A497" s="27">
        <v>500</v>
      </c>
      <c r="B497" s="27" t="s">
        <v>5986</v>
      </c>
      <c r="C497" s="27"/>
      <c r="D497" s="27"/>
      <c r="E497" s="425" t="s">
        <v>3474</v>
      </c>
    </row>
    <row r="498" spans="1:5 16384:16384">
      <c r="A498" s="27">
        <v>501</v>
      </c>
      <c r="B498" s="27" t="s">
        <v>5987</v>
      </c>
      <c r="C498" s="27" t="s">
        <v>5989</v>
      </c>
      <c r="D498" s="27" t="s">
        <v>5991</v>
      </c>
      <c r="E498" s="425" t="s">
        <v>3474</v>
      </c>
    </row>
    <row r="499" spans="1:5 16384:16384">
      <c r="A499" s="27">
        <v>502</v>
      </c>
      <c r="B499" s="27" t="s">
        <v>5988</v>
      </c>
      <c r="C499" s="27" t="s">
        <v>5990</v>
      </c>
      <c r="D499" s="27" t="s">
        <v>5992</v>
      </c>
      <c r="E499" s="425" t="s">
        <v>3474</v>
      </c>
    </row>
    <row r="500" spans="1:5 16384:16384">
      <c r="A500" s="27">
        <v>503</v>
      </c>
      <c r="B500" s="27" t="s">
        <v>6030</v>
      </c>
      <c r="C500" s="27" t="s">
        <v>6031</v>
      </c>
      <c r="D500" s="27" t="s">
        <v>6032</v>
      </c>
      <c r="E500" s="505" t="s">
        <v>6033</v>
      </c>
    </row>
    <row r="501" spans="1:5 16384:16384">
      <c r="A501" s="27">
        <v>504</v>
      </c>
      <c r="B501" s="27" t="s">
        <v>6034</v>
      </c>
      <c r="C501" s="27" t="s">
        <v>6035</v>
      </c>
      <c r="D501" s="27" t="s">
        <v>6036</v>
      </c>
      <c r="E501" s="505" t="s">
        <v>6033</v>
      </c>
    </row>
    <row r="502" spans="1:5 16384:16384">
      <c r="A502" s="27">
        <v>505</v>
      </c>
      <c r="B502" s="27" t="s">
        <v>6315</v>
      </c>
      <c r="C502" s="27" t="s">
        <v>6316</v>
      </c>
      <c r="D502" s="27" t="s">
        <v>6317</v>
      </c>
      <c r="E502" s="505" t="s">
        <v>6033</v>
      </c>
    </row>
    <row r="503" spans="1:5 16384:16384">
      <c r="A503" s="27">
        <v>506</v>
      </c>
      <c r="B503" s="27" t="s">
        <v>6037</v>
      </c>
      <c r="C503" s="27" t="s">
        <v>6038</v>
      </c>
      <c r="D503" s="27" t="s">
        <v>6039</v>
      </c>
      <c r="E503" s="505" t="s">
        <v>6033</v>
      </c>
    </row>
    <row r="504" spans="1:5 16384:16384">
      <c r="A504" s="27">
        <v>507</v>
      </c>
      <c r="B504" s="27" t="s">
        <v>6270</v>
      </c>
      <c r="C504" s="27" t="s">
        <v>3228</v>
      </c>
      <c r="D504" s="27" t="s">
        <v>5868</v>
      </c>
      <c r="E504" s="506" t="s">
        <v>5839</v>
      </c>
    </row>
    <row r="505" spans="1:5 16384:16384">
      <c r="A505" s="27">
        <v>508</v>
      </c>
      <c r="B505" s="27" t="s">
        <v>6271</v>
      </c>
      <c r="C505" s="27" t="s">
        <v>3228</v>
      </c>
      <c r="D505" s="27" t="s">
        <v>5868</v>
      </c>
      <c r="E505" s="506" t="s">
        <v>5839</v>
      </c>
    </row>
    <row r="506" spans="1:5 16384:16384">
      <c r="A506" s="27">
        <v>509</v>
      </c>
      <c r="B506" s="27" t="s">
        <v>5889</v>
      </c>
      <c r="C506" s="27" t="s">
        <v>6272</v>
      </c>
      <c r="D506" s="27" t="s">
        <v>6273</v>
      </c>
      <c r="E506" s="506" t="s">
        <v>5839</v>
      </c>
    </row>
    <row r="507" spans="1:5 16384:16384">
      <c r="A507" s="27">
        <v>510</v>
      </c>
      <c r="B507" s="27" t="s">
        <v>6276</v>
      </c>
      <c r="C507" s="27" t="s">
        <v>6277</v>
      </c>
      <c r="D507" s="27" t="s">
        <v>6278</v>
      </c>
      <c r="E507" s="506" t="s">
        <v>3474</v>
      </c>
    </row>
    <row r="508" spans="1:5 16384:16384">
      <c r="A508" s="27">
        <v>511</v>
      </c>
      <c r="B508" s="27" t="s">
        <v>6275</v>
      </c>
      <c r="C508" s="27" t="s">
        <v>6275</v>
      </c>
      <c r="D508" s="27" t="s">
        <v>6275</v>
      </c>
      <c r="E508" s="506" t="s">
        <v>3474</v>
      </c>
      <c r="XFD508" s="19" t="s">
        <v>6275</v>
      </c>
    </row>
    <row r="509" spans="1:5 16384:16384">
      <c r="A509" s="27">
        <v>512</v>
      </c>
      <c r="B509" s="27" t="s">
        <v>6280</v>
      </c>
      <c r="C509" s="27" t="s">
        <v>6279</v>
      </c>
      <c r="D509" s="27" t="s">
        <v>6281</v>
      </c>
      <c r="E509" s="506" t="s">
        <v>3474</v>
      </c>
    </row>
    <row r="510" spans="1:5 16384:16384">
      <c r="A510" s="27">
        <v>513</v>
      </c>
      <c r="B510" s="27" t="s">
        <v>6282</v>
      </c>
      <c r="C510" s="27" t="s">
        <v>6283</v>
      </c>
      <c r="D510" s="27" t="s">
        <v>6284</v>
      </c>
      <c r="E510" s="506" t="s">
        <v>3474</v>
      </c>
    </row>
    <row r="511" spans="1:5 16384:16384">
      <c r="A511" s="27">
        <v>514</v>
      </c>
      <c r="B511" s="27" t="s">
        <v>6285</v>
      </c>
      <c r="C511" s="27" t="s">
        <v>6286</v>
      </c>
      <c r="D511" s="27" t="s">
        <v>6287</v>
      </c>
      <c r="E511" s="506" t="s">
        <v>3474</v>
      </c>
    </row>
    <row r="512" spans="1:5 16384:16384">
      <c r="A512" s="27">
        <v>515</v>
      </c>
      <c r="B512" s="27" t="s">
        <v>6288</v>
      </c>
      <c r="C512" s="27" t="s">
        <v>6290</v>
      </c>
      <c r="D512" s="27" t="s">
        <v>6289</v>
      </c>
      <c r="E512" s="506" t="s">
        <v>3474</v>
      </c>
    </row>
    <row r="513" spans="1:5">
      <c r="A513" s="27">
        <v>516</v>
      </c>
      <c r="B513" s="27" t="s">
        <v>8173</v>
      </c>
      <c r="C513" s="27" t="s">
        <v>6291</v>
      </c>
      <c r="D513" s="27" t="s">
        <v>6292</v>
      </c>
      <c r="E513" s="506" t="s">
        <v>3474</v>
      </c>
    </row>
    <row r="514" spans="1:5">
      <c r="A514" s="27">
        <v>517</v>
      </c>
      <c r="B514" s="27" t="s">
        <v>6297</v>
      </c>
      <c r="C514" s="27" t="s">
        <v>6298</v>
      </c>
      <c r="D514" s="27" t="s">
        <v>6299</v>
      </c>
      <c r="E514" s="506" t="s">
        <v>6300</v>
      </c>
    </row>
    <row r="515" spans="1:5" ht="58">
      <c r="A515" s="27">
        <v>518</v>
      </c>
      <c r="B515" s="53" t="s">
        <v>6306</v>
      </c>
      <c r="C515" s="27" t="s">
        <v>6307</v>
      </c>
      <c r="D515" s="27" t="s">
        <v>6308</v>
      </c>
      <c r="E515" s="506" t="s">
        <v>2856</v>
      </c>
    </row>
    <row r="516" spans="1:5">
      <c r="A516" s="27">
        <v>519</v>
      </c>
      <c r="B516" s="27" t="s">
        <v>6310</v>
      </c>
      <c r="C516" s="27" t="s">
        <v>6311</v>
      </c>
      <c r="D516" s="27" t="s">
        <v>6312</v>
      </c>
      <c r="E516" s="506" t="s">
        <v>2856</v>
      </c>
    </row>
    <row r="517" spans="1:5">
      <c r="A517" s="27">
        <v>520</v>
      </c>
      <c r="B517" s="27" t="s">
        <v>6002</v>
      </c>
      <c r="C517" s="27" t="s">
        <v>3228</v>
      </c>
      <c r="D517" s="27" t="s">
        <v>5868</v>
      </c>
      <c r="E517" s="523" t="s">
        <v>5863</v>
      </c>
    </row>
    <row r="518" spans="1:5">
      <c r="A518" s="27">
        <v>524</v>
      </c>
      <c r="B518" s="27" t="s">
        <v>6004</v>
      </c>
      <c r="C518" s="27" t="s">
        <v>3228</v>
      </c>
      <c r="D518" s="27" t="s">
        <v>5868</v>
      </c>
      <c r="E518" s="523" t="s">
        <v>5863</v>
      </c>
    </row>
    <row r="519" spans="1:5">
      <c r="A519" s="27">
        <v>528</v>
      </c>
      <c r="B519" s="27" t="s">
        <v>6005</v>
      </c>
      <c r="C519" s="27" t="s">
        <v>3228</v>
      </c>
      <c r="D519" s="27" t="s">
        <v>5868</v>
      </c>
      <c r="E519" s="523" t="s">
        <v>5863</v>
      </c>
    </row>
    <row r="520" spans="1:5">
      <c r="A520" s="27">
        <v>532</v>
      </c>
      <c r="B520" s="27" t="s">
        <v>6007</v>
      </c>
      <c r="C520" s="27" t="s">
        <v>3228</v>
      </c>
      <c r="D520" s="27" t="s">
        <v>5868</v>
      </c>
      <c r="E520" s="523" t="s">
        <v>5863</v>
      </c>
    </row>
    <row r="521" spans="1:5">
      <c r="A521" s="27">
        <v>534</v>
      </c>
      <c r="B521" s="27" t="s">
        <v>6236</v>
      </c>
      <c r="C521" s="27" t="s">
        <v>3228</v>
      </c>
      <c r="D521" s="27" t="s">
        <v>5868</v>
      </c>
      <c r="E521" s="523" t="s">
        <v>5863</v>
      </c>
    </row>
    <row r="522" spans="1:5">
      <c r="A522" s="27">
        <v>535</v>
      </c>
      <c r="B522" s="27" t="s">
        <v>6008</v>
      </c>
      <c r="C522" s="27" t="s">
        <v>3228</v>
      </c>
      <c r="D522" s="27" t="s">
        <v>5868</v>
      </c>
      <c r="E522" s="523" t="s">
        <v>5863</v>
      </c>
    </row>
    <row r="523" spans="1:5">
      <c r="A523" s="27">
        <v>536</v>
      </c>
      <c r="B523" s="27" t="s">
        <v>6235</v>
      </c>
      <c r="C523" s="27" t="s">
        <v>3228</v>
      </c>
      <c r="D523" s="27" t="s">
        <v>5868</v>
      </c>
      <c r="E523" s="523" t="s">
        <v>5863</v>
      </c>
    </row>
    <row r="524" spans="1:5">
      <c r="A524" s="27">
        <v>537</v>
      </c>
      <c r="B524" s="27" t="s">
        <v>6251</v>
      </c>
      <c r="C524" s="27" t="s">
        <v>3228</v>
      </c>
      <c r="D524" s="27" t="s">
        <v>5868</v>
      </c>
      <c r="E524" s="523" t="s">
        <v>5863</v>
      </c>
    </row>
    <row r="525" spans="1:5">
      <c r="A525" s="27">
        <v>538</v>
      </c>
      <c r="B525" s="27" t="s">
        <v>6252</v>
      </c>
      <c r="C525" s="27" t="s">
        <v>3228</v>
      </c>
      <c r="D525" s="27" t="s">
        <v>5868</v>
      </c>
      <c r="E525" s="523" t="s">
        <v>5863</v>
      </c>
    </row>
    <row r="526" spans="1:5">
      <c r="A526" s="27">
        <v>539</v>
      </c>
      <c r="B526" s="27" t="s">
        <v>6253</v>
      </c>
      <c r="C526" s="27" t="s">
        <v>3228</v>
      </c>
      <c r="D526" s="27" t="s">
        <v>5868</v>
      </c>
      <c r="E526" s="523" t="s">
        <v>5863</v>
      </c>
    </row>
    <row r="527" spans="1:5">
      <c r="A527" s="27">
        <v>540</v>
      </c>
      <c r="B527" s="27" t="s">
        <v>6293</v>
      </c>
      <c r="C527" s="27" t="s">
        <v>3228</v>
      </c>
      <c r="D527" s="27" t="s">
        <v>5868</v>
      </c>
      <c r="E527" s="523" t="s">
        <v>5863</v>
      </c>
    </row>
    <row r="528" spans="1:5">
      <c r="A528" s="27">
        <v>542</v>
      </c>
      <c r="B528" s="27" t="s">
        <v>6294</v>
      </c>
      <c r="C528" s="27" t="s">
        <v>3228</v>
      </c>
      <c r="D528" s="27" t="s">
        <v>5868</v>
      </c>
      <c r="E528" s="523" t="s">
        <v>5863</v>
      </c>
    </row>
    <row r="529" spans="1:5">
      <c r="A529" s="27">
        <v>543</v>
      </c>
      <c r="B529" s="27" t="s">
        <v>6295</v>
      </c>
      <c r="C529" s="27" t="s">
        <v>3228</v>
      </c>
      <c r="D529" s="27" t="s">
        <v>5868</v>
      </c>
      <c r="E529" s="523" t="s">
        <v>5863</v>
      </c>
    </row>
    <row r="530" spans="1:5">
      <c r="A530" s="27">
        <v>544</v>
      </c>
      <c r="B530" s="27" t="s">
        <v>6296</v>
      </c>
      <c r="C530" s="27" t="s">
        <v>3228</v>
      </c>
      <c r="D530" s="27" t="s">
        <v>5868</v>
      </c>
      <c r="E530" s="523" t="s">
        <v>5863</v>
      </c>
    </row>
    <row r="531" spans="1:5">
      <c r="A531" s="27">
        <v>545</v>
      </c>
      <c r="B531" s="27" t="s">
        <v>5996</v>
      </c>
      <c r="C531" s="27" t="s">
        <v>6351</v>
      </c>
      <c r="D531" s="27" t="s">
        <v>6352</v>
      </c>
      <c r="E531" s="523" t="s">
        <v>5863</v>
      </c>
    </row>
    <row r="532" spans="1:5">
      <c r="A532" s="27">
        <v>546</v>
      </c>
      <c r="B532" s="27" t="s">
        <v>8169</v>
      </c>
      <c r="C532" s="27" t="s">
        <v>8170</v>
      </c>
      <c r="D532" s="27" t="s">
        <v>8171</v>
      </c>
      <c r="E532" s="523" t="s">
        <v>6033</v>
      </c>
    </row>
    <row r="533" spans="1:5">
      <c r="A533" s="27">
        <v>547</v>
      </c>
      <c r="B533" s="27" t="s">
        <v>8174</v>
      </c>
      <c r="C533" s="27" t="s">
        <v>8176</v>
      </c>
      <c r="D533" s="27" t="s">
        <v>8175</v>
      </c>
      <c r="E533" s="548" t="s">
        <v>3474</v>
      </c>
    </row>
  </sheetData>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29"/>
  <sheetViews>
    <sheetView showGridLines="0" zoomScale="80" zoomScaleNormal="80" workbookViewId="0">
      <selection activeCell="S3" sqref="S3"/>
    </sheetView>
  </sheetViews>
  <sheetFormatPr defaultColWidth="9.1796875" defaultRowHeight="14.5"/>
  <cols>
    <col min="1" max="1" width="4.26953125" style="198" customWidth="1"/>
    <col min="2" max="2" width="6.453125" customWidth="1"/>
    <col min="3" max="3" width="9" customWidth="1"/>
    <col min="7" max="7" width="6.26953125" customWidth="1"/>
    <col min="8" max="8" width="1.26953125" customWidth="1"/>
    <col min="12" max="12" width="19.7265625" customWidth="1"/>
    <col min="13" max="13" width="29.26953125" customWidth="1"/>
    <col min="14" max="14" width="1.1796875" customWidth="1"/>
    <col min="15" max="15" width="38.453125" customWidth="1"/>
    <col min="16" max="16" width="29" customWidth="1"/>
    <col min="17" max="17" width="32.7265625" customWidth="1"/>
  </cols>
  <sheetData>
    <row r="1" spans="1:17" ht="55.15" customHeight="1">
      <c r="A1" s="198">
        <v>2</v>
      </c>
      <c r="B1" s="552" t="str">
        <f>HLOOKUP('General Information'!$C$6,'IDIOMA (hide)'!$A$1:$D$5016,A1,0)</f>
        <v>LTEP - Levantamento Técnico de Estimativa de Projeto TASY EMR
Código do documento: 0060 - Rev 024</v>
      </c>
      <c r="C1" s="552"/>
      <c r="D1" s="552"/>
      <c r="E1" s="552"/>
      <c r="F1" s="552"/>
      <c r="G1" s="552"/>
      <c r="H1" s="552"/>
      <c r="I1" s="552"/>
      <c r="J1" s="552"/>
      <c r="K1" s="552"/>
      <c r="L1" s="552"/>
      <c r="M1" s="552"/>
      <c r="N1" s="552"/>
      <c r="O1" s="552"/>
      <c r="P1" s="552"/>
      <c r="Q1" s="552"/>
    </row>
    <row r="2" spans="1:17" ht="21.5" thickBot="1">
      <c r="A2" s="198">
        <v>353</v>
      </c>
      <c r="B2" s="593" t="str">
        <f>HLOOKUP('General Information'!$C$6,'IDIOMA (hide)'!$A$1:$D$5016,A2,0)</f>
        <v>TWS - Tasy Web Suite</v>
      </c>
      <c r="C2" s="593"/>
      <c r="D2" s="593"/>
      <c r="E2" s="593"/>
      <c r="F2" s="593"/>
      <c r="G2" s="593"/>
      <c r="H2" s="593"/>
      <c r="I2" s="593"/>
      <c r="J2" s="593"/>
      <c r="K2" s="593"/>
      <c r="L2" s="593"/>
      <c r="M2" s="593"/>
      <c r="N2" s="593"/>
      <c r="O2" s="593"/>
      <c r="P2" s="593"/>
      <c r="Q2" s="593"/>
    </row>
    <row r="3" spans="1:17" ht="13.15" customHeight="1">
      <c r="B3" s="321"/>
      <c r="C3" s="321"/>
    </row>
    <row r="5" spans="1:17">
      <c r="A5" s="198">
        <v>353</v>
      </c>
      <c r="B5" s="668" t="str">
        <f>HLOOKUP('General Information'!$C$6,'IDIOMA (hide)'!$A$1:$D$5016,A5,0)</f>
        <v>TWS - Tasy Web Suite</v>
      </c>
      <c r="C5" s="668"/>
      <c r="D5" s="668"/>
      <c r="E5" s="668"/>
      <c r="F5" s="668"/>
      <c r="G5" s="668"/>
      <c r="H5" s="668"/>
      <c r="I5" s="668"/>
      <c r="J5" s="668"/>
      <c r="K5" s="668"/>
      <c r="L5" s="668"/>
      <c r="M5" s="668"/>
      <c r="N5" s="668"/>
      <c r="O5" s="668"/>
      <c r="P5" s="668"/>
      <c r="Q5" s="668"/>
    </row>
    <row r="6" spans="1:17" s="198" customFormat="1">
      <c r="B6" s="306">
        <v>365</v>
      </c>
      <c r="C6" s="306"/>
      <c r="D6" s="306"/>
      <c r="E6" s="306"/>
      <c r="F6" s="306"/>
      <c r="G6" s="306"/>
      <c r="H6" s="306"/>
      <c r="I6" s="306">
        <v>366</v>
      </c>
      <c r="J6" s="306"/>
      <c r="K6" s="306"/>
      <c r="L6" s="306"/>
      <c r="M6" s="306"/>
      <c r="N6" s="306"/>
      <c r="O6" s="306">
        <v>367</v>
      </c>
      <c r="P6" s="306"/>
      <c r="Q6" s="306"/>
    </row>
    <row r="7" spans="1:17">
      <c r="A7" s="198">
        <v>368</v>
      </c>
      <c r="B7" s="296"/>
      <c r="C7" s="670" t="str">
        <f>HLOOKUP('General Information'!$C$6,'IDIOMA (hide)'!$A$1:$D$5016,B6,0)</f>
        <v>Requisitos</v>
      </c>
      <c r="D7" s="670"/>
      <c r="E7" s="670"/>
      <c r="F7" s="670"/>
      <c r="G7" s="670"/>
      <c r="H7" s="297"/>
      <c r="I7" s="670" t="str">
        <f>HLOOKUP('General Information'!$C$6,'IDIOMA (hide)'!$A$1:$D$5016,I6,0)</f>
        <v>Funções</v>
      </c>
      <c r="J7" s="670"/>
      <c r="K7" s="670"/>
      <c r="L7" s="670"/>
      <c r="M7" s="670"/>
      <c r="N7" s="297"/>
      <c r="O7" s="670" t="str">
        <f>HLOOKUP('General Information'!$C$6,'IDIOMA (hide)'!$A$1:$D$5016,O6,0)</f>
        <v>Suporta o TWS?</v>
      </c>
      <c r="P7" s="670"/>
      <c r="Q7" s="670"/>
    </row>
    <row r="8" spans="1:17" ht="78" customHeight="1">
      <c r="A8" s="198">
        <v>372</v>
      </c>
      <c r="B8" s="669" t="str">
        <f>HLOOKUP('General Information'!$C$6,'IDIOMA (hide)'!$A$1:$D$5016,A7,0)</f>
        <v>Pré-Requisitos Técnicos</v>
      </c>
      <c r="C8" s="662" t="str">
        <f>HLOOKUP('General Information'!$C$6,'IDIOMA (hide)'!$A$1:$D$5016,A8,0)</f>
        <v>Funções Básicas</v>
      </c>
      <c r="D8" s="662"/>
      <c r="E8" s="662"/>
      <c r="F8" s="662"/>
      <c r="G8" s="662"/>
      <c r="H8" s="298">
        <v>383</v>
      </c>
      <c r="I8" s="651" t="str">
        <f>HLOOKUP('General Information'!$C$6,'IDIOMA (hide)'!$A$1:$D$5016,H8,0)</f>
        <v>01) Administração do Sistema (Java / HTML5);
02) Cadastro Completo de Pessoas (Java / HTML5);
03) Cadastro Simplificado de Pessoas (Provisóriamente apenas HTML5);
04) Administraçãodo Web Suite (HTML5)</v>
      </c>
      <c r="J8" s="651"/>
      <c r="K8" s="651"/>
      <c r="L8" s="651"/>
      <c r="M8" s="651"/>
      <c r="N8" s="299">
        <v>400</v>
      </c>
      <c r="O8" s="653" t="str">
        <f>HLOOKUP('General Information'!$C$6,'IDIOMA (hide)'!$A$1:$D$5016,N8,0)</f>
        <v>SIM</v>
      </c>
      <c r="P8" s="653"/>
      <c r="Q8" s="653"/>
    </row>
    <row r="9" spans="1:17" ht="78" customHeight="1">
      <c r="A9" s="198">
        <v>373</v>
      </c>
      <c r="B9" s="669"/>
      <c r="C9" s="662" t="str">
        <f>HLOOKUP('General Information'!$C$6,'IDIOMA (hide)'!$A$1:$D$5016,A9,0)</f>
        <v>Infraestrutura</v>
      </c>
      <c r="D9" s="662"/>
      <c r="E9" s="662"/>
      <c r="F9" s="662"/>
      <c r="G9" s="662"/>
      <c r="H9" s="298">
        <v>384</v>
      </c>
      <c r="I9" s="651" t="str">
        <f>HLOOKUP('General Information'!$C$6,'IDIOMA (hide)'!$A$1:$D$5016,H9,0)</f>
        <v>01) Servidor de aplicação: Oracle Weblogic Application Server versão 12.1.2.0, Tomcat 7 ou superior;
02) Java 8;
03) Banco de Dados Oracle 11C ou Higher</v>
      </c>
      <c r="J9" s="652"/>
      <c r="K9" s="652"/>
      <c r="L9" s="652"/>
      <c r="M9" s="652"/>
      <c r="N9" s="7"/>
      <c r="O9" s="653" t="str">
        <f>HLOOKUP('General Information'!$C$6,'IDIOMA (hide)'!$A$1:$D$5016,N8,0)</f>
        <v>SIM</v>
      </c>
      <c r="P9" s="653"/>
      <c r="Q9" s="653"/>
    </row>
    <row r="10" spans="1:17" ht="7.9" customHeight="1">
      <c r="A10" s="198">
        <v>369</v>
      </c>
      <c r="B10" s="300"/>
      <c r="C10" s="298"/>
      <c r="D10" s="298"/>
      <c r="E10" s="298"/>
      <c r="F10" s="298"/>
      <c r="G10" s="298"/>
      <c r="H10" s="298"/>
      <c r="I10" s="7"/>
      <c r="J10" s="7"/>
      <c r="K10" s="7"/>
      <c r="L10" s="7"/>
      <c r="M10" s="7"/>
      <c r="N10" s="7"/>
      <c r="O10" s="7"/>
      <c r="P10" s="7"/>
      <c r="Q10" s="7"/>
    </row>
    <row r="11" spans="1:17" ht="82.15" customHeight="1">
      <c r="A11" s="198">
        <v>374</v>
      </c>
      <c r="B11" s="669" t="str">
        <f>HLOOKUP('General Information'!$C$6,'IDIOMA (hide)'!$A$1:$D$5016,A10,0)</f>
        <v>Pré-Requisitos Comerciais</v>
      </c>
      <c r="C11" s="663" t="str">
        <f>HLOOKUP('General Information'!$C$6,'IDIOMA (hide)'!$A$1:$D$5016,A11,0)</f>
        <v>Contrato com licença descrito na Politica Comercial</v>
      </c>
      <c r="D11" s="663"/>
      <c r="E11" s="663"/>
      <c r="F11" s="663"/>
      <c r="G11" s="663"/>
      <c r="H11" s="299">
        <v>385</v>
      </c>
      <c r="I11" s="664" t="str">
        <f>HLOOKUP('General Information'!$C$6,'IDIOMA (hide)'!$A$1:$D$5016,H11,0)</f>
        <v xml:space="preserve">Observação: Atualmente na Política Comercial observamos 3 valores distintos de licenças, direcionados a diferentes tamanhos de instituições, para aplicação do produto. </v>
      </c>
      <c r="J11" s="665"/>
      <c r="K11" s="665"/>
      <c r="L11" s="665"/>
      <c r="M11" s="665"/>
      <c r="N11" s="7"/>
      <c r="O11" s="653" t="str">
        <f>HLOOKUP('General Information'!$C$6,'IDIOMA (hide)'!$A$1:$D$5016,N8,0)</f>
        <v>SIM</v>
      </c>
      <c r="P11" s="653"/>
      <c r="Q11" s="653"/>
    </row>
    <row r="12" spans="1:17" ht="82.15" customHeight="1">
      <c r="A12" s="198">
        <v>375</v>
      </c>
      <c r="B12" s="669"/>
      <c r="C12" s="662" t="str">
        <f>HLOOKUP('General Information'!$C$6,'IDIOMA (hide)'!$A$1:$D$5016,A12,0)</f>
        <v>Clientes Cloud</v>
      </c>
      <c r="D12" s="662"/>
      <c r="E12" s="662"/>
      <c r="F12" s="662"/>
      <c r="G12" s="662"/>
      <c r="H12" s="298">
        <v>386</v>
      </c>
      <c r="I12" s="651" t="str">
        <f>HLOOKUP('General Information'!$C$6,'IDIOMA (hide)'!$A$1:$D$5016,H12,0)</f>
        <v>A Politica Comercial cita: "Disponível mediante pagamento adicional (Necessário mais recursos do cloud) e avaliação prévia pela Philips</v>
      </c>
      <c r="J12" s="651"/>
      <c r="K12" s="651"/>
      <c r="L12" s="651"/>
      <c r="M12" s="651"/>
      <c r="N12" s="7"/>
      <c r="O12" s="662" t="s">
        <v>3059</v>
      </c>
      <c r="P12" s="662"/>
      <c r="Q12" s="662"/>
    </row>
    <row r="13" spans="1:17" ht="6" customHeight="1">
      <c r="A13" s="198">
        <v>370</v>
      </c>
    </row>
    <row r="14" spans="1:17" ht="90" customHeight="1">
      <c r="A14" s="198">
        <v>376</v>
      </c>
      <c r="B14" s="667" t="str">
        <f>HLOOKUP('General Information'!$C$6,'IDIOMA (hide)'!$A$1:$D$5016,A13,0)</f>
        <v>Agendamentos</v>
      </c>
      <c r="C14" s="662" t="str">
        <f>HLOOKUP('General Information'!$C$6,'IDIOMA (hide)'!$A$1:$D$5016,A14,0)</f>
        <v>Vizualização de Agendamentos do Paciente</v>
      </c>
      <c r="D14" s="662"/>
      <c r="E14" s="662"/>
      <c r="F14" s="662"/>
      <c r="G14" s="662"/>
      <c r="H14" s="301">
        <v>387</v>
      </c>
      <c r="I14" s="651" t="str">
        <f>HLOOKUP('General Information'!$C$6,'IDIOMA (hide)'!$A$1:$D$5016,H14,0)</f>
        <v>01) Agenda Integrada (Java / HTML5);
02) Agenda de Consulta (Java / HTML5);
03) Agenda de Exames (Java / HTML5);
04) Gestão da Agenda Cirúrgica (Java / HTML5);
05) Agenda de Quimioterapia (Java / HTML5);</v>
      </c>
      <c r="J14" s="652"/>
      <c r="K14" s="652"/>
      <c r="L14" s="652"/>
      <c r="M14" s="652"/>
      <c r="N14" s="301"/>
      <c r="O14" s="653" t="str">
        <f>HLOOKUP('General Information'!$C$6,'IDIOMA (hide)'!$A$1:$D$5016,N8,0)</f>
        <v>SIM</v>
      </c>
      <c r="P14" s="653"/>
      <c r="Q14" s="653"/>
    </row>
    <row r="15" spans="1:17" ht="90" customHeight="1">
      <c r="B15" s="667"/>
      <c r="C15" s="662" t="str">
        <f>HLOOKUP('General Information'!$C$6,'IDIOMA (hide)'!$A$1:$D$5016,A14,0)</f>
        <v>Vizualização de Agendamentos do Paciente</v>
      </c>
      <c r="D15" s="662"/>
      <c r="E15" s="662"/>
      <c r="F15" s="662"/>
      <c r="G15" s="662"/>
      <c r="H15" s="301">
        <v>388</v>
      </c>
      <c r="I15" s="652" t="str">
        <f>HLOOKUP('General Information'!$C$6,'IDIOMA (hide)'!$A$1:$D$5016,H15,0)</f>
        <v>O Cliente usa: Check-Up</v>
      </c>
      <c r="J15" s="652"/>
      <c r="K15" s="652"/>
      <c r="L15" s="652"/>
      <c r="M15" s="652"/>
      <c r="N15" s="301">
        <v>401</v>
      </c>
      <c r="O15" s="666" t="str">
        <f>HLOOKUP('General Information'!$C$6,'IDIOMA (hide)'!$A$1:$D$5016,N15,0)</f>
        <v>NÃO</v>
      </c>
      <c r="P15" s="666"/>
      <c r="Q15" s="666"/>
    </row>
    <row r="16" spans="1:17" ht="46.9" customHeight="1">
      <c r="A16" s="198">
        <v>377</v>
      </c>
      <c r="B16" s="667"/>
      <c r="C16" s="654" t="str">
        <f>HLOOKUP('General Information'!$C$6,'IDIOMA (hide)'!$A$1:$D$5016,A16,0)</f>
        <v>Requisição de agendamento e/ou (re) agendamento da consulta</v>
      </c>
      <c r="D16" s="655"/>
      <c r="E16" s="655"/>
      <c r="F16" s="655"/>
      <c r="G16" s="656"/>
      <c r="H16">
        <v>389</v>
      </c>
      <c r="I16" s="651" t="str">
        <f>HLOOKUP('General Information'!$C$6,'IDIOMA (hide)'!$A$1:$D$5016,H16,0)</f>
        <v>1) Agenda Integrada (Java / HTML5);
2) Agenda de Consulta (Java / HTML5)</v>
      </c>
      <c r="J16" s="652"/>
      <c r="K16" s="652"/>
      <c r="L16" s="652"/>
      <c r="M16" s="652"/>
      <c r="O16" s="653" t="str">
        <f>HLOOKUP('General Information'!$C$6,'IDIOMA (hide)'!$A$1:$D$5016,N8,0)</f>
        <v>SIM</v>
      </c>
      <c r="P16" s="653"/>
      <c r="Q16" s="653"/>
    </row>
    <row r="17" spans="1:17" ht="46.9" customHeight="1">
      <c r="B17" s="667"/>
      <c r="C17" s="657"/>
      <c r="D17" s="658"/>
      <c r="E17" s="658"/>
      <c r="F17" s="658"/>
      <c r="G17" s="659"/>
      <c r="H17">
        <v>390</v>
      </c>
      <c r="I17" s="660" t="str">
        <f>HLOOKUP('General Information'!$C$6,'IDIOMA (hide)'!$A$1:$D$5016,H17,0)</f>
        <v>O Cliente tem mais de um estabelecimento?</v>
      </c>
      <c r="J17" s="660"/>
      <c r="K17" s="660"/>
      <c r="L17" s="660"/>
      <c r="M17" s="660"/>
      <c r="N17">
        <v>402</v>
      </c>
      <c r="O17" s="661" t="str">
        <f>HLOOKUP('General Information'!$C$6,'IDIOMA (hide)'!$A$1:$D$5016,N17,0)</f>
        <v>Somente será suportado em Dezembro de 2019</v>
      </c>
      <c r="P17" s="661"/>
      <c r="Q17" s="661"/>
    </row>
    <row r="18" spans="1:17" ht="46.9" customHeight="1">
      <c r="A18" s="198">
        <v>378</v>
      </c>
      <c r="B18" s="667"/>
      <c r="C18" s="672" t="str">
        <f>HLOOKUP('General Information'!$C$6,'IDIOMA (hide)'!$A$1:$D$5016,A18,0)</f>
        <v>Paciente solicita exames</v>
      </c>
      <c r="D18" s="673"/>
      <c r="E18" s="673"/>
      <c r="F18" s="673"/>
      <c r="G18" s="674"/>
      <c r="H18">
        <v>391</v>
      </c>
      <c r="I18" s="678" t="str">
        <f>HLOOKUP('General Information'!$C$6,'IDIOMA (hide)'!$A$1:$D$5016,H18,0)</f>
        <v>01) Agenda Integrada (Java / HTML5);
02) Agenda de exames (Java / HTML5)</v>
      </c>
      <c r="J18" s="679"/>
      <c r="K18" s="679"/>
      <c r="L18" s="679"/>
      <c r="M18" s="680"/>
      <c r="O18" s="653" t="str">
        <f>HLOOKUP('General Information'!$C$6,'IDIOMA (hide)'!$A$1:$D$5016,N8,0)</f>
        <v>SIM</v>
      </c>
      <c r="P18" s="653"/>
      <c r="Q18" s="653"/>
    </row>
    <row r="19" spans="1:17" ht="46.9" customHeight="1">
      <c r="B19" s="667"/>
      <c r="C19" s="675"/>
      <c r="D19" s="676"/>
      <c r="E19" s="676"/>
      <c r="F19" s="676"/>
      <c r="G19" s="677"/>
      <c r="I19" s="660" t="str">
        <f>HLOOKUP('General Information'!$C$6,'IDIOMA (hide)'!$A$1:$D$5016,H17,0)</f>
        <v>O Cliente tem mais de um estabelecimento?</v>
      </c>
      <c r="J19" s="660"/>
      <c r="K19" s="660"/>
      <c r="L19" s="660"/>
      <c r="M19" s="660"/>
      <c r="O19" s="661" t="str">
        <f>HLOOKUP('General Information'!$C$6,'IDIOMA (hide)'!$A$1:$D$5016,N17,0)</f>
        <v>Somente será suportado em Dezembro de 2019</v>
      </c>
      <c r="P19" s="661"/>
      <c r="Q19" s="661"/>
    </row>
    <row r="20" spans="1:17" ht="46.9" customHeight="1">
      <c r="A20" s="198">
        <v>379</v>
      </c>
      <c r="B20" s="667"/>
      <c r="C20" s="662" t="str">
        <f>HLOOKUP('General Information'!$C$6,'IDIOMA (hide)'!$A$1:$D$5016,A20,0)</f>
        <v>Paientes para agendar / re-agendar exames</v>
      </c>
      <c r="D20" s="662"/>
      <c r="E20" s="662"/>
      <c r="F20" s="662"/>
      <c r="G20" s="662"/>
      <c r="H20">
        <v>392</v>
      </c>
      <c r="I20" s="652" t="str">
        <f>HLOOKUP('General Information'!$C$6,'IDIOMA (hide)'!$A$1:$D$5016,H20,0)</f>
        <v>O cliente quer disponibilizar o agendamento direto dos exames?</v>
      </c>
      <c r="J20" s="652"/>
      <c r="K20" s="652"/>
      <c r="L20" s="652"/>
      <c r="M20" s="652"/>
      <c r="N20">
        <v>403</v>
      </c>
      <c r="O20" s="661" t="str">
        <f>HLOOKUP('General Information'!$C$6,'IDIOMA (hide)'!$A$1:$D$5016,N20,0)</f>
        <v>Somente será suportado em Janeiro de 2020</v>
      </c>
      <c r="P20" s="661"/>
      <c r="Q20" s="661"/>
    </row>
    <row r="21" spans="1:17" ht="6.65" customHeight="1">
      <c r="A21" s="198">
        <v>371</v>
      </c>
      <c r="B21" s="302"/>
    </row>
    <row r="22" spans="1:17" ht="90.65" customHeight="1">
      <c r="A22" s="198">
        <v>380</v>
      </c>
      <c r="B22" s="669" t="str">
        <f>HLOOKUP('General Information'!$C$6,'IDIOMA (hide)'!$A$1:$D$5016,A21,0)</f>
        <v>Visualização de Resultados de Exames</v>
      </c>
      <c r="C22" s="663" t="str">
        <f>HLOOKUP('General Information'!$C$6,'IDIOMA (hide)'!$A$1:$D$5016,A22,0)</f>
        <v>Vizualização de Resultados de exames laboratoriais, não laboratoriais (ex. imagens) e resultados de patologias</v>
      </c>
      <c r="D22" s="663"/>
      <c r="E22" s="663"/>
      <c r="F22" s="663"/>
      <c r="G22" s="663"/>
      <c r="H22">
        <v>393</v>
      </c>
      <c r="I22" s="682" t="str">
        <f>HLOOKUP('General Information'!$C$6,'IDIOMA (hide)'!$A$1:$D$5016,H22,0)</f>
        <v>O cliente usa as seguintes funções:
01) Central de Laudos (Java / HTML5);
02) Exames Pendentes (Java / HTML5);
03) Laudo de Anatomia Pàtológica (Java / HTML5)</v>
      </c>
      <c r="J22" s="683"/>
      <c r="K22" s="683"/>
      <c r="L22" s="683"/>
      <c r="M22" s="683"/>
      <c r="N22" s="301"/>
      <c r="O22" s="653" t="str">
        <f>HLOOKUP('General Information'!$C$6,'IDIOMA (hide)'!$A$1:$D$5016,N8,0)</f>
        <v>SIM</v>
      </c>
      <c r="P22" s="653"/>
      <c r="Q22" s="653"/>
    </row>
    <row r="23" spans="1:17" ht="90.65" customHeight="1">
      <c r="B23" s="669"/>
      <c r="C23" s="663"/>
      <c r="D23" s="663"/>
      <c r="E23" s="663"/>
      <c r="F23" s="663"/>
      <c r="G23" s="663"/>
      <c r="H23">
        <v>394</v>
      </c>
      <c r="I23" s="682" t="str">
        <f>HLOOKUP('General Information'!$C$6,'IDIOMA (hide)'!$A$1:$D$5016,H23,0)</f>
        <v>Se o cliente utiliza a função Oftamologia e quer compartilhar os resultados a partir dessa função?</v>
      </c>
      <c r="J23" s="682"/>
      <c r="K23" s="682"/>
      <c r="L23" s="682"/>
      <c r="M23" s="682"/>
      <c r="N23" s="301">
        <v>404</v>
      </c>
      <c r="O23" s="684" t="str">
        <f>HLOOKUP('General Information'!$C$6,'IDIOMA (hide)'!$A$1:$D$5016,N23,0)</f>
        <v xml:space="preserve">Não 
(Não é suportado exames registrados na função de Oftamologia, somente exames de Oftamologia prescritos pela CPOE e laudados na Central de Exames) </v>
      </c>
      <c r="P23" s="662"/>
      <c r="Q23" s="662"/>
    </row>
    <row r="24" spans="1:17" ht="90.65" customHeight="1">
      <c r="B24" s="669"/>
      <c r="C24" s="663"/>
      <c r="D24" s="663"/>
      <c r="E24" s="663"/>
      <c r="F24" s="663"/>
      <c r="G24" s="663"/>
      <c r="H24">
        <v>395</v>
      </c>
      <c r="I24" s="682" t="str">
        <f>HLOOKUP('General Information'!$C$6,'IDIOMA (hide)'!$A$1:$D$5016,H24,0)</f>
        <v>Se o cliente utiliza as funções Digitação de Resultados de Exames Não Laboratoriais Externos ou Digitação de Resultados de Exames Laboratoriais Externos  e quer compartilhar resultados realizados nessa função?</v>
      </c>
      <c r="J24" s="682"/>
      <c r="K24" s="682"/>
      <c r="L24" s="682"/>
      <c r="M24" s="682"/>
      <c r="N24" s="301"/>
      <c r="O24" s="666" t="str">
        <f>HLOOKUP('General Information'!$C$6,'IDIOMA (hide)'!$A$1:$D$5016,N15,0)</f>
        <v>NÃO</v>
      </c>
      <c r="P24" s="666"/>
      <c r="Q24" s="666"/>
    </row>
    <row r="25" spans="1:17" ht="90.65" customHeight="1">
      <c r="B25" s="669"/>
      <c r="C25" s="663"/>
      <c r="D25" s="663"/>
      <c r="E25" s="663"/>
      <c r="F25" s="663"/>
      <c r="G25" s="663"/>
      <c r="H25">
        <v>396</v>
      </c>
      <c r="I25" s="685" t="str">
        <f>HLOOKUP('General Information'!$C$6,'IDIOMA (hide)'!$A$1:$D$5016,H25,0)</f>
        <v>Se o cliente utiliza a função DIS (Digital Interventional Suite) para laudar procedimentos intervencionistas?</v>
      </c>
      <c r="J25" s="686"/>
      <c r="K25" s="686"/>
      <c r="L25" s="686"/>
      <c r="M25" s="687"/>
      <c r="N25" s="301">
        <v>407</v>
      </c>
      <c r="O25" s="684" t="str">
        <f>HLOOKUP('General Information'!$C$6,'IDIOMA (hide)'!$A$1:$D$5016,N25,0)</f>
        <v>Não
(Atualmente não será possível, pois os relatórios DIS não estão disponíveis na Central de Laudos)</v>
      </c>
      <c r="P25" s="662"/>
      <c r="Q25" s="662"/>
    </row>
    <row r="26" spans="1:17" ht="90.65" customHeight="1">
      <c r="B26" s="669"/>
      <c r="C26" s="681"/>
      <c r="D26" s="681"/>
      <c r="E26" s="681"/>
      <c r="F26" s="681"/>
      <c r="G26" s="681"/>
      <c r="H26">
        <v>397</v>
      </c>
      <c r="I26" s="688" t="str">
        <f>HLOOKUP('General Information'!$C$6,'IDIOMA (hide)'!$A$1:$D$5016,H26,0)</f>
        <v>Se o cliente usa integrações para exames de imagens ou laboratoriais?</v>
      </c>
      <c r="J26" s="688"/>
      <c r="K26" s="688"/>
      <c r="L26" s="688"/>
      <c r="M26" s="688"/>
      <c r="N26" s="301">
        <v>405</v>
      </c>
      <c r="O26" s="689" t="str">
        <f>HLOOKUP('General Information'!$C$6,'IDIOMA (hide)'!$A$1:$D$5016,N26,0)</f>
        <v xml:space="preserve">Necessário avaliar, pois existem diferentes tipos de integração.
Não
Se as integrações enviam somente um arquivo PDF. </v>
      </c>
      <c r="P26" s="690"/>
      <c r="Q26" s="691"/>
    </row>
    <row r="27" spans="1:17" ht="103.15" customHeight="1">
      <c r="A27" s="198">
        <v>381</v>
      </c>
      <c r="B27" s="669"/>
      <c r="C27" s="663" t="str">
        <f>HLOOKUP('General Information'!$C$6,'IDIOMA (hide)'!$A$1:$D$5016,A27,0)</f>
        <v>Para exames de imagem, po0 cliente quer ter acesso a imagens DICOM?</v>
      </c>
      <c r="D27" s="663"/>
      <c r="E27" s="663"/>
      <c r="F27" s="663"/>
      <c r="G27" s="663"/>
      <c r="H27">
        <v>398</v>
      </c>
      <c r="I27" s="652" t="str">
        <f>HLOOKUP('General Information'!$C$6,'IDIOMA (hide)'!$A$1:$D$5016,H27,0)</f>
        <v>Se o cliente já tem uma interfacE entre Tasy e seu PAC's</v>
      </c>
      <c r="J27" s="652"/>
      <c r="K27" s="652"/>
      <c r="L27" s="652"/>
      <c r="M27" s="652"/>
      <c r="N27">
        <v>406</v>
      </c>
      <c r="O27" s="671" t="str">
        <f>HLOOKUP('General Information'!$C$6,'IDIOMA (hide)'!$A$1:$D$5016,N27,0)</f>
        <v>SIM  para clientes que possuem o Isite com o visualizador "Anywhere"
Para cliente com Carestream com o modulo  "MyVue" somente será suportado em a partir de Dezembro de 2019.
Para outros sistemas de PACS, precisa ser avaliado. O PAC's precisa ter um modulo de visualização externa como o Anywhere do ISite e o MyVue do Carestream. ( Esta análise precisa ser feita antes da venda)</v>
      </c>
      <c r="P27" s="671"/>
      <c r="Q27" s="671"/>
    </row>
    <row r="28" spans="1:17" ht="6" customHeight="1">
      <c r="B28" s="302"/>
    </row>
    <row r="29" spans="1:17" ht="94.15" customHeight="1">
      <c r="A29" s="198">
        <v>382</v>
      </c>
      <c r="B29" s="296"/>
      <c r="C29" s="663" t="str">
        <f>HLOOKUP('General Information'!$C$6,'IDIOMA (hide)'!$A$1:$D$5016,A29,0)</f>
        <v>O cliente gostaria de utilizar apanas uma das features?</v>
      </c>
      <c r="D29" s="663"/>
      <c r="E29" s="663"/>
      <c r="F29" s="663"/>
      <c r="G29" s="663"/>
      <c r="H29">
        <v>399</v>
      </c>
      <c r="I29" s="651" t="str">
        <f>HLOOKUP('General Information'!$C$6,'IDIOMA (hide)'!$A$1:$D$5016,H29,0)</f>
        <v>Se o cliente quer "visualizar resultados de exames" somente (= não visualizar os agendamentos)
Se o cliente quer somente visualizar os agendamentos (=não resultados de exames)</v>
      </c>
      <c r="J29" s="652"/>
      <c r="K29" s="652"/>
      <c r="L29" s="652"/>
      <c r="M29" s="652"/>
      <c r="O29" s="653" t="str">
        <f>HLOOKUP('General Information'!$C$6,'IDIOMA (hide)'!$A$1:$D$5016,N8,0)</f>
        <v>SIM</v>
      </c>
      <c r="P29" s="653"/>
      <c r="Q29" s="653"/>
    </row>
  </sheetData>
  <sheetProtection algorithmName="SHA-512" hashValue="Cf4jOgrexU/tfZYKz/UmkSGG7g2SOp60ElJOpEB4FpYX6Vybn/dFUGfXDjBAhIM2N7XyxkqrZnGiC7J+3S3KuQ==" saltValue="mZa3v1j+RemkOVOyUYS3FQ==" spinCount="100000" sheet="1" objects="1" scenarios="1"/>
  <mergeCells count="58">
    <mergeCell ref="C29:G29"/>
    <mergeCell ref="I29:M29"/>
    <mergeCell ref="O29:Q29"/>
    <mergeCell ref="C22:G26"/>
    <mergeCell ref="I22:M22"/>
    <mergeCell ref="O22:Q22"/>
    <mergeCell ref="I23:M23"/>
    <mergeCell ref="O23:Q23"/>
    <mergeCell ref="I24:M24"/>
    <mergeCell ref="O24:Q24"/>
    <mergeCell ref="I25:M25"/>
    <mergeCell ref="O25:Q25"/>
    <mergeCell ref="I26:M26"/>
    <mergeCell ref="O26:Q26"/>
    <mergeCell ref="B22:B27"/>
    <mergeCell ref="C27:G27"/>
    <mergeCell ref="I27:M27"/>
    <mergeCell ref="O27:Q27"/>
    <mergeCell ref="I19:M19"/>
    <mergeCell ref="O19:Q19"/>
    <mergeCell ref="C18:G19"/>
    <mergeCell ref="C20:G20"/>
    <mergeCell ref="I20:M20"/>
    <mergeCell ref="O20:Q20"/>
    <mergeCell ref="I18:M18"/>
    <mergeCell ref="O18:Q18"/>
    <mergeCell ref="B1:Q1"/>
    <mergeCell ref="C14:G14"/>
    <mergeCell ref="I14:M14"/>
    <mergeCell ref="O14:Q14"/>
    <mergeCell ref="C15:G15"/>
    <mergeCell ref="I15:M15"/>
    <mergeCell ref="O15:Q15"/>
    <mergeCell ref="B14:B20"/>
    <mergeCell ref="B2:Q2"/>
    <mergeCell ref="B5:Q5"/>
    <mergeCell ref="B8:B9"/>
    <mergeCell ref="B11:B12"/>
    <mergeCell ref="C8:G8"/>
    <mergeCell ref="C7:G7"/>
    <mergeCell ref="I7:M7"/>
    <mergeCell ref="O7:Q7"/>
    <mergeCell ref="O8:Q8"/>
    <mergeCell ref="O9:Q9"/>
    <mergeCell ref="C12:G12"/>
    <mergeCell ref="I12:M12"/>
    <mergeCell ref="O11:Q11"/>
    <mergeCell ref="O12:Q12"/>
    <mergeCell ref="C11:G11"/>
    <mergeCell ref="I11:M11"/>
    <mergeCell ref="C9:G9"/>
    <mergeCell ref="I8:M8"/>
    <mergeCell ref="I9:M9"/>
    <mergeCell ref="I16:M16"/>
    <mergeCell ref="O16:Q16"/>
    <mergeCell ref="C16:G17"/>
    <mergeCell ref="I17:M17"/>
    <mergeCell ref="O17:Q17"/>
  </mergeCells>
  <pageMargins left="0.7" right="0.7" top="0.75" bottom="0.75" header="0.3" footer="0.3"/>
  <pageSetup paperSize="9" orientation="portrait" horizontalDpi="300" verticalDpi="30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5"/>
  <sheetViews>
    <sheetView workbookViewId="0">
      <selection activeCell="G7" sqref="G7"/>
    </sheetView>
  </sheetViews>
  <sheetFormatPr defaultRowHeight="14.5"/>
  <sheetData>
    <row r="1" spans="1:13">
      <c r="A1" s="283" t="s">
        <v>2977</v>
      </c>
    </row>
    <row r="2" spans="1:13">
      <c r="A2" s="283" t="s">
        <v>3021</v>
      </c>
    </row>
    <row r="3" spans="1:13">
      <c r="A3" s="304" t="s">
        <v>3064</v>
      </c>
    </row>
    <row r="4" spans="1:13">
      <c r="A4" s="283" t="s">
        <v>2983</v>
      </c>
    </row>
    <row r="5" spans="1:13">
      <c r="A5" s="283" t="s">
        <v>3020</v>
      </c>
      <c r="B5" s="285"/>
      <c r="C5" s="285"/>
      <c r="D5" s="285"/>
      <c r="E5" s="285"/>
      <c r="F5" s="285"/>
      <c r="G5" s="285"/>
      <c r="H5" s="285"/>
      <c r="I5" s="285"/>
      <c r="J5" s="285"/>
      <c r="K5" s="285"/>
      <c r="L5" s="285"/>
      <c r="M5" s="285"/>
    </row>
    <row r="6" spans="1:13">
      <c r="A6" s="283" t="s">
        <v>2984</v>
      </c>
      <c r="B6" s="285"/>
    </row>
    <row r="7" spans="1:13">
      <c r="A7" s="283" t="s">
        <v>2982</v>
      </c>
    </row>
    <row r="8" spans="1:13">
      <c r="A8" s="283" t="s">
        <v>2981</v>
      </c>
      <c r="B8" s="285"/>
    </row>
    <row r="9" spans="1:13">
      <c r="A9" s="283" t="s">
        <v>3093</v>
      </c>
    </row>
    <row r="10" spans="1:13">
      <c r="A10" s="283" t="s">
        <v>2978</v>
      </c>
    </row>
    <row r="11" spans="1:13">
      <c r="A11" s="283" t="s">
        <v>2980</v>
      </c>
    </row>
    <row r="12" spans="1:13">
      <c r="A12" s="282" t="s">
        <v>2975</v>
      </c>
    </row>
    <row r="13" spans="1:13">
      <c r="A13" s="283" t="s">
        <v>3094</v>
      </c>
    </row>
    <row r="14" spans="1:13">
      <c r="A14" s="282" t="s">
        <v>2976</v>
      </c>
    </row>
    <row r="15" spans="1:13">
      <c r="A15" s="283" t="s">
        <v>3063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8"/>
  <dimension ref="A2:W143"/>
  <sheetViews>
    <sheetView showGridLines="0" workbookViewId="0">
      <selection activeCell="B13" sqref="B13"/>
    </sheetView>
  </sheetViews>
  <sheetFormatPr defaultRowHeight="14.5"/>
  <cols>
    <col min="1" max="1" width="11.1796875" bestFit="1" customWidth="1"/>
    <col min="2" max="2" width="25.1796875" customWidth="1"/>
    <col min="3" max="3" width="21.453125" customWidth="1"/>
    <col min="4" max="4" width="21" customWidth="1"/>
  </cols>
  <sheetData>
    <row r="2" spans="1:12" ht="21.5" thickBot="1">
      <c r="A2" s="593" t="s">
        <v>2005</v>
      </c>
      <c r="B2" s="593"/>
      <c r="C2" s="593"/>
      <c r="D2" s="593"/>
      <c r="E2" s="593"/>
      <c r="F2" s="593"/>
    </row>
    <row r="4" spans="1:12">
      <c r="A4" s="3" t="s">
        <v>1601</v>
      </c>
      <c r="B4" s="3" t="s">
        <v>1600</v>
      </c>
      <c r="C4" s="3" t="s">
        <v>1986</v>
      </c>
      <c r="D4" s="3" t="s">
        <v>1987</v>
      </c>
    </row>
    <row r="5" spans="1:12">
      <c r="A5" s="18">
        <v>1</v>
      </c>
      <c r="B5" s="18" t="s">
        <v>1996</v>
      </c>
      <c r="C5" s="18" t="s">
        <v>1998</v>
      </c>
      <c r="D5" s="18" t="s">
        <v>2001</v>
      </c>
      <c r="F5" t="s">
        <v>3237</v>
      </c>
    </row>
    <row r="6" spans="1:12">
      <c r="A6" s="18">
        <v>2</v>
      </c>
      <c r="B6" s="18" t="s">
        <v>1999</v>
      </c>
      <c r="C6" s="18" t="s">
        <v>2000</v>
      </c>
      <c r="D6" s="18" t="s">
        <v>2002</v>
      </c>
    </row>
    <row r="7" spans="1:12">
      <c r="A7" s="18">
        <v>3</v>
      </c>
      <c r="B7" s="18" t="s">
        <v>2003</v>
      </c>
      <c r="C7" s="18" t="s">
        <v>2004</v>
      </c>
      <c r="D7" s="18" t="s">
        <v>2003</v>
      </c>
    </row>
    <row r="8" spans="1:12">
      <c r="A8" s="18">
        <v>4</v>
      </c>
      <c r="B8" s="18" t="s">
        <v>2363</v>
      </c>
      <c r="C8" s="18" t="s">
        <v>2364</v>
      </c>
      <c r="D8" s="18" t="s">
        <v>2365</v>
      </c>
    </row>
    <row r="9" spans="1:12">
      <c r="A9" s="18">
        <v>5</v>
      </c>
      <c r="B9" s="18" t="s">
        <v>2837</v>
      </c>
      <c r="C9" s="18" t="s">
        <v>2838</v>
      </c>
      <c r="D9" s="18" t="s">
        <v>2841</v>
      </c>
      <c r="I9" s="237"/>
      <c r="J9" s="237"/>
      <c r="K9" s="237"/>
      <c r="L9" s="237"/>
    </row>
    <row r="10" spans="1:12">
      <c r="A10" s="18">
        <v>6</v>
      </c>
      <c r="B10" s="18" t="s">
        <v>2839</v>
      </c>
      <c r="C10" s="18" t="s">
        <v>2840</v>
      </c>
      <c r="D10" s="18" t="s">
        <v>2842</v>
      </c>
    </row>
    <row r="11" spans="1:12">
      <c r="A11" s="18">
        <v>7</v>
      </c>
      <c r="B11" s="18" t="s">
        <v>6254</v>
      </c>
      <c r="C11" s="18"/>
      <c r="D11" s="18"/>
    </row>
    <row r="12" spans="1:12">
      <c r="A12" s="18">
        <v>8</v>
      </c>
      <c r="B12" s="18" t="s">
        <v>6255</v>
      </c>
      <c r="C12" s="18"/>
      <c r="D12" s="18"/>
    </row>
    <row r="13" spans="1:12">
      <c r="A13" s="18">
        <v>9</v>
      </c>
      <c r="B13" s="18" t="s">
        <v>6256</v>
      </c>
      <c r="C13" s="18"/>
      <c r="D13" s="18"/>
    </row>
    <row r="14" spans="1:12" ht="21.5" thickBot="1">
      <c r="A14" s="593" t="s">
        <v>2006</v>
      </c>
      <c r="B14" s="593"/>
      <c r="C14" s="593"/>
      <c r="D14" s="593"/>
      <c r="E14" s="593"/>
      <c r="F14" s="593"/>
    </row>
    <row r="16" spans="1:12">
      <c r="A16" s="3" t="s">
        <v>1601</v>
      </c>
      <c r="B16" s="3" t="s">
        <v>1600</v>
      </c>
      <c r="C16" s="3" t="s">
        <v>1986</v>
      </c>
      <c r="D16" s="3" t="s">
        <v>1987</v>
      </c>
    </row>
    <row r="17" spans="1:23">
      <c r="A17" s="18">
        <v>1</v>
      </c>
      <c r="B17" s="18" t="s">
        <v>2889</v>
      </c>
      <c r="C17" s="18" t="s">
        <v>2889</v>
      </c>
      <c r="D17" s="18" t="s">
        <v>2889</v>
      </c>
      <c r="F17" t="s">
        <v>2007</v>
      </c>
    </row>
    <row r="18" spans="1:23">
      <c r="A18" s="18">
        <v>2</v>
      </c>
      <c r="B18" s="18" t="s">
        <v>2890</v>
      </c>
      <c r="C18" s="18" t="s">
        <v>2890</v>
      </c>
      <c r="D18" s="18" t="s">
        <v>2890</v>
      </c>
    </row>
    <row r="19" spans="1:23">
      <c r="A19" s="237"/>
      <c r="B19" s="237"/>
      <c r="C19" s="237"/>
      <c r="D19" s="237"/>
    </row>
    <row r="20" spans="1:23">
      <c r="A20" s="3" t="s">
        <v>1601</v>
      </c>
      <c r="B20" s="3" t="s">
        <v>1600</v>
      </c>
      <c r="C20" s="3" t="s">
        <v>1986</v>
      </c>
      <c r="D20" s="3" t="s">
        <v>1987</v>
      </c>
    </row>
    <row r="21" spans="1:23">
      <c r="A21" s="18">
        <v>1</v>
      </c>
      <c r="B21" s="18" t="s">
        <v>235</v>
      </c>
      <c r="C21" s="18" t="s">
        <v>2321</v>
      </c>
      <c r="D21" s="18" t="s">
        <v>2178</v>
      </c>
      <c r="F21" t="s">
        <v>2935</v>
      </c>
    </row>
    <row r="22" spans="1:23">
      <c r="A22" s="18">
        <v>2</v>
      </c>
      <c r="B22" s="18" t="s">
        <v>2823</v>
      </c>
      <c r="C22" s="18" t="s">
        <v>2933</v>
      </c>
      <c r="D22" s="18" t="s">
        <v>2934</v>
      </c>
    </row>
    <row r="23" spans="1:23">
      <c r="A23" s="237"/>
      <c r="B23" s="237"/>
      <c r="C23" s="237"/>
      <c r="D23" s="237"/>
    </row>
    <row r="25" spans="1:23" ht="21.5" thickBot="1">
      <c r="A25" s="593" t="s">
        <v>2074</v>
      </c>
      <c r="B25" s="593"/>
      <c r="C25" s="593"/>
      <c r="D25" s="593"/>
      <c r="E25" s="593"/>
      <c r="F25" s="593"/>
    </row>
    <row r="27" spans="1:23">
      <c r="A27" s="24" t="s">
        <v>1601</v>
      </c>
      <c r="B27" s="24" t="s">
        <v>141</v>
      </c>
    </row>
    <row r="28" spans="1:23">
      <c r="A28" s="1">
        <v>1</v>
      </c>
      <c r="B28" s="1" t="s">
        <v>2350</v>
      </c>
    </row>
    <row r="29" spans="1:23" ht="16">
      <c r="A29" s="1">
        <v>2</v>
      </c>
      <c r="B29" s="1" t="s">
        <v>2083</v>
      </c>
      <c r="W29" s="25"/>
    </row>
    <row r="30" spans="1:23" ht="16">
      <c r="A30" s="1">
        <v>3</v>
      </c>
      <c r="B30" s="1" t="s">
        <v>2081</v>
      </c>
      <c r="W30" s="25"/>
    </row>
    <row r="31" spans="1:23" ht="16">
      <c r="A31" s="1">
        <v>4</v>
      </c>
      <c r="B31" s="1" t="s">
        <v>2082</v>
      </c>
      <c r="W31" s="25"/>
    </row>
    <row r="32" spans="1:23" ht="16">
      <c r="A32" s="1">
        <v>5</v>
      </c>
      <c r="B32" s="1" t="s">
        <v>2085</v>
      </c>
      <c r="W32" s="25"/>
    </row>
    <row r="33" spans="1:23" ht="16">
      <c r="A33" s="1">
        <v>6</v>
      </c>
      <c r="B33" s="1" t="s">
        <v>2087</v>
      </c>
      <c r="W33" s="25"/>
    </row>
    <row r="34" spans="1:23" ht="16">
      <c r="A34" s="1">
        <v>7</v>
      </c>
      <c r="B34" s="1" t="s">
        <v>2812</v>
      </c>
      <c r="W34" s="25"/>
    </row>
    <row r="35" spans="1:23" ht="16">
      <c r="A35" s="1">
        <v>8</v>
      </c>
      <c r="B35" s="1" t="s">
        <v>2084</v>
      </c>
      <c r="W35" s="25"/>
    </row>
    <row r="36" spans="1:23">
      <c r="A36" s="1">
        <v>9</v>
      </c>
      <c r="B36" s="1" t="s">
        <v>2086</v>
      </c>
    </row>
    <row r="37" spans="1:23">
      <c r="A37" s="1">
        <v>10</v>
      </c>
      <c r="B37" s="1" t="s">
        <v>2964</v>
      </c>
    </row>
    <row r="38" spans="1:23">
      <c r="A38" s="1">
        <v>11</v>
      </c>
      <c r="B38" s="1"/>
    </row>
    <row r="39" spans="1:23">
      <c r="A39" s="1">
        <v>12</v>
      </c>
      <c r="B39" s="1"/>
    </row>
    <row r="40" spans="1:23">
      <c r="A40" s="1">
        <v>13</v>
      </c>
      <c r="B40" s="1"/>
    </row>
    <row r="41" spans="1:23">
      <c r="A41" s="1">
        <v>14</v>
      </c>
      <c r="B41" s="1"/>
    </row>
    <row r="42" spans="1:23">
      <c r="A42" s="1">
        <v>15</v>
      </c>
      <c r="B42" s="1"/>
    </row>
    <row r="44" spans="1:23">
      <c r="A44" s="26" t="s">
        <v>2088</v>
      </c>
    </row>
    <row r="46" spans="1:23">
      <c r="A46" s="24" t="s">
        <v>1601</v>
      </c>
      <c r="B46" s="24" t="s">
        <v>1600</v>
      </c>
      <c r="C46" s="24" t="s">
        <v>1986</v>
      </c>
      <c r="D46" s="24" t="s">
        <v>1987</v>
      </c>
    </row>
    <row r="47" spans="1:23">
      <c r="A47" s="1">
        <v>1</v>
      </c>
      <c r="B47" s="1" t="s">
        <v>2096</v>
      </c>
      <c r="C47" s="1" t="s">
        <v>2921</v>
      </c>
      <c r="D47" s="1" t="s">
        <v>2096</v>
      </c>
      <c r="F47" t="s">
        <v>2914</v>
      </c>
    </row>
    <row r="48" spans="1:23">
      <c r="A48" s="1">
        <v>2</v>
      </c>
      <c r="B48" s="1" t="s">
        <v>2097</v>
      </c>
      <c r="C48" s="1" t="s">
        <v>2922</v>
      </c>
      <c r="D48" s="1" t="s">
        <v>2097</v>
      </c>
    </row>
    <row r="49" spans="1:6">
      <c r="A49" s="1">
        <v>3</v>
      </c>
      <c r="B49" s="1" t="s">
        <v>2098</v>
      </c>
      <c r="C49" s="1" t="s">
        <v>2920</v>
      </c>
      <c r="D49" s="1" t="s">
        <v>2098</v>
      </c>
    </row>
    <row r="51" spans="1:6">
      <c r="A51" s="26" t="s">
        <v>2080</v>
      </c>
    </row>
    <row r="53" spans="1:6">
      <c r="A53" s="24" t="s">
        <v>1601</v>
      </c>
      <c r="B53" s="24" t="s">
        <v>1600</v>
      </c>
      <c r="C53" s="24" t="s">
        <v>1986</v>
      </c>
      <c r="D53" s="24" t="s">
        <v>1987</v>
      </c>
    </row>
    <row r="54" spans="1:6">
      <c r="A54" s="1">
        <v>1</v>
      </c>
      <c r="B54" s="1" t="s">
        <v>2100</v>
      </c>
      <c r="C54" s="1" t="s">
        <v>2916</v>
      </c>
      <c r="D54" s="1" t="s">
        <v>2919</v>
      </c>
      <c r="F54" t="s">
        <v>2915</v>
      </c>
    </row>
    <row r="55" spans="1:6">
      <c r="A55" s="1">
        <v>2</v>
      </c>
      <c r="B55" s="1" t="s">
        <v>2099</v>
      </c>
      <c r="C55" s="1" t="s">
        <v>2917</v>
      </c>
      <c r="D55" s="1" t="s">
        <v>2918</v>
      </c>
    </row>
    <row r="57" spans="1:6">
      <c r="A57" s="27" t="s">
        <v>2102</v>
      </c>
    </row>
    <row r="59" spans="1:6">
      <c r="A59" s="24" t="s">
        <v>1601</v>
      </c>
      <c r="B59" s="24" t="s">
        <v>1600</v>
      </c>
      <c r="C59" s="24" t="s">
        <v>1986</v>
      </c>
      <c r="D59" s="24" t="s">
        <v>1987</v>
      </c>
    </row>
    <row r="60" spans="1:6">
      <c r="A60" s="1">
        <v>1</v>
      </c>
      <c r="B60" s="1" t="s">
        <v>2103</v>
      </c>
      <c r="C60" s="211" t="s">
        <v>2924</v>
      </c>
      <c r="D60" s="1" t="s">
        <v>2928</v>
      </c>
      <c r="F60" t="s">
        <v>2923</v>
      </c>
    </row>
    <row r="61" spans="1:6">
      <c r="A61" s="1">
        <v>2</v>
      </c>
      <c r="B61" s="1" t="s">
        <v>2104</v>
      </c>
      <c r="C61" s="1" t="s">
        <v>2925</v>
      </c>
      <c r="D61" s="1" t="s">
        <v>2104</v>
      </c>
    </row>
    <row r="62" spans="1:6">
      <c r="A62" s="1">
        <v>3</v>
      </c>
      <c r="B62" s="1" t="s">
        <v>2105</v>
      </c>
      <c r="C62" s="1" t="s">
        <v>2926</v>
      </c>
      <c r="D62" s="1" t="s">
        <v>2929</v>
      </c>
    </row>
    <row r="63" spans="1:6">
      <c r="A63" s="1">
        <v>4</v>
      </c>
      <c r="B63" s="1" t="s">
        <v>2106</v>
      </c>
      <c r="C63" s="1" t="s">
        <v>2927</v>
      </c>
      <c r="D63" s="1" t="s">
        <v>2930</v>
      </c>
    </row>
    <row r="64" spans="1:6">
      <c r="A64" s="1"/>
      <c r="B64" s="1"/>
      <c r="C64" s="1"/>
      <c r="D64" s="1"/>
    </row>
    <row r="66" spans="1:6" ht="21.5" thickBot="1">
      <c r="A66" s="593" t="s">
        <v>2380</v>
      </c>
      <c r="B66" s="593"/>
      <c r="C66" s="593"/>
      <c r="D66" s="593"/>
      <c r="E66" s="593"/>
      <c r="F66" s="593"/>
    </row>
    <row r="68" spans="1:6">
      <c r="A68" s="3" t="s">
        <v>1601</v>
      </c>
      <c r="B68" s="3" t="s">
        <v>1600</v>
      </c>
      <c r="C68" s="3" t="s">
        <v>1986</v>
      </c>
      <c r="D68" s="3" t="s">
        <v>1987</v>
      </c>
    </row>
    <row r="69" spans="1:6">
      <c r="A69" s="18">
        <v>1</v>
      </c>
      <c r="B69" s="18" t="s">
        <v>2377</v>
      </c>
      <c r="C69" s="18" t="s">
        <v>2378</v>
      </c>
      <c r="D69" s="18" t="s">
        <v>2377</v>
      </c>
      <c r="F69" t="s">
        <v>2381</v>
      </c>
    </row>
    <row r="70" spans="1:6">
      <c r="A70" s="18">
        <v>2</v>
      </c>
      <c r="B70" s="18" t="s">
        <v>2376</v>
      </c>
      <c r="C70" s="18" t="s">
        <v>2379</v>
      </c>
      <c r="D70" s="18" t="s">
        <v>2376</v>
      </c>
    </row>
    <row r="71" spans="1:6">
      <c r="A71" s="18">
        <v>3</v>
      </c>
      <c r="B71" s="18"/>
      <c r="C71" s="18"/>
      <c r="D71" s="18"/>
    </row>
    <row r="73" spans="1:6">
      <c r="A73" s="27" t="s">
        <v>2136</v>
      </c>
    </row>
    <row r="75" spans="1:6">
      <c r="A75" s="24" t="s">
        <v>1601</v>
      </c>
      <c r="B75" s="24" t="s">
        <v>1600</v>
      </c>
      <c r="C75" s="24" t="s">
        <v>1986</v>
      </c>
      <c r="D75" s="24" t="s">
        <v>1987</v>
      </c>
    </row>
    <row r="76" spans="1:6">
      <c r="A76" s="1">
        <v>1</v>
      </c>
      <c r="B76" s="1" t="s">
        <v>42</v>
      </c>
      <c r="C76" s="1" t="s">
        <v>2936</v>
      </c>
      <c r="D76" s="1" t="s">
        <v>1011</v>
      </c>
      <c r="F76" t="s">
        <v>2938</v>
      </c>
    </row>
    <row r="77" spans="1:6">
      <c r="A77" s="1">
        <v>2</v>
      </c>
      <c r="B77" s="1" t="s">
        <v>188</v>
      </c>
      <c r="C77" s="1" t="s">
        <v>2314</v>
      </c>
      <c r="D77" s="1" t="s">
        <v>2171</v>
      </c>
    </row>
    <row r="78" spans="1:6">
      <c r="A78" s="1">
        <v>3</v>
      </c>
      <c r="B78" s="1" t="s">
        <v>2907</v>
      </c>
      <c r="C78" s="1" t="s">
        <v>2937</v>
      </c>
      <c r="D78" s="1" t="s">
        <v>2939</v>
      </c>
    </row>
    <row r="81" spans="1:6">
      <c r="A81" t="s">
        <v>2492</v>
      </c>
    </row>
    <row r="83" spans="1:6">
      <c r="A83" s="24" t="s">
        <v>1601</v>
      </c>
      <c r="B83" s="24" t="s">
        <v>1600</v>
      </c>
      <c r="C83" s="24" t="s">
        <v>1986</v>
      </c>
      <c r="D83" s="24" t="s">
        <v>1987</v>
      </c>
    </row>
    <row r="84" spans="1:6">
      <c r="A84" s="1">
        <v>1</v>
      </c>
      <c r="B84" s="1" t="s">
        <v>2159</v>
      </c>
      <c r="C84" s="1" t="s">
        <v>2453</v>
      </c>
      <c r="D84" s="1" t="s">
        <v>2230</v>
      </c>
      <c r="F84" t="s">
        <v>2973</v>
      </c>
    </row>
    <row r="85" spans="1:6">
      <c r="A85" s="1">
        <v>2</v>
      </c>
      <c r="B85" s="1" t="s">
        <v>2160</v>
      </c>
      <c r="C85" s="1" t="s">
        <v>2454</v>
      </c>
      <c r="D85" s="1" t="s">
        <v>2458</v>
      </c>
    </row>
    <row r="86" spans="1:6">
      <c r="A86" s="1">
        <v>3</v>
      </c>
      <c r="B86" s="1" t="s">
        <v>2161</v>
      </c>
      <c r="C86" s="1" t="s">
        <v>2232</v>
      </c>
      <c r="D86" s="1" t="s">
        <v>2233</v>
      </c>
    </row>
    <row r="87" spans="1:6">
      <c r="A87" s="1">
        <v>4</v>
      </c>
      <c r="B87" s="1" t="s">
        <v>2970</v>
      </c>
      <c r="C87" s="1" t="s">
        <v>2971</v>
      </c>
      <c r="D87" s="1" t="s">
        <v>2972</v>
      </c>
    </row>
    <row r="88" spans="1:6">
      <c r="A88" s="1">
        <v>5</v>
      </c>
      <c r="B88" s="1" t="s">
        <v>2960</v>
      </c>
      <c r="C88" s="1" t="s">
        <v>2960</v>
      </c>
      <c r="D88" s="1" t="s">
        <v>2960</v>
      </c>
    </row>
    <row r="90" spans="1:6">
      <c r="A90" t="s">
        <v>2962</v>
      </c>
    </row>
    <row r="92" spans="1:6">
      <c r="A92" s="3" t="s">
        <v>1601</v>
      </c>
      <c r="B92" s="3" t="s">
        <v>1600</v>
      </c>
      <c r="C92" s="3" t="s">
        <v>1986</v>
      </c>
      <c r="D92" s="3" t="s">
        <v>1987</v>
      </c>
    </row>
    <row r="93" spans="1:6">
      <c r="A93" s="18">
        <v>1</v>
      </c>
      <c r="B93" s="18" t="s">
        <v>1996</v>
      </c>
      <c r="C93" s="18" t="s">
        <v>1998</v>
      </c>
      <c r="D93" s="18" t="s">
        <v>2001</v>
      </c>
      <c r="F93" t="s">
        <v>3078</v>
      </c>
    </row>
    <row r="94" spans="1:6">
      <c r="A94" s="18">
        <v>2</v>
      </c>
      <c r="B94" s="18" t="s">
        <v>1999</v>
      </c>
      <c r="C94" s="18" t="s">
        <v>2000</v>
      </c>
      <c r="D94" s="18" t="s">
        <v>2002</v>
      </c>
    </row>
    <row r="95" spans="1:6">
      <c r="A95" s="18">
        <v>3</v>
      </c>
      <c r="B95" s="18" t="s">
        <v>2003</v>
      </c>
      <c r="C95" s="18" t="s">
        <v>2004</v>
      </c>
      <c r="D95" s="18" t="s">
        <v>2003</v>
      </c>
    </row>
    <row r="96" spans="1:6">
      <c r="A96" s="18">
        <v>4</v>
      </c>
      <c r="B96" s="12" t="s">
        <v>2960</v>
      </c>
      <c r="C96" s="12" t="s">
        <v>2960</v>
      </c>
      <c r="D96" s="12" t="s">
        <v>2960</v>
      </c>
    </row>
    <row r="99" spans="1:6">
      <c r="A99" t="s">
        <v>2985</v>
      </c>
    </row>
    <row r="101" spans="1:6">
      <c r="A101" s="24" t="s">
        <v>1601</v>
      </c>
      <c r="B101" s="24" t="s">
        <v>1600</v>
      </c>
      <c r="C101" s="24" t="s">
        <v>1986</v>
      </c>
      <c r="D101" s="24" t="s">
        <v>1987</v>
      </c>
    </row>
    <row r="102" spans="1:6">
      <c r="A102" s="1">
        <v>1</v>
      </c>
      <c r="B102" s="1" t="s">
        <v>2071</v>
      </c>
      <c r="C102" s="1" t="s">
        <v>2996</v>
      </c>
      <c r="D102" s="1" t="s">
        <v>2071</v>
      </c>
      <c r="F102" t="s">
        <v>3018</v>
      </c>
    </row>
    <row r="103" spans="1:6">
      <c r="A103" s="1">
        <v>2</v>
      </c>
      <c r="B103" s="1" t="s">
        <v>2986</v>
      </c>
      <c r="C103" s="1" t="s">
        <v>2997</v>
      </c>
      <c r="D103" s="1" t="s">
        <v>2997</v>
      </c>
    </row>
    <row r="104" spans="1:6">
      <c r="A104" s="1">
        <v>3</v>
      </c>
      <c r="B104" s="1" t="s">
        <v>2998</v>
      </c>
      <c r="C104" s="1" t="s">
        <v>2998</v>
      </c>
      <c r="D104" s="1" t="s">
        <v>2998</v>
      </c>
    </row>
    <row r="105" spans="1:6">
      <c r="A105" s="1">
        <v>5</v>
      </c>
      <c r="B105" s="1" t="s">
        <v>2987</v>
      </c>
      <c r="C105" s="1" t="s">
        <v>2987</v>
      </c>
      <c r="D105" s="1" t="s">
        <v>2987</v>
      </c>
    </row>
    <row r="106" spans="1:6">
      <c r="A106" s="1">
        <v>6</v>
      </c>
      <c r="B106" s="1" t="s">
        <v>2988</v>
      </c>
      <c r="C106" s="1" t="s">
        <v>2999</v>
      </c>
      <c r="D106" s="1" t="s">
        <v>2988</v>
      </c>
    </row>
    <row r="107" spans="1:6">
      <c r="A107" s="1">
        <v>7</v>
      </c>
      <c r="B107" s="1" t="s">
        <v>2989</v>
      </c>
      <c r="C107" s="1" t="s">
        <v>3000</v>
      </c>
      <c r="D107" s="1" t="s">
        <v>3007</v>
      </c>
    </row>
    <row r="108" spans="1:6">
      <c r="A108" s="1">
        <v>8</v>
      </c>
      <c r="B108" s="1" t="s">
        <v>2991</v>
      </c>
      <c r="C108" s="1" t="s">
        <v>3001</v>
      </c>
      <c r="D108" s="1" t="s">
        <v>2990</v>
      </c>
    </row>
    <row r="109" spans="1:6">
      <c r="A109" s="1">
        <v>9</v>
      </c>
      <c r="B109" s="1" t="s">
        <v>2992</v>
      </c>
      <c r="C109" s="1" t="s">
        <v>3002</v>
      </c>
      <c r="D109" s="1" t="s">
        <v>3008</v>
      </c>
    </row>
    <row r="110" spans="1:6">
      <c r="A110" s="1">
        <v>10</v>
      </c>
      <c r="B110" s="1" t="s">
        <v>2993</v>
      </c>
      <c r="C110" s="1" t="s">
        <v>3003</v>
      </c>
      <c r="D110" s="1" t="s">
        <v>3009</v>
      </c>
    </row>
    <row r="111" spans="1:6">
      <c r="A111" s="1">
        <v>11</v>
      </c>
      <c r="B111" s="1" t="s">
        <v>2994</v>
      </c>
      <c r="C111" s="1" t="s">
        <v>3004</v>
      </c>
      <c r="D111" s="1" t="s">
        <v>3004</v>
      </c>
    </row>
    <row r="112" spans="1:6">
      <c r="A112" s="1">
        <v>12</v>
      </c>
      <c r="B112" s="1" t="s">
        <v>3012</v>
      </c>
      <c r="C112" s="1" t="s">
        <v>3005</v>
      </c>
      <c r="D112" s="1" t="s">
        <v>3010</v>
      </c>
    </row>
    <row r="113" spans="1:6">
      <c r="A113" s="1">
        <v>13</v>
      </c>
      <c r="B113" s="1" t="s">
        <v>2995</v>
      </c>
      <c r="C113" s="1" t="s">
        <v>3006</v>
      </c>
      <c r="D113" s="1" t="s">
        <v>3011</v>
      </c>
    </row>
    <row r="117" spans="1:6">
      <c r="A117" t="s">
        <v>3065</v>
      </c>
    </row>
    <row r="119" spans="1:6">
      <c r="A119" s="3" t="s">
        <v>1601</v>
      </c>
      <c r="B119" s="3" t="s">
        <v>1600</v>
      </c>
      <c r="C119" s="3" t="s">
        <v>1986</v>
      </c>
      <c r="D119" s="3" t="s">
        <v>1987</v>
      </c>
    </row>
    <row r="120" spans="1:6">
      <c r="A120" s="18">
        <v>1</v>
      </c>
      <c r="B120" s="18" t="s">
        <v>3066</v>
      </c>
      <c r="C120" s="18" t="s">
        <v>3066</v>
      </c>
      <c r="D120" s="18" t="s">
        <v>3066</v>
      </c>
      <c r="F120" t="s">
        <v>3069</v>
      </c>
    </row>
    <row r="121" spans="1:6">
      <c r="A121" s="18">
        <v>2</v>
      </c>
      <c r="B121" s="18" t="s">
        <v>3067</v>
      </c>
      <c r="C121" s="18" t="s">
        <v>3067</v>
      </c>
      <c r="D121" s="18" t="s">
        <v>3067</v>
      </c>
    </row>
    <row r="122" spans="1:6">
      <c r="A122" s="18">
        <v>3</v>
      </c>
      <c r="B122" s="18" t="s">
        <v>3068</v>
      </c>
      <c r="C122" s="18" t="s">
        <v>3068</v>
      </c>
      <c r="D122" s="18" t="s">
        <v>3068</v>
      </c>
    </row>
    <row r="123" spans="1:6">
      <c r="A123" s="18">
        <v>4</v>
      </c>
      <c r="B123" s="18" t="s">
        <v>2960</v>
      </c>
      <c r="C123" s="18" t="s">
        <v>2960</v>
      </c>
      <c r="D123" s="18" t="s">
        <v>2960</v>
      </c>
    </row>
    <row r="125" spans="1:6">
      <c r="A125" t="s">
        <v>3193</v>
      </c>
    </row>
    <row r="126" spans="1:6">
      <c r="A126" s="3" t="s">
        <v>1601</v>
      </c>
      <c r="B126" s="3" t="s">
        <v>3194</v>
      </c>
    </row>
    <row r="127" spans="1:6">
      <c r="A127" s="18">
        <v>1</v>
      </c>
      <c r="B127" s="317">
        <v>152</v>
      </c>
    </row>
    <row r="128" spans="1:6">
      <c r="A128" s="18">
        <v>2</v>
      </c>
      <c r="B128" s="317">
        <v>79.790000000000006</v>
      </c>
    </row>
    <row r="129" spans="1:4">
      <c r="A129" s="18">
        <v>3</v>
      </c>
      <c r="B129" s="317">
        <f>5.65%*Proposal!F25</f>
        <v>0</v>
      </c>
    </row>
    <row r="130" spans="1:4">
      <c r="A130" s="18">
        <v>4</v>
      </c>
      <c r="B130" s="18"/>
    </row>
    <row r="132" spans="1:4">
      <c r="A132" t="s">
        <v>3197</v>
      </c>
    </row>
    <row r="133" spans="1:4">
      <c r="A133" s="3" t="s">
        <v>1601</v>
      </c>
      <c r="B133" s="3" t="s">
        <v>1600</v>
      </c>
      <c r="C133" s="3" t="s">
        <v>1986</v>
      </c>
      <c r="D133" s="3" t="s">
        <v>1987</v>
      </c>
    </row>
    <row r="134" spans="1:4">
      <c r="A134" s="18">
        <v>1</v>
      </c>
      <c r="B134" s="18" t="s">
        <v>3474</v>
      </c>
      <c r="C134" s="18" t="s">
        <v>3198</v>
      </c>
      <c r="D134" s="18" t="s">
        <v>3200</v>
      </c>
    </row>
    <row r="135" spans="1:4">
      <c r="A135" s="18">
        <v>2</v>
      </c>
      <c r="B135" s="18" t="s">
        <v>5866</v>
      </c>
      <c r="C135" s="18" t="s">
        <v>3199</v>
      </c>
      <c r="D135" s="18" t="s">
        <v>3201</v>
      </c>
    </row>
    <row r="137" spans="1:4">
      <c r="A137" t="s">
        <v>5836</v>
      </c>
    </row>
    <row r="139" spans="1:4">
      <c r="A139" t="s">
        <v>5889</v>
      </c>
    </row>
    <row r="140" spans="1:4">
      <c r="A140" s="3" t="s">
        <v>1601</v>
      </c>
      <c r="B140" s="3" t="s">
        <v>1600</v>
      </c>
      <c r="C140" s="3" t="s">
        <v>1986</v>
      </c>
      <c r="D140" s="3" t="s">
        <v>1987</v>
      </c>
    </row>
    <row r="141" spans="1:4">
      <c r="A141" s="18">
        <v>1</v>
      </c>
      <c r="B141" s="18" t="s">
        <v>5890</v>
      </c>
      <c r="C141" s="18" t="s">
        <v>5893</v>
      </c>
      <c r="D141" s="18"/>
    </row>
    <row r="142" spans="1:4">
      <c r="A142" s="18">
        <v>2</v>
      </c>
      <c r="B142" s="18" t="s">
        <v>5891</v>
      </c>
      <c r="C142" s="18" t="s">
        <v>5894</v>
      </c>
      <c r="D142" s="18"/>
    </row>
    <row r="143" spans="1:4">
      <c r="A143" s="18">
        <v>3</v>
      </c>
      <c r="B143" s="18" t="s">
        <v>5892</v>
      </c>
      <c r="C143" s="18" t="s">
        <v>5895</v>
      </c>
      <c r="D143" s="18"/>
    </row>
  </sheetData>
  <sortState xmlns:xlrd2="http://schemas.microsoft.com/office/spreadsheetml/2017/richdata2" ref="W23:W29">
    <sortCondition ref="W23"/>
  </sortState>
  <mergeCells count="4">
    <mergeCell ref="A2:F2"/>
    <mergeCell ref="A14:F14"/>
    <mergeCell ref="A25:F25"/>
    <mergeCell ref="A66:F66"/>
  </mergeCells>
  <pageMargins left="0.7" right="0.7" top="0.75" bottom="0.75" header="0.3" footer="0.3"/>
  <pageSetup paperSize="9" orientation="portrait" horizontalDpi="300" verticalDpi="30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dimension ref="A1:D288"/>
  <sheetViews>
    <sheetView showGridLines="0" workbookViewId="0">
      <selection activeCell="D102" sqref="D102"/>
    </sheetView>
  </sheetViews>
  <sheetFormatPr defaultRowHeight="14.5"/>
  <cols>
    <col min="1" max="1" width="17" style="7" bestFit="1" customWidth="1"/>
    <col min="2" max="2" width="39.453125" bestFit="1" customWidth="1"/>
    <col min="3" max="3" width="47.26953125" customWidth="1"/>
    <col min="4" max="4" width="39.453125" customWidth="1"/>
    <col min="5" max="5" width="9.1796875" customWidth="1"/>
    <col min="6" max="6" width="47.26953125" bestFit="1" customWidth="1"/>
    <col min="7" max="7" width="18.453125" bestFit="1" customWidth="1"/>
  </cols>
  <sheetData>
    <row r="1" spans="1:4">
      <c r="A1" s="3" t="s">
        <v>1917</v>
      </c>
      <c r="B1" s="3" t="s">
        <v>1918</v>
      </c>
      <c r="C1" s="3" t="s">
        <v>1920</v>
      </c>
      <c r="D1" s="3" t="s">
        <v>1922</v>
      </c>
    </row>
    <row r="2" spans="1:4">
      <c r="A2" s="12">
        <v>511</v>
      </c>
      <c r="B2" s="1" t="s">
        <v>429</v>
      </c>
      <c r="C2" s="1" t="s">
        <v>1526</v>
      </c>
      <c r="D2" s="1" t="s">
        <v>1528</v>
      </c>
    </row>
    <row r="3" spans="1:4">
      <c r="A3" s="12">
        <v>521</v>
      </c>
      <c r="B3" s="1" t="s">
        <v>1549</v>
      </c>
      <c r="C3" s="1" t="s">
        <v>1551</v>
      </c>
      <c r="D3" s="1" t="s">
        <v>1553</v>
      </c>
    </row>
    <row r="4" spans="1:4">
      <c r="A4" s="12">
        <v>302</v>
      </c>
      <c r="B4" s="1" t="s">
        <v>409</v>
      </c>
      <c r="C4" s="1" t="s">
        <v>1467</v>
      </c>
      <c r="D4" s="1" t="s">
        <v>1469</v>
      </c>
    </row>
    <row r="5" spans="1:4">
      <c r="A5" s="12">
        <v>322</v>
      </c>
      <c r="B5" s="1" t="s">
        <v>415</v>
      </c>
      <c r="C5" s="1" t="s">
        <v>2296</v>
      </c>
      <c r="D5" s="1" t="s">
        <v>2297</v>
      </c>
    </row>
    <row r="6" spans="1:4">
      <c r="A6" s="12">
        <v>312</v>
      </c>
      <c r="B6" s="1" t="s">
        <v>414</v>
      </c>
      <c r="C6" s="1" t="s">
        <v>1495</v>
      </c>
      <c r="D6" s="1" t="s">
        <v>1496</v>
      </c>
    </row>
    <row r="7" spans="1:4">
      <c r="A7" s="12">
        <v>304</v>
      </c>
      <c r="B7" s="1" t="s">
        <v>1478</v>
      </c>
      <c r="C7" s="1" t="s">
        <v>1480</v>
      </c>
      <c r="D7" s="1" t="s">
        <v>1482</v>
      </c>
    </row>
    <row r="8" spans="1:4">
      <c r="A8" s="12">
        <v>305</v>
      </c>
      <c r="B8" s="1" t="s">
        <v>1487</v>
      </c>
      <c r="C8" s="1" t="s">
        <v>1489</v>
      </c>
      <c r="D8" s="1" t="s">
        <v>1491</v>
      </c>
    </row>
    <row r="9" spans="1:4">
      <c r="A9" s="12">
        <v>182</v>
      </c>
      <c r="B9" s="1" t="s">
        <v>2</v>
      </c>
      <c r="C9" s="1" t="s">
        <v>2298</v>
      </c>
      <c r="D9" s="1" t="s">
        <v>2162</v>
      </c>
    </row>
    <row r="10" spans="1:4">
      <c r="A10" s="12">
        <v>82</v>
      </c>
      <c r="B10" s="1" t="s">
        <v>262</v>
      </c>
      <c r="C10" s="1" t="s">
        <v>262</v>
      </c>
      <c r="D10" s="1" t="s">
        <v>262</v>
      </c>
    </row>
    <row r="11" spans="1:4">
      <c r="A11" s="12">
        <v>84</v>
      </c>
      <c r="B11" s="1" t="s">
        <v>133</v>
      </c>
      <c r="C11" s="1" t="s">
        <v>1034</v>
      </c>
      <c r="D11" s="1" t="s">
        <v>1035</v>
      </c>
    </row>
    <row r="12" spans="1:4">
      <c r="A12" s="12">
        <v>85</v>
      </c>
      <c r="B12" s="1" t="s">
        <v>18</v>
      </c>
      <c r="C12" s="1" t="s">
        <v>2299</v>
      </c>
      <c r="D12" s="1" t="s">
        <v>2163</v>
      </c>
    </row>
    <row r="13" spans="1:4">
      <c r="A13" s="12">
        <v>86</v>
      </c>
      <c r="B13" s="1" t="s">
        <v>20</v>
      </c>
      <c r="C13" s="1" t="s">
        <v>1039</v>
      </c>
      <c r="D13" s="1" t="s">
        <v>1041</v>
      </c>
    </row>
    <row r="14" spans="1:4">
      <c r="A14" s="12">
        <v>87</v>
      </c>
      <c r="B14" s="1" t="s">
        <v>1</v>
      </c>
      <c r="C14" s="1" t="s">
        <v>852</v>
      </c>
      <c r="D14" s="1" t="s">
        <v>1</v>
      </c>
    </row>
    <row r="15" spans="1:4">
      <c r="A15" s="12">
        <v>88</v>
      </c>
      <c r="B15" s="1" t="s">
        <v>16</v>
      </c>
      <c r="C15" s="1" t="s">
        <v>1066</v>
      </c>
      <c r="D15" s="1" t="s">
        <v>1068</v>
      </c>
    </row>
    <row r="16" spans="1:4">
      <c r="A16" s="12">
        <v>89</v>
      </c>
      <c r="B16" s="1" t="s">
        <v>282</v>
      </c>
      <c r="C16" s="1" t="s">
        <v>1094</v>
      </c>
      <c r="D16" s="1" t="s">
        <v>1096</v>
      </c>
    </row>
    <row r="17" spans="1:4">
      <c r="A17" s="12">
        <v>90</v>
      </c>
      <c r="B17" s="1" t="s">
        <v>287</v>
      </c>
      <c r="C17" s="1" t="s">
        <v>1102</v>
      </c>
      <c r="D17" s="1" t="s">
        <v>287</v>
      </c>
    </row>
    <row r="18" spans="1:4">
      <c r="A18" s="12">
        <v>91</v>
      </c>
      <c r="B18" s="1" t="s">
        <v>290</v>
      </c>
      <c r="C18" s="1" t="s">
        <v>2300</v>
      </c>
      <c r="D18" s="1" t="s">
        <v>290</v>
      </c>
    </row>
    <row r="19" spans="1:4">
      <c r="A19" s="12">
        <v>93</v>
      </c>
      <c r="B19" s="1" t="s">
        <v>294</v>
      </c>
      <c r="C19" s="1" t="s">
        <v>2301</v>
      </c>
      <c r="D19" s="1" t="s">
        <v>2164</v>
      </c>
    </row>
    <row r="20" spans="1:4">
      <c r="A20" s="12">
        <v>94</v>
      </c>
      <c r="B20" s="1" t="s">
        <v>297</v>
      </c>
      <c r="C20" s="1" t="s">
        <v>297</v>
      </c>
      <c r="D20" s="1" t="s">
        <v>297</v>
      </c>
    </row>
    <row r="21" spans="1:4">
      <c r="A21" s="12">
        <v>95</v>
      </c>
      <c r="B21" s="1" t="s">
        <v>300</v>
      </c>
      <c r="C21" s="1" t="s">
        <v>300</v>
      </c>
      <c r="D21" s="1" t="s">
        <v>300</v>
      </c>
    </row>
    <row r="22" spans="1:4">
      <c r="A22" s="12">
        <v>96</v>
      </c>
      <c r="B22" s="1" t="s">
        <v>301</v>
      </c>
      <c r="C22" s="1" t="s">
        <v>2302</v>
      </c>
      <c r="D22" s="1" t="s">
        <v>2303</v>
      </c>
    </row>
    <row r="23" spans="1:4">
      <c r="A23" s="12">
        <v>98</v>
      </c>
      <c r="B23" s="1" t="s">
        <v>303</v>
      </c>
      <c r="C23" s="1" t="s">
        <v>2304</v>
      </c>
      <c r="D23" s="1" t="s">
        <v>2165</v>
      </c>
    </row>
    <row r="24" spans="1:4">
      <c r="A24" s="12">
        <v>99</v>
      </c>
      <c r="B24" s="1" t="s">
        <v>5</v>
      </c>
      <c r="C24" s="1" t="s">
        <v>2305</v>
      </c>
      <c r="D24" s="1" t="s">
        <v>2167</v>
      </c>
    </row>
    <row r="25" spans="1:4">
      <c r="A25" s="12">
        <v>100</v>
      </c>
      <c r="B25" s="1" t="s">
        <v>308</v>
      </c>
      <c r="C25" s="1" t="s">
        <v>1138</v>
      </c>
      <c r="D25" s="1" t="s">
        <v>1140</v>
      </c>
    </row>
    <row r="26" spans="1:4">
      <c r="A26" s="12">
        <v>101</v>
      </c>
      <c r="B26" s="1" t="s">
        <v>19</v>
      </c>
      <c r="C26" s="1" t="s">
        <v>2306</v>
      </c>
      <c r="D26" s="1" t="s">
        <v>2168</v>
      </c>
    </row>
    <row r="27" spans="1:4">
      <c r="A27" s="12">
        <v>102</v>
      </c>
      <c r="B27" s="1" t="s">
        <v>21</v>
      </c>
      <c r="C27" s="1" t="s">
        <v>1145</v>
      </c>
      <c r="D27" s="1" t="s">
        <v>2307</v>
      </c>
    </row>
    <row r="28" spans="1:4">
      <c r="A28" s="12">
        <v>103</v>
      </c>
      <c r="B28" s="1" t="s">
        <v>22</v>
      </c>
      <c r="C28" s="1" t="s">
        <v>2308</v>
      </c>
      <c r="D28" s="1" t="s">
        <v>2169</v>
      </c>
    </row>
    <row r="29" spans="1:4">
      <c r="A29" s="12">
        <v>104</v>
      </c>
      <c r="B29" s="1" t="s">
        <v>23</v>
      </c>
      <c r="C29" s="1" t="s">
        <v>1157</v>
      </c>
      <c r="D29" s="1" t="s">
        <v>1159</v>
      </c>
    </row>
    <row r="30" spans="1:4">
      <c r="A30" s="12">
        <v>105</v>
      </c>
      <c r="B30" s="1" t="s">
        <v>313</v>
      </c>
      <c r="C30" s="1" t="s">
        <v>2309</v>
      </c>
      <c r="D30" s="1" t="s">
        <v>2166</v>
      </c>
    </row>
    <row r="31" spans="1:4">
      <c r="A31" s="12">
        <v>3</v>
      </c>
      <c r="B31" s="1" t="s">
        <v>149</v>
      </c>
      <c r="C31" s="1" t="s">
        <v>468</v>
      </c>
      <c r="D31" s="1" t="s">
        <v>470</v>
      </c>
    </row>
    <row r="32" spans="1:4">
      <c r="A32" s="12">
        <v>4</v>
      </c>
      <c r="B32" s="1" t="s">
        <v>10</v>
      </c>
      <c r="C32" s="1" t="s">
        <v>522</v>
      </c>
      <c r="D32" s="1" t="s">
        <v>522</v>
      </c>
    </row>
    <row r="33" spans="1:4">
      <c r="A33" s="12">
        <v>5</v>
      </c>
      <c r="B33" s="1" t="s">
        <v>177</v>
      </c>
      <c r="C33" s="1" t="s">
        <v>2310</v>
      </c>
      <c r="D33" s="1" t="s">
        <v>2170</v>
      </c>
    </row>
    <row r="34" spans="1:4">
      <c r="A34" s="12">
        <v>6</v>
      </c>
      <c r="B34" s="1" t="s">
        <v>58</v>
      </c>
      <c r="C34" s="1" t="s">
        <v>2311</v>
      </c>
      <c r="D34" s="1" t="s">
        <v>2312</v>
      </c>
    </row>
    <row r="35" spans="1:4">
      <c r="A35" s="12">
        <v>7</v>
      </c>
      <c r="B35" s="1" t="s">
        <v>15</v>
      </c>
      <c r="C35" s="1" t="s">
        <v>2313</v>
      </c>
      <c r="D35" s="1" t="s">
        <v>15</v>
      </c>
    </row>
    <row r="36" spans="1:4">
      <c r="A36" s="12">
        <v>8</v>
      </c>
      <c r="B36" s="1" t="s">
        <v>188</v>
      </c>
      <c r="C36" s="1" t="s">
        <v>2314</v>
      </c>
      <c r="D36" s="1" t="s">
        <v>2171</v>
      </c>
    </row>
    <row r="37" spans="1:4">
      <c r="A37" s="12">
        <v>9</v>
      </c>
      <c r="B37" s="1" t="s">
        <v>0</v>
      </c>
      <c r="C37" s="1" t="s">
        <v>674</v>
      </c>
      <c r="D37" s="1" t="s">
        <v>676</v>
      </c>
    </row>
    <row r="38" spans="1:4">
      <c r="A38" s="12">
        <v>10</v>
      </c>
      <c r="B38" s="1" t="s">
        <v>213</v>
      </c>
      <c r="C38" s="1" t="s">
        <v>2315</v>
      </c>
      <c r="D38" s="1" t="s">
        <v>2316</v>
      </c>
    </row>
    <row r="39" spans="1:4">
      <c r="A39" s="12">
        <v>11</v>
      </c>
      <c r="B39" s="1" t="s">
        <v>6</v>
      </c>
      <c r="C39" s="1" t="s">
        <v>705</v>
      </c>
      <c r="D39" s="1" t="s">
        <v>706</v>
      </c>
    </row>
    <row r="40" spans="1:4">
      <c r="A40" s="12">
        <v>12</v>
      </c>
      <c r="B40" s="1" t="s">
        <v>4</v>
      </c>
      <c r="C40" s="1" t="s">
        <v>726</v>
      </c>
      <c r="D40" s="1" t="s">
        <v>728</v>
      </c>
    </row>
    <row r="41" spans="1:4">
      <c r="A41" s="12">
        <v>13</v>
      </c>
      <c r="B41" s="1" t="s">
        <v>11</v>
      </c>
      <c r="C41" s="1" t="s">
        <v>2317</v>
      </c>
      <c r="D41" s="1" t="s">
        <v>2172</v>
      </c>
    </row>
    <row r="42" spans="1:4">
      <c r="A42" s="12">
        <v>14</v>
      </c>
      <c r="B42" s="1" t="s">
        <v>12</v>
      </c>
      <c r="C42" s="1" t="s">
        <v>2318</v>
      </c>
      <c r="D42" s="1" t="s">
        <v>12</v>
      </c>
    </row>
    <row r="43" spans="1:4">
      <c r="A43" s="12">
        <v>15</v>
      </c>
      <c r="B43" s="1" t="s">
        <v>768</v>
      </c>
      <c r="C43" s="1" t="s">
        <v>769</v>
      </c>
      <c r="D43" s="1" t="s">
        <v>770</v>
      </c>
    </row>
    <row r="44" spans="1:4">
      <c r="A44" s="12">
        <v>16</v>
      </c>
      <c r="B44" s="1" t="s">
        <v>3</v>
      </c>
      <c r="C44" s="1" t="s">
        <v>795</v>
      </c>
      <c r="D44" s="1" t="s">
        <v>797</v>
      </c>
    </row>
    <row r="45" spans="1:4">
      <c r="A45" s="12">
        <v>18</v>
      </c>
      <c r="B45" s="1" t="s">
        <v>13</v>
      </c>
      <c r="C45" s="1" t="s">
        <v>2319</v>
      </c>
      <c r="D45" s="1" t="s">
        <v>2173</v>
      </c>
    </row>
    <row r="46" spans="1:4">
      <c r="A46" s="12">
        <v>20</v>
      </c>
      <c r="B46" s="1" t="s">
        <v>8</v>
      </c>
      <c r="C46" s="1" t="s">
        <v>2320</v>
      </c>
      <c r="D46" s="1" t="s">
        <v>8</v>
      </c>
    </row>
    <row r="47" spans="1:4">
      <c r="A47" s="12">
        <v>22</v>
      </c>
      <c r="B47" s="1" t="s">
        <v>2783</v>
      </c>
      <c r="C47" s="1" t="s">
        <v>2784</v>
      </c>
      <c r="D47" s="1" t="s">
        <v>2785</v>
      </c>
    </row>
    <row r="48" spans="1:4">
      <c r="A48" s="12">
        <v>23</v>
      </c>
      <c r="B48" s="1" t="s">
        <v>7</v>
      </c>
      <c r="C48" s="1" t="s">
        <v>890</v>
      </c>
      <c r="D48" s="1" t="s">
        <v>891</v>
      </c>
    </row>
    <row r="49" spans="1:4">
      <c r="A49" s="12">
        <v>24</v>
      </c>
      <c r="B49" s="1" t="s">
        <v>235</v>
      </c>
      <c r="C49" s="1" t="s">
        <v>2321</v>
      </c>
      <c r="D49" s="1" t="s">
        <v>2178</v>
      </c>
    </row>
    <row r="50" spans="1:4">
      <c r="A50" s="12">
        <v>26</v>
      </c>
      <c r="B50" s="1" t="s">
        <v>237</v>
      </c>
      <c r="C50" s="1" t="s">
        <v>2322</v>
      </c>
      <c r="D50" s="1" t="s">
        <v>2174</v>
      </c>
    </row>
    <row r="51" spans="1:4">
      <c r="A51" s="12">
        <v>28</v>
      </c>
      <c r="B51" s="1" t="s">
        <v>9</v>
      </c>
      <c r="C51" s="1" t="s">
        <v>953</v>
      </c>
      <c r="D51" s="1" t="s">
        <v>955</v>
      </c>
    </row>
    <row r="52" spans="1:4">
      <c r="A52" s="12">
        <v>29</v>
      </c>
      <c r="B52" s="1" t="s">
        <v>14</v>
      </c>
      <c r="C52" s="1" t="s">
        <v>984</v>
      </c>
      <c r="D52" s="1" t="s">
        <v>986</v>
      </c>
    </row>
    <row r="53" spans="1:4">
      <c r="A53" s="12">
        <v>30</v>
      </c>
      <c r="B53" s="1" t="s">
        <v>17</v>
      </c>
      <c r="C53" s="1" t="s">
        <v>987</v>
      </c>
      <c r="D53" s="1" t="s">
        <v>988</v>
      </c>
    </row>
    <row r="54" spans="1:4">
      <c r="A54" s="12">
        <v>31</v>
      </c>
      <c r="B54" s="1" t="s">
        <v>245</v>
      </c>
      <c r="C54" s="1" t="s">
        <v>990</v>
      </c>
      <c r="D54" s="1" t="s">
        <v>245</v>
      </c>
    </row>
    <row r="55" spans="1:4">
      <c r="A55" s="12">
        <v>32</v>
      </c>
      <c r="B55" s="1" t="s">
        <v>248</v>
      </c>
      <c r="C55" s="1" t="s">
        <v>995</v>
      </c>
      <c r="D55" s="1" t="s">
        <v>248</v>
      </c>
    </row>
    <row r="56" spans="1:4">
      <c r="A56" s="12">
        <v>36</v>
      </c>
      <c r="B56" s="1" t="s">
        <v>250</v>
      </c>
      <c r="C56" s="1" t="s">
        <v>997</v>
      </c>
      <c r="D56" s="1" t="s">
        <v>999</v>
      </c>
    </row>
    <row r="57" spans="1:4">
      <c r="A57" s="12">
        <v>38</v>
      </c>
      <c r="B57" s="1" t="s">
        <v>42</v>
      </c>
      <c r="C57" s="1" t="s">
        <v>1009</v>
      </c>
      <c r="D57" s="1" t="s">
        <v>1011</v>
      </c>
    </row>
    <row r="58" spans="1:4">
      <c r="A58" s="12">
        <v>71</v>
      </c>
      <c r="B58" s="1" t="s">
        <v>257</v>
      </c>
      <c r="C58" s="1" t="s">
        <v>1022</v>
      </c>
      <c r="D58" s="1" t="s">
        <v>1024</v>
      </c>
    </row>
    <row r="59" spans="1:4">
      <c r="A59" s="12">
        <v>212</v>
      </c>
      <c r="B59" s="1" t="s">
        <v>323</v>
      </c>
      <c r="C59" s="1" t="s">
        <v>2323</v>
      </c>
      <c r="D59" s="1" t="s">
        <v>2175</v>
      </c>
    </row>
    <row r="60" spans="1:4">
      <c r="A60" s="12">
        <v>391</v>
      </c>
      <c r="B60" s="1" t="s">
        <v>420</v>
      </c>
      <c r="C60" s="1" t="s">
        <v>420</v>
      </c>
      <c r="D60" s="1" t="s">
        <v>420</v>
      </c>
    </row>
    <row r="61" spans="1:4">
      <c r="A61" s="12">
        <v>451</v>
      </c>
      <c r="B61" s="1" t="s">
        <v>387</v>
      </c>
      <c r="C61" s="1" t="s">
        <v>2324</v>
      </c>
      <c r="D61" s="1" t="s">
        <v>387</v>
      </c>
    </row>
    <row r="62" spans="1:4">
      <c r="A62" s="12">
        <v>455</v>
      </c>
      <c r="B62" s="1" t="s">
        <v>426</v>
      </c>
      <c r="C62" s="1" t="s">
        <v>2325</v>
      </c>
      <c r="D62" s="1" t="s">
        <v>426</v>
      </c>
    </row>
    <row r="63" spans="1:4">
      <c r="A63" s="12">
        <v>453</v>
      </c>
      <c r="B63" s="1" t="s">
        <v>423</v>
      </c>
      <c r="C63" s="1" t="s">
        <v>2326</v>
      </c>
      <c r="D63" s="1" t="s">
        <v>423</v>
      </c>
    </row>
    <row r="64" spans="1:4">
      <c r="A64" s="12">
        <v>454</v>
      </c>
      <c r="B64" s="1" t="s">
        <v>425</v>
      </c>
      <c r="C64" s="1" t="s">
        <v>1517</v>
      </c>
      <c r="D64" s="1" t="s">
        <v>1518</v>
      </c>
    </row>
    <row r="65" spans="1:4">
      <c r="A65" s="12">
        <v>456</v>
      </c>
      <c r="B65" s="1" t="s">
        <v>342</v>
      </c>
      <c r="C65" s="1" t="s">
        <v>2327</v>
      </c>
      <c r="D65" s="1" t="s">
        <v>2328</v>
      </c>
    </row>
    <row r="66" spans="1:4">
      <c r="A66" s="12">
        <v>631</v>
      </c>
      <c r="B66" s="1" t="s">
        <v>396</v>
      </c>
      <c r="C66" s="1" t="s">
        <v>2329</v>
      </c>
      <c r="D66" s="1" t="s">
        <v>2176</v>
      </c>
    </row>
    <row r="67" spans="1:4">
      <c r="A67" s="12">
        <v>671</v>
      </c>
      <c r="B67" s="1" t="s">
        <v>1557</v>
      </c>
      <c r="C67" s="1" t="s">
        <v>2330</v>
      </c>
      <c r="D67" s="1" t="s">
        <v>2177</v>
      </c>
    </row>
    <row r="68" spans="1:4">
      <c r="A68" s="12">
        <v>681</v>
      </c>
      <c r="B68" s="1" t="s">
        <v>440</v>
      </c>
      <c r="C68" s="1" t="s">
        <v>2331</v>
      </c>
      <c r="D68" s="1" t="s">
        <v>2332</v>
      </c>
    </row>
    <row r="69" spans="1:4">
      <c r="A69" s="12">
        <v>685</v>
      </c>
      <c r="B69" s="1" t="s">
        <v>442</v>
      </c>
      <c r="C69" s="1" t="s">
        <v>1138</v>
      </c>
      <c r="D69" s="1" t="s">
        <v>442</v>
      </c>
    </row>
    <row r="70" spans="1:4">
      <c r="A70" s="12">
        <v>800</v>
      </c>
      <c r="B70" s="1" t="s">
        <v>1876</v>
      </c>
      <c r="C70" s="1" t="s">
        <v>1876</v>
      </c>
      <c r="D70" s="1" t="s">
        <v>1876</v>
      </c>
    </row>
    <row r="71" spans="1:4">
      <c r="A71" s="12">
        <v>693</v>
      </c>
      <c r="B71" s="1" t="s">
        <v>1568</v>
      </c>
      <c r="C71" s="1" t="s">
        <v>1568</v>
      </c>
      <c r="D71" s="1" t="s">
        <v>1568</v>
      </c>
    </row>
    <row r="72" spans="1:4">
      <c r="A72" s="12">
        <v>720</v>
      </c>
      <c r="B72" s="1" t="s">
        <v>385</v>
      </c>
      <c r="C72" s="1" t="s">
        <v>385</v>
      </c>
      <c r="D72" s="1" t="s">
        <v>385</v>
      </c>
    </row>
    <row r="73" spans="1:4">
      <c r="A73" s="12">
        <v>904</v>
      </c>
      <c r="B73" s="1" t="s">
        <v>2294</v>
      </c>
      <c r="C73" s="1" t="s">
        <v>1878</v>
      </c>
      <c r="D73" s="1" t="s">
        <v>2294</v>
      </c>
    </row>
    <row r="74" spans="1:4">
      <c r="A74" s="12">
        <v>870</v>
      </c>
      <c r="B74" s="1" t="s">
        <v>1573</v>
      </c>
      <c r="C74" s="1" t="s">
        <v>2333</v>
      </c>
      <c r="D74" s="1" t="s">
        <v>2295</v>
      </c>
    </row>
    <row r="75" spans="1:4">
      <c r="A75" s="12" t="s">
        <v>1958</v>
      </c>
      <c r="B75" s="1" t="s">
        <v>1957</v>
      </c>
      <c r="C75" s="1" t="s">
        <v>1992</v>
      </c>
      <c r="D75" s="1" t="s">
        <v>2179</v>
      </c>
    </row>
    <row r="76" spans="1:4">
      <c r="A76" s="12" t="s">
        <v>1959</v>
      </c>
      <c r="B76" s="6" t="s">
        <v>418</v>
      </c>
      <c r="C76" s="1" t="s">
        <v>418</v>
      </c>
      <c r="D76" s="1" t="s">
        <v>418</v>
      </c>
    </row>
    <row r="77" spans="1:4">
      <c r="A77" s="12">
        <v>4432</v>
      </c>
      <c r="B77" s="1" t="s">
        <v>2012</v>
      </c>
      <c r="C77" s="1"/>
      <c r="D77" s="1"/>
    </row>
    <row r="78" spans="1:4">
      <c r="A78" s="12">
        <v>870</v>
      </c>
      <c r="B78" s="1" t="s">
        <v>1573</v>
      </c>
      <c r="C78" s="1" t="s">
        <v>2333</v>
      </c>
      <c r="D78" s="1" t="s">
        <v>2295</v>
      </c>
    </row>
    <row r="79" spans="1:4">
      <c r="A79" s="5">
        <v>945</v>
      </c>
      <c r="B79" s="1" t="s">
        <v>2035</v>
      </c>
      <c r="C79" s="1" t="s">
        <v>2382</v>
      </c>
      <c r="D79" s="1" t="s">
        <v>2383</v>
      </c>
    </row>
    <row r="80" spans="1:4">
      <c r="A80" s="85">
        <v>331</v>
      </c>
      <c r="B80" s="88" t="s">
        <v>3084</v>
      </c>
      <c r="C80" s="88" t="s">
        <v>3087</v>
      </c>
      <c r="D80" s="88" t="s">
        <v>3090</v>
      </c>
    </row>
    <row r="81" spans="1:4">
      <c r="A81" s="85">
        <v>935</v>
      </c>
      <c r="B81" s="88" t="s">
        <v>3085</v>
      </c>
      <c r="C81" s="88" t="s">
        <v>3088</v>
      </c>
      <c r="D81" s="88" t="s">
        <v>3091</v>
      </c>
    </row>
    <row r="82" spans="1:4">
      <c r="A82" s="85">
        <v>944</v>
      </c>
      <c r="B82" s="88" t="s">
        <v>3086</v>
      </c>
      <c r="C82" s="88" t="s">
        <v>3089</v>
      </c>
      <c r="D82" s="88" t="s">
        <v>3092</v>
      </c>
    </row>
    <row r="83" spans="1:4">
      <c r="A83" s="85">
        <v>283</v>
      </c>
      <c r="B83" s="88" t="s">
        <v>2042</v>
      </c>
      <c r="C83" s="88" t="s">
        <v>2042</v>
      </c>
      <c r="D83" s="88" t="s">
        <v>2042</v>
      </c>
    </row>
    <row r="84" spans="1:4">
      <c r="A84" s="12">
        <v>999</v>
      </c>
      <c r="B84" s="88" t="s">
        <v>2843</v>
      </c>
      <c r="C84" s="88" t="s">
        <v>2844</v>
      </c>
      <c r="D84" s="88" t="s">
        <v>2845</v>
      </c>
    </row>
    <row r="85" spans="1:4">
      <c r="A85" s="12">
        <v>998</v>
      </c>
      <c r="B85" s="88" t="s">
        <v>2834</v>
      </c>
      <c r="C85" s="88" t="s">
        <v>2835</v>
      </c>
      <c r="D85" s="88" t="s">
        <v>2836</v>
      </c>
    </row>
    <row r="86" spans="1:4">
      <c r="A86"/>
      <c r="B86" s="501"/>
    </row>
    <row r="87" spans="1:4">
      <c r="A87"/>
      <c r="B87" s="501"/>
    </row>
    <row r="88" spans="1:4">
      <c r="A88"/>
    </row>
    <row r="89" spans="1:4">
      <c r="A89" s="1">
        <v>1</v>
      </c>
      <c r="B89" s="1" t="s">
        <v>4299</v>
      </c>
    </row>
    <row r="90" spans="1:4">
      <c r="A90" s="1">
        <v>372</v>
      </c>
      <c r="B90" s="1" t="s">
        <v>4684</v>
      </c>
    </row>
    <row r="91" spans="1:4">
      <c r="A91" s="1">
        <v>374</v>
      </c>
      <c r="B91" s="1" t="s">
        <v>4648</v>
      </c>
    </row>
    <row r="92" spans="1:4">
      <c r="A92" s="1">
        <v>375</v>
      </c>
      <c r="B92" s="1" t="s">
        <v>4588</v>
      </c>
    </row>
    <row r="93" spans="1:4">
      <c r="A93" s="1">
        <v>377</v>
      </c>
      <c r="B93" s="1" t="s">
        <v>4538</v>
      </c>
    </row>
    <row r="94" spans="1:4">
      <c r="A94" s="1">
        <v>379</v>
      </c>
      <c r="B94" s="1" t="s">
        <v>4502</v>
      </c>
    </row>
    <row r="95" spans="1:4">
      <c r="A95" s="1">
        <v>380</v>
      </c>
      <c r="B95" s="1" t="s">
        <v>4474</v>
      </c>
    </row>
    <row r="96" spans="1:4">
      <c r="A96" s="1">
        <v>381</v>
      </c>
      <c r="B96" s="1" t="s">
        <v>4377</v>
      </c>
    </row>
    <row r="97" spans="1:2">
      <c r="A97" s="1">
        <v>582</v>
      </c>
      <c r="B97" s="1" t="s">
        <v>3753</v>
      </c>
    </row>
    <row r="98" spans="1:2">
      <c r="A98" s="1">
        <v>583</v>
      </c>
      <c r="B98" s="1" t="s">
        <v>3746</v>
      </c>
    </row>
    <row r="99" spans="1:2">
      <c r="A99" s="1">
        <v>690</v>
      </c>
      <c r="B99" s="1" t="s">
        <v>3854</v>
      </c>
    </row>
    <row r="100" spans="1:2">
      <c r="A100" s="1">
        <v>691</v>
      </c>
      <c r="B100" s="1" t="s">
        <v>3799</v>
      </c>
    </row>
    <row r="101" spans="1:2">
      <c r="A101" s="1">
        <v>692</v>
      </c>
      <c r="B101" s="1" t="s">
        <v>3780</v>
      </c>
    </row>
    <row r="102" spans="1:2">
      <c r="A102" s="1">
        <v>695</v>
      </c>
      <c r="B102" s="1" t="s">
        <v>3759</v>
      </c>
    </row>
    <row r="103" spans="1:2">
      <c r="A103" s="1">
        <v>706</v>
      </c>
      <c r="B103" s="1" t="s">
        <v>3686</v>
      </c>
    </row>
    <row r="104" spans="1:2">
      <c r="A104" s="1">
        <v>708</v>
      </c>
      <c r="B104" s="1" t="s">
        <v>3670</v>
      </c>
    </row>
    <row r="105" spans="1:2">
      <c r="A105" s="1">
        <v>835</v>
      </c>
      <c r="B105" s="1" t="s">
        <v>3714</v>
      </c>
    </row>
    <row r="106" spans="1:2">
      <c r="A106" s="1">
        <v>836</v>
      </c>
      <c r="B106" s="1" t="s">
        <v>849</v>
      </c>
    </row>
    <row r="107" spans="1:2">
      <c r="A107"/>
    </row>
    <row r="108" spans="1:2">
      <c r="A108"/>
    </row>
    <row r="109" spans="1:2">
      <c r="A109"/>
    </row>
    <row r="110" spans="1:2">
      <c r="A110"/>
    </row>
    <row r="111" spans="1:2">
      <c r="A111"/>
    </row>
    <row r="112" spans="1:2">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row r="235" spans="1:1">
      <c r="A235"/>
    </row>
    <row r="236" spans="1:1">
      <c r="A236"/>
    </row>
    <row r="237" spans="1:1">
      <c r="A237"/>
    </row>
    <row r="238" spans="1:1">
      <c r="A238"/>
    </row>
    <row r="239" spans="1:1">
      <c r="A239"/>
    </row>
    <row r="240" spans="1: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c r="A251"/>
    </row>
    <row r="252" spans="1:1">
      <c r="A252"/>
    </row>
    <row r="253" spans="1:1">
      <c r="A253"/>
    </row>
    <row r="254" spans="1:1">
      <c r="A254"/>
    </row>
    <row r="255" spans="1:1">
      <c r="A255"/>
    </row>
    <row r="256" spans="1:1">
      <c r="A256"/>
    </row>
    <row r="257" spans="1:1">
      <c r="A257"/>
    </row>
    <row r="258" spans="1:1">
      <c r="A258"/>
    </row>
    <row r="259" spans="1:1">
      <c r="A259"/>
    </row>
    <row r="260" spans="1:1">
      <c r="A260"/>
    </row>
    <row r="261" spans="1:1">
      <c r="A261"/>
    </row>
    <row r="262" spans="1:1">
      <c r="A262"/>
    </row>
    <row r="263" spans="1:1">
      <c r="A263"/>
    </row>
    <row r="264" spans="1:1">
      <c r="A264"/>
    </row>
    <row r="265" spans="1:1">
      <c r="A265"/>
    </row>
    <row r="266" spans="1:1">
      <c r="A266"/>
    </row>
    <row r="267" spans="1:1">
      <c r="A267"/>
    </row>
    <row r="268" spans="1:1">
      <c r="A268"/>
    </row>
    <row r="269" spans="1:1">
      <c r="A269"/>
    </row>
    <row r="270" spans="1:1">
      <c r="A270"/>
    </row>
    <row r="271" spans="1:1">
      <c r="A271"/>
    </row>
    <row r="272" spans="1:1">
      <c r="A272"/>
    </row>
    <row r="273" spans="1:1">
      <c r="A273"/>
    </row>
    <row r="274" spans="1:1">
      <c r="A274"/>
    </row>
    <row r="275" spans="1:1">
      <c r="A275"/>
    </row>
    <row r="276" spans="1:1">
      <c r="A276"/>
    </row>
    <row r="277" spans="1:1">
      <c r="A277"/>
    </row>
    <row r="278" spans="1:1">
      <c r="A278"/>
    </row>
    <row r="279" spans="1:1">
      <c r="A279"/>
    </row>
    <row r="280" spans="1:1">
      <c r="A280"/>
    </row>
    <row r="281" spans="1:1">
      <c r="A281"/>
    </row>
    <row r="282" spans="1:1">
      <c r="A282"/>
    </row>
    <row r="283" spans="1:1">
      <c r="A283"/>
    </row>
    <row r="284" spans="1:1">
      <c r="A284"/>
    </row>
    <row r="285" spans="1:1">
      <c r="A285"/>
    </row>
    <row r="286" spans="1:1">
      <c r="A286"/>
    </row>
    <row r="287" spans="1:1">
      <c r="A287"/>
    </row>
    <row r="288" spans="1:1">
      <c r="A288"/>
    </row>
  </sheetData>
  <autoFilter ref="A1:D99" xr:uid="{00000000-0009-0000-0000-00000E000000}"/>
  <conditionalFormatting sqref="A1:A1048576">
    <cfRule type="duplicateValues" dxfId="8" priority="1"/>
  </conditionalFormatting>
  <pageMargins left="0.7" right="0.7" top="0.75" bottom="0.75" header="0.3" footer="0.3"/>
  <pageSetup paperSize="9" orientation="portrait" horizontalDpi="4294967295" verticalDpi="4294967295"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59"/>
  <sheetViews>
    <sheetView showGridLines="0" topLeftCell="A4" zoomScale="80" zoomScaleNormal="80" workbookViewId="0">
      <selection activeCell="B33" sqref="B33"/>
    </sheetView>
  </sheetViews>
  <sheetFormatPr defaultColWidth="9.1796875" defaultRowHeight="14.5"/>
  <cols>
    <col min="1" max="1" width="4.26953125" customWidth="1"/>
    <col min="2" max="2" width="203.26953125" customWidth="1"/>
  </cols>
  <sheetData>
    <row r="1" spans="1:7" ht="57.65" customHeight="1">
      <c r="A1" s="198">
        <v>2</v>
      </c>
      <c r="B1" s="552" t="str">
        <f>HLOOKUP('General Information'!$C$6,'IDIOMA (hide)'!$A$1:$D$5016,A1,0)</f>
        <v>LTEP - Levantamento Técnico de Estimativa de Projeto TASY EMR
Código do documento: 0060 - Rev 024</v>
      </c>
      <c r="C1" s="552"/>
      <c r="D1" s="552"/>
      <c r="E1" s="552"/>
      <c r="F1" s="552"/>
      <c r="G1" s="552"/>
    </row>
    <row r="2" spans="1:7" ht="18.649999999999999" customHeight="1">
      <c r="A2" s="198">
        <v>364</v>
      </c>
      <c r="B2" s="354" t="str">
        <f>HLOOKUP('General Information'!$C$6,'IDIOMA (hide)'!$A$1:$D$5016,A2,0)</f>
        <v>*Sugestões de Premissas para serem inclusas em contrato</v>
      </c>
      <c r="C2" s="321"/>
      <c r="D2" s="321"/>
      <c r="E2" s="321"/>
      <c r="F2" s="321"/>
      <c r="G2" s="321"/>
    </row>
    <row r="3" spans="1:7" ht="7.9" customHeight="1"/>
    <row r="4" spans="1:7">
      <c r="A4" s="198">
        <v>277</v>
      </c>
      <c r="B4" s="355" t="str">
        <f>HLOOKUP('General Information'!$C$6,'IDIOMA (hide)'!$A$1:$D$5016,A4,0)</f>
        <v>Premissas da Estimativa</v>
      </c>
    </row>
    <row r="5" spans="1:7" ht="15" thickBot="1">
      <c r="A5" s="198"/>
      <c r="B5" s="356"/>
    </row>
    <row r="6" spans="1:7">
      <c r="A6" s="198">
        <v>278</v>
      </c>
      <c r="B6" s="357" t="str">
        <f>HLOOKUP('General Information'!$C$6,'IDIOMA (hide)'!$A$1:$D$5016,A6,0)</f>
        <v>·         Inicia-se a implantação dos módulos com uma apresentação do processo padrão utilizando as melhores práticas (To Be);</v>
      </c>
    </row>
    <row r="7" spans="1:7" ht="29">
      <c r="A7" s="198">
        <v>279</v>
      </c>
      <c r="B7" s="358" t="str">
        <f>HLOOKUP('General Information'!$C$6,'IDIOMA (hide)'!$A$1:$D$5016,A7,0)</f>
        <v>·         Na apresentação será verificada a necessidade de ajuste ou se algo não foi apresentado. (Aderência To Be). Caso tenha algo para ajustar ou criar, realiza-se o processo de ajuste e/ou criação. Após ajustes, é apresentado aos envolvidos como ficou. (Parametrização e Aderência). Dependendo do tamanho da alteração, precisaremos rever as horas.</v>
      </c>
    </row>
    <row r="8" spans="1:7">
      <c r="A8" s="198">
        <v>280</v>
      </c>
      <c r="B8" s="358" t="str">
        <f>HLOOKUP('General Information'!$C$6,'IDIOMA (hide)'!$A$1:$D$5016,A8,0)</f>
        <v>·         A PHILIPS fará os treinamentos exclusivamente após a validação.</v>
      </c>
    </row>
    <row r="9" spans="1:7" ht="29">
      <c r="A9" s="198">
        <v>281</v>
      </c>
      <c r="B9" s="358" t="str">
        <f>HLOOKUP('General Information'!$C$6,'IDIOMA (hide)'!$A$1:$D$5016,A9,0)</f>
        <v>·         A PHILIPS, através de seus consultores, fará 2 (dois) treinamentos presencias na sede do CLIENTE, para cada unidade implantada pela PHILIPS (1 unidade modelo + 4 rollouts), para funcionalidades assistenciais relacionadas à hemodiálise (enfermagem e médico). Para as demais funcionalidades a PHILIPS fará os treinamentos aos usuários multiplicadores conforme metodologia desta.</v>
      </c>
    </row>
    <row r="10" spans="1:7">
      <c r="A10" s="198">
        <v>282</v>
      </c>
      <c r="B10" s="358" t="str">
        <f>HLOOKUP('General Information'!$C$6,'IDIOMA (hide)'!$A$1:$D$5016,A10,0)</f>
        <v>·         Os manuais serão padrões do sistema/funcionalidades e não é customizado de acordo com o processo do CLIENTE.</v>
      </c>
    </row>
    <row r="11" spans="1:7">
      <c r="A11" s="198">
        <v>283</v>
      </c>
      <c r="B11" s="358" t="str">
        <f>HLOOKUP('General Information'!$C$6,'IDIOMA (hide)'!$A$1:$D$5016,A11,0)</f>
        <v>·         Não há processo de Mapeamento “As IS”, apenas apresentação e foco no To Be.</v>
      </c>
    </row>
    <row r="12" spans="1:7">
      <c r="A12" s="198">
        <v>284</v>
      </c>
      <c r="B12" s="358" t="str">
        <f>HLOOKUP('General Information'!$C$6,'IDIOMA (hide)'!$A$1:$D$5016,A12,0)</f>
        <v>·         Treinamentos apenas para os usuários multiplicadores.</v>
      </c>
    </row>
    <row r="13" spans="1:7">
      <c r="A13" s="198">
        <v>285</v>
      </c>
      <c r="B13" s="358" t="str">
        <f>HLOOKUP('General Information'!$C$6,'IDIOMA (hide)'!$A$1:$D$5016,A13,0)</f>
        <v>·         Para implementação do SISTEMA, a PHILIPS usará uma base com processos padrões previamente parametrizados;</v>
      </c>
    </row>
    <row r="14" spans="1:7">
      <c r="A14" s="198">
        <v>286</v>
      </c>
      <c r="B14" s="358" t="str">
        <f>HLOOKUP('General Information'!$C$6,'IDIOMA (hide)'!$A$1:$D$5016,A14,0)</f>
        <v>·       A Implantação do SISTEMA, parte de escopo previamente parametrizado que é baseado nas melhores práticas de mercado;</v>
      </c>
    </row>
    <row r="15" spans="1:7">
      <c r="A15" s="198">
        <v>287</v>
      </c>
      <c r="B15" s="358" t="str">
        <f>HLOOKUP('General Information'!$C$6,'IDIOMA (hide)'!$A$1:$D$5016,A15,0)</f>
        <v>·         É obrigação exclusiva do CLIENTE a revisão dos cadastros constantes na base do SISTEMA de forma a adequá-los à sua necessidade.</v>
      </c>
    </row>
    <row r="16" spans="1:7" ht="29">
      <c r="A16" s="198">
        <v>288</v>
      </c>
      <c r="B16" s="358" t="str">
        <f>HLOOKUP('General Information'!$C$6,'IDIOMA (hide)'!$A$1:$D$5016,A16,0)</f>
        <v>·         O registro de regras e cadastros no SISTEMA com os usuários do CLIENTE não é parte do roll de serviços da PHILIPS para este projeto. Outrossim, se solicitado pelo CLIENTE a realização destes pela PHILIPS, as horas decorrentes desta demanda adicional deverão ser adimplidas pelo CLIENTE;</v>
      </c>
    </row>
    <row r="17" spans="1:2">
      <c r="A17" s="198">
        <v>289</v>
      </c>
      <c r="B17" s="358" t="str">
        <f>HLOOKUP('General Information'!$C$6,'IDIOMA (hide)'!$A$1:$D$5016,A17,0)</f>
        <v>·         A unidade modelo que será a primeira implantação realizada pela PHILIPS, deverá estar sediada na cidade de São Paulo / Capital;</v>
      </c>
    </row>
    <row r="18" spans="1:2">
      <c r="A18" s="198">
        <v>290</v>
      </c>
      <c r="B18" s="358" t="str">
        <f>HLOOKUP('General Information'!$C$6,'IDIOMA (hide)'!$A$1:$D$5016,A18,0)</f>
        <v>·         As demais 4 unidades que serão implantadas pela PHILIPS o modelo de rollout deverão estar sediadas nas cidades de São Paulo e/ou Rio de Janeiro (Capital e Região Metropolitana);</v>
      </c>
    </row>
    <row r="19" spans="1:2" ht="29">
      <c r="A19" s="198">
        <v>291</v>
      </c>
      <c r="B19" s="358" t="str">
        <f>HLOOKUP('General Information'!$C$6,'IDIOMA (hide)'!$A$1:$D$5016,A19,0)</f>
        <v>·         As 10 unidades do CLIENTE cuja implantação será realizada por este e a PHILIPS fará exclusivamente a homologação do projeto de implantação, estas deverão estar sediadas nas regiões pré-determinadas e observadas as quantidades máximas por região, conforme segue:</v>
      </c>
    </row>
    <row r="20" spans="1:2">
      <c r="A20" s="198">
        <v>292</v>
      </c>
      <c r="B20" s="359" t="str">
        <f>HLOOKUP('General Information'!$C$6,'IDIOMA (hide)'!$A$1:$D$5016,A20,0)</f>
        <v>Região Sul ou Sudeste: limitado a 10 unidades;</v>
      </c>
    </row>
    <row r="21" spans="1:2">
      <c r="A21" s="198">
        <v>293</v>
      </c>
      <c r="B21" s="359" t="str">
        <f>HLOOKUP('General Information'!$C$6,'IDIOMA (hide)'!$A$1:$D$5016,A21,0)</f>
        <v>Região Centro-Oeste: Limitado a 2 unidades;</v>
      </c>
    </row>
    <row r="22" spans="1:2" ht="15" thickBot="1">
      <c r="A22" s="198">
        <v>294</v>
      </c>
      <c r="B22" s="360" t="str">
        <f>HLOOKUP('General Information'!$C$6,'IDIOMA (hide)'!$A$1:$D$5016,A22,0)</f>
        <v>Região Nordeste: Limitado a 4 unidades.</v>
      </c>
    </row>
    <row r="23" spans="1:2">
      <c r="A23" s="198"/>
      <c r="B23" s="82"/>
    </row>
    <row r="24" spans="1:2" ht="29">
      <c r="A24" s="198">
        <v>295</v>
      </c>
      <c r="B24" s="355" t="str">
        <f>HLOOKUP('General Information'!$C$6,'IDIOMA (hide)'!$A$1:$D$5016,A24,0)</f>
        <v>A PHILIPS se compromete, com base no escopo do projeto e nos recursos previstos, que a primeira unidade (modelo) será implementada em até 7 (sete) meses após a assinatura do contrato, exceto se o CLIENTE não cumprir integralmente com suas atividades. Dentre as atividades que eventualmente poderão impedir a conclusão do projeto, consoante a data acima prevista, destacam-se, não se resumindo à:</v>
      </c>
    </row>
    <row r="25" spans="1:2" ht="15" thickBot="1">
      <c r="B25" s="361"/>
    </row>
    <row r="26" spans="1:2">
      <c r="A26" s="198">
        <v>296</v>
      </c>
      <c r="B26" s="362" t="str">
        <f>HLOOKUP('General Information'!$C$6,'IDIOMA (hide)'!$A$1:$D$5016,A26,0)</f>
        <v>a) Infraestrutura inadequada para a implantação.</v>
      </c>
    </row>
    <row r="27" spans="1:2">
      <c r="A27" s="198">
        <v>297</v>
      </c>
      <c r="B27" s="363" t="str">
        <f>HLOOKUP('General Information'!$C$6,'IDIOMA (hide)'!$A$1:$D$5016,A27,0)</f>
        <v>b) Não comparecimento de usuário aos Treinamentos ou a qualquer atividade previamente agendada.</v>
      </c>
    </row>
    <row r="28" spans="1:2">
      <c r="A28" s="198">
        <v>298</v>
      </c>
      <c r="B28" s="363" t="str">
        <f>HLOOKUP('General Information'!$C$6,'IDIOMA (hide)'!$A$1:$D$5016,A28,0)</f>
        <v>c) Necessidade de re-treinamento de usuários ou re-parametrização do sistema por iniciativa do cliente.</v>
      </c>
    </row>
    <row r="29" spans="1:2">
      <c r="A29" s="198">
        <v>299</v>
      </c>
      <c r="B29" s="363" t="str">
        <f>HLOOKUP('General Information'!$C$6,'IDIOMA (hide)'!$A$1:$D$5016,A29,0)</f>
        <v>d) Necessidade de treinamento de novos usuários não previstos antes do início da implantação do módulo.</v>
      </c>
    </row>
    <row r="30" spans="1:2">
      <c r="A30" s="198">
        <v>300</v>
      </c>
      <c r="B30" s="363" t="str">
        <f>HLOOKUP('General Information'!$C$6,'IDIOMA (hide)'!$A$1:$D$5016,A30,0)</f>
        <v>e) Atraso das tarefas por parte dos usuários e consequentemente mais horas do consultor no projeto.</v>
      </c>
    </row>
    <row r="31" spans="1:2">
      <c r="A31" s="198">
        <v>301</v>
      </c>
      <c r="B31" s="363" t="str">
        <f>HLOOKUP('General Information'!$C$6,'IDIOMA (hide)'!$A$1:$D$5016,A31,0)</f>
        <v>f) Não atendimento pleno as obrigações assumidas pelo CLIENTE no presente contrato, em especial, sem se limitar, as cláusulas 7.6, 7.6.1, 8.10 e 8.14.</v>
      </c>
    </row>
    <row r="32" spans="1:2">
      <c r="A32" s="198">
        <v>302</v>
      </c>
      <c r="B32" s="363" t="str">
        <f>HLOOKUP('General Information'!$C$6,'IDIOMA (hide)'!$A$1:$D$5016,A32,0)</f>
        <v xml:space="preserve">g) Não cumprimento, pelo CLIENTE, da metodologia de implantação da PHILIPS, das premissas da estimativa e itens apresentados na reunião de planejamento, registrados em ata; </v>
      </c>
    </row>
    <row r="33" spans="1:2">
      <c r="A33" s="198">
        <v>303</v>
      </c>
      <c r="B33" s="363" t="str">
        <f>HLOOKUP('General Information'!$C$6,'IDIOMA (hide)'!$A$1:$D$5016,A33,0)</f>
        <v>h) Solicitação de novas customizações e/ou alteração nas previamente analisadas pela PHILIPS.</v>
      </c>
    </row>
    <row r="34" spans="1:2">
      <c r="A34" s="198">
        <v>304</v>
      </c>
      <c r="B34" s="363" t="str">
        <f>HLOOKUP('General Information'!$C$6,'IDIOMA (hide)'!$A$1:$D$5016,A34,0)</f>
        <v>i) dos módulos referenciados no item “i” supra. Qualquer alteração posterior isenta a PHILIPS da responsabilidade assumida.</v>
      </c>
    </row>
    <row r="35" spans="1:2">
      <c r="A35" s="198">
        <v>305</v>
      </c>
      <c r="B35" s="363" t="str">
        <f>HLOOKUP('General Information'!$C$6,'IDIOMA (hide)'!$A$1:$D$5016,A35,0)</f>
        <v>k) Garante que caso haja a necessidade de integrações com terceiros, estes serão envolvidos desde o início do projeto.</v>
      </c>
    </row>
    <row r="36" spans="1:2">
      <c r="A36" s="198">
        <v>306</v>
      </c>
      <c r="B36" s="363" t="str">
        <f>HLOOKUP('General Information'!$C$6,'IDIOMA (hide)'!$A$1:$D$5016,A36,0)</f>
        <v>l) Disponibilizar um analista de TI responsável, em tempo integral, para o projeto.</v>
      </c>
    </row>
    <row r="37" spans="1:2">
      <c r="A37" s="198">
        <v>307</v>
      </c>
      <c r="B37" s="363" t="str">
        <f>HLOOKUP('General Information'!$C$6,'IDIOMA (hide)'!$A$1:$D$5016,A37,0)</f>
        <v>m) Disponibilizar um gerente de projeto especifico para o projeto de implantação.</v>
      </c>
    </row>
    <row r="38" spans="1:2">
      <c r="A38" s="198">
        <v>308</v>
      </c>
      <c r="B38" s="363" t="str">
        <f>HLOOKUP('General Information'!$C$6,'IDIOMA (hide)'!$A$1:$D$5016,A38,0)</f>
        <v>n) Organizar um comitê que controle o tempo e definições de processo do CLIENTE. </v>
      </c>
    </row>
    <row r="39" spans="1:2">
      <c r="A39" s="198">
        <v>309</v>
      </c>
      <c r="B39" s="363" t="str">
        <f>HLOOKUP('General Information'!$C$6,'IDIOMA (hide)'!$A$1:$D$5016,A39,0)</f>
        <v>o) Disponibilizar a infraestrutura devidamente validada antes do início do projeto. (Equipamentos, máquinas e TI).</v>
      </c>
    </row>
    <row r="40" spans="1:2">
      <c r="A40" s="198">
        <v>310</v>
      </c>
      <c r="B40" s="363" t="str">
        <f>HLOOKUP('General Information'!$C$6,'IDIOMA (hide)'!$A$1:$D$5016,A40,0)</f>
        <v>p) Realizar a contratação dos empregados, se necessário, para cada área, no tempo previsto para aplicação de treinamento.</v>
      </c>
    </row>
    <row r="41" spans="1:2" ht="15" thickBot="1">
      <c r="A41" s="198">
        <v>311</v>
      </c>
      <c r="B41" s="364" t="str">
        <f>HLOOKUP('General Information'!$C$6,'IDIOMA (hide)'!$A$1:$D$5016,A41,0)</f>
        <v>q) Disponibilizar documentação legal necessária (alvará, habite-se e etc.), desde que exigida por Lei para efetivação do objeto do presente contrato. </v>
      </c>
    </row>
    <row r="42" spans="1:2" ht="15" thickBot="1">
      <c r="B42" s="82"/>
    </row>
    <row r="43" spans="1:2">
      <c r="A43" s="198">
        <v>312</v>
      </c>
      <c r="B43" s="365" t="str">
        <f>HLOOKUP('General Information'!$C$6,'IDIOMA (hide)'!$A$1:$D$5016,A43,0)</f>
        <v>Algumas considerações/Premissas contempladas no projeto:       </v>
      </c>
    </row>
    <row r="44" spans="1:2">
      <c r="A44" s="198">
        <v>313</v>
      </c>
      <c r="B44" s="366" t="str">
        <f>HLOOKUP('General Information'!$C$6,'IDIOMA (hide)'!$A$1:$D$5016,A44,0)</f>
        <v>Considerando estimativa de horas de implantação por função.    </v>
      </c>
    </row>
    <row r="45" spans="1:2">
      <c r="A45" s="198">
        <v>314</v>
      </c>
      <c r="B45" s="214" t="str">
        <f>HLOOKUP('General Information'!$C$6,'IDIOMA (hide)'!$A$1:$D$5016,A45,0)</f>
        <v>Utilização de uma base com processo padrões (melhores práticas da Philips)     </v>
      </c>
    </row>
    <row r="46" spans="1:2">
      <c r="A46" s="198">
        <v>315</v>
      </c>
      <c r="B46" s="214" t="str">
        <f>HLOOKUP('General Information'!$C$6,'IDIOMA (hide)'!$A$1:$D$5016,A46,0)</f>
        <v>Para o processo de Base processo padrão x Estimativa por fução é utilizado a estratégia de implantação detalhada abaixo.     </v>
      </c>
    </row>
    <row r="47" spans="1:2">
      <c r="A47" s="198">
        <v>316</v>
      </c>
      <c r="B47" s="366" t="str">
        <f>HLOOKUP('General Information'!$C$6,'IDIOMA (hide)'!$A$1:$D$5016,A47,0)</f>
        <v>      1. Inicia-se implantação dos módulos por uma apresentação do processo padrão utilizando as melhores práticas (To be). </v>
      </c>
    </row>
    <row r="48" spans="1:2">
      <c r="A48" s="198">
        <v>317</v>
      </c>
      <c r="B48" s="366" t="str">
        <f>HLOOKUP('General Information'!$C$6,'IDIOMA (hide)'!$A$1:$D$5016,A48,0)</f>
        <v>      2. É verificado na apresentação se tem algo que precisa ser ajustado ou algo não apresentado. (Aderência To Be)</v>
      </c>
    </row>
    <row r="49" spans="1:2">
      <c r="A49" s="198">
        <v>318</v>
      </c>
      <c r="B49" s="366" t="str">
        <f>HLOOKUP('General Information'!$C$6,'IDIOMA (hide)'!$A$1:$D$5016,A49,0)</f>
        <v>      3. Caso tenha algo para ajustar ou criar, realiza-se o processo de ajuste e/ou criação e após apresenta aos envolvidos como ficou. (Parametrização e Aderência)</v>
      </c>
    </row>
    <row r="50" spans="1:2">
      <c r="A50" s="198">
        <v>319</v>
      </c>
      <c r="B50" s="366" t="str">
        <f>HLOOKUP('General Information'!$C$6,'IDIOMA (hide)'!$A$1:$D$5016,A50,0)</f>
        <v>         3.1 - Dependendo do tamanho da alteração, precisaremos rever as horas.</v>
      </c>
    </row>
    <row r="51" spans="1:2">
      <c r="A51" s="198">
        <v>320</v>
      </c>
      <c r="B51" s="366" t="str">
        <f>HLOOKUP('General Information'!$C$6,'IDIOMA (hide)'!$A$1:$D$5016,A51,0)</f>
        <v>      4. Após validações faremos os treinamentos.      </v>
      </c>
    </row>
    <row r="52" spans="1:2">
      <c r="A52" s="198">
        <v>321</v>
      </c>
      <c r="B52" s="366" t="str">
        <f>HLOOKUP('General Information'!$C$6,'IDIOMA (hide)'!$A$1:$D$5016,A52,0)</f>
        <v>Os manuais serão padrões do sistema/funcionalidades e não customizado com o processo do cliente.       </v>
      </c>
    </row>
    <row r="53" spans="1:2">
      <c r="A53" s="198">
        <v>322</v>
      </c>
      <c r="B53" s="366" t="str">
        <f>HLOOKUP('General Information'!$C$6,'IDIOMA (hide)'!$A$1:$D$5016,A53,0)</f>
        <v>Sem processo de Mapemaento As IS, apenas apresentação e foco no To Be. </v>
      </c>
    </row>
    <row r="54" spans="1:2">
      <c r="A54" s="198">
        <v>323</v>
      </c>
      <c r="B54" s="366" t="str">
        <f>HLOOKUP('General Information'!$C$6,'IDIOMA (hide)'!$A$1:$D$5016,A54,0)</f>
        <v>Treinamentos apenas para multiplicadores.      </v>
      </c>
    </row>
    <row r="55" spans="1:2">
      <c r="A55" s="198">
        <v>324</v>
      </c>
      <c r="B55" s="366" t="str">
        <f>HLOOKUP('General Information'!$C$6,'IDIOMA (hide)'!$A$1:$D$5016,A55,0)</f>
        <v>Não realização de regras e cadastros junto com os usuários. Caso desejado, iremos ter adição de horas. </v>
      </c>
    </row>
    <row r="56" spans="1:2">
      <c r="A56" s="198">
        <v>325</v>
      </c>
      <c r="B56" s="366" t="str">
        <f>HLOOKUP('General Information'!$C$6,'IDIOMA (hide)'!$A$1:$D$5016,A56,0)</f>
        <v>        1 - Será feito o treinamento.</v>
      </c>
    </row>
    <row r="57" spans="1:2">
      <c r="A57" s="198">
        <v>326</v>
      </c>
      <c r="B57" s="366" t="str">
        <f>HLOOKUP('General Information'!$C$6,'IDIOMA (hide)'!$A$1:$D$5016,A57,0)</f>
        <v>        2 - Será disponibilizado Manual padrão do produto.</v>
      </c>
    </row>
    <row r="58" spans="1:2">
      <c r="A58" s="198">
        <v>327</v>
      </c>
      <c r="B58" s="366" t="str">
        <f>HLOOKUP('General Information'!$C$6,'IDIOMA (hide)'!$A$1:$D$5016,A58,0)</f>
        <v>        3 - Acompanharemos os primeiros registros para eliminação de maiores dúvidas e certificação de que esta sendo feito corretamente.</v>
      </c>
    </row>
    <row r="59" spans="1:2" ht="15" thickBot="1">
      <c r="A59" s="198">
        <v>328</v>
      </c>
      <c r="B59" s="367" t="str">
        <f>HLOOKUP('General Information'!$C$6,'IDIOMA (hide)'!$A$1:$D$5016,A59,0)</f>
        <v>        4 - Após usuário fará sozinho e caso tiver dúvidas, elilmina-las com analisata de Ti, caso o analista não conseguir, o mesmo pode sana-las com o consultor.    </v>
      </c>
    </row>
  </sheetData>
  <sheetProtection algorithmName="SHA-512" hashValue="DQPS0m82K2y5CcvhS6bGaV/rZULru7iZ0xLEVUWWyw7kHDN0lJaBezwonycqg6Pb2vShKaqKYaJsuBvKzGbEeg==" saltValue="0+IhuoSsjPwqofJc1eAppw==" spinCount="100000" sheet="1" objects="1" scenarios="1"/>
  <mergeCells count="1">
    <mergeCell ref="B1:G1"/>
  </mergeCells>
  <pageMargins left="0.7" right="0.7" top="0.75" bottom="0.75" header="0.3" footer="0.3"/>
  <pageSetup paperSize="9" orientation="portrait" horizontalDpi="300" verticalDpi="30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9E594-91FF-471A-9EC6-D3A7D4C4B488}">
  <dimension ref="A1:E337"/>
  <sheetViews>
    <sheetView workbookViewId="0">
      <pane ySplit="1" topLeftCell="A200" activePane="bottomLeft" state="frozen"/>
      <selection pane="bottomLeft" activeCell="C3" sqref="C3"/>
    </sheetView>
  </sheetViews>
  <sheetFormatPr defaultRowHeight="14.5"/>
  <cols>
    <col min="1" max="1" width="64.26953125" bestFit="1" customWidth="1"/>
    <col min="2" max="2" width="4.26953125" bestFit="1" customWidth="1"/>
    <col min="3" max="3" width="11.1796875" bestFit="1" customWidth="1"/>
    <col min="4" max="4" width="18.81640625" bestFit="1" customWidth="1"/>
    <col min="5" max="5" width="18" bestFit="1" customWidth="1"/>
  </cols>
  <sheetData>
    <row r="1" spans="1:5">
      <c r="C1" s="500" t="s">
        <v>6009</v>
      </c>
      <c r="D1" s="500" t="s">
        <v>6010</v>
      </c>
      <c r="E1" t="s">
        <v>6011</v>
      </c>
    </row>
    <row r="2" spans="1:5">
      <c r="A2" t="s">
        <v>251</v>
      </c>
      <c r="B2" t="s">
        <v>5826</v>
      </c>
      <c r="C2" t="str">
        <f t="shared" ref="C2:C63" si="0">IF(B2="Sim","Yes","No")</f>
        <v>Yes</v>
      </c>
      <c r="D2" t="str">
        <f t="shared" ref="D2:E2" si="1">C2</f>
        <v>Yes</v>
      </c>
      <c r="E2" t="str">
        <f t="shared" si="1"/>
        <v>Yes</v>
      </c>
    </row>
    <row r="3" spans="1:5">
      <c r="A3" t="s">
        <v>46</v>
      </c>
      <c r="B3" t="s">
        <v>5826</v>
      </c>
      <c r="C3" t="str">
        <f t="shared" si="0"/>
        <v>Yes</v>
      </c>
      <c r="D3" t="str">
        <f t="shared" ref="D3:E3" si="2">C3</f>
        <v>Yes</v>
      </c>
      <c r="E3" t="str">
        <f t="shared" si="2"/>
        <v>Yes</v>
      </c>
    </row>
    <row r="4" spans="1:5">
      <c r="A4" t="s">
        <v>6016</v>
      </c>
      <c r="B4" t="s">
        <v>5826</v>
      </c>
      <c r="C4" t="str">
        <f t="shared" si="0"/>
        <v>Yes</v>
      </c>
      <c r="D4" t="str">
        <f t="shared" ref="D4:E4" si="3">C4</f>
        <v>Yes</v>
      </c>
      <c r="E4" t="str">
        <f t="shared" si="3"/>
        <v>Yes</v>
      </c>
    </row>
    <row r="5" spans="1:5">
      <c r="A5" t="s">
        <v>6261</v>
      </c>
      <c r="C5" t="str">
        <f t="shared" si="0"/>
        <v>No</v>
      </c>
      <c r="D5" t="str">
        <f t="shared" ref="D5:E5" si="4">C5</f>
        <v>No</v>
      </c>
      <c r="E5" t="str">
        <f t="shared" si="4"/>
        <v>No</v>
      </c>
    </row>
    <row r="6" spans="1:5">
      <c r="A6" t="s">
        <v>157</v>
      </c>
      <c r="B6" t="s">
        <v>5826</v>
      </c>
      <c r="C6" t="str">
        <f t="shared" si="0"/>
        <v>Yes</v>
      </c>
      <c r="D6" t="str">
        <f t="shared" ref="D6:E6" si="5">C6</f>
        <v>Yes</v>
      </c>
      <c r="E6" t="str">
        <f t="shared" si="5"/>
        <v>Yes</v>
      </c>
    </row>
    <row r="7" spans="1:5">
      <c r="A7" t="s">
        <v>6017</v>
      </c>
      <c r="B7" t="s">
        <v>5826</v>
      </c>
      <c r="C7" t="str">
        <f t="shared" si="0"/>
        <v>Yes</v>
      </c>
      <c r="D7" t="str">
        <f t="shared" ref="D7:E7" si="6">C7</f>
        <v>Yes</v>
      </c>
      <c r="E7" t="str">
        <f t="shared" si="6"/>
        <v>Yes</v>
      </c>
    </row>
    <row r="8" spans="1:5">
      <c r="A8" t="s">
        <v>47</v>
      </c>
      <c r="B8" t="s">
        <v>5826</v>
      </c>
      <c r="C8" t="str">
        <f t="shared" si="0"/>
        <v>Yes</v>
      </c>
      <c r="D8" t="str">
        <f t="shared" ref="D8:E8" si="7">C8</f>
        <v>Yes</v>
      </c>
      <c r="E8" t="str">
        <f t="shared" si="7"/>
        <v>Yes</v>
      </c>
    </row>
    <row r="9" spans="1:5">
      <c r="A9" t="s">
        <v>151</v>
      </c>
      <c r="C9" t="str">
        <f t="shared" si="0"/>
        <v>No</v>
      </c>
      <c r="D9" t="str">
        <f t="shared" ref="D9:E9" si="8">C9</f>
        <v>No</v>
      </c>
      <c r="E9" t="str">
        <f t="shared" si="8"/>
        <v>No</v>
      </c>
    </row>
    <row r="10" spans="1:5">
      <c r="A10" t="s">
        <v>156</v>
      </c>
      <c r="B10" t="s">
        <v>5826</v>
      </c>
      <c r="C10" t="str">
        <f t="shared" si="0"/>
        <v>Yes</v>
      </c>
      <c r="D10" t="str">
        <f t="shared" ref="D10:E10" si="9">C10</f>
        <v>Yes</v>
      </c>
      <c r="E10" t="str">
        <f t="shared" si="9"/>
        <v>Yes</v>
      </c>
    </row>
    <row r="11" spans="1:5">
      <c r="A11" t="s">
        <v>162</v>
      </c>
      <c r="B11" t="s">
        <v>5826</v>
      </c>
      <c r="C11" t="str">
        <f t="shared" si="0"/>
        <v>Yes</v>
      </c>
      <c r="D11" t="str">
        <f t="shared" ref="D11:E11" si="10">C11</f>
        <v>Yes</v>
      </c>
      <c r="E11" t="str">
        <f t="shared" si="10"/>
        <v>Yes</v>
      </c>
    </row>
    <row r="12" spans="1:5">
      <c r="A12" t="s">
        <v>158</v>
      </c>
      <c r="B12" t="s">
        <v>5826</v>
      </c>
      <c r="C12" t="str">
        <f t="shared" si="0"/>
        <v>Yes</v>
      </c>
      <c r="D12" t="str">
        <f t="shared" ref="D12:E12" si="11">C12</f>
        <v>Yes</v>
      </c>
      <c r="E12" t="str">
        <f t="shared" si="11"/>
        <v>Yes</v>
      </c>
    </row>
    <row r="13" spans="1:5">
      <c r="A13" t="s">
        <v>159</v>
      </c>
      <c r="C13" t="str">
        <f t="shared" si="0"/>
        <v>No</v>
      </c>
      <c r="D13" t="str">
        <f t="shared" ref="D13:E13" si="12">C13</f>
        <v>No</v>
      </c>
      <c r="E13" t="str">
        <f t="shared" si="12"/>
        <v>No</v>
      </c>
    </row>
    <row r="14" spans="1:5">
      <c r="A14" t="s">
        <v>6018</v>
      </c>
      <c r="B14" t="s">
        <v>5826</v>
      </c>
      <c r="C14" t="str">
        <f t="shared" si="0"/>
        <v>Yes</v>
      </c>
      <c r="D14" t="str">
        <f t="shared" ref="D14:E14" si="13">C14</f>
        <v>Yes</v>
      </c>
      <c r="E14" t="str">
        <f t="shared" si="13"/>
        <v>Yes</v>
      </c>
    </row>
    <row r="15" spans="1:5">
      <c r="A15" t="s">
        <v>3759</v>
      </c>
      <c r="C15" t="str">
        <f t="shared" si="0"/>
        <v>No</v>
      </c>
      <c r="D15" t="str">
        <f t="shared" ref="D15:E15" si="14">C15</f>
        <v>No</v>
      </c>
      <c r="E15" t="str">
        <f t="shared" si="14"/>
        <v>No</v>
      </c>
    </row>
    <row r="16" spans="1:5">
      <c r="A16" t="s">
        <v>3768</v>
      </c>
      <c r="B16" t="s">
        <v>5826</v>
      </c>
      <c r="C16" t="str">
        <f t="shared" si="0"/>
        <v>Yes</v>
      </c>
      <c r="D16" t="str">
        <f t="shared" ref="D16:E16" si="15">C16</f>
        <v>Yes</v>
      </c>
      <c r="E16" t="str">
        <f t="shared" si="15"/>
        <v>Yes</v>
      </c>
    </row>
    <row r="17" spans="1:5">
      <c r="A17" t="s">
        <v>3765</v>
      </c>
      <c r="B17" t="s">
        <v>5826</v>
      </c>
      <c r="C17" t="str">
        <f t="shared" si="0"/>
        <v>Yes</v>
      </c>
      <c r="D17" t="str">
        <f t="shared" ref="D17:E17" si="16">C17</f>
        <v>Yes</v>
      </c>
      <c r="E17" t="str">
        <f t="shared" si="16"/>
        <v>Yes</v>
      </c>
    </row>
    <row r="18" spans="1:5">
      <c r="A18" t="s">
        <v>6019</v>
      </c>
      <c r="B18" t="s">
        <v>5826</v>
      </c>
      <c r="C18" t="str">
        <f t="shared" si="0"/>
        <v>Yes</v>
      </c>
      <c r="D18" t="str">
        <f t="shared" ref="D18:E18" si="17">C18</f>
        <v>Yes</v>
      </c>
      <c r="E18" t="str">
        <f t="shared" si="17"/>
        <v>Yes</v>
      </c>
    </row>
    <row r="19" spans="1:5">
      <c r="A19" t="s">
        <v>6262</v>
      </c>
      <c r="C19" t="str">
        <f t="shared" si="0"/>
        <v>No</v>
      </c>
      <c r="D19" t="str">
        <f t="shared" ref="D19:E19" si="18">C19</f>
        <v>No</v>
      </c>
      <c r="E19" t="str">
        <f t="shared" si="18"/>
        <v>No</v>
      </c>
    </row>
    <row r="20" spans="1:5">
      <c r="A20" t="s">
        <v>3799</v>
      </c>
      <c r="C20" t="str">
        <f t="shared" si="0"/>
        <v>No</v>
      </c>
      <c r="D20" t="str">
        <f t="shared" ref="D20:E20" si="19">C20</f>
        <v>No</v>
      </c>
      <c r="E20" t="str">
        <f t="shared" si="19"/>
        <v>No</v>
      </c>
    </row>
    <row r="21" spans="1:5">
      <c r="A21" t="s">
        <v>3823</v>
      </c>
      <c r="C21" t="str">
        <f t="shared" si="0"/>
        <v>No</v>
      </c>
      <c r="D21" t="str">
        <f t="shared" ref="D21:E21" si="20">C21</f>
        <v>No</v>
      </c>
      <c r="E21" t="str">
        <f t="shared" si="20"/>
        <v>No</v>
      </c>
    </row>
    <row r="22" spans="1:5">
      <c r="A22" t="s">
        <v>3829</v>
      </c>
      <c r="C22" t="str">
        <f t="shared" si="0"/>
        <v>No</v>
      </c>
      <c r="D22" t="str">
        <f t="shared" ref="D22:E22" si="21">C22</f>
        <v>No</v>
      </c>
      <c r="E22" t="str">
        <f t="shared" si="21"/>
        <v>No</v>
      </c>
    </row>
    <row r="23" spans="1:5">
      <c r="A23" t="s">
        <v>3820</v>
      </c>
      <c r="B23" t="s">
        <v>5826</v>
      </c>
      <c r="C23" t="str">
        <f t="shared" si="0"/>
        <v>Yes</v>
      </c>
      <c r="D23" t="str">
        <f t="shared" ref="D23:E23" si="22">C23</f>
        <v>Yes</v>
      </c>
      <c r="E23" t="str">
        <f t="shared" si="22"/>
        <v>Yes</v>
      </c>
    </row>
    <row r="24" spans="1:5">
      <c r="A24" t="s">
        <v>3814</v>
      </c>
      <c r="C24" t="str">
        <f t="shared" si="0"/>
        <v>No</v>
      </c>
      <c r="D24" t="str">
        <f t="shared" ref="D24:E24" si="23">C24</f>
        <v>No</v>
      </c>
      <c r="E24" t="str">
        <f t="shared" si="23"/>
        <v>No</v>
      </c>
    </row>
    <row r="25" spans="1:5">
      <c r="A25" t="s">
        <v>3811</v>
      </c>
      <c r="C25" t="str">
        <f t="shared" si="0"/>
        <v>No</v>
      </c>
      <c r="D25" t="str">
        <f t="shared" ref="D25:E25" si="24">C25</f>
        <v>No</v>
      </c>
      <c r="E25" t="str">
        <f t="shared" si="24"/>
        <v>No</v>
      </c>
    </row>
    <row r="26" spans="1:5">
      <c r="A26" t="s">
        <v>3802</v>
      </c>
      <c r="B26" t="s">
        <v>5826</v>
      </c>
      <c r="C26" t="str">
        <f t="shared" si="0"/>
        <v>Yes</v>
      </c>
      <c r="D26" t="str">
        <f t="shared" ref="D26:E26" si="25">C26</f>
        <v>Yes</v>
      </c>
      <c r="E26" t="str">
        <f t="shared" si="25"/>
        <v>Yes</v>
      </c>
    </row>
    <row r="27" spans="1:5">
      <c r="A27" t="s">
        <v>3847</v>
      </c>
      <c r="B27" t="s">
        <v>5826</v>
      </c>
      <c r="C27" t="str">
        <f t="shared" si="0"/>
        <v>Yes</v>
      </c>
      <c r="D27" t="str">
        <f t="shared" ref="D27:E27" si="26">C27</f>
        <v>Yes</v>
      </c>
      <c r="E27" t="str">
        <f t="shared" si="26"/>
        <v>Yes</v>
      </c>
    </row>
    <row r="28" spans="1:5">
      <c r="A28" t="s">
        <v>3844</v>
      </c>
      <c r="B28" t="s">
        <v>5826</v>
      </c>
      <c r="C28" t="str">
        <f t="shared" si="0"/>
        <v>Yes</v>
      </c>
      <c r="D28" t="str">
        <f t="shared" ref="D28:E28" si="27">C28</f>
        <v>Yes</v>
      </c>
      <c r="E28" t="str">
        <f t="shared" si="27"/>
        <v>Yes</v>
      </c>
    </row>
    <row r="29" spans="1:5">
      <c r="A29" t="s">
        <v>3850</v>
      </c>
      <c r="C29" t="str">
        <f t="shared" si="0"/>
        <v>No</v>
      </c>
      <c r="D29" t="str">
        <f t="shared" ref="D29:E29" si="28">C29</f>
        <v>No</v>
      </c>
      <c r="E29" t="str">
        <f t="shared" si="28"/>
        <v>No</v>
      </c>
    </row>
    <row r="30" spans="1:5">
      <c r="A30" t="s">
        <v>3832</v>
      </c>
      <c r="C30" t="str">
        <f t="shared" si="0"/>
        <v>No</v>
      </c>
      <c r="D30" t="str">
        <f t="shared" ref="D30:E30" si="29">C30</f>
        <v>No</v>
      </c>
      <c r="E30" t="str">
        <f t="shared" si="29"/>
        <v>No</v>
      </c>
    </row>
    <row r="31" spans="1:5">
      <c r="A31" t="s">
        <v>3805</v>
      </c>
      <c r="C31" t="str">
        <f t="shared" si="0"/>
        <v>No</v>
      </c>
      <c r="D31" t="str">
        <f t="shared" ref="D31:E31" si="30">C31</f>
        <v>No</v>
      </c>
      <c r="E31" t="str">
        <f t="shared" si="30"/>
        <v>No</v>
      </c>
    </row>
    <row r="32" spans="1:5">
      <c r="A32" t="s">
        <v>3826</v>
      </c>
      <c r="C32" t="str">
        <f t="shared" si="0"/>
        <v>No</v>
      </c>
      <c r="D32" t="str">
        <f t="shared" ref="D32:E32" si="31">C32</f>
        <v>No</v>
      </c>
      <c r="E32" t="str">
        <f t="shared" si="31"/>
        <v>No</v>
      </c>
    </row>
    <row r="33" spans="1:5">
      <c r="A33" t="s">
        <v>3853</v>
      </c>
      <c r="B33" t="s">
        <v>5826</v>
      </c>
      <c r="C33" t="str">
        <f t="shared" si="0"/>
        <v>Yes</v>
      </c>
      <c r="D33" t="str">
        <f t="shared" ref="D33:E33" si="32">C33</f>
        <v>Yes</v>
      </c>
      <c r="E33" t="str">
        <f t="shared" si="32"/>
        <v>Yes</v>
      </c>
    </row>
    <row r="34" spans="1:5">
      <c r="A34" t="s">
        <v>149</v>
      </c>
      <c r="C34" t="str">
        <f t="shared" si="0"/>
        <v>No</v>
      </c>
      <c r="D34" t="str">
        <f t="shared" ref="D34:E34" si="33">C34</f>
        <v>No</v>
      </c>
      <c r="E34" t="str">
        <f t="shared" si="33"/>
        <v>No</v>
      </c>
    </row>
    <row r="35" spans="1:5">
      <c r="A35" t="s">
        <v>3808</v>
      </c>
      <c r="C35" t="str">
        <f t="shared" si="0"/>
        <v>No</v>
      </c>
      <c r="D35" t="str">
        <f t="shared" ref="D35:E35" si="34">C35</f>
        <v>No</v>
      </c>
      <c r="E35" t="str">
        <f t="shared" si="34"/>
        <v>No</v>
      </c>
    </row>
    <row r="36" spans="1:5">
      <c r="A36" t="s">
        <v>1568</v>
      </c>
      <c r="C36" t="str">
        <f t="shared" si="0"/>
        <v>No</v>
      </c>
      <c r="D36" t="str">
        <f t="shared" ref="D36:E36" si="35">C36</f>
        <v>No</v>
      </c>
      <c r="E36" t="str">
        <f t="shared" si="35"/>
        <v>No</v>
      </c>
    </row>
    <row r="37" spans="1:5">
      <c r="A37" t="s">
        <v>6020</v>
      </c>
      <c r="B37" t="s">
        <v>5826</v>
      </c>
      <c r="C37" t="str">
        <f t="shared" si="0"/>
        <v>Yes</v>
      </c>
      <c r="D37" t="str">
        <f t="shared" ref="D37:E37" si="36">C37</f>
        <v>Yes</v>
      </c>
      <c r="E37" t="str">
        <f t="shared" si="36"/>
        <v>Yes</v>
      </c>
    </row>
    <row r="38" spans="1:5">
      <c r="A38" t="s">
        <v>1569</v>
      </c>
      <c r="B38" t="s">
        <v>5826</v>
      </c>
      <c r="C38" t="str">
        <f t="shared" si="0"/>
        <v>Yes</v>
      </c>
      <c r="D38" t="str">
        <f t="shared" ref="D38:E38" si="37">C38</f>
        <v>Yes</v>
      </c>
      <c r="E38" t="str">
        <f t="shared" si="37"/>
        <v>Yes</v>
      </c>
    </row>
    <row r="39" spans="1:5">
      <c r="A39" t="s">
        <v>4648</v>
      </c>
      <c r="C39" t="str">
        <f t="shared" si="0"/>
        <v>No</v>
      </c>
      <c r="D39" t="str">
        <f t="shared" ref="D39:E39" si="38">C39</f>
        <v>No</v>
      </c>
      <c r="E39" t="str">
        <f t="shared" si="38"/>
        <v>No</v>
      </c>
    </row>
    <row r="40" spans="1:5">
      <c r="A40" t="s">
        <v>4683</v>
      </c>
      <c r="C40" t="s">
        <v>2890</v>
      </c>
      <c r="D40" t="s">
        <v>2890</v>
      </c>
      <c r="E40" t="s">
        <v>2890</v>
      </c>
    </row>
    <row r="41" spans="1:5">
      <c r="A41" t="s">
        <v>4672</v>
      </c>
      <c r="B41" t="s">
        <v>5826</v>
      </c>
      <c r="C41" t="s">
        <v>2890</v>
      </c>
      <c r="D41" t="s">
        <v>2889</v>
      </c>
      <c r="E41" t="s">
        <v>2889</v>
      </c>
    </row>
    <row r="42" spans="1:5">
      <c r="A42" t="s">
        <v>4666</v>
      </c>
      <c r="B42" t="s">
        <v>5826</v>
      </c>
      <c r="C42" t="s">
        <v>2890</v>
      </c>
      <c r="D42" t="s">
        <v>2889</v>
      </c>
      <c r="E42" t="s">
        <v>2889</v>
      </c>
    </row>
    <row r="43" spans="1:5">
      <c r="A43" t="s">
        <v>4663</v>
      </c>
      <c r="C43" t="s">
        <v>2890</v>
      </c>
      <c r="D43" t="s">
        <v>2890</v>
      </c>
      <c r="E43" t="s">
        <v>2890</v>
      </c>
    </row>
    <row r="44" spans="1:5">
      <c r="A44" t="s">
        <v>4669</v>
      </c>
      <c r="C44" t="s">
        <v>2890</v>
      </c>
      <c r="D44" t="s">
        <v>2890</v>
      </c>
      <c r="E44" t="s">
        <v>2890</v>
      </c>
    </row>
    <row r="45" spans="1:5">
      <c r="A45" t="s">
        <v>4660</v>
      </c>
      <c r="C45" t="s">
        <v>2890</v>
      </c>
      <c r="D45" t="s">
        <v>2890</v>
      </c>
      <c r="E45" t="s">
        <v>2890</v>
      </c>
    </row>
    <row r="46" spans="1:5">
      <c r="A46" t="s">
        <v>4657</v>
      </c>
      <c r="B46" t="s">
        <v>5826</v>
      </c>
      <c r="C46" t="s">
        <v>2890</v>
      </c>
      <c r="D46" t="s">
        <v>2889</v>
      </c>
      <c r="E46" t="s">
        <v>2889</v>
      </c>
    </row>
    <row r="47" spans="1:5">
      <c r="A47" t="s">
        <v>4654</v>
      </c>
      <c r="B47" t="s">
        <v>5826</v>
      </c>
      <c r="C47" t="s">
        <v>2890</v>
      </c>
      <c r="D47" t="s">
        <v>2889</v>
      </c>
      <c r="E47" t="s">
        <v>2889</v>
      </c>
    </row>
    <row r="48" spans="1:5">
      <c r="A48" t="s">
        <v>4651</v>
      </c>
      <c r="C48" t="s">
        <v>2890</v>
      </c>
      <c r="D48" t="s">
        <v>2890</v>
      </c>
      <c r="E48" t="s">
        <v>2890</v>
      </c>
    </row>
    <row r="49" spans="1:5">
      <c r="A49" t="s">
        <v>4677</v>
      </c>
      <c r="C49" t="s">
        <v>2890</v>
      </c>
      <c r="D49" t="s">
        <v>2890</v>
      </c>
      <c r="E49" t="s">
        <v>2890</v>
      </c>
    </row>
    <row r="50" spans="1:5">
      <c r="A50" t="s">
        <v>4680</v>
      </c>
      <c r="C50" t="s">
        <v>2890</v>
      </c>
      <c r="D50" t="s">
        <v>2890</v>
      </c>
      <c r="E50" t="s">
        <v>2890</v>
      </c>
    </row>
    <row r="51" spans="1:5">
      <c r="A51" t="s">
        <v>6</v>
      </c>
      <c r="C51" t="str">
        <f t="shared" si="0"/>
        <v>No</v>
      </c>
      <c r="D51" t="str">
        <f t="shared" ref="D51:E51" si="39">C51</f>
        <v>No</v>
      </c>
      <c r="E51" t="str">
        <f t="shared" si="39"/>
        <v>No</v>
      </c>
    </row>
    <row r="52" spans="1:5">
      <c r="A52" t="s">
        <v>4136</v>
      </c>
      <c r="B52" t="s">
        <v>5826</v>
      </c>
      <c r="C52" t="str">
        <f t="shared" si="0"/>
        <v>Yes</v>
      </c>
      <c r="D52" t="str">
        <f t="shared" ref="D52:E52" si="40">C52</f>
        <v>Yes</v>
      </c>
      <c r="E52" t="str">
        <f t="shared" si="40"/>
        <v>Yes</v>
      </c>
    </row>
    <row r="53" spans="1:5">
      <c r="A53" t="s">
        <v>4142</v>
      </c>
      <c r="C53" t="str">
        <f t="shared" si="0"/>
        <v>No</v>
      </c>
      <c r="D53" t="str">
        <f t="shared" ref="D53:E53" si="41">C53</f>
        <v>No</v>
      </c>
      <c r="E53" t="str">
        <f t="shared" si="41"/>
        <v>No</v>
      </c>
    </row>
    <row r="54" spans="1:5">
      <c r="A54" t="s">
        <v>4</v>
      </c>
      <c r="C54" t="str">
        <f t="shared" si="0"/>
        <v>No</v>
      </c>
      <c r="D54" t="str">
        <f t="shared" ref="D54:E54" si="42">C54</f>
        <v>No</v>
      </c>
      <c r="E54" t="str">
        <f t="shared" si="42"/>
        <v>No</v>
      </c>
    </row>
    <row r="55" spans="1:5">
      <c r="A55" t="s">
        <v>4132</v>
      </c>
      <c r="C55" t="str">
        <f t="shared" si="0"/>
        <v>No</v>
      </c>
      <c r="D55" t="str">
        <f t="shared" ref="D55:E55" si="43">C55</f>
        <v>No</v>
      </c>
      <c r="E55" t="str">
        <f t="shared" si="43"/>
        <v>No</v>
      </c>
    </row>
    <row r="56" spans="1:5">
      <c r="A56" t="s">
        <v>3686</v>
      </c>
      <c r="C56" t="str">
        <f t="shared" si="0"/>
        <v>No</v>
      </c>
      <c r="D56" t="str">
        <f t="shared" ref="D56:E56" si="44">C56</f>
        <v>No</v>
      </c>
      <c r="E56" t="str">
        <f t="shared" si="44"/>
        <v>No</v>
      </c>
    </row>
    <row r="57" spans="1:5">
      <c r="A57" t="s">
        <v>3689</v>
      </c>
      <c r="B57" t="s">
        <v>5826</v>
      </c>
      <c r="C57" t="str">
        <f t="shared" si="0"/>
        <v>Yes</v>
      </c>
      <c r="D57" t="str">
        <f t="shared" ref="D57:E57" si="45">C57</f>
        <v>Yes</v>
      </c>
      <c r="E57" t="str">
        <f t="shared" si="45"/>
        <v>Yes</v>
      </c>
    </row>
    <row r="58" spans="1:5">
      <c r="A58" t="s">
        <v>4588</v>
      </c>
      <c r="C58" t="str">
        <f t="shared" si="0"/>
        <v>No</v>
      </c>
      <c r="D58" t="str">
        <f t="shared" ref="D58:E58" si="46">C58</f>
        <v>No</v>
      </c>
      <c r="E58" t="str">
        <f t="shared" si="46"/>
        <v>No</v>
      </c>
    </row>
    <row r="59" spans="1:5">
      <c r="A59" t="s">
        <v>4603</v>
      </c>
      <c r="B59" t="s">
        <v>5826</v>
      </c>
      <c r="C59" t="str">
        <f t="shared" si="0"/>
        <v>Yes</v>
      </c>
      <c r="D59" t="str">
        <f t="shared" ref="D59:E59" si="47">C59</f>
        <v>Yes</v>
      </c>
      <c r="E59" t="str">
        <f t="shared" si="47"/>
        <v>Yes</v>
      </c>
    </row>
    <row r="60" spans="1:5">
      <c r="A60" t="s">
        <v>4600</v>
      </c>
      <c r="C60" t="str">
        <f t="shared" si="0"/>
        <v>No</v>
      </c>
      <c r="D60" t="str">
        <f t="shared" ref="D60:E60" si="48">C60</f>
        <v>No</v>
      </c>
      <c r="E60" t="str">
        <f t="shared" si="48"/>
        <v>No</v>
      </c>
    </row>
    <row r="61" spans="1:5">
      <c r="A61" t="s">
        <v>4612</v>
      </c>
      <c r="C61" t="str">
        <f t="shared" si="0"/>
        <v>No</v>
      </c>
      <c r="D61" t="str">
        <f t="shared" ref="D61:E61" si="49">C61</f>
        <v>No</v>
      </c>
      <c r="E61" t="str">
        <f t="shared" si="49"/>
        <v>No</v>
      </c>
    </row>
    <row r="62" spans="1:5">
      <c r="A62" t="s">
        <v>4629</v>
      </c>
      <c r="B62" t="s">
        <v>5826</v>
      </c>
      <c r="C62" t="str">
        <f t="shared" si="0"/>
        <v>Yes</v>
      </c>
      <c r="D62" t="str">
        <f t="shared" ref="D62:E62" si="50">C62</f>
        <v>Yes</v>
      </c>
      <c r="E62" t="str">
        <f t="shared" si="50"/>
        <v>Yes</v>
      </c>
    </row>
    <row r="63" spans="1:5">
      <c r="A63" t="s">
        <v>4615</v>
      </c>
      <c r="B63" t="s">
        <v>5826</v>
      </c>
      <c r="C63" t="str">
        <f t="shared" si="0"/>
        <v>Yes</v>
      </c>
      <c r="D63" t="str">
        <f t="shared" ref="D63:E63" si="51">C63</f>
        <v>Yes</v>
      </c>
      <c r="E63" t="str">
        <f t="shared" si="51"/>
        <v>Yes</v>
      </c>
    </row>
    <row r="64" spans="1:5">
      <c r="A64" t="s">
        <v>4618</v>
      </c>
      <c r="B64" t="s">
        <v>5826</v>
      </c>
      <c r="C64" t="str">
        <f t="shared" ref="C64:C127" si="52">IF(B64="Sim","Yes","No")</f>
        <v>Yes</v>
      </c>
      <c r="D64" t="str">
        <f t="shared" ref="D64:E64" si="53">C64</f>
        <v>Yes</v>
      </c>
      <c r="E64" t="str">
        <f t="shared" si="53"/>
        <v>Yes</v>
      </c>
    </row>
    <row r="65" spans="1:5">
      <c r="A65" t="s">
        <v>4606</v>
      </c>
      <c r="B65" t="s">
        <v>5826</v>
      </c>
      <c r="C65" t="str">
        <f t="shared" si="52"/>
        <v>Yes</v>
      </c>
      <c r="D65" t="str">
        <f t="shared" ref="D65:E65" si="54">C65</f>
        <v>Yes</v>
      </c>
      <c r="E65" t="str">
        <f t="shared" si="54"/>
        <v>Yes</v>
      </c>
    </row>
    <row r="66" spans="1:5">
      <c r="A66" t="s">
        <v>4594</v>
      </c>
      <c r="C66" t="str">
        <f t="shared" si="52"/>
        <v>No</v>
      </c>
      <c r="D66" t="str">
        <f t="shared" ref="D66:E66" si="55">C66</f>
        <v>No</v>
      </c>
      <c r="E66" t="str">
        <f t="shared" si="55"/>
        <v>No</v>
      </c>
    </row>
    <row r="67" spans="1:5">
      <c r="A67" t="s">
        <v>4626</v>
      </c>
      <c r="C67" t="str">
        <f t="shared" si="52"/>
        <v>No</v>
      </c>
      <c r="D67" t="str">
        <f t="shared" ref="D67:E67" si="56">C67</f>
        <v>No</v>
      </c>
      <c r="E67" t="str">
        <f t="shared" si="56"/>
        <v>No</v>
      </c>
    </row>
    <row r="68" spans="1:5">
      <c r="A68" t="s">
        <v>4641</v>
      </c>
      <c r="C68" t="str">
        <f t="shared" si="52"/>
        <v>No</v>
      </c>
      <c r="D68" t="str">
        <f t="shared" ref="D68:E68" si="57">C68</f>
        <v>No</v>
      </c>
      <c r="E68" t="str">
        <f t="shared" si="57"/>
        <v>No</v>
      </c>
    </row>
    <row r="69" spans="1:5">
      <c r="A69" t="s">
        <v>4624</v>
      </c>
      <c r="C69" t="str">
        <f t="shared" si="52"/>
        <v>No</v>
      </c>
      <c r="D69" t="str">
        <f t="shared" ref="D69:E69" si="58">C69</f>
        <v>No</v>
      </c>
      <c r="E69" t="str">
        <f t="shared" si="58"/>
        <v>No</v>
      </c>
    </row>
    <row r="70" spans="1:5">
      <c r="A70" t="s">
        <v>4636</v>
      </c>
      <c r="C70" t="str">
        <f t="shared" si="52"/>
        <v>No</v>
      </c>
      <c r="D70" t="str">
        <f t="shared" ref="D70:E70" si="59">C70</f>
        <v>No</v>
      </c>
      <c r="E70" t="str">
        <f t="shared" si="59"/>
        <v>No</v>
      </c>
    </row>
    <row r="71" spans="1:5">
      <c r="A71" t="s">
        <v>4597</v>
      </c>
      <c r="C71" t="str">
        <f t="shared" si="52"/>
        <v>No</v>
      </c>
      <c r="D71" t="str">
        <f t="shared" ref="D71:E71" si="60">C71</f>
        <v>No</v>
      </c>
      <c r="E71" t="str">
        <f t="shared" si="60"/>
        <v>No</v>
      </c>
    </row>
    <row r="72" spans="1:5">
      <c r="A72" t="s">
        <v>849</v>
      </c>
      <c r="C72" t="str">
        <f t="shared" si="52"/>
        <v>No</v>
      </c>
      <c r="D72" t="str">
        <f t="shared" ref="D72:E72" si="61">C72</f>
        <v>No</v>
      </c>
      <c r="E72" t="str">
        <f t="shared" si="61"/>
        <v>No</v>
      </c>
    </row>
    <row r="73" spans="1:5">
      <c r="A73" t="s">
        <v>3707</v>
      </c>
      <c r="B73" t="s">
        <v>5826</v>
      </c>
      <c r="C73" t="str">
        <f t="shared" si="52"/>
        <v>Yes</v>
      </c>
      <c r="D73" t="str">
        <f t="shared" ref="D73:E73" si="62">C73</f>
        <v>Yes</v>
      </c>
      <c r="E73" t="str">
        <f t="shared" si="62"/>
        <v>Yes</v>
      </c>
    </row>
    <row r="74" spans="1:5">
      <c r="A74" t="s">
        <v>3703</v>
      </c>
      <c r="C74" t="str">
        <f t="shared" si="52"/>
        <v>No</v>
      </c>
      <c r="D74" t="str">
        <f t="shared" ref="D74:E74" si="63">C74</f>
        <v>No</v>
      </c>
      <c r="E74" t="str">
        <f t="shared" si="63"/>
        <v>No</v>
      </c>
    </row>
    <row r="75" spans="1:5">
      <c r="A75" t="s">
        <v>442</v>
      </c>
      <c r="C75" t="str">
        <f t="shared" si="52"/>
        <v>No</v>
      </c>
      <c r="D75" t="str">
        <f t="shared" ref="D75:E75" si="64">C75</f>
        <v>No</v>
      </c>
      <c r="E75" t="str">
        <f t="shared" si="64"/>
        <v>No</v>
      </c>
    </row>
    <row r="76" spans="1:5">
      <c r="A76" t="s">
        <v>6263</v>
      </c>
      <c r="C76" t="str">
        <f t="shared" si="52"/>
        <v>No</v>
      </c>
      <c r="D76" t="str">
        <f t="shared" ref="D76:E76" si="65">C76</f>
        <v>No</v>
      </c>
      <c r="E76" t="str">
        <f t="shared" si="65"/>
        <v>No</v>
      </c>
    </row>
    <row r="77" spans="1:5">
      <c r="A77" t="s">
        <v>4474</v>
      </c>
      <c r="C77" t="str">
        <f t="shared" si="52"/>
        <v>No</v>
      </c>
      <c r="D77" t="str">
        <f t="shared" ref="D77:E77" si="66">C77</f>
        <v>No</v>
      </c>
      <c r="E77" t="str">
        <f t="shared" si="66"/>
        <v>No</v>
      </c>
    </row>
    <row r="78" spans="1:5">
      <c r="A78" t="s">
        <v>4498</v>
      </c>
      <c r="C78" t="str">
        <f t="shared" si="52"/>
        <v>No</v>
      </c>
      <c r="D78" t="str">
        <f t="shared" ref="D78:E78" si="67">C78</f>
        <v>No</v>
      </c>
      <c r="E78" t="str">
        <f t="shared" si="67"/>
        <v>No</v>
      </c>
    </row>
    <row r="79" spans="1:5">
      <c r="A79" t="s">
        <v>4483</v>
      </c>
      <c r="B79" t="s">
        <v>5826</v>
      </c>
      <c r="C79" t="str">
        <f t="shared" si="52"/>
        <v>Yes</v>
      </c>
      <c r="D79" t="str">
        <f t="shared" ref="D79:E79" si="68">C79</f>
        <v>Yes</v>
      </c>
      <c r="E79" t="str">
        <f t="shared" si="68"/>
        <v>Yes</v>
      </c>
    </row>
    <row r="80" spans="1:5">
      <c r="A80" t="s">
        <v>4493</v>
      </c>
      <c r="B80" t="s">
        <v>5826</v>
      </c>
      <c r="C80" t="str">
        <f t="shared" si="52"/>
        <v>Yes</v>
      </c>
      <c r="D80" t="str">
        <f t="shared" ref="D80:E80" si="69">C80</f>
        <v>Yes</v>
      </c>
      <c r="E80" t="str">
        <f t="shared" si="69"/>
        <v>Yes</v>
      </c>
    </row>
    <row r="81" spans="1:5">
      <c r="A81" t="s">
        <v>4477</v>
      </c>
      <c r="B81" t="s">
        <v>5826</v>
      </c>
      <c r="C81" t="str">
        <f t="shared" si="52"/>
        <v>Yes</v>
      </c>
      <c r="D81" t="str">
        <f t="shared" ref="D81:E81" si="70">C81</f>
        <v>Yes</v>
      </c>
      <c r="E81" t="str">
        <f t="shared" si="70"/>
        <v>Yes</v>
      </c>
    </row>
    <row r="82" spans="1:5">
      <c r="A82" t="s">
        <v>4490</v>
      </c>
      <c r="B82" t="s">
        <v>5826</v>
      </c>
      <c r="C82" t="str">
        <f t="shared" si="52"/>
        <v>Yes</v>
      </c>
      <c r="D82" t="str">
        <f t="shared" ref="D82:E82" si="71">C82</f>
        <v>Yes</v>
      </c>
      <c r="E82" t="str">
        <f t="shared" si="71"/>
        <v>Yes</v>
      </c>
    </row>
    <row r="83" spans="1:5">
      <c r="A83" t="s">
        <v>4486</v>
      </c>
      <c r="B83" t="s">
        <v>5826</v>
      </c>
      <c r="C83" t="str">
        <f t="shared" si="52"/>
        <v>Yes</v>
      </c>
      <c r="D83" t="str">
        <f t="shared" ref="D83:E83" si="72">C83</f>
        <v>Yes</v>
      </c>
      <c r="E83" t="str">
        <f t="shared" si="72"/>
        <v>Yes</v>
      </c>
    </row>
    <row r="84" spans="1:5">
      <c r="A84" t="s">
        <v>4480</v>
      </c>
      <c r="C84" t="str">
        <f t="shared" si="52"/>
        <v>No</v>
      </c>
      <c r="D84" t="str">
        <f t="shared" ref="D84:E84" si="73">C84</f>
        <v>No</v>
      </c>
      <c r="E84" t="str">
        <f t="shared" si="73"/>
        <v>No</v>
      </c>
    </row>
    <row r="85" spans="1:5">
      <c r="A85" t="s">
        <v>4502</v>
      </c>
      <c r="C85" t="str">
        <f t="shared" si="52"/>
        <v>No</v>
      </c>
      <c r="D85" t="str">
        <f t="shared" ref="D85:E85" si="74">C85</f>
        <v>No</v>
      </c>
      <c r="E85" t="str">
        <f t="shared" si="74"/>
        <v>No</v>
      </c>
    </row>
    <row r="86" spans="1:5">
      <c r="A86" t="s">
        <v>4000</v>
      </c>
      <c r="C86" t="str">
        <f t="shared" si="52"/>
        <v>No</v>
      </c>
      <c r="D86" t="str">
        <f t="shared" ref="D86:E86" si="75">C86</f>
        <v>No</v>
      </c>
      <c r="E86" t="str">
        <f t="shared" si="75"/>
        <v>No</v>
      </c>
    </row>
    <row r="87" spans="1:5">
      <c r="A87" t="s">
        <v>4520</v>
      </c>
      <c r="B87" t="s">
        <v>5826</v>
      </c>
      <c r="C87" t="str">
        <f t="shared" si="52"/>
        <v>Yes</v>
      </c>
      <c r="D87" t="str">
        <f t="shared" ref="D87:E87" si="76">C87</f>
        <v>Yes</v>
      </c>
      <c r="E87" t="str">
        <f t="shared" si="76"/>
        <v>Yes</v>
      </c>
    </row>
    <row r="88" spans="1:5">
      <c r="A88" t="s">
        <v>4514</v>
      </c>
      <c r="C88" t="str">
        <f t="shared" si="52"/>
        <v>No</v>
      </c>
      <c r="D88" t="str">
        <f t="shared" ref="D88:E88" si="77">C88</f>
        <v>No</v>
      </c>
      <c r="E88" t="str">
        <f t="shared" si="77"/>
        <v>No</v>
      </c>
    </row>
    <row r="89" spans="1:5">
      <c r="A89" t="s">
        <v>4511</v>
      </c>
      <c r="C89" t="str">
        <f t="shared" si="52"/>
        <v>No</v>
      </c>
      <c r="D89" t="str">
        <f t="shared" ref="D89:E89" si="78">C89</f>
        <v>No</v>
      </c>
      <c r="E89" t="str">
        <f t="shared" si="78"/>
        <v>No</v>
      </c>
    </row>
    <row r="90" spans="1:5">
      <c r="A90" t="s">
        <v>4522</v>
      </c>
      <c r="C90" t="str">
        <f t="shared" si="52"/>
        <v>No</v>
      </c>
      <c r="D90" t="str">
        <f t="shared" ref="D90:E90" si="79">C90</f>
        <v>No</v>
      </c>
      <c r="E90" t="str">
        <f t="shared" si="79"/>
        <v>No</v>
      </c>
    </row>
    <row r="91" spans="1:5">
      <c r="A91" t="s">
        <v>4508</v>
      </c>
      <c r="B91" t="s">
        <v>5826</v>
      </c>
      <c r="C91" t="str">
        <f t="shared" si="52"/>
        <v>Yes</v>
      </c>
      <c r="D91" t="str">
        <f t="shared" ref="D91:E91" si="80">C91</f>
        <v>Yes</v>
      </c>
      <c r="E91" t="str">
        <f t="shared" si="80"/>
        <v>Yes</v>
      </c>
    </row>
    <row r="92" spans="1:5">
      <c r="A92" t="s">
        <v>6264</v>
      </c>
      <c r="C92" t="str">
        <f t="shared" si="52"/>
        <v>No</v>
      </c>
      <c r="D92" t="str">
        <f t="shared" ref="D92:E92" si="81">C92</f>
        <v>No</v>
      </c>
      <c r="E92" t="str">
        <f t="shared" si="81"/>
        <v>No</v>
      </c>
    </row>
    <row r="93" spans="1:5">
      <c r="A93" t="s">
        <v>4377</v>
      </c>
      <c r="C93" t="str">
        <f t="shared" si="52"/>
        <v>No</v>
      </c>
      <c r="D93" t="str">
        <f t="shared" ref="D93:E93" si="82">C93</f>
        <v>No</v>
      </c>
      <c r="E93" t="str">
        <f t="shared" si="82"/>
        <v>No</v>
      </c>
    </row>
    <row r="94" spans="1:5">
      <c r="A94" t="s">
        <v>3817</v>
      </c>
      <c r="C94" t="str">
        <f t="shared" si="52"/>
        <v>No</v>
      </c>
      <c r="D94" t="str">
        <f t="shared" ref="D94:E94" si="83">C94</f>
        <v>No</v>
      </c>
      <c r="E94" t="str">
        <f t="shared" si="83"/>
        <v>No</v>
      </c>
    </row>
    <row r="95" spans="1:5">
      <c r="A95" t="s">
        <v>4517</v>
      </c>
      <c r="C95" t="str">
        <f t="shared" si="52"/>
        <v>No</v>
      </c>
      <c r="D95" t="str">
        <f t="shared" ref="D95:E95" si="84">C95</f>
        <v>No</v>
      </c>
      <c r="E95" t="str">
        <f t="shared" si="84"/>
        <v>No</v>
      </c>
    </row>
    <row r="96" spans="1:5">
      <c r="A96" t="s">
        <v>4436</v>
      </c>
      <c r="B96" t="s">
        <v>5826</v>
      </c>
      <c r="C96" t="str">
        <f t="shared" si="52"/>
        <v>Yes</v>
      </c>
      <c r="D96" t="str">
        <f t="shared" ref="D96:E96" si="85">C96</f>
        <v>Yes</v>
      </c>
      <c r="E96" t="str">
        <f t="shared" si="85"/>
        <v>Yes</v>
      </c>
    </row>
    <row r="97" spans="1:5">
      <c r="A97" t="s">
        <v>4440</v>
      </c>
      <c r="C97" t="str">
        <f t="shared" si="52"/>
        <v>No</v>
      </c>
      <c r="D97" t="str">
        <f t="shared" ref="D97:E97" si="86">C97</f>
        <v>No</v>
      </c>
      <c r="E97" t="str">
        <f t="shared" si="86"/>
        <v>No</v>
      </c>
    </row>
    <row r="98" spans="1:5">
      <c r="A98" t="s">
        <v>4429</v>
      </c>
      <c r="C98" t="str">
        <f t="shared" si="52"/>
        <v>No</v>
      </c>
      <c r="D98" t="str">
        <f t="shared" ref="D98:E98" si="87">C98</f>
        <v>No</v>
      </c>
      <c r="E98" t="str">
        <f t="shared" si="87"/>
        <v>No</v>
      </c>
    </row>
    <row r="99" spans="1:5">
      <c r="A99" t="s">
        <v>4428</v>
      </c>
      <c r="C99" t="str">
        <f t="shared" si="52"/>
        <v>No</v>
      </c>
      <c r="D99" t="str">
        <f t="shared" ref="D99:E99" si="88">C99</f>
        <v>No</v>
      </c>
      <c r="E99" t="str">
        <f t="shared" si="88"/>
        <v>No</v>
      </c>
    </row>
    <row r="100" spans="1:5">
      <c r="A100" t="s">
        <v>4425</v>
      </c>
      <c r="C100" t="str">
        <f t="shared" si="52"/>
        <v>No</v>
      </c>
      <c r="D100" t="str">
        <f t="shared" ref="D100:E100" si="89">C100</f>
        <v>No</v>
      </c>
      <c r="E100" t="str">
        <f t="shared" si="89"/>
        <v>No</v>
      </c>
    </row>
    <row r="101" spans="1:5">
      <c r="A101" t="s">
        <v>4422</v>
      </c>
      <c r="C101" t="str">
        <f t="shared" si="52"/>
        <v>No</v>
      </c>
      <c r="D101" t="str">
        <f t="shared" ref="D101:E101" si="90">C101</f>
        <v>No</v>
      </c>
      <c r="E101" t="str">
        <f t="shared" si="90"/>
        <v>No</v>
      </c>
    </row>
    <row r="102" spans="1:5">
      <c r="A102" t="s">
        <v>4419</v>
      </c>
      <c r="C102" t="str">
        <f t="shared" si="52"/>
        <v>No</v>
      </c>
      <c r="D102" t="str">
        <f t="shared" ref="D102:E102" si="91">C102</f>
        <v>No</v>
      </c>
      <c r="E102" t="str">
        <f t="shared" si="91"/>
        <v>No</v>
      </c>
    </row>
    <row r="103" spans="1:5">
      <c r="A103" t="s">
        <v>4416</v>
      </c>
      <c r="C103" t="str">
        <f t="shared" si="52"/>
        <v>No</v>
      </c>
      <c r="D103" t="str">
        <f t="shared" ref="D103:E103" si="92">C103</f>
        <v>No</v>
      </c>
      <c r="E103" t="str">
        <f t="shared" si="92"/>
        <v>No</v>
      </c>
    </row>
    <row r="104" spans="1:5">
      <c r="A104" t="s">
        <v>6265</v>
      </c>
      <c r="C104" t="str">
        <f t="shared" si="52"/>
        <v>No</v>
      </c>
      <c r="D104" t="str">
        <f t="shared" ref="D104:E104" si="93">C104</f>
        <v>No</v>
      </c>
      <c r="E104" t="str">
        <f t="shared" si="93"/>
        <v>No</v>
      </c>
    </row>
    <row r="105" spans="1:5">
      <c r="A105" t="s">
        <v>4410</v>
      </c>
      <c r="C105" t="str">
        <f t="shared" si="52"/>
        <v>No</v>
      </c>
      <c r="D105" t="str">
        <f t="shared" ref="D105:E105" si="94">C105</f>
        <v>No</v>
      </c>
      <c r="E105" t="str">
        <f t="shared" si="94"/>
        <v>No</v>
      </c>
    </row>
    <row r="106" spans="1:5">
      <c r="A106" t="s">
        <v>4407</v>
      </c>
      <c r="C106" t="str">
        <f t="shared" si="52"/>
        <v>No</v>
      </c>
      <c r="D106" t="str">
        <f t="shared" ref="D106:E106" si="95">C106</f>
        <v>No</v>
      </c>
      <c r="E106" t="str">
        <f t="shared" si="95"/>
        <v>No</v>
      </c>
    </row>
    <row r="107" spans="1:5">
      <c r="A107" t="s">
        <v>4404</v>
      </c>
      <c r="C107" t="str">
        <f t="shared" si="52"/>
        <v>No</v>
      </c>
      <c r="D107" t="str">
        <f t="shared" ref="D107:E107" si="96">C107</f>
        <v>No</v>
      </c>
      <c r="E107" t="str">
        <f t="shared" si="96"/>
        <v>No</v>
      </c>
    </row>
    <row r="108" spans="1:5">
      <c r="A108" t="s">
        <v>4455</v>
      </c>
      <c r="C108" t="str">
        <f t="shared" si="52"/>
        <v>No</v>
      </c>
      <c r="D108" t="str">
        <f t="shared" ref="D108:E108" si="97">C108</f>
        <v>No</v>
      </c>
      <c r="E108" t="str">
        <f t="shared" si="97"/>
        <v>No</v>
      </c>
    </row>
    <row r="109" spans="1:5">
      <c r="A109" t="s">
        <v>4401</v>
      </c>
      <c r="C109" t="str">
        <f t="shared" si="52"/>
        <v>No</v>
      </c>
      <c r="D109" t="str">
        <f t="shared" ref="D109:E109" si="98">C109</f>
        <v>No</v>
      </c>
      <c r="E109" t="str">
        <f t="shared" si="98"/>
        <v>No</v>
      </c>
    </row>
    <row r="110" spans="1:5">
      <c r="A110" t="s">
        <v>4398</v>
      </c>
      <c r="C110" t="str">
        <f t="shared" si="52"/>
        <v>No</v>
      </c>
      <c r="D110" t="str">
        <f t="shared" ref="D110:E110" si="99">C110</f>
        <v>No</v>
      </c>
      <c r="E110" t="str">
        <f t="shared" si="99"/>
        <v>No</v>
      </c>
    </row>
    <row r="111" spans="1:5">
      <c r="A111" t="s">
        <v>4435</v>
      </c>
      <c r="C111" t="str">
        <f t="shared" si="52"/>
        <v>No</v>
      </c>
      <c r="D111" t="str">
        <f t="shared" ref="D111:E111" si="100">C111</f>
        <v>No</v>
      </c>
      <c r="E111" t="str">
        <f t="shared" si="100"/>
        <v>No</v>
      </c>
    </row>
    <row r="112" spans="1:5">
      <c r="A112" t="s">
        <v>4470</v>
      </c>
      <c r="C112" t="str">
        <f t="shared" si="52"/>
        <v>No</v>
      </c>
      <c r="D112" t="str">
        <f t="shared" ref="D112:E112" si="101">C112</f>
        <v>No</v>
      </c>
      <c r="E112" t="str">
        <f t="shared" si="101"/>
        <v>No</v>
      </c>
    </row>
    <row r="113" spans="1:5">
      <c r="A113" t="s">
        <v>4464</v>
      </c>
      <c r="C113" t="str">
        <f t="shared" si="52"/>
        <v>No</v>
      </c>
      <c r="D113" t="str">
        <f t="shared" ref="D113:E113" si="102">C113</f>
        <v>No</v>
      </c>
      <c r="E113" t="str">
        <f t="shared" si="102"/>
        <v>No</v>
      </c>
    </row>
    <row r="114" spans="1:5">
      <c r="A114" t="s">
        <v>4461</v>
      </c>
      <c r="C114" t="str">
        <f t="shared" si="52"/>
        <v>No</v>
      </c>
      <c r="D114" t="str">
        <f t="shared" ref="D114:E114" si="103">C114</f>
        <v>No</v>
      </c>
      <c r="E114" t="str">
        <f t="shared" si="103"/>
        <v>No</v>
      </c>
    </row>
    <row r="115" spans="1:5">
      <c r="A115" t="s">
        <v>4473</v>
      </c>
      <c r="C115" t="str">
        <f t="shared" si="52"/>
        <v>No</v>
      </c>
      <c r="D115" t="str">
        <f t="shared" ref="D115:E115" si="104">C115</f>
        <v>No</v>
      </c>
      <c r="E115" t="str">
        <f t="shared" si="104"/>
        <v>No</v>
      </c>
    </row>
    <row r="116" spans="1:5">
      <c r="A116" t="s">
        <v>4392</v>
      </c>
      <c r="C116" t="str">
        <f t="shared" si="52"/>
        <v>No</v>
      </c>
      <c r="D116" t="str">
        <f t="shared" ref="D116:E116" si="105">C116</f>
        <v>No</v>
      </c>
      <c r="E116" t="str">
        <f t="shared" si="105"/>
        <v>No</v>
      </c>
    </row>
    <row r="117" spans="1:5">
      <c r="A117" t="s">
        <v>4431</v>
      </c>
      <c r="C117" t="str">
        <f t="shared" si="52"/>
        <v>No</v>
      </c>
      <c r="D117" t="str">
        <f t="shared" ref="D117:E117" si="106">C117</f>
        <v>No</v>
      </c>
      <c r="E117" t="str">
        <f t="shared" si="106"/>
        <v>No</v>
      </c>
    </row>
    <row r="118" spans="1:5">
      <c r="A118" t="s">
        <v>4395</v>
      </c>
      <c r="C118" t="str">
        <f t="shared" si="52"/>
        <v>No</v>
      </c>
      <c r="D118" t="str">
        <f t="shared" ref="D118:E118" si="107">C118</f>
        <v>No</v>
      </c>
      <c r="E118" t="str">
        <f t="shared" si="107"/>
        <v>No</v>
      </c>
    </row>
    <row r="119" spans="1:5">
      <c r="A119" t="s">
        <v>4458</v>
      </c>
      <c r="C119" t="str">
        <f t="shared" si="52"/>
        <v>No</v>
      </c>
      <c r="D119" t="str">
        <f t="shared" ref="D119:E119" si="108">C119</f>
        <v>No</v>
      </c>
      <c r="E119" t="str">
        <f t="shared" si="108"/>
        <v>No</v>
      </c>
    </row>
    <row r="120" spans="1:5">
      <c r="A120" t="s">
        <v>4386</v>
      </c>
      <c r="C120" t="str">
        <f t="shared" si="52"/>
        <v>No</v>
      </c>
      <c r="D120" t="str">
        <f t="shared" ref="D120:E120" si="109">C120</f>
        <v>No</v>
      </c>
      <c r="E120" t="str">
        <f t="shared" si="109"/>
        <v>No</v>
      </c>
    </row>
    <row r="121" spans="1:5">
      <c r="A121" t="s">
        <v>4383</v>
      </c>
      <c r="C121" t="str">
        <f t="shared" si="52"/>
        <v>No</v>
      </c>
      <c r="D121" t="str">
        <f t="shared" ref="D121:E121" si="110">C121</f>
        <v>No</v>
      </c>
      <c r="E121" t="str">
        <f t="shared" si="110"/>
        <v>No</v>
      </c>
    </row>
    <row r="122" spans="1:5">
      <c r="A122" t="s">
        <v>4467</v>
      </c>
      <c r="C122" t="str">
        <f t="shared" si="52"/>
        <v>No</v>
      </c>
      <c r="D122" t="str">
        <f t="shared" ref="D122:E122" si="111">C122</f>
        <v>No</v>
      </c>
      <c r="E122" t="str">
        <f t="shared" si="111"/>
        <v>No</v>
      </c>
    </row>
    <row r="123" spans="1:5">
      <c r="A123" t="s">
        <v>4389</v>
      </c>
      <c r="C123" t="str">
        <f t="shared" si="52"/>
        <v>No</v>
      </c>
      <c r="D123" t="str">
        <f t="shared" ref="D123:E123" si="112">C123</f>
        <v>No</v>
      </c>
      <c r="E123" t="str">
        <f t="shared" si="112"/>
        <v>No</v>
      </c>
    </row>
    <row r="124" spans="1:5">
      <c r="A124" t="s">
        <v>4453</v>
      </c>
      <c r="C124" t="str">
        <f t="shared" si="52"/>
        <v>No</v>
      </c>
      <c r="D124" t="str">
        <f t="shared" ref="D124:E124" si="113">C124</f>
        <v>No</v>
      </c>
      <c r="E124" t="str">
        <f t="shared" si="113"/>
        <v>No</v>
      </c>
    </row>
    <row r="125" spans="1:5">
      <c r="A125" t="s">
        <v>4452</v>
      </c>
      <c r="C125" t="str">
        <f t="shared" si="52"/>
        <v>No</v>
      </c>
      <c r="D125" t="str">
        <f t="shared" ref="D125:E125" si="114">C125</f>
        <v>No</v>
      </c>
      <c r="E125" t="str">
        <f t="shared" si="114"/>
        <v>No</v>
      </c>
    </row>
    <row r="126" spans="1:5">
      <c r="A126" t="s">
        <v>4449</v>
      </c>
      <c r="C126" t="str">
        <f t="shared" si="52"/>
        <v>No</v>
      </c>
      <c r="D126" t="str">
        <f t="shared" ref="D126:E126" si="115">C126</f>
        <v>No</v>
      </c>
      <c r="E126" t="str">
        <f t="shared" si="115"/>
        <v>No</v>
      </c>
    </row>
    <row r="127" spans="1:5">
      <c r="A127" t="s">
        <v>3684</v>
      </c>
      <c r="C127" t="str">
        <f t="shared" si="52"/>
        <v>No</v>
      </c>
      <c r="D127" t="str">
        <f t="shared" ref="D127:E127" si="116">C127</f>
        <v>No</v>
      </c>
      <c r="E127" t="str">
        <f t="shared" si="116"/>
        <v>No</v>
      </c>
    </row>
    <row r="128" spans="1:5">
      <c r="A128" t="s">
        <v>4443</v>
      </c>
      <c r="C128" t="str">
        <f t="shared" ref="C128:C191" si="117">IF(B128="Sim","Yes","No")</f>
        <v>No</v>
      </c>
      <c r="D128" t="str">
        <f t="shared" ref="D128:E128" si="118">C128</f>
        <v>No</v>
      </c>
      <c r="E128" t="str">
        <f t="shared" si="118"/>
        <v>No</v>
      </c>
    </row>
    <row r="129" spans="1:5">
      <c r="A129" t="s">
        <v>4380</v>
      </c>
      <c r="C129" t="str">
        <f t="shared" si="117"/>
        <v>No</v>
      </c>
      <c r="D129" t="str">
        <f t="shared" ref="D129:E129" si="119">C129</f>
        <v>No</v>
      </c>
      <c r="E129" t="str">
        <f t="shared" si="119"/>
        <v>No</v>
      </c>
    </row>
    <row r="130" spans="1:5">
      <c r="A130" t="s">
        <v>4446</v>
      </c>
      <c r="C130" t="str">
        <f t="shared" si="117"/>
        <v>No</v>
      </c>
      <c r="D130" t="str">
        <f t="shared" ref="D130:E130" si="120">C130</f>
        <v>No</v>
      </c>
      <c r="E130" t="str">
        <f t="shared" si="120"/>
        <v>No</v>
      </c>
    </row>
    <row r="131" spans="1:5">
      <c r="A131" t="s">
        <v>3854</v>
      </c>
      <c r="C131" t="str">
        <f t="shared" si="117"/>
        <v>No</v>
      </c>
      <c r="D131" t="str">
        <f t="shared" ref="D131:E131" si="121">C131</f>
        <v>No</v>
      </c>
      <c r="E131" t="str">
        <f t="shared" si="121"/>
        <v>No</v>
      </c>
    </row>
    <row r="132" spans="1:5">
      <c r="A132" t="s">
        <v>3857</v>
      </c>
      <c r="C132" t="str">
        <f t="shared" si="117"/>
        <v>No</v>
      </c>
      <c r="D132" t="str">
        <f t="shared" ref="D132:E132" si="122">C132</f>
        <v>No</v>
      </c>
      <c r="E132" t="str">
        <f t="shared" si="122"/>
        <v>No</v>
      </c>
    </row>
    <row r="133" spans="1:5">
      <c r="A133" t="s">
        <v>3874</v>
      </c>
      <c r="B133" t="s">
        <v>5826</v>
      </c>
      <c r="C133" t="str">
        <f t="shared" si="117"/>
        <v>Yes</v>
      </c>
      <c r="D133" t="str">
        <f t="shared" ref="D133:E133" si="123">C133</f>
        <v>Yes</v>
      </c>
      <c r="E133" t="str">
        <f t="shared" si="123"/>
        <v>Yes</v>
      </c>
    </row>
    <row r="134" spans="1:5">
      <c r="A134" t="s">
        <v>3885</v>
      </c>
      <c r="C134" t="str">
        <f t="shared" si="117"/>
        <v>No</v>
      </c>
      <c r="D134" t="str">
        <f t="shared" ref="D134:E134" si="124">C134</f>
        <v>No</v>
      </c>
      <c r="E134" t="str">
        <f t="shared" si="124"/>
        <v>No</v>
      </c>
    </row>
    <row r="135" spans="1:5">
      <c r="A135" t="s">
        <v>3891</v>
      </c>
      <c r="B135" t="s">
        <v>5826</v>
      </c>
      <c r="C135" t="str">
        <f t="shared" si="117"/>
        <v>Yes</v>
      </c>
      <c r="D135" t="str">
        <f t="shared" ref="D135:E135" si="125">C135</f>
        <v>Yes</v>
      </c>
      <c r="E135" t="str">
        <f t="shared" si="125"/>
        <v>Yes</v>
      </c>
    </row>
    <row r="136" spans="1:5">
      <c r="A136" t="s">
        <v>3875</v>
      </c>
      <c r="B136" t="s">
        <v>5826</v>
      </c>
      <c r="C136" t="str">
        <f t="shared" si="117"/>
        <v>Yes</v>
      </c>
      <c r="D136" t="str">
        <f t="shared" ref="D136:E136" si="126">C136</f>
        <v>Yes</v>
      </c>
      <c r="E136" t="str">
        <f t="shared" si="126"/>
        <v>Yes</v>
      </c>
    </row>
    <row r="137" spans="1:5">
      <c r="A137" t="s">
        <v>3879</v>
      </c>
      <c r="B137" t="s">
        <v>5826</v>
      </c>
      <c r="C137" t="str">
        <f t="shared" si="117"/>
        <v>Yes</v>
      </c>
      <c r="D137" t="str">
        <f t="shared" ref="D137:E137" si="127">C137</f>
        <v>Yes</v>
      </c>
      <c r="E137" t="str">
        <f t="shared" si="127"/>
        <v>Yes</v>
      </c>
    </row>
    <row r="138" spans="1:5">
      <c r="A138" t="s">
        <v>3868</v>
      </c>
      <c r="B138" t="s">
        <v>5826</v>
      </c>
      <c r="C138" t="str">
        <f t="shared" si="117"/>
        <v>Yes</v>
      </c>
      <c r="D138" t="str">
        <f t="shared" ref="D138:E138" si="128">C138</f>
        <v>Yes</v>
      </c>
      <c r="E138" t="str">
        <f t="shared" si="128"/>
        <v>Yes</v>
      </c>
    </row>
    <row r="139" spans="1:5">
      <c r="A139" t="s">
        <v>3894</v>
      </c>
      <c r="C139" t="str">
        <f t="shared" si="117"/>
        <v>No</v>
      </c>
      <c r="D139" t="str">
        <f t="shared" ref="D139:E139" si="129">C139</f>
        <v>No</v>
      </c>
      <c r="E139" t="str">
        <f t="shared" si="129"/>
        <v>No</v>
      </c>
    </row>
    <row r="140" spans="1:5">
      <c r="A140" t="s">
        <v>4538</v>
      </c>
      <c r="C140" t="str">
        <f t="shared" si="117"/>
        <v>No</v>
      </c>
      <c r="D140" t="str">
        <f t="shared" ref="D140:E140" si="130">C140</f>
        <v>No</v>
      </c>
      <c r="E140" t="str">
        <f t="shared" si="130"/>
        <v>No</v>
      </c>
    </row>
    <row r="141" spans="1:5">
      <c r="A141" t="s">
        <v>4580</v>
      </c>
      <c r="C141" t="str">
        <f t="shared" si="117"/>
        <v>No</v>
      </c>
      <c r="D141" t="str">
        <f t="shared" ref="D141:E141" si="131">C141</f>
        <v>No</v>
      </c>
      <c r="E141" t="str">
        <f t="shared" si="131"/>
        <v>No</v>
      </c>
    </row>
    <row r="142" spans="1:5">
      <c r="A142" t="s">
        <v>4577</v>
      </c>
      <c r="C142" t="str">
        <f t="shared" si="117"/>
        <v>No</v>
      </c>
      <c r="D142" t="str">
        <f t="shared" ref="D142:E142" si="132">C142</f>
        <v>No</v>
      </c>
      <c r="E142" t="str">
        <f t="shared" si="132"/>
        <v>No</v>
      </c>
    </row>
    <row r="143" spans="1:5">
      <c r="A143" t="s">
        <v>4560</v>
      </c>
      <c r="C143" t="str">
        <f t="shared" si="117"/>
        <v>No</v>
      </c>
      <c r="D143" t="str">
        <f t="shared" ref="D143:E143" si="133">C143</f>
        <v>No</v>
      </c>
      <c r="E143" t="str">
        <f t="shared" si="133"/>
        <v>No</v>
      </c>
    </row>
    <row r="144" spans="1:5">
      <c r="A144" t="s">
        <v>4568</v>
      </c>
      <c r="B144" t="s">
        <v>5826</v>
      </c>
      <c r="C144" t="str">
        <f t="shared" si="117"/>
        <v>Yes</v>
      </c>
      <c r="D144" t="str">
        <f t="shared" ref="D144:E144" si="134">C144</f>
        <v>Yes</v>
      </c>
      <c r="E144" t="str">
        <f t="shared" si="134"/>
        <v>Yes</v>
      </c>
    </row>
    <row r="145" spans="1:5">
      <c r="A145" t="s">
        <v>6021</v>
      </c>
      <c r="B145" t="s">
        <v>5826</v>
      </c>
      <c r="C145" t="str">
        <f t="shared" si="117"/>
        <v>Yes</v>
      </c>
      <c r="D145" t="str">
        <f t="shared" ref="D145:E145" si="135">C145</f>
        <v>Yes</v>
      </c>
      <c r="E145" t="str">
        <f t="shared" si="135"/>
        <v>Yes</v>
      </c>
    </row>
    <row r="146" spans="1:5">
      <c r="A146" t="s">
        <v>4541</v>
      </c>
      <c r="B146" t="s">
        <v>5826</v>
      </c>
      <c r="C146" t="str">
        <f t="shared" si="117"/>
        <v>Yes</v>
      </c>
      <c r="D146" t="str">
        <f t="shared" ref="D146:E146" si="136">C146</f>
        <v>Yes</v>
      </c>
      <c r="E146" t="str">
        <f t="shared" si="136"/>
        <v>Yes</v>
      </c>
    </row>
    <row r="147" spans="1:5">
      <c r="A147" t="s">
        <v>4553</v>
      </c>
      <c r="C147" t="str">
        <f t="shared" si="117"/>
        <v>No</v>
      </c>
      <c r="D147" t="str">
        <f t="shared" ref="D147:E147" si="137">C147</f>
        <v>No</v>
      </c>
      <c r="E147" t="str">
        <f t="shared" si="137"/>
        <v>No</v>
      </c>
    </row>
    <row r="148" spans="1:5">
      <c r="A148" t="s">
        <v>4556</v>
      </c>
      <c r="C148" t="str">
        <f t="shared" si="117"/>
        <v>No</v>
      </c>
      <c r="D148" t="str">
        <f t="shared" ref="D148:E148" si="138">C148</f>
        <v>No</v>
      </c>
      <c r="E148" t="str">
        <f t="shared" si="138"/>
        <v>No</v>
      </c>
    </row>
    <row r="149" spans="1:5">
      <c r="A149" t="s">
        <v>4574</v>
      </c>
      <c r="C149" t="str">
        <f t="shared" si="117"/>
        <v>No</v>
      </c>
      <c r="D149" t="str">
        <f t="shared" ref="D149:E149" si="139">C149</f>
        <v>No</v>
      </c>
      <c r="E149" t="str">
        <f t="shared" si="139"/>
        <v>No</v>
      </c>
    </row>
    <row r="150" spans="1:5">
      <c r="A150" t="s">
        <v>4550</v>
      </c>
      <c r="C150" t="str">
        <f t="shared" si="117"/>
        <v>No</v>
      </c>
      <c r="D150" t="str">
        <f t="shared" ref="D150:E150" si="140">C150</f>
        <v>No</v>
      </c>
      <c r="E150" t="str">
        <f t="shared" si="140"/>
        <v>No</v>
      </c>
    </row>
    <row r="151" spans="1:5">
      <c r="A151" t="s">
        <v>4547</v>
      </c>
      <c r="C151" t="str">
        <f t="shared" si="117"/>
        <v>No</v>
      </c>
      <c r="D151" t="str">
        <f t="shared" ref="D151:E151" si="141">C151</f>
        <v>No</v>
      </c>
      <c r="E151" t="str">
        <f t="shared" si="141"/>
        <v>No</v>
      </c>
    </row>
    <row r="152" spans="1:5">
      <c r="A152" t="s">
        <v>4544</v>
      </c>
      <c r="C152" t="str">
        <f t="shared" si="117"/>
        <v>No</v>
      </c>
      <c r="D152" t="str">
        <f t="shared" ref="D152:E152" si="142">C152</f>
        <v>No</v>
      </c>
      <c r="E152" t="str">
        <f t="shared" si="142"/>
        <v>No</v>
      </c>
    </row>
    <row r="153" spans="1:5">
      <c r="A153" t="s">
        <v>4587</v>
      </c>
      <c r="C153" t="str">
        <f t="shared" si="117"/>
        <v>No</v>
      </c>
      <c r="D153" t="str">
        <f t="shared" ref="D153:E153" si="143">C153</f>
        <v>No</v>
      </c>
      <c r="E153" t="str">
        <f t="shared" si="143"/>
        <v>No</v>
      </c>
    </row>
    <row r="154" spans="1:5">
      <c r="A154" t="s">
        <v>3771</v>
      </c>
      <c r="C154" t="str">
        <f t="shared" si="117"/>
        <v>No</v>
      </c>
      <c r="D154" t="str">
        <f t="shared" ref="D154:E154" si="144">C154</f>
        <v>No</v>
      </c>
      <c r="E154" t="str">
        <f t="shared" si="144"/>
        <v>No</v>
      </c>
    </row>
    <row r="155" spans="1:5">
      <c r="A155" t="s">
        <v>3739</v>
      </c>
      <c r="C155" t="str">
        <f t="shared" si="117"/>
        <v>No</v>
      </c>
      <c r="D155" t="str">
        <f t="shared" ref="D155:E155" si="145">C155</f>
        <v>No</v>
      </c>
      <c r="E155" t="str">
        <f t="shared" si="145"/>
        <v>No</v>
      </c>
    </row>
    <row r="156" spans="1:5">
      <c r="A156" t="s">
        <v>4684</v>
      </c>
      <c r="C156" t="str">
        <f t="shared" si="117"/>
        <v>No</v>
      </c>
      <c r="D156" t="str">
        <f t="shared" ref="D156:E156" si="146">C156</f>
        <v>No</v>
      </c>
      <c r="E156" t="str">
        <f t="shared" si="146"/>
        <v>No</v>
      </c>
    </row>
    <row r="157" spans="1:5">
      <c r="A157" t="s">
        <v>4690</v>
      </c>
      <c r="B157" t="s">
        <v>5826</v>
      </c>
      <c r="C157" t="str">
        <f t="shared" si="117"/>
        <v>Yes</v>
      </c>
      <c r="D157" t="str">
        <f t="shared" ref="D157:E157" si="147">C157</f>
        <v>Yes</v>
      </c>
      <c r="E157" t="str">
        <f t="shared" si="147"/>
        <v>Yes</v>
      </c>
    </row>
    <row r="158" spans="1:5">
      <c r="A158" t="s">
        <v>4693</v>
      </c>
      <c r="B158" t="s">
        <v>5826</v>
      </c>
      <c r="C158" t="str">
        <f t="shared" si="117"/>
        <v>Yes</v>
      </c>
      <c r="D158" t="str">
        <f t="shared" ref="D158:E158" si="148">C158</f>
        <v>Yes</v>
      </c>
      <c r="E158" t="str">
        <f t="shared" si="148"/>
        <v>Yes</v>
      </c>
    </row>
    <row r="159" spans="1:5">
      <c r="A159" t="s">
        <v>4687</v>
      </c>
      <c r="B159" t="s">
        <v>5826</v>
      </c>
      <c r="C159" t="str">
        <f t="shared" si="117"/>
        <v>Yes</v>
      </c>
      <c r="D159" t="str">
        <f t="shared" ref="D159:E159" si="149">C159</f>
        <v>Yes</v>
      </c>
      <c r="E159" t="str">
        <f t="shared" si="149"/>
        <v>Yes</v>
      </c>
    </row>
    <row r="160" spans="1:5">
      <c r="A160" t="s">
        <v>3670</v>
      </c>
      <c r="C160" t="str">
        <f t="shared" si="117"/>
        <v>No</v>
      </c>
      <c r="D160" t="str">
        <f t="shared" ref="D160:E160" si="150">C160</f>
        <v>No</v>
      </c>
      <c r="E160" t="str">
        <f t="shared" si="150"/>
        <v>No</v>
      </c>
    </row>
    <row r="161" spans="1:5">
      <c r="A161" t="s">
        <v>3835</v>
      </c>
      <c r="C161" t="str">
        <f t="shared" si="117"/>
        <v>No</v>
      </c>
      <c r="D161" t="str">
        <f t="shared" ref="D161:E161" si="151">C161</f>
        <v>No</v>
      </c>
      <c r="E161" t="str">
        <f t="shared" si="151"/>
        <v>No</v>
      </c>
    </row>
    <row r="162" spans="1:5">
      <c r="A162" t="s">
        <v>3673</v>
      </c>
      <c r="B162" t="s">
        <v>5826</v>
      </c>
      <c r="C162" t="str">
        <f t="shared" si="117"/>
        <v>Yes</v>
      </c>
      <c r="D162" t="str">
        <f t="shared" ref="D162:E162" si="152">C162</f>
        <v>Yes</v>
      </c>
      <c r="E162" t="str">
        <f t="shared" si="152"/>
        <v>Yes</v>
      </c>
    </row>
    <row r="163" spans="1:5">
      <c r="A163" t="s">
        <v>3679</v>
      </c>
      <c r="B163" t="s">
        <v>5826</v>
      </c>
      <c r="C163" t="str">
        <f t="shared" si="117"/>
        <v>Yes</v>
      </c>
      <c r="D163" t="str">
        <f t="shared" ref="D163:E163" si="153">C163</f>
        <v>Yes</v>
      </c>
      <c r="E163" t="str">
        <f t="shared" si="153"/>
        <v>Yes</v>
      </c>
    </row>
    <row r="164" spans="1:5">
      <c r="A164" t="s">
        <v>3676</v>
      </c>
      <c r="C164" t="str">
        <f t="shared" si="117"/>
        <v>No</v>
      </c>
      <c r="D164" t="str">
        <f t="shared" ref="D164:E164" si="154">C164</f>
        <v>No</v>
      </c>
      <c r="E164" t="str">
        <f t="shared" si="154"/>
        <v>No</v>
      </c>
    </row>
    <row r="165" spans="1:5">
      <c r="A165" t="s">
        <v>3682</v>
      </c>
      <c r="B165" t="s">
        <v>5826</v>
      </c>
      <c r="C165" t="str">
        <f t="shared" si="117"/>
        <v>Yes</v>
      </c>
      <c r="D165" t="str">
        <f t="shared" ref="D165:E165" si="155">C165</f>
        <v>Yes</v>
      </c>
      <c r="E165" t="str">
        <f t="shared" si="155"/>
        <v>Yes</v>
      </c>
    </row>
    <row r="166" spans="1:5">
      <c r="A166" t="s">
        <v>3753</v>
      </c>
      <c r="C166" t="str">
        <f t="shared" si="117"/>
        <v>No</v>
      </c>
      <c r="D166" t="str">
        <f t="shared" ref="D166:E166" si="156">C166</f>
        <v>No</v>
      </c>
      <c r="E166" t="str">
        <f t="shared" si="156"/>
        <v>No</v>
      </c>
    </row>
    <row r="167" spans="1:5">
      <c r="A167" t="s">
        <v>4644</v>
      </c>
      <c r="C167" t="str">
        <f t="shared" si="117"/>
        <v>No</v>
      </c>
      <c r="D167" t="str">
        <f t="shared" ref="D167:E167" si="157">C167</f>
        <v>No</v>
      </c>
      <c r="E167" t="str">
        <f t="shared" si="157"/>
        <v>No</v>
      </c>
    </row>
    <row r="168" spans="1:5">
      <c r="A168" t="s">
        <v>3756</v>
      </c>
      <c r="C168" t="str">
        <f t="shared" si="117"/>
        <v>No</v>
      </c>
      <c r="D168" t="str">
        <f t="shared" ref="D168:E168" si="158">C168</f>
        <v>No</v>
      </c>
      <c r="E168" t="str">
        <f t="shared" si="158"/>
        <v>No</v>
      </c>
    </row>
    <row r="169" spans="1:5">
      <c r="A169" t="s">
        <v>5</v>
      </c>
      <c r="C169" t="str">
        <f t="shared" si="117"/>
        <v>No</v>
      </c>
      <c r="D169" t="str">
        <f t="shared" ref="D169:E169" si="159">C169</f>
        <v>No</v>
      </c>
      <c r="E169" t="str">
        <f t="shared" si="159"/>
        <v>No</v>
      </c>
    </row>
    <row r="170" spans="1:5">
      <c r="A170" t="s">
        <v>1739</v>
      </c>
      <c r="C170" t="str">
        <f t="shared" si="117"/>
        <v>No</v>
      </c>
      <c r="D170" t="str">
        <f t="shared" ref="D170:E170" si="160">C170</f>
        <v>No</v>
      </c>
      <c r="E170" t="str">
        <f t="shared" si="160"/>
        <v>No</v>
      </c>
    </row>
    <row r="171" spans="1:5">
      <c r="A171" t="s">
        <v>423</v>
      </c>
      <c r="C171" t="str">
        <f t="shared" si="117"/>
        <v>No</v>
      </c>
      <c r="D171" t="str">
        <f t="shared" ref="D171:E171" si="161">C171</f>
        <v>No</v>
      </c>
      <c r="E171" t="str">
        <f t="shared" si="161"/>
        <v>No</v>
      </c>
    </row>
    <row r="172" spans="1:5">
      <c r="A172" t="s">
        <v>424</v>
      </c>
      <c r="C172" t="str">
        <f t="shared" si="117"/>
        <v>No</v>
      </c>
      <c r="D172" t="str">
        <f t="shared" ref="D172:E172" si="162">C172</f>
        <v>No</v>
      </c>
      <c r="E172" t="str">
        <f t="shared" si="162"/>
        <v>No</v>
      </c>
    </row>
    <row r="173" spans="1:5">
      <c r="A173" t="s">
        <v>149</v>
      </c>
      <c r="C173" t="str">
        <f t="shared" si="117"/>
        <v>No</v>
      </c>
      <c r="D173" t="str">
        <f t="shared" ref="D173:E173" si="163">C173</f>
        <v>No</v>
      </c>
      <c r="E173" t="str">
        <f t="shared" si="163"/>
        <v>No</v>
      </c>
    </row>
    <row r="174" spans="1:5">
      <c r="A174" t="s">
        <v>172</v>
      </c>
      <c r="C174" t="str">
        <f t="shared" si="117"/>
        <v>No</v>
      </c>
      <c r="D174" t="str">
        <f t="shared" ref="D174:E174" si="164">C174</f>
        <v>No</v>
      </c>
      <c r="E174" t="str">
        <f t="shared" si="164"/>
        <v>No</v>
      </c>
    </row>
    <row r="175" spans="1:5">
      <c r="A175" t="s">
        <v>15</v>
      </c>
      <c r="C175" t="str">
        <f t="shared" si="117"/>
        <v>No</v>
      </c>
      <c r="D175" t="str">
        <f t="shared" ref="D175:E175" si="165">C175</f>
        <v>No</v>
      </c>
      <c r="E175" t="str">
        <f t="shared" si="165"/>
        <v>No</v>
      </c>
    </row>
    <row r="176" spans="1:5">
      <c r="A176" t="s">
        <v>111</v>
      </c>
      <c r="C176" t="str">
        <f t="shared" si="117"/>
        <v>No</v>
      </c>
      <c r="D176" t="str">
        <f t="shared" ref="D176:E176" si="166">C176</f>
        <v>No</v>
      </c>
      <c r="E176" t="str">
        <f t="shared" si="166"/>
        <v>No</v>
      </c>
    </row>
    <row r="177" spans="1:5">
      <c r="A177" t="s">
        <v>6022</v>
      </c>
      <c r="B177" t="s">
        <v>5826</v>
      </c>
      <c r="C177" t="str">
        <f t="shared" si="117"/>
        <v>Yes</v>
      </c>
      <c r="D177" t="str">
        <f t="shared" ref="D177:E177" si="167">C177</f>
        <v>Yes</v>
      </c>
      <c r="E177" t="str">
        <f t="shared" si="167"/>
        <v>Yes</v>
      </c>
    </row>
    <row r="178" spans="1:5">
      <c r="A178" t="s">
        <v>113</v>
      </c>
      <c r="B178" t="s">
        <v>5826</v>
      </c>
      <c r="C178" t="str">
        <f t="shared" si="117"/>
        <v>Yes</v>
      </c>
      <c r="D178" t="str">
        <f t="shared" ref="D178:E178" si="168">C178</f>
        <v>Yes</v>
      </c>
      <c r="E178" t="str">
        <f t="shared" si="168"/>
        <v>Yes</v>
      </c>
    </row>
    <row r="179" spans="1:5">
      <c r="A179" t="s">
        <v>6023</v>
      </c>
      <c r="B179" t="s">
        <v>5826</v>
      </c>
      <c r="C179" t="str">
        <f t="shared" si="117"/>
        <v>Yes</v>
      </c>
      <c r="D179" t="str">
        <f t="shared" ref="D179:E179" si="169">C179</f>
        <v>Yes</v>
      </c>
      <c r="E179" t="str">
        <f t="shared" si="169"/>
        <v>Yes</v>
      </c>
    </row>
    <row r="180" spans="1:5">
      <c r="A180" t="s">
        <v>6</v>
      </c>
      <c r="C180" t="str">
        <f t="shared" si="117"/>
        <v>No</v>
      </c>
      <c r="D180" t="str">
        <f t="shared" ref="D180:E180" si="170">C180</f>
        <v>No</v>
      </c>
      <c r="E180" t="str">
        <f t="shared" si="170"/>
        <v>No</v>
      </c>
    </row>
    <row r="181" spans="1:5">
      <c r="A181" t="s">
        <v>127</v>
      </c>
      <c r="B181" t="s">
        <v>5826</v>
      </c>
      <c r="C181" t="str">
        <f t="shared" si="117"/>
        <v>Yes</v>
      </c>
      <c r="D181" t="str">
        <f t="shared" ref="D181:E181" si="171">C181</f>
        <v>Yes</v>
      </c>
      <c r="E181" t="str">
        <f t="shared" si="171"/>
        <v>Yes</v>
      </c>
    </row>
    <row r="182" spans="1:5">
      <c r="A182" t="s">
        <v>6</v>
      </c>
      <c r="B182" t="s">
        <v>5826</v>
      </c>
      <c r="C182" t="str">
        <f t="shared" si="117"/>
        <v>Yes</v>
      </c>
      <c r="D182" t="str">
        <f t="shared" ref="D182:E182" si="172">C182</f>
        <v>Yes</v>
      </c>
      <c r="E182" t="str">
        <f t="shared" si="172"/>
        <v>Yes</v>
      </c>
    </row>
    <row r="183" spans="1:5">
      <c r="A183" t="s">
        <v>128</v>
      </c>
      <c r="B183" t="s">
        <v>5826</v>
      </c>
      <c r="C183" t="str">
        <f t="shared" si="117"/>
        <v>Yes</v>
      </c>
      <c r="D183" t="str">
        <f t="shared" ref="D183:E183" si="173">C183</f>
        <v>Yes</v>
      </c>
      <c r="E183" t="str">
        <f t="shared" si="173"/>
        <v>Yes</v>
      </c>
    </row>
    <row r="184" spans="1:5">
      <c r="A184" t="s">
        <v>4</v>
      </c>
      <c r="C184" t="str">
        <f t="shared" si="117"/>
        <v>No</v>
      </c>
      <c r="D184" t="str">
        <f t="shared" ref="D184:E184" si="174">C184</f>
        <v>No</v>
      </c>
      <c r="E184" t="str">
        <f t="shared" si="174"/>
        <v>No</v>
      </c>
    </row>
    <row r="185" spans="1:5">
      <c r="A185" t="s">
        <v>84</v>
      </c>
      <c r="C185" t="str">
        <f t="shared" si="117"/>
        <v>No</v>
      </c>
      <c r="D185" t="str">
        <f t="shared" ref="D185:E185" si="175">C185</f>
        <v>No</v>
      </c>
      <c r="E185" t="str">
        <f t="shared" si="175"/>
        <v>No</v>
      </c>
    </row>
    <row r="186" spans="1:5">
      <c r="A186" t="s">
        <v>90</v>
      </c>
      <c r="B186" t="s">
        <v>5826</v>
      </c>
      <c r="C186" t="str">
        <f t="shared" si="117"/>
        <v>Yes</v>
      </c>
      <c r="D186" t="str">
        <f t="shared" ref="D186:E186" si="176">C186</f>
        <v>Yes</v>
      </c>
      <c r="E186" t="str">
        <f t="shared" si="176"/>
        <v>Yes</v>
      </c>
    </row>
    <row r="187" spans="1:5">
      <c r="A187" t="s">
        <v>81</v>
      </c>
      <c r="C187" t="str">
        <f t="shared" si="117"/>
        <v>No</v>
      </c>
      <c r="D187" t="str">
        <f t="shared" ref="D187:E187" si="177">C187</f>
        <v>No</v>
      </c>
      <c r="E187" t="str">
        <f t="shared" si="177"/>
        <v>No</v>
      </c>
    </row>
    <row r="188" spans="1:5">
      <c r="A188" t="s">
        <v>89</v>
      </c>
      <c r="C188" t="str">
        <f t="shared" si="117"/>
        <v>No</v>
      </c>
      <c r="D188" t="str">
        <f t="shared" ref="D188:E188" si="178">C188</f>
        <v>No</v>
      </c>
      <c r="E188" t="str">
        <f t="shared" si="178"/>
        <v>No</v>
      </c>
    </row>
    <row r="189" spans="1:5">
      <c r="A189" t="s">
        <v>79</v>
      </c>
      <c r="C189" t="str">
        <f t="shared" si="117"/>
        <v>No</v>
      </c>
      <c r="D189" t="str">
        <f t="shared" ref="D189:E189" si="179">C189</f>
        <v>No</v>
      </c>
      <c r="E189" t="str">
        <f t="shared" si="179"/>
        <v>No</v>
      </c>
    </row>
    <row r="190" spans="1:5">
      <c r="A190" t="s">
        <v>83</v>
      </c>
      <c r="C190" t="str">
        <f t="shared" si="117"/>
        <v>No</v>
      </c>
      <c r="D190" t="str">
        <f t="shared" ref="D190:E190" si="180">C190</f>
        <v>No</v>
      </c>
      <c r="E190" t="str">
        <f t="shared" si="180"/>
        <v>No</v>
      </c>
    </row>
    <row r="191" spans="1:5">
      <c r="A191" t="s">
        <v>9</v>
      </c>
      <c r="C191" t="str">
        <f t="shared" si="117"/>
        <v>No</v>
      </c>
      <c r="D191" t="str">
        <f t="shared" ref="D191:E191" si="181">C191</f>
        <v>No</v>
      </c>
      <c r="E191" t="str">
        <f t="shared" si="181"/>
        <v>No</v>
      </c>
    </row>
    <row r="192" spans="1:5">
      <c r="A192" t="s">
        <v>99</v>
      </c>
      <c r="B192" t="s">
        <v>5826</v>
      </c>
      <c r="C192" t="str">
        <f t="shared" ref="C192:C255" si="182">IF(B192="Sim","Yes","No")</f>
        <v>Yes</v>
      </c>
      <c r="D192" t="str">
        <f t="shared" ref="D192:E192" si="183">C192</f>
        <v>Yes</v>
      </c>
      <c r="E192" t="str">
        <f t="shared" si="183"/>
        <v>Yes</v>
      </c>
    </row>
    <row r="193" spans="1:5">
      <c r="A193" t="s">
        <v>97</v>
      </c>
      <c r="C193" t="str">
        <f t="shared" si="182"/>
        <v>No</v>
      </c>
      <c r="D193" t="str">
        <f t="shared" ref="D193:E193" si="184">C193</f>
        <v>No</v>
      </c>
      <c r="E193" t="str">
        <f t="shared" si="184"/>
        <v>No</v>
      </c>
    </row>
    <row r="194" spans="1:5">
      <c r="A194" t="s">
        <v>6266</v>
      </c>
      <c r="C194" t="str">
        <f t="shared" si="182"/>
        <v>No</v>
      </c>
      <c r="D194" t="str">
        <f t="shared" ref="D194:E194" si="185">C194</f>
        <v>No</v>
      </c>
      <c r="E194" t="str">
        <f t="shared" si="185"/>
        <v>No</v>
      </c>
    </row>
    <row r="195" spans="1:5">
      <c r="A195" t="s">
        <v>91</v>
      </c>
      <c r="C195" t="str">
        <f t="shared" si="182"/>
        <v>No</v>
      </c>
      <c r="D195" t="str">
        <f t="shared" ref="D195:E195" si="186">C195</f>
        <v>No</v>
      </c>
      <c r="E195" t="str">
        <f t="shared" si="186"/>
        <v>No</v>
      </c>
    </row>
    <row r="196" spans="1:5">
      <c r="A196" t="s">
        <v>93</v>
      </c>
      <c r="B196" t="s">
        <v>5826</v>
      </c>
      <c r="C196" t="str">
        <f t="shared" si="182"/>
        <v>Yes</v>
      </c>
      <c r="D196" t="str">
        <f t="shared" ref="D196:E196" si="187">C196</f>
        <v>Yes</v>
      </c>
      <c r="E196" t="str">
        <f t="shared" si="187"/>
        <v>Yes</v>
      </c>
    </row>
    <row r="197" spans="1:5">
      <c r="A197" t="s">
        <v>92</v>
      </c>
      <c r="C197" t="str">
        <f t="shared" si="182"/>
        <v>No</v>
      </c>
      <c r="D197" t="str">
        <f t="shared" ref="D197:E197" si="188">C197</f>
        <v>No</v>
      </c>
      <c r="E197" t="str">
        <f t="shared" si="188"/>
        <v>No</v>
      </c>
    </row>
    <row r="198" spans="1:5">
      <c r="A198" t="s">
        <v>341</v>
      </c>
      <c r="C198" t="str">
        <f t="shared" si="182"/>
        <v>No</v>
      </c>
      <c r="D198" t="str">
        <f t="shared" ref="D198:E198" si="189">C198</f>
        <v>No</v>
      </c>
      <c r="E198" t="str">
        <f t="shared" si="189"/>
        <v>No</v>
      </c>
    </row>
    <row r="199" spans="1:5">
      <c r="A199" t="s">
        <v>100</v>
      </c>
      <c r="B199" t="s">
        <v>5826</v>
      </c>
      <c r="C199" t="str">
        <f t="shared" si="182"/>
        <v>Yes</v>
      </c>
      <c r="D199" t="str">
        <f t="shared" ref="D199:E199" si="190">C199</f>
        <v>Yes</v>
      </c>
      <c r="E199" t="str">
        <f t="shared" si="190"/>
        <v>Yes</v>
      </c>
    </row>
    <row r="200" spans="1:5">
      <c r="A200" t="s">
        <v>400</v>
      </c>
      <c r="C200" t="str">
        <f t="shared" si="182"/>
        <v>No</v>
      </c>
      <c r="D200" t="str">
        <f t="shared" ref="D200:E200" si="191">C200</f>
        <v>No</v>
      </c>
      <c r="E200" t="str">
        <f t="shared" si="191"/>
        <v>No</v>
      </c>
    </row>
    <row r="201" spans="1:5">
      <c r="A201" t="s">
        <v>382</v>
      </c>
      <c r="C201" t="str">
        <f t="shared" si="182"/>
        <v>No</v>
      </c>
      <c r="D201" t="str">
        <f t="shared" ref="D201:E201" si="192">C201</f>
        <v>No</v>
      </c>
      <c r="E201" t="str">
        <f t="shared" si="192"/>
        <v>No</v>
      </c>
    </row>
    <row r="202" spans="1:5">
      <c r="A202" t="s">
        <v>20</v>
      </c>
      <c r="C202" t="str">
        <f t="shared" si="182"/>
        <v>No</v>
      </c>
      <c r="D202" t="str">
        <f t="shared" ref="D202:E202" si="193">C202</f>
        <v>No</v>
      </c>
      <c r="E202" t="str">
        <f t="shared" si="193"/>
        <v>No</v>
      </c>
    </row>
    <row r="203" spans="1:5">
      <c r="A203" t="s">
        <v>20</v>
      </c>
      <c r="B203" t="s">
        <v>5826</v>
      </c>
      <c r="C203" t="str">
        <f t="shared" si="182"/>
        <v>Yes</v>
      </c>
      <c r="D203" t="str">
        <f t="shared" ref="D203:E203" si="194">C203</f>
        <v>Yes</v>
      </c>
      <c r="E203" t="str">
        <f t="shared" si="194"/>
        <v>Yes</v>
      </c>
    </row>
    <row r="204" spans="1:5">
      <c r="A204" t="s">
        <v>4374</v>
      </c>
      <c r="C204" t="str">
        <f t="shared" si="182"/>
        <v>No</v>
      </c>
      <c r="D204" t="str">
        <f t="shared" ref="D204:E204" si="195">C204</f>
        <v>No</v>
      </c>
      <c r="E204" t="str">
        <f t="shared" si="195"/>
        <v>No</v>
      </c>
    </row>
    <row r="205" spans="1:5">
      <c r="A205" t="s">
        <v>1042</v>
      </c>
      <c r="C205" t="str">
        <f t="shared" si="182"/>
        <v>No</v>
      </c>
      <c r="D205" t="str">
        <f t="shared" ref="D205:E205" si="196">C205</f>
        <v>No</v>
      </c>
      <c r="E205" t="str">
        <f t="shared" si="196"/>
        <v>No</v>
      </c>
    </row>
    <row r="206" spans="1:5">
      <c r="A206" t="s">
        <v>12</v>
      </c>
      <c r="C206" t="str">
        <f t="shared" si="182"/>
        <v>No</v>
      </c>
      <c r="D206" t="str">
        <f t="shared" ref="D206:E206" si="197">C206</f>
        <v>No</v>
      </c>
      <c r="E206" t="str">
        <f t="shared" si="197"/>
        <v>No</v>
      </c>
    </row>
    <row r="207" spans="1:5">
      <c r="A207" t="s">
        <v>6267</v>
      </c>
      <c r="C207" t="str">
        <f t="shared" si="182"/>
        <v>No</v>
      </c>
      <c r="D207" t="str">
        <f t="shared" ref="D207:E207" si="198">C207</f>
        <v>No</v>
      </c>
      <c r="E207" t="str">
        <f t="shared" si="198"/>
        <v>No</v>
      </c>
    </row>
    <row r="208" spans="1:5">
      <c r="A208" t="s">
        <v>140</v>
      </c>
      <c r="C208" t="str">
        <f t="shared" si="182"/>
        <v>No</v>
      </c>
      <c r="D208" t="str">
        <f t="shared" ref="D208:E208" si="199">C208</f>
        <v>No</v>
      </c>
      <c r="E208" t="str">
        <f t="shared" si="199"/>
        <v>No</v>
      </c>
    </row>
    <row r="209" spans="1:5">
      <c r="A209" t="s">
        <v>10</v>
      </c>
      <c r="C209" t="str">
        <f t="shared" si="182"/>
        <v>No</v>
      </c>
      <c r="D209" t="str">
        <f t="shared" ref="D209:E209" si="200">C209</f>
        <v>No</v>
      </c>
      <c r="E209" t="str">
        <f t="shared" si="200"/>
        <v>No</v>
      </c>
    </row>
    <row r="210" spans="1:5">
      <c r="A210" t="s">
        <v>121</v>
      </c>
      <c r="C210" t="str">
        <f t="shared" si="182"/>
        <v>No</v>
      </c>
      <c r="D210" t="str">
        <f t="shared" ref="D210:E210" si="201">C210</f>
        <v>No</v>
      </c>
      <c r="E210" t="str">
        <f t="shared" si="201"/>
        <v>No</v>
      </c>
    </row>
    <row r="211" spans="1:5">
      <c r="A211" t="s">
        <v>442</v>
      </c>
      <c r="C211" t="str">
        <f t="shared" si="182"/>
        <v>No</v>
      </c>
      <c r="D211" t="str">
        <f t="shared" ref="D211:E211" si="202">C211</f>
        <v>No</v>
      </c>
      <c r="E211" t="str">
        <f t="shared" si="202"/>
        <v>No</v>
      </c>
    </row>
    <row r="212" spans="1:5">
      <c r="A212" t="s">
        <v>123</v>
      </c>
      <c r="C212" t="str">
        <f t="shared" si="182"/>
        <v>No</v>
      </c>
      <c r="D212" t="str">
        <f t="shared" ref="D212:E212" si="203">C212</f>
        <v>No</v>
      </c>
      <c r="E212" t="str">
        <f t="shared" si="203"/>
        <v>No</v>
      </c>
    </row>
    <row r="213" spans="1:5">
      <c r="A213" t="s">
        <v>444</v>
      </c>
      <c r="B213" t="s">
        <v>5826</v>
      </c>
      <c r="C213" t="str">
        <f t="shared" si="182"/>
        <v>Yes</v>
      </c>
      <c r="D213" t="str">
        <f t="shared" ref="D213:E213" si="204">C213</f>
        <v>Yes</v>
      </c>
      <c r="E213" t="str">
        <f t="shared" si="204"/>
        <v>Yes</v>
      </c>
    </row>
    <row r="214" spans="1:5">
      <c r="A214" t="s">
        <v>442</v>
      </c>
      <c r="C214" t="str">
        <f t="shared" si="182"/>
        <v>No</v>
      </c>
      <c r="D214" t="str">
        <f t="shared" ref="D214:E214" si="205">C214</f>
        <v>No</v>
      </c>
      <c r="E214" t="str">
        <f t="shared" si="205"/>
        <v>No</v>
      </c>
    </row>
    <row r="215" spans="1:5">
      <c r="A215" t="s">
        <v>443</v>
      </c>
      <c r="B215" t="s">
        <v>5826</v>
      </c>
      <c r="C215" t="str">
        <f t="shared" si="182"/>
        <v>Yes</v>
      </c>
      <c r="D215" t="str">
        <f t="shared" ref="D215:E215" si="206">C215</f>
        <v>Yes</v>
      </c>
      <c r="E215" t="str">
        <f t="shared" si="206"/>
        <v>Yes</v>
      </c>
    </row>
    <row r="216" spans="1:5">
      <c r="A216" t="s">
        <v>17</v>
      </c>
      <c r="C216" t="str">
        <f t="shared" si="182"/>
        <v>No</v>
      </c>
      <c r="D216" t="str">
        <f t="shared" ref="D216:E216" si="207">C216</f>
        <v>No</v>
      </c>
      <c r="E216" t="str">
        <f t="shared" si="207"/>
        <v>No</v>
      </c>
    </row>
    <row r="217" spans="1:5">
      <c r="A217" t="s">
        <v>17</v>
      </c>
      <c r="B217" t="s">
        <v>5826</v>
      </c>
      <c r="C217" t="str">
        <f t="shared" si="182"/>
        <v>Yes</v>
      </c>
      <c r="D217" t="str">
        <f t="shared" ref="D217:E217" si="208">C217</f>
        <v>Yes</v>
      </c>
      <c r="E217" t="str">
        <f t="shared" si="208"/>
        <v>Yes</v>
      </c>
    </row>
    <row r="218" spans="1:5">
      <c r="A218" t="s">
        <v>6268</v>
      </c>
      <c r="C218" t="str">
        <f t="shared" si="182"/>
        <v>No</v>
      </c>
      <c r="D218" t="str">
        <f t="shared" ref="D218:E218" si="209">C218</f>
        <v>No</v>
      </c>
      <c r="E218" t="str">
        <f t="shared" si="209"/>
        <v>No</v>
      </c>
    </row>
    <row r="219" spans="1:5">
      <c r="A219" t="s">
        <v>133</v>
      </c>
      <c r="C219" t="str">
        <f t="shared" si="182"/>
        <v>No</v>
      </c>
      <c r="D219" t="str">
        <f t="shared" ref="D219:E219" si="210">C219</f>
        <v>No</v>
      </c>
      <c r="E219" t="str">
        <f t="shared" si="210"/>
        <v>No</v>
      </c>
    </row>
    <row r="220" spans="1:5">
      <c r="A220" t="s">
        <v>18</v>
      </c>
      <c r="C220" t="str">
        <f t="shared" si="182"/>
        <v>No</v>
      </c>
      <c r="D220" t="str">
        <f t="shared" ref="D220:E220" si="211">C220</f>
        <v>No</v>
      </c>
      <c r="E220" t="str">
        <f t="shared" si="211"/>
        <v>No</v>
      </c>
    </row>
    <row r="221" spans="1:5">
      <c r="A221" t="s">
        <v>134</v>
      </c>
      <c r="C221" t="str">
        <f t="shared" si="182"/>
        <v>No</v>
      </c>
      <c r="D221" t="str">
        <f t="shared" ref="D221:E221" si="212">C221</f>
        <v>No</v>
      </c>
      <c r="E221" t="str">
        <f t="shared" si="212"/>
        <v>No</v>
      </c>
    </row>
    <row r="222" spans="1:5">
      <c r="A222" t="s">
        <v>342</v>
      </c>
      <c r="C222" t="str">
        <f t="shared" si="182"/>
        <v>No</v>
      </c>
      <c r="D222" t="str">
        <f t="shared" ref="D222:E222" si="213">C222</f>
        <v>No</v>
      </c>
      <c r="E222" t="str">
        <f t="shared" si="213"/>
        <v>No</v>
      </c>
    </row>
    <row r="223" spans="1:5">
      <c r="A223" t="s">
        <v>125</v>
      </c>
      <c r="C223" t="str">
        <f t="shared" si="182"/>
        <v>No</v>
      </c>
      <c r="D223" t="str">
        <f t="shared" ref="D223:E223" si="214">C223</f>
        <v>No</v>
      </c>
      <c r="E223" t="str">
        <f t="shared" si="214"/>
        <v>No</v>
      </c>
    </row>
    <row r="224" spans="1:5">
      <c r="A224" t="s">
        <v>428</v>
      </c>
      <c r="C224" t="str">
        <f t="shared" si="182"/>
        <v>No</v>
      </c>
      <c r="D224" t="str">
        <f t="shared" ref="D224:E224" si="215">C224</f>
        <v>No</v>
      </c>
      <c r="E224" t="str">
        <f t="shared" si="215"/>
        <v>No</v>
      </c>
    </row>
    <row r="225" spans="1:5">
      <c r="A225" t="s">
        <v>8</v>
      </c>
      <c r="C225" t="str">
        <f t="shared" si="182"/>
        <v>No</v>
      </c>
      <c r="D225" t="str">
        <f t="shared" ref="D225:E225" si="216">C225</f>
        <v>No</v>
      </c>
      <c r="E225" t="str">
        <f t="shared" si="216"/>
        <v>No</v>
      </c>
    </row>
    <row r="226" spans="1:5">
      <c r="A226" t="s">
        <v>49</v>
      </c>
      <c r="C226" t="str">
        <f t="shared" si="182"/>
        <v>No</v>
      </c>
      <c r="D226" t="str">
        <f t="shared" ref="D226:E226" si="217">C226</f>
        <v>No</v>
      </c>
      <c r="E226" t="str">
        <f t="shared" si="217"/>
        <v>No</v>
      </c>
    </row>
    <row r="227" spans="1:5">
      <c r="A227" t="s">
        <v>14</v>
      </c>
      <c r="C227" t="str">
        <f t="shared" si="182"/>
        <v>No</v>
      </c>
      <c r="D227" t="str">
        <f t="shared" ref="D227:E227" si="218">C227</f>
        <v>No</v>
      </c>
      <c r="E227" t="str">
        <f t="shared" si="218"/>
        <v>No</v>
      </c>
    </row>
    <row r="228" spans="1:5">
      <c r="A228" t="s">
        <v>14</v>
      </c>
      <c r="B228" t="s">
        <v>5826</v>
      </c>
      <c r="C228" t="str">
        <f t="shared" si="182"/>
        <v>Yes</v>
      </c>
      <c r="D228" t="str">
        <f>C228</f>
        <v>Yes</v>
      </c>
      <c r="E228" t="str">
        <f>D228</f>
        <v>Yes</v>
      </c>
    </row>
    <row r="229" spans="1:5">
      <c r="A229" t="s">
        <v>107</v>
      </c>
      <c r="B229" t="s">
        <v>5826</v>
      </c>
      <c r="C229" t="str">
        <f t="shared" si="182"/>
        <v>Yes</v>
      </c>
      <c r="D229" t="str">
        <f t="shared" ref="D229:E292" si="219">C229</f>
        <v>Yes</v>
      </c>
      <c r="E229" t="str">
        <f t="shared" si="219"/>
        <v>Yes</v>
      </c>
    </row>
    <row r="230" spans="1:5">
      <c r="C230" t="str">
        <f t="shared" si="182"/>
        <v>No</v>
      </c>
      <c r="D230" t="str">
        <f t="shared" si="219"/>
        <v>No</v>
      </c>
      <c r="E230" t="str">
        <f t="shared" ref="E230:E260" si="220">C230</f>
        <v>No</v>
      </c>
    </row>
    <row r="231" spans="1:5">
      <c r="A231" t="s">
        <v>3780</v>
      </c>
      <c r="C231" t="str">
        <f t="shared" si="182"/>
        <v>No</v>
      </c>
      <c r="D231" t="s">
        <v>2889</v>
      </c>
      <c r="E231" t="str">
        <f t="shared" si="220"/>
        <v>No</v>
      </c>
    </row>
    <row r="232" spans="1:5">
      <c r="A232" t="s">
        <v>3783</v>
      </c>
      <c r="C232" t="str">
        <f t="shared" si="182"/>
        <v>No</v>
      </c>
      <c r="D232" t="s">
        <v>2889</v>
      </c>
      <c r="E232" t="str">
        <f t="shared" si="220"/>
        <v>No</v>
      </c>
    </row>
    <row r="233" spans="1:5">
      <c r="A233" t="s">
        <v>3792</v>
      </c>
      <c r="C233" t="str">
        <f t="shared" si="182"/>
        <v>No</v>
      </c>
      <c r="D233" t="s">
        <v>2889</v>
      </c>
      <c r="E233" t="str">
        <f t="shared" si="220"/>
        <v>No</v>
      </c>
    </row>
    <row r="234" spans="1:5">
      <c r="A234" t="s">
        <v>3795</v>
      </c>
      <c r="C234" t="str">
        <f t="shared" si="182"/>
        <v>No</v>
      </c>
      <c r="D234" t="s">
        <v>2889</v>
      </c>
      <c r="E234" t="str">
        <f t="shared" si="220"/>
        <v>No</v>
      </c>
    </row>
    <row r="235" spans="1:5">
      <c r="A235" t="s">
        <v>3789</v>
      </c>
      <c r="C235" t="str">
        <f t="shared" si="182"/>
        <v>No</v>
      </c>
      <c r="D235" t="s">
        <v>2889</v>
      </c>
      <c r="E235" t="str">
        <f t="shared" si="220"/>
        <v>No</v>
      </c>
    </row>
    <row r="236" spans="1:5">
      <c r="A236" t="s">
        <v>3786</v>
      </c>
      <c r="C236" t="str">
        <f t="shared" si="182"/>
        <v>No</v>
      </c>
      <c r="D236" t="s">
        <v>2889</v>
      </c>
      <c r="E236" t="str">
        <f t="shared" si="220"/>
        <v>No</v>
      </c>
    </row>
    <row r="237" spans="1:5">
      <c r="A237" t="s">
        <v>3686</v>
      </c>
      <c r="C237" t="str">
        <f t="shared" si="182"/>
        <v>No</v>
      </c>
      <c r="D237" t="s">
        <v>2889</v>
      </c>
      <c r="E237" t="str">
        <f t="shared" si="220"/>
        <v>No</v>
      </c>
    </row>
    <row r="238" spans="1:5">
      <c r="A238" t="s">
        <v>3696</v>
      </c>
      <c r="B238" t="s">
        <v>5826</v>
      </c>
      <c r="C238" t="str">
        <f t="shared" si="182"/>
        <v>Yes</v>
      </c>
      <c r="D238" t="s">
        <v>2889</v>
      </c>
      <c r="E238" t="str">
        <f t="shared" si="220"/>
        <v>Yes</v>
      </c>
    </row>
    <row r="239" spans="1:5">
      <c r="A239" t="s">
        <v>3693</v>
      </c>
      <c r="B239" t="s">
        <v>5826</v>
      </c>
      <c r="C239" t="str">
        <f t="shared" si="182"/>
        <v>Yes</v>
      </c>
      <c r="D239" t="s">
        <v>2889</v>
      </c>
      <c r="E239" t="str">
        <f t="shared" si="220"/>
        <v>Yes</v>
      </c>
    </row>
    <row r="240" spans="1:5">
      <c r="A240" t="s">
        <v>3699</v>
      </c>
      <c r="C240" t="str">
        <f t="shared" si="182"/>
        <v>No</v>
      </c>
      <c r="D240" t="s">
        <v>2889</v>
      </c>
      <c r="E240" t="str">
        <f t="shared" si="220"/>
        <v>No</v>
      </c>
    </row>
    <row r="241" spans="1:5">
      <c r="A241" t="s">
        <v>5883</v>
      </c>
      <c r="B241" t="s">
        <v>5826</v>
      </c>
      <c r="C241" t="str">
        <f t="shared" si="182"/>
        <v>Yes</v>
      </c>
      <c r="D241" t="s">
        <v>2889</v>
      </c>
      <c r="E241" t="str">
        <f t="shared" si="220"/>
        <v>Yes</v>
      </c>
    </row>
    <row r="242" spans="1:5">
      <c r="A242" t="s">
        <v>849</v>
      </c>
      <c r="C242" t="str">
        <f t="shared" si="182"/>
        <v>No</v>
      </c>
      <c r="D242" t="s">
        <v>2889</v>
      </c>
      <c r="E242" t="str">
        <f t="shared" si="220"/>
        <v>No</v>
      </c>
    </row>
    <row r="243" spans="1:5">
      <c r="A243" t="s">
        <v>3710</v>
      </c>
      <c r="B243" t="s">
        <v>5826</v>
      </c>
      <c r="C243" t="str">
        <f t="shared" si="182"/>
        <v>Yes</v>
      </c>
      <c r="D243" t="s">
        <v>2889</v>
      </c>
      <c r="E243" t="str">
        <f t="shared" si="220"/>
        <v>Yes</v>
      </c>
    </row>
    <row r="244" spans="1:5">
      <c r="A244" t="s">
        <v>3713</v>
      </c>
      <c r="B244" t="s">
        <v>5826</v>
      </c>
      <c r="C244" t="str">
        <f t="shared" si="182"/>
        <v>Yes</v>
      </c>
      <c r="D244" t="s">
        <v>2889</v>
      </c>
      <c r="E244" t="str">
        <f t="shared" si="220"/>
        <v>Yes</v>
      </c>
    </row>
    <row r="245" spans="1:5">
      <c r="A245" t="s">
        <v>3704</v>
      </c>
      <c r="C245" t="str">
        <f t="shared" si="182"/>
        <v>No</v>
      </c>
      <c r="D245" t="s">
        <v>2889</v>
      </c>
      <c r="E245" t="str">
        <f t="shared" si="220"/>
        <v>No</v>
      </c>
    </row>
    <row r="246" spans="1:5">
      <c r="A246" t="s">
        <v>3726</v>
      </c>
      <c r="C246" t="str">
        <f t="shared" si="182"/>
        <v>No</v>
      </c>
      <c r="D246" t="s">
        <v>2889</v>
      </c>
      <c r="E246" t="str">
        <f t="shared" si="220"/>
        <v>No</v>
      </c>
    </row>
    <row r="247" spans="1:5">
      <c r="A247" t="s">
        <v>3746</v>
      </c>
      <c r="C247" t="str">
        <f t="shared" si="182"/>
        <v>No</v>
      </c>
      <c r="D247" t="s">
        <v>2889</v>
      </c>
      <c r="E247" t="str">
        <f t="shared" si="220"/>
        <v>No</v>
      </c>
    </row>
    <row r="248" spans="1:5">
      <c r="A248" t="s">
        <v>3752</v>
      </c>
      <c r="C248" t="str">
        <f t="shared" si="182"/>
        <v>No</v>
      </c>
      <c r="D248" t="s">
        <v>2889</v>
      </c>
      <c r="E248" t="str">
        <f t="shared" si="220"/>
        <v>No</v>
      </c>
    </row>
    <row r="249" spans="1:5">
      <c r="A249" t="s">
        <v>3749</v>
      </c>
      <c r="B249" t="s">
        <v>5826</v>
      </c>
      <c r="C249" t="str">
        <f t="shared" si="182"/>
        <v>Yes</v>
      </c>
      <c r="D249" t="s">
        <v>2889</v>
      </c>
      <c r="E249" t="str">
        <f t="shared" si="220"/>
        <v>Yes</v>
      </c>
    </row>
    <row r="250" spans="1:5">
      <c r="A250" t="s">
        <v>3854</v>
      </c>
      <c r="C250" t="str">
        <f t="shared" si="182"/>
        <v>No</v>
      </c>
      <c r="D250" t="s">
        <v>2889</v>
      </c>
      <c r="E250" t="str">
        <f t="shared" si="220"/>
        <v>No</v>
      </c>
    </row>
    <row r="251" spans="1:5">
      <c r="A251" t="s">
        <v>3896</v>
      </c>
      <c r="B251" t="s">
        <v>5826</v>
      </c>
      <c r="C251" t="str">
        <f t="shared" si="182"/>
        <v>Yes</v>
      </c>
      <c r="D251" t="s">
        <v>2889</v>
      </c>
      <c r="E251" t="str">
        <f t="shared" si="220"/>
        <v>Yes</v>
      </c>
    </row>
    <row r="252" spans="1:5">
      <c r="A252" t="s">
        <v>3863</v>
      </c>
      <c r="B252" t="s">
        <v>5826</v>
      </c>
      <c r="C252" t="str">
        <f t="shared" si="182"/>
        <v>Yes</v>
      </c>
      <c r="D252" t="s">
        <v>2889</v>
      </c>
      <c r="E252" t="str">
        <f t="shared" si="220"/>
        <v>Yes</v>
      </c>
    </row>
    <row r="253" spans="1:5">
      <c r="A253" t="s">
        <v>3714</v>
      </c>
      <c r="C253" t="str">
        <f t="shared" si="182"/>
        <v>No</v>
      </c>
      <c r="D253" t="s">
        <v>2889</v>
      </c>
      <c r="E253" t="str">
        <f t="shared" si="220"/>
        <v>No</v>
      </c>
    </row>
    <row r="254" spans="1:5">
      <c r="A254" t="s">
        <v>3745</v>
      </c>
      <c r="B254" t="s">
        <v>5826</v>
      </c>
      <c r="C254" t="str">
        <f t="shared" si="182"/>
        <v>Yes</v>
      </c>
      <c r="D254" t="s">
        <v>2889</v>
      </c>
      <c r="E254" t="str">
        <f t="shared" si="220"/>
        <v>Yes</v>
      </c>
    </row>
    <row r="255" spans="1:5">
      <c r="A255" t="s">
        <v>3720</v>
      </c>
      <c r="B255" t="s">
        <v>5826</v>
      </c>
      <c r="C255" t="str">
        <f t="shared" si="182"/>
        <v>Yes</v>
      </c>
      <c r="D255" t="s">
        <v>2889</v>
      </c>
      <c r="E255" t="str">
        <f t="shared" si="220"/>
        <v>Yes</v>
      </c>
    </row>
    <row r="256" spans="1:5">
      <c r="A256" t="s">
        <v>3736</v>
      </c>
      <c r="C256" t="str">
        <f t="shared" ref="C256:C261" si="221">IF(B256="Sim","Yes","No")</f>
        <v>No</v>
      </c>
      <c r="D256" t="s">
        <v>2889</v>
      </c>
      <c r="E256" t="str">
        <f t="shared" si="220"/>
        <v>No</v>
      </c>
    </row>
    <row r="257" spans="1:5">
      <c r="A257" t="s">
        <v>6024</v>
      </c>
      <c r="B257" t="s">
        <v>5826</v>
      </c>
      <c r="C257" t="str">
        <f t="shared" si="221"/>
        <v>Yes</v>
      </c>
      <c r="D257" t="s">
        <v>2889</v>
      </c>
      <c r="E257" t="str">
        <f t="shared" si="220"/>
        <v>Yes</v>
      </c>
    </row>
    <row r="258" spans="1:5">
      <c r="A258" t="s">
        <v>3729</v>
      </c>
      <c r="B258" t="s">
        <v>5826</v>
      </c>
      <c r="C258" t="str">
        <f t="shared" si="221"/>
        <v>Yes</v>
      </c>
      <c r="D258" t="s">
        <v>2889</v>
      </c>
      <c r="E258" t="str">
        <f t="shared" si="220"/>
        <v>Yes</v>
      </c>
    </row>
    <row r="259" spans="1:5">
      <c r="A259" t="s">
        <v>6025</v>
      </c>
      <c r="B259" t="s">
        <v>5826</v>
      </c>
      <c r="C259" t="str">
        <f t="shared" si="221"/>
        <v>Yes</v>
      </c>
      <c r="D259" t="s">
        <v>2889</v>
      </c>
      <c r="E259" t="str">
        <f t="shared" si="220"/>
        <v>Yes</v>
      </c>
    </row>
    <row r="260" spans="1:5">
      <c r="A260" t="s">
        <v>5884</v>
      </c>
      <c r="B260" t="s">
        <v>5826</v>
      </c>
      <c r="C260" t="str">
        <f t="shared" si="221"/>
        <v>Yes</v>
      </c>
      <c r="D260" t="s">
        <v>2889</v>
      </c>
      <c r="E260" t="str">
        <f t="shared" si="220"/>
        <v>Yes</v>
      </c>
    </row>
    <row r="261" spans="1:5">
      <c r="A261" t="s">
        <v>3733</v>
      </c>
      <c r="B261" t="s">
        <v>5826</v>
      </c>
      <c r="C261" t="str">
        <f t="shared" si="221"/>
        <v>Yes</v>
      </c>
      <c r="D261" t="s">
        <v>2889</v>
      </c>
      <c r="E261" t="str">
        <f>C261</f>
        <v>Yes</v>
      </c>
    </row>
    <row r="262" spans="1:5">
      <c r="A262" t="s">
        <v>3723</v>
      </c>
    </row>
    <row r="263" spans="1:5">
      <c r="C263" t="str">
        <f t="shared" ref="C263:C319" si="222">IF(B263="Sim","Yes","No")</f>
        <v>No</v>
      </c>
      <c r="D263" t="str">
        <f t="shared" si="219"/>
        <v>No</v>
      </c>
      <c r="E263" t="str">
        <f t="shared" si="219"/>
        <v>No</v>
      </c>
    </row>
    <row r="264" spans="1:5">
      <c r="A264" t="s">
        <v>1878</v>
      </c>
      <c r="C264" t="str">
        <f t="shared" si="222"/>
        <v>No</v>
      </c>
      <c r="D264" t="str">
        <f t="shared" si="219"/>
        <v>No</v>
      </c>
      <c r="E264" t="str">
        <f t="shared" si="219"/>
        <v>No</v>
      </c>
    </row>
    <row r="265" spans="1:5">
      <c r="A265" t="s">
        <v>1900</v>
      </c>
      <c r="C265" t="str">
        <f t="shared" si="222"/>
        <v>No</v>
      </c>
      <c r="D265" t="str">
        <f t="shared" si="219"/>
        <v>No</v>
      </c>
      <c r="E265" t="str">
        <f t="shared" si="219"/>
        <v>No</v>
      </c>
    </row>
    <row r="266" spans="1:5">
      <c r="A266" t="s">
        <v>1898</v>
      </c>
      <c r="C266" t="str">
        <f t="shared" si="222"/>
        <v>No</v>
      </c>
      <c r="D266" t="str">
        <f t="shared" si="219"/>
        <v>No</v>
      </c>
      <c r="E266" t="str">
        <f t="shared" si="219"/>
        <v>No</v>
      </c>
    </row>
    <row r="267" spans="1:5">
      <c r="A267" t="s">
        <v>1895</v>
      </c>
      <c r="C267" t="str">
        <f t="shared" si="222"/>
        <v>No</v>
      </c>
      <c r="D267" t="str">
        <f t="shared" si="219"/>
        <v>No</v>
      </c>
      <c r="E267" t="str">
        <f t="shared" si="219"/>
        <v>No</v>
      </c>
    </row>
    <row r="268" spans="1:5">
      <c r="A268" t="s">
        <v>1892</v>
      </c>
      <c r="C268" t="str">
        <f t="shared" si="222"/>
        <v>No</v>
      </c>
      <c r="D268" t="str">
        <f t="shared" si="219"/>
        <v>No</v>
      </c>
      <c r="E268" t="str">
        <f t="shared" si="219"/>
        <v>No</v>
      </c>
    </row>
    <row r="269" spans="1:5">
      <c r="A269" t="s">
        <v>1889</v>
      </c>
      <c r="C269" t="str">
        <f t="shared" si="222"/>
        <v>No</v>
      </c>
      <c r="D269" t="str">
        <f t="shared" si="219"/>
        <v>No</v>
      </c>
      <c r="E269" t="str">
        <f t="shared" si="219"/>
        <v>No</v>
      </c>
    </row>
    <row r="270" spans="1:5">
      <c r="A270" t="s">
        <v>1886</v>
      </c>
      <c r="C270" t="str">
        <f t="shared" si="222"/>
        <v>No</v>
      </c>
      <c r="D270" t="str">
        <f t="shared" si="219"/>
        <v>No</v>
      </c>
      <c r="E270" t="str">
        <f t="shared" si="219"/>
        <v>No</v>
      </c>
    </row>
    <row r="271" spans="1:5">
      <c r="A271" t="s">
        <v>1883</v>
      </c>
      <c r="C271" t="str">
        <f t="shared" si="222"/>
        <v>No</v>
      </c>
      <c r="D271" t="str">
        <f t="shared" si="219"/>
        <v>No</v>
      </c>
      <c r="E271" t="str">
        <f t="shared" si="219"/>
        <v>No</v>
      </c>
    </row>
    <row r="272" spans="1:5">
      <c r="A272" t="s">
        <v>1877</v>
      </c>
      <c r="C272" t="str">
        <f t="shared" si="222"/>
        <v>No</v>
      </c>
      <c r="D272" t="str">
        <f t="shared" si="219"/>
        <v>No</v>
      </c>
      <c r="E272" t="str">
        <f t="shared" si="219"/>
        <v>No</v>
      </c>
    </row>
    <row r="273" spans="1:5">
      <c r="A273" t="s">
        <v>1880</v>
      </c>
      <c r="C273" t="str">
        <f t="shared" si="222"/>
        <v>No</v>
      </c>
      <c r="D273" t="str">
        <f t="shared" si="219"/>
        <v>No</v>
      </c>
      <c r="E273" t="str">
        <f t="shared" si="219"/>
        <v>No</v>
      </c>
    </row>
    <row r="274" spans="1:5">
      <c r="A274" t="s">
        <v>1912</v>
      </c>
      <c r="C274" t="str">
        <f t="shared" si="222"/>
        <v>No</v>
      </c>
      <c r="D274" t="str">
        <f t="shared" si="219"/>
        <v>No</v>
      </c>
      <c r="E274" t="str">
        <f t="shared" si="219"/>
        <v>No</v>
      </c>
    </row>
    <row r="275" spans="1:5">
      <c r="A275" t="s">
        <v>1909</v>
      </c>
      <c r="C275" t="str">
        <f t="shared" si="222"/>
        <v>No</v>
      </c>
      <c r="D275" t="str">
        <f t="shared" si="219"/>
        <v>No</v>
      </c>
      <c r="E275" t="str">
        <f t="shared" si="219"/>
        <v>No</v>
      </c>
    </row>
    <row r="276" spans="1:5">
      <c r="A276" t="s">
        <v>1906</v>
      </c>
      <c r="C276" t="str">
        <f t="shared" si="222"/>
        <v>No</v>
      </c>
      <c r="D276" t="str">
        <f t="shared" si="219"/>
        <v>No</v>
      </c>
      <c r="E276" t="str">
        <f t="shared" si="219"/>
        <v>No</v>
      </c>
    </row>
    <row r="277" spans="1:5">
      <c r="A277" t="s">
        <v>1903</v>
      </c>
      <c r="C277" t="str">
        <f t="shared" si="222"/>
        <v>No</v>
      </c>
      <c r="D277" t="str">
        <f t="shared" si="219"/>
        <v>No</v>
      </c>
      <c r="E277" t="str">
        <f t="shared" si="219"/>
        <v>No</v>
      </c>
    </row>
    <row r="278" spans="1:5">
      <c r="C278" t="str">
        <f t="shared" si="222"/>
        <v>No</v>
      </c>
      <c r="D278" t="str">
        <f t="shared" si="219"/>
        <v>No</v>
      </c>
      <c r="E278" t="str">
        <f t="shared" si="219"/>
        <v>No</v>
      </c>
    </row>
    <row r="279" spans="1:5">
      <c r="A279" t="s">
        <v>4705</v>
      </c>
      <c r="C279" t="str">
        <f t="shared" si="222"/>
        <v>No</v>
      </c>
      <c r="D279" t="str">
        <f t="shared" si="219"/>
        <v>No</v>
      </c>
      <c r="E279" t="str">
        <f t="shared" si="219"/>
        <v>No</v>
      </c>
    </row>
    <row r="280" spans="1:5">
      <c r="A280" t="s">
        <v>3779</v>
      </c>
      <c r="C280" t="str">
        <f t="shared" si="222"/>
        <v>No</v>
      </c>
      <c r="D280" t="str">
        <f t="shared" si="219"/>
        <v>No</v>
      </c>
      <c r="E280" t="str">
        <f t="shared" si="219"/>
        <v>No</v>
      </c>
    </row>
    <row r="281" spans="1:5">
      <c r="A281" t="s">
        <v>5217</v>
      </c>
      <c r="C281" t="str">
        <f t="shared" si="222"/>
        <v>No</v>
      </c>
      <c r="D281" t="str">
        <f t="shared" si="219"/>
        <v>No</v>
      </c>
      <c r="E281" t="str">
        <f t="shared" si="219"/>
        <v>No</v>
      </c>
    </row>
    <row r="282" spans="1:5">
      <c r="A282" t="s">
        <v>3882</v>
      </c>
      <c r="C282" t="str">
        <f t="shared" si="222"/>
        <v>No</v>
      </c>
      <c r="D282" t="str">
        <f t="shared" si="219"/>
        <v>No</v>
      </c>
      <c r="E282" t="str">
        <f t="shared" si="219"/>
        <v>No</v>
      </c>
    </row>
    <row r="283" spans="1:5">
      <c r="A283" t="s">
        <v>4609</v>
      </c>
      <c r="C283" t="str">
        <f t="shared" si="222"/>
        <v>No</v>
      </c>
      <c r="D283" t="str">
        <f t="shared" si="219"/>
        <v>No</v>
      </c>
      <c r="E283" t="str">
        <f t="shared" si="219"/>
        <v>No</v>
      </c>
    </row>
    <row r="284" spans="1:5">
      <c r="A284" t="s">
        <v>4696</v>
      </c>
      <c r="C284" t="str">
        <f t="shared" si="222"/>
        <v>No</v>
      </c>
      <c r="D284" t="str">
        <f t="shared" si="219"/>
        <v>No</v>
      </c>
      <c r="E284" t="str">
        <f t="shared" si="219"/>
        <v>No</v>
      </c>
    </row>
    <row r="285" spans="1:5">
      <c r="A285" t="s">
        <v>4591</v>
      </c>
      <c r="C285" t="str">
        <f t="shared" si="222"/>
        <v>No</v>
      </c>
      <c r="D285" t="str">
        <f t="shared" si="219"/>
        <v>No</v>
      </c>
      <c r="E285" t="str">
        <f t="shared" si="219"/>
        <v>No</v>
      </c>
    </row>
    <row r="286" spans="1:5">
      <c r="A286" t="s">
        <v>3871</v>
      </c>
      <c r="C286" t="str">
        <f t="shared" si="222"/>
        <v>No</v>
      </c>
      <c r="D286" t="str">
        <f t="shared" si="219"/>
        <v>No</v>
      </c>
      <c r="E286" t="str">
        <f t="shared" si="219"/>
        <v>No</v>
      </c>
    </row>
    <row r="287" spans="1:5">
      <c r="A287" t="s">
        <v>4537</v>
      </c>
      <c r="C287" t="str">
        <f t="shared" si="222"/>
        <v>No</v>
      </c>
      <c r="D287" t="str">
        <f t="shared" si="219"/>
        <v>No</v>
      </c>
      <c r="E287" t="str">
        <f t="shared" si="219"/>
        <v>No</v>
      </c>
    </row>
    <row r="288" spans="1:5">
      <c r="A288" t="s">
        <v>4505</v>
      </c>
      <c r="C288" t="str">
        <f t="shared" si="222"/>
        <v>No</v>
      </c>
      <c r="D288" t="str">
        <f t="shared" si="219"/>
        <v>No</v>
      </c>
      <c r="E288" t="str">
        <f t="shared" si="219"/>
        <v>No</v>
      </c>
    </row>
    <row r="289" spans="1:5">
      <c r="A289" t="s">
        <v>4635</v>
      </c>
      <c r="C289" t="str">
        <f t="shared" si="222"/>
        <v>No</v>
      </c>
      <c r="D289" t="str">
        <f t="shared" si="219"/>
        <v>No</v>
      </c>
      <c r="E289" t="str">
        <f t="shared" si="219"/>
        <v>No</v>
      </c>
    </row>
    <row r="290" spans="1:5">
      <c r="A290" t="s">
        <v>4632</v>
      </c>
      <c r="C290" t="str">
        <f t="shared" si="222"/>
        <v>No</v>
      </c>
      <c r="D290" t="str">
        <f t="shared" si="219"/>
        <v>No</v>
      </c>
      <c r="E290" t="str">
        <f t="shared" si="219"/>
        <v>No</v>
      </c>
    </row>
    <row r="291" spans="1:5">
      <c r="A291" t="s">
        <v>4699</v>
      </c>
      <c r="C291" t="str">
        <f t="shared" si="222"/>
        <v>No</v>
      </c>
      <c r="D291" t="str">
        <f t="shared" si="219"/>
        <v>No</v>
      </c>
      <c r="E291" t="str">
        <f t="shared" si="219"/>
        <v>No</v>
      </c>
    </row>
    <row r="292" spans="1:5">
      <c r="A292" t="s">
        <v>4639</v>
      </c>
      <c r="C292" t="str">
        <f t="shared" si="222"/>
        <v>No</v>
      </c>
      <c r="D292" t="str">
        <f t="shared" si="219"/>
        <v>No</v>
      </c>
      <c r="E292" t="str">
        <f t="shared" si="219"/>
        <v>No</v>
      </c>
    </row>
    <row r="293" spans="1:5">
      <c r="A293" t="s">
        <v>3860</v>
      </c>
      <c r="C293" t="str">
        <f t="shared" si="222"/>
        <v>No</v>
      </c>
      <c r="D293" t="str">
        <f t="shared" ref="D293:E337" si="223">C293</f>
        <v>No</v>
      </c>
      <c r="E293" t="str">
        <f t="shared" si="223"/>
        <v>No</v>
      </c>
    </row>
    <row r="294" spans="1:5">
      <c r="A294" t="s">
        <v>4702</v>
      </c>
      <c r="C294" t="str">
        <f t="shared" si="222"/>
        <v>No</v>
      </c>
      <c r="D294" t="str">
        <f t="shared" si="223"/>
        <v>No</v>
      </c>
      <c r="E294" t="str">
        <f t="shared" si="223"/>
        <v>No</v>
      </c>
    </row>
    <row r="295" spans="1:5">
      <c r="A295" t="s">
        <v>4647</v>
      </c>
      <c r="C295" t="str">
        <f t="shared" si="222"/>
        <v>No</v>
      </c>
      <c r="D295" t="str">
        <f t="shared" si="223"/>
        <v>No</v>
      </c>
      <c r="E295" t="str">
        <f t="shared" si="223"/>
        <v>No</v>
      </c>
    </row>
    <row r="296" spans="1:5">
      <c r="A296" t="s">
        <v>3899</v>
      </c>
      <c r="C296" t="str">
        <f t="shared" si="222"/>
        <v>No</v>
      </c>
      <c r="D296" t="str">
        <f t="shared" si="223"/>
        <v>No</v>
      </c>
      <c r="E296" t="str">
        <f t="shared" si="223"/>
        <v>No</v>
      </c>
    </row>
    <row r="297" spans="1:5">
      <c r="A297" t="s">
        <v>4534</v>
      </c>
      <c r="C297" t="str">
        <f t="shared" si="222"/>
        <v>No</v>
      </c>
      <c r="D297" t="str">
        <f t="shared" si="223"/>
        <v>No</v>
      </c>
      <c r="E297" t="str">
        <f t="shared" si="223"/>
        <v>No</v>
      </c>
    </row>
    <row r="298" spans="1:5">
      <c r="A298" t="s">
        <v>3838</v>
      </c>
      <c r="C298" t="str">
        <f t="shared" si="222"/>
        <v>No</v>
      </c>
      <c r="D298" t="str">
        <f t="shared" si="223"/>
        <v>No</v>
      </c>
      <c r="E298" t="str">
        <f t="shared" si="223"/>
        <v>No</v>
      </c>
    </row>
    <row r="299" spans="1:5">
      <c r="A299" t="s">
        <v>3888</v>
      </c>
      <c r="C299" t="str">
        <f t="shared" si="222"/>
        <v>No</v>
      </c>
      <c r="D299" t="str">
        <f t="shared" si="223"/>
        <v>No</v>
      </c>
      <c r="E299" t="str">
        <f t="shared" si="223"/>
        <v>No</v>
      </c>
    </row>
    <row r="300" spans="1:5">
      <c r="A300" t="s">
        <v>4531</v>
      </c>
      <c r="C300" t="str">
        <f t="shared" si="222"/>
        <v>No</v>
      </c>
      <c r="D300" t="str">
        <f t="shared" si="223"/>
        <v>No</v>
      </c>
      <c r="E300" t="str">
        <f t="shared" si="223"/>
        <v>No</v>
      </c>
    </row>
    <row r="301" spans="1:5">
      <c r="A301" t="s">
        <v>4571</v>
      </c>
      <c r="C301" t="str">
        <f t="shared" si="222"/>
        <v>No</v>
      </c>
      <c r="D301" t="str">
        <f t="shared" si="223"/>
        <v>No</v>
      </c>
      <c r="E301" t="str">
        <f t="shared" si="223"/>
        <v>No</v>
      </c>
    </row>
    <row r="302" spans="1:5">
      <c r="A302" t="s">
        <v>4563</v>
      </c>
      <c r="C302" t="str">
        <f t="shared" si="222"/>
        <v>No</v>
      </c>
      <c r="D302" t="str">
        <f t="shared" si="223"/>
        <v>No</v>
      </c>
      <c r="E302" t="str">
        <f t="shared" si="223"/>
        <v>No</v>
      </c>
    </row>
    <row r="303" spans="1:5">
      <c r="A303" t="s">
        <v>351</v>
      </c>
      <c r="C303" t="str">
        <f t="shared" si="222"/>
        <v>No</v>
      </c>
      <c r="D303" t="str">
        <f t="shared" si="223"/>
        <v>No</v>
      </c>
      <c r="E303" t="str">
        <f t="shared" si="223"/>
        <v>No</v>
      </c>
    </row>
    <row r="304" spans="1:5">
      <c r="A304" t="s">
        <v>4474</v>
      </c>
      <c r="C304" t="str">
        <f t="shared" si="222"/>
        <v>No</v>
      </c>
      <c r="D304" t="str">
        <f t="shared" si="223"/>
        <v>No</v>
      </c>
      <c r="E304" t="str">
        <f t="shared" si="223"/>
        <v>No</v>
      </c>
    </row>
    <row r="305" spans="1:5">
      <c r="A305" t="s">
        <v>4145</v>
      </c>
      <c r="C305" t="str">
        <f t="shared" si="222"/>
        <v>No</v>
      </c>
      <c r="D305" t="str">
        <f t="shared" si="223"/>
        <v>No</v>
      </c>
      <c r="E305" t="str">
        <f t="shared" si="223"/>
        <v>No</v>
      </c>
    </row>
    <row r="306" spans="1:5">
      <c r="A306" t="s">
        <v>4538</v>
      </c>
      <c r="C306" t="str">
        <f t="shared" si="222"/>
        <v>No</v>
      </c>
      <c r="D306" t="str">
        <f t="shared" si="223"/>
        <v>No</v>
      </c>
      <c r="E306" t="str">
        <f t="shared" si="223"/>
        <v>No</v>
      </c>
    </row>
    <row r="307" spans="1:5">
      <c r="A307" t="s">
        <v>4564</v>
      </c>
      <c r="C307" t="str">
        <f t="shared" si="222"/>
        <v>No</v>
      </c>
      <c r="D307" t="str">
        <f t="shared" si="223"/>
        <v>No</v>
      </c>
      <c r="E307" t="str">
        <f t="shared" si="223"/>
        <v>No</v>
      </c>
    </row>
    <row r="308" spans="1:5">
      <c r="C308" t="str">
        <f t="shared" si="222"/>
        <v>No</v>
      </c>
      <c r="D308" t="str">
        <f t="shared" si="223"/>
        <v>No</v>
      </c>
      <c r="E308" t="str">
        <f t="shared" si="223"/>
        <v>No</v>
      </c>
    </row>
    <row r="309" spans="1:5">
      <c r="A309" t="s">
        <v>849</v>
      </c>
      <c r="C309" t="str">
        <f t="shared" si="222"/>
        <v>No</v>
      </c>
      <c r="D309" t="str">
        <f t="shared" si="223"/>
        <v>No</v>
      </c>
      <c r="E309" t="str">
        <f t="shared" si="223"/>
        <v>No</v>
      </c>
    </row>
    <row r="310" spans="1:5">
      <c r="A310" t="s">
        <v>3701</v>
      </c>
      <c r="C310" t="str">
        <f t="shared" si="222"/>
        <v>No</v>
      </c>
      <c r="D310" t="str">
        <f t="shared" si="223"/>
        <v>No</v>
      </c>
      <c r="E310" t="str">
        <f t="shared" si="223"/>
        <v>No</v>
      </c>
    </row>
    <row r="311" spans="1:5">
      <c r="A311" t="s">
        <v>4588</v>
      </c>
      <c r="C311" t="str">
        <f t="shared" si="222"/>
        <v>No</v>
      </c>
      <c r="D311" t="str">
        <f t="shared" si="223"/>
        <v>No</v>
      </c>
      <c r="E311" t="str">
        <f t="shared" si="223"/>
        <v>No</v>
      </c>
    </row>
    <row r="312" spans="1:5">
      <c r="A312" t="s">
        <v>3774</v>
      </c>
      <c r="C312" t="str">
        <f t="shared" si="222"/>
        <v>No</v>
      </c>
      <c r="D312" t="str">
        <f t="shared" si="223"/>
        <v>No</v>
      </c>
      <c r="E312" t="str">
        <f t="shared" si="223"/>
        <v>No</v>
      </c>
    </row>
    <row r="313" spans="1:5">
      <c r="A313" t="s">
        <v>9</v>
      </c>
      <c r="C313" t="str">
        <f t="shared" si="222"/>
        <v>No</v>
      </c>
      <c r="D313" t="str">
        <f t="shared" si="223"/>
        <v>No</v>
      </c>
      <c r="E313" t="str">
        <f t="shared" si="223"/>
        <v>No</v>
      </c>
    </row>
    <row r="314" spans="1:5">
      <c r="A314" t="s">
        <v>332</v>
      </c>
      <c r="C314" t="str">
        <f t="shared" si="222"/>
        <v>No</v>
      </c>
      <c r="D314" t="str">
        <f t="shared" si="223"/>
        <v>No</v>
      </c>
      <c r="E314" t="str">
        <f t="shared" si="223"/>
        <v>No</v>
      </c>
    </row>
    <row r="315" spans="1:5">
      <c r="A315" t="s">
        <v>3799</v>
      </c>
      <c r="C315" t="str">
        <f t="shared" si="222"/>
        <v>No</v>
      </c>
      <c r="D315" t="str">
        <f t="shared" si="223"/>
        <v>No</v>
      </c>
      <c r="E315" t="str">
        <f t="shared" si="223"/>
        <v>No</v>
      </c>
    </row>
    <row r="316" spans="1:5">
      <c r="A316" t="s">
        <v>3841</v>
      </c>
      <c r="C316" t="str">
        <f t="shared" si="222"/>
        <v>No</v>
      </c>
      <c r="D316" t="str">
        <f t="shared" si="223"/>
        <v>No</v>
      </c>
      <c r="E316" t="str">
        <f t="shared" si="223"/>
        <v>No</v>
      </c>
    </row>
    <row r="317" spans="1:5">
      <c r="A317" t="s">
        <v>4474</v>
      </c>
      <c r="C317" t="str">
        <f t="shared" si="222"/>
        <v>No</v>
      </c>
      <c r="D317" t="str">
        <f t="shared" si="223"/>
        <v>No</v>
      </c>
      <c r="E317" t="str">
        <f t="shared" si="223"/>
        <v>No</v>
      </c>
    </row>
    <row r="318" spans="1:5">
      <c r="A318" t="s">
        <v>4494</v>
      </c>
      <c r="C318" t="str">
        <f t="shared" si="222"/>
        <v>No</v>
      </c>
      <c r="D318" t="str">
        <f t="shared" si="223"/>
        <v>No</v>
      </c>
      <c r="E318" t="str">
        <f t="shared" si="223"/>
        <v>No</v>
      </c>
    </row>
    <row r="319" spans="1:5">
      <c r="A319" t="s">
        <v>4501</v>
      </c>
      <c r="C319" t="str">
        <f t="shared" si="222"/>
        <v>No</v>
      </c>
      <c r="D319" t="str">
        <f t="shared" si="223"/>
        <v>No</v>
      </c>
      <c r="E319" t="str">
        <f t="shared" si="223"/>
        <v>No</v>
      </c>
    </row>
    <row r="320" spans="1:5">
      <c r="A320" t="s">
        <v>4502</v>
      </c>
      <c r="C320" t="str">
        <f t="shared" ref="C320:C337" si="224">IF(B320="Sim","Yes","No")</f>
        <v>No</v>
      </c>
      <c r="D320" t="str">
        <f t="shared" si="223"/>
        <v>No</v>
      </c>
      <c r="E320" t="str">
        <f t="shared" si="223"/>
        <v>No</v>
      </c>
    </row>
    <row r="321" spans="1:5">
      <c r="A321" t="s">
        <v>4528</v>
      </c>
      <c r="C321" t="str">
        <f t="shared" si="224"/>
        <v>No</v>
      </c>
      <c r="D321" t="str">
        <f t="shared" si="223"/>
        <v>No</v>
      </c>
      <c r="E321" t="str">
        <f t="shared" si="223"/>
        <v>No</v>
      </c>
    </row>
    <row r="322" spans="1:5">
      <c r="A322" t="s">
        <v>3854</v>
      </c>
      <c r="C322" t="str">
        <f t="shared" si="224"/>
        <v>No</v>
      </c>
      <c r="D322" t="str">
        <f t="shared" si="223"/>
        <v>No</v>
      </c>
      <c r="E322" t="str">
        <f t="shared" si="223"/>
        <v>No</v>
      </c>
    </row>
    <row r="323" spans="1:5">
      <c r="A323" t="s">
        <v>3864</v>
      </c>
      <c r="C323" t="str">
        <f t="shared" si="224"/>
        <v>No</v>
      </c>
      <c r="D323" t="str">
        <f t="shared" si="223"/>
        <v>No</v>
      </c>
      <c r="E323" t="str">
        <f t="shared" si="223"/>
        <v>No</v>
      </c>
    </row>
    <row r="324" spans="1:5">
      <c r="A324" t="s">
        <v>3798</v>
      </c>
      <c r="C324" t="str">
        <f t="shared" si="224"/>
        <v>No</v>
      </c>
      <c r="D324" t="str">
        <f t="shared" si="223"/>
        <v>No</v>
      </c>
      <c r="E324" t="str">
        <f t="shared" si="223"/>
        <v>No</v>
      </c>
    </row>
    <row r="325" spans="1:5">
      <c r="A325" t="s">
        <v>3798</v>
      </c>
      <c r="C325" t="str">
        <f t="shared" si="224"/>
        <v>No</v>
      </c>
      <c r="D325" t="str">
        <f t="shared" si="223"/>
        <v>No</v>
      </c>
      <c r="E325" t="str">
        <f t="shared" si="223"/>
        <v>No</v>
      </c>
    </row>
    <row r="326" spans="1:5">
      <c r="C326" t="str">
        <f t="shared" si="224"/>
        <v>No</v>
      </c>
      <c r="D326" t="str">
        <f t="shared" si="223"/>
        <v>No</v>
      </c>
      <c r="E326" t="str">
        <f t="shared" si="223"/>
        <v>No</v>
      </c>
    </row>
    <row r="327" spans="1:5">
      <c r="A327" t="s">
        <v>1395</v>
      </c>
      <c r="C327" t="str">
        <f t="shared" si="224"/>
        <v>No</v>
      </c>
      <c r="D327" t="str">
        <f t="shared" si="223"/>
        <v>No</v>
      </c>
      <c r="E327" t="str">
        <f t="shared" si="223"/>
        <v>No</v>
      </c>
    </row>
    <row r="328" spans="1:5">
      <c r="A328" t="s">
        <v>1395</v>
      </c>
      <c r="B328" t="s">
        <v>5826</v>
      </c>
      <c r="C328" t="str">
        <f t="shared" si="224"/>
        <v>Yes</v>
      </c>
      <c r="D328" t="str">
        <f t="shared" si="223"/>
        <v>Yes</v>
      </c>
      <c r="E328" t="str">
        <f t="shared" si="223"/>
        <v>Yes</v>
      </c>
    </row>
    <row r="329" spans="1:5">
      <c r="A329" t="s">
        <v>4648</v>
      </c>
      <c r="C329" t="str">
        <f t="shared" si="224"/>
        <v>No</v>
      </c>
      <c r="D329" t="str">
        <f t="shared" si="223"/>
        <v>No</v>
      </c>
      <c r="E329" t="str">
        <f t="shared" si="223"/>
        <v>No</v>
      </c>
    </row>
    <row r="330" spans="1:5">
      <c r="A330" t="s">
        <v>6026</v>
      </c>
      <c r="B330" t="s">
        <v>5826</v>
      </c>
      <c r="C330" t="str">
        <f t="shared" si="224"/>
        <v>Yes</v>
      </c>
      <c r="D330" t="str">
        <f t="shared" si="223"/>
        <v>Yes</v>
      </c>
      <c r="E330" t="str">
        <f t="shared" si="223"/>
        <v>Yes</v>
      </c>
    </row>
    <row r="331" spans="1:5">
      <c r="A331" t="s">
        <v>313</v>
      </c>
      <c r="C331" t="str">
        <f t="shared" si="224"/>
        <v>No</v>
      </c>
      <c r="D331" t="str">
        <f t="shared" si="223"/>
        <v>No</v>
      </c>
      <c r="E331" t="str">
        <f t="shared" si="223"/>
        <v>No</v>
      </c>
    </row>
    <row r="332" spans="1:5">
      <c r="A332" t="s">
        <v>316</v>
      </c>
      <c r="C332" t="str">
        <f t="shared" si="224"/>
        <v>No</v>
      </c>
      <c r="D332" t="str">
        <f t="shared" si="223"/>
        <v>No</v>
      </c>
      <c r="E332" t="str">
        <f t="shared" si="223"/>
        <v>No</v>
      </c>
    </row>
    <row r="333" spans="1:5">
      <c r="A333" t="s">
        <v>5</v>
      </c>
      <c r="C333" t="str">
        <f t="shared" si="224"/>
        <v>No</v>
      </c>
      <c r="D333" t="str">
        <f t="shared" si="223"/>
        <v>No</v>
      </c>
      <c r="E333" t="str">
        <f t="shared" si="223"/>
        <v>No</v>
      </c>
    </row>
    <row r="334" spans="1:5">
      <c r="A334" t="s">
        <v>6269</v>
      </c>
      <c r="C334" t="str">
        <f t="shared" si="224"/>
        <v>No</v>
      </c>
      <c r="D334" t="str">
        <f t="shared" si="223"/>
        <v>No</v>
      </c>
      <c r="E334" t="str">
        <f t="shared" si="223"/>
        <v>No</v>
      </c>
    </row>
    <row r="335" spans="1:5">
      <c r="A335" t="s">
        <v>108</v>
      </c>
      <c r="C335" t="str">
        <f t="shared" si="224"/>
        <v>No</v>
      </c>
      <c r="D335" t="str">
        <f t="shared" si="223"/>
        <v>No</v>
      </c>
      <c r="E335" t="str">
        <f t="shared" si="223"/>
        <v>No</v>
      </c>
    </row>
    <row r="336" spans="1:5">
      <c r="A336" t="s">
        <v>15</v>
      </c>
      <c r="C336" t="str">
        <f t="shared" si="224"/>
        <v>No</v>
      </c>
      <c r="D336" t="str">
        <f t="shared" si="223"/>
        <v>No</v>
      </c>
      <c r="E336" t="str">
        <f t="shared" si="223"/>
        <v>No</v>
      </c>
    </row>
    <row r="337" spans="1:5">
      <c r="A337" t="s">
        <v>112</v>
      </c>
      <c r="C337" t="str">
        <f t="shared" si="224"/>
        <v>No</v>
      </c>
      <c r="D337" t="str">
        <f t="shared" si="223"/>
        <v>No</v>
      </c>
      <c r="E337" t="str">
        <f t="shared" si="223"/>
        <v>No</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A09ED-746A-47B2-8684-4B4A26C99529}">
  <dimension ref="A2:N177"/>
  <sheetViews>
    <sheetView topLeftCell="A4" zoomScaleNormal="100" workbookViewId="0">
      <selection activeCell="A23" sqref="A23"/>
    </sheetView>
  </sheetViews>
  <sheetFormatPr defaultRowHeight="14.5"/>
  <cols>
    <col min="1" max="1" width="32.26953125" bestFit="1" customWidth="1"/>
    <col min="2" max="2" width="31" bestFit="1" customWidth="1"/>
    <col min="3" max="3" width="10.54296875" bestFit="1" customWidth="1"/>
    <col min="4" max="4" width="12.1796875" bestFit="1" customWidth="1"/>
    <col min="5" max="5" width="12.54296875" bestFit="1" customWidth="1"/>
    <col min="6" max="6" width="14.453125" bestFit="1" customWidth="1"/>
    <col min="7" max="7" width="16.81640625" bestFit="1" customWidth="1"/>
    <col min="8" max="8" width="11.81640625" bestFit="1" customWidth="1"/>
    <col min="9" max="9" width="18.7265625" hidden="1" customWidth="1"/>
    <col min="10" max="10" width="22.26953125" hidden="1" customWidth="1"/>
    <col min="11" max="11" width="19.7265625" hidden="1" customWidth="1"/>
    <col min="12" max="12" width="10.54296875" bestFit="1" customWidth="1"/>
    <col min="13" max="13" width="11.7265625" bestFit="1" customWidth="1"/>
    <col min="14" max="14" width="10" bestFit="1" customWidth="1"/>
    <col min="15" max="15" width="11.7265625" bestFit="1" customWidth="1"/>
    <col min="16" max="17" width="18.54296875" bestFit="1" customWidth="1"/>
    <col min="18" max="18" width="19.1796875" bestFit="1" customWidth="1"/>
    <col min="19" max="19" width="22.26953125" bestFit="1" customWidth="1"/>
    <col min="20" max="20" width="15.26953125" bestFit="1" customWidth="1"/>
    <col min="21" max="21" width="14.1796875" bestFit="1" customWidth="1"/>
    <col min="22" max="22" width="4.26953125" bestFit="1" customWidth="1"/>
    <col min="23" max="23" width="6.26953125" bestFit="1" customWidth="1"/>
    <col min="24" max="24" width="16.81640625" bestFit="1" customWidth="1"/>
    <col min="25" max="25" width="14.54296875" bestFit="1" customWidth="1"/>
    <col min="26" max="26" width="6.54296875" bestFit="1" customWidth="1"/>
    <col min="27" max="27" width="5.453125" bestFit="1" customWidth="1"/>
    <col min="28" max="28" width="18.1796875" bestFit="1" customWidth="1"/>
    <col min="29" max="29" width="10.26953125" bestFit="1" customWidth="1"/>
    <col min="30" max="30" width="22.453125" bestFit="1" customWidth="1"/>
    <col min="31" max="31" width="17.453125" bestFit="1" customWidth="1"/>
    <col min="32" max="32" width="32.26953125" bestFit="1" customWidth="1"/>
    <col min="33" max="33" width="12.26953125" bestFit="1" customWidth="1"/>
    <col min="34" max="34" width="23.81640625" bestFit="1" customWidth="1"/>
    <col min="35" max="35" width="7.7265625" bestFit="1" customWidth="1"/>
    <col min="36" max="36" width="32.81640625" bestFit="1" customWidth="1"/>
    <col min="37" max="37" width="21.1796875" bestFit="1" customWidth="1"/>
    <col min="38" max="38" width="20.26953125" bestFit="1" customWidth="1"/>
    <col min="39" max="39" width="9.26953125" bestFit="1" customWidth="1"/>
    <col min="40" max="40" width="19.26953125" bestFit="1" customWidth="1"/>
    <col min="41" max="41" width="18.81640625" bestFit="1" customWidth="1"/>
    <col min="42" max="42" width="13.26953125" bestFit="1" customWidth="1"/>
    <col min="43" max="43" width="15.54296875" bestFit="1" customWidth="1"/>
    <col min="44" max="44" width="9" bestFit="1" customWidth="1"/>
    <col min="45" max="45" width="7.26953125" bestFit="1" customWidth="1"/>
    <col min="46" max="46" width="11.26953125" bestFit="1" customWidth="1"/>
    <col min="47" max="48" width="10.7265625" bestFit="1" customWidth="1"/>
    <col min="49" max="49" width="18.453125" bestFit="1" customWidth="1"/>
    <col min="50" max="50" width="13.1796875" bestFit="1" customWidth="1"/>
    <col min="51" max="52" width="11.7265625" bestFit="1" customWidth="1"/>
    <col min="53" max="53" width="21.7265625" bestFit="1" customWidth="1"/>
    <col min="54" max="54" width="13.81640625" bestFit="1" customWidth="1"/>
    <col min="55" max="55" width="20.7265625" bestFit="1" customWidth="1"/>
    <col min="56" max="56" width="7.7265625" bestFit="1" customWidth="1"/>
    <col min="57" max="57" width="9.453125" bestFit="1" customWidth="1"/>
    <col min="58" max="58" width="8.26953125" bestFit="1" customWidth="1"/>
    <col min="59" max="59" width="16.7265625" bestFit="1" customWidth="1"/>
    <col min="60" max="60" width="13.54296875" bestFit="1" customWidth="1"/>
    <col min="61" max="61" width="15.54296875" bestFit="1" customWidth="1"/>
    <col min="62" max="62" width="16.1796875" bestFit="1" customWidth="1"/>
    <col min="63" max="63" width="12.81640625" bestFit="1" customWidth="1"/>
    <col min="64" max="64" width="17.453125" bestFit="1" customWidth="1"/>
    <col min="65" max="65" width="19.7265625" bestFit="1" customWidth="1"/>
    <col min="66" max="66" width="9.7265625" bestFit="1" customWidth="1"/>
    <col min="67" max="67" width="14.453125" bestFit="1" customWidth="1"/>
    <col min="68" max="68" width="10.7265625" bestFit="1" customWidth="1"/>
    <col min="69" max="69" width="3.54296875" bestFit="1" customWidth="1"/>
    <col min="70" max="70" width="13.54296875" bestFit="1" customWidth="1"/>
    <col min="71" max="71" width="11.453125" bestFit="1" customWidth="1"/>
    <col min="72" max="72" width="8.26953125" bestFit="1" customWidth="1"/>
    <col min="73" max="73" width="8.54296875" bestFit="1" customWidth="1"/>
    <col min="74" max="74" width="13.26953125" bestFit="1" customWidth="1"/>
    <col min="75" max="75" width="16.7265625" bestFit="1" customWidth="1"/>
    <col min="76" max="76" width="18.26953125" bestFit="1" customWidth="1"/>
    <col min="77" max="77" width="17.81640625" bestFit="1" customWidth="1"/>
    <col min="78" max="78" width="13.81640625" bestFit="1" customWidth="1"/>
    <col min="79" max="79" width="15.26953125" bestFit="1" customWidth="1"/>
    <col min="80" max="80" width="13.7265625" bestFit="1" customWidth="1"/>
    <col min="81" max="81" width="8.54296875" bestFit="1" customWidth="1"/>
    <col min="82" max="82" width="8.26953125" bestFit="1" customWidth="1"/>
    <col min="83" max="83" width="16.453125" bestFit="1" customWidth="1"/>
    <col min="84" max="84" width="10" bestFit="1" customWidth="1"/>
    <col min="85" max="85" width="9.7265625" bestFit="1" customWidth="1"/>
    <col min="86" max="86" width="8.453125" bestFit="1" customWidth="1"/>
    <col min="87" max="87" width="14.7265625" bestFit="1" customWidth="1"/>
    <col min="88" max="88" width="10.26953125" bestFit="1" customWidth="1"/>
    <col min="89" max="89" width="12.26953125" bestFit="1" customWidth="1"/>
    <col min="90" max="90" width="13.453125" bestFit="1" customWidth="1"/>
    <col min="91" max="91" width="6.81640625" bestFit="1" customWidth="1"/>
    <col min="92" max="92" width="5.54296875" bestFit="1" customWidth="1"/>
    <col min="93" max="93" width="11.7265625" bestFit="1" customWidth="1"/>
    <col min="94" max="94" width="10.7265625" bestFit="1" customWidth="1"/>
  </cols>
  <sheetData>
    <row r="2" spans="1:6">
      <c r="A2" s="450" t="s">
        <v>5936</v>
      </c>
      <c r="B2" s="450">
        <f>'General Information'!C10</f>
        <v>0</v>
      </c>
    </row>
    <row r="3" spans="1:6">
      <c r="A3" s="450" t="s">
        <v>5937</v>
      </c>
      <c r="B3" s="450">
        <f>Proposal!C9</f>
        <v>0</v>
      </c>
    </row>
    <row r="4" spans="1:6">
      <c r="A4" s="450" t="s">
        <v>5938</v>
      </c>
      <c r="B4" s="450">
        <f>Proposal!C8</f>
        <v>0</v>
      </c>
    </row>
    <row r="5" spans="1:6">
      <c r="A5" s="450" t="s">
        <v>5939</v>
      </c>
      <c r="B5" s="450">
        <f>'General Information'!C12</f>
        <v>0</v>
      </c>
    </row>
    <row r="6" spans="1:6">
      <c r="A6" s="450" t="s">
        <v>6250</v>
      </c>
      <c r="B6" s="494">
        <f ca="1">TODAY()</f>
        <v>46066</v>
      </c>
    </row>
    <row r="7" spans="1:6">
      <c r="A7" s="450"/>
      <c r="B7" s="493"/>
    </row>
    <row r="10" spans="1:6" ht="26">
      <c r="A10" s="695" t="s">
        <v>2097</v>
      </c>
      <c r="B10" s="695"/>
    </row>
    <row r="12" spans="1:6">
      <c r="A12" s="696"/>
      <c r="B12" s="696"/>
      <c r="C12" s="696"/>
      <c r="D12" s="696"/>
      <c r="E12" s="451" t="str">
        <f>IF(Proposal!C12="Usuário Concorrente","Nº de Usuários Concorrentes",IF(Proposal!C12="Estação de Trabalho","Nº de Estações de Trabalho",""))</f>
        <v/>
      </c>
      <c r="F12" s="451" t="s">
        <v>5941</v>
      </c>
    </row>
    <row r="13" spans="1:6">
      <c r="A13" s="692" t="s">
        <v>5942</v>
      </c>
      <c r="B13" s="692"/>
      <c r="C13" s="692"/>
      <c r="D13" s="692"/>
      <c r="E13" s="452">
        <v>1</v>
      </c>
      <c r="F13" s="453">
        <f>Proposal!C22</f>
        <v>0</v>
      </c>
    </row>
    <row r="14" spans="1:6">
      <c r="A14" s="692" t="s">
        <v>5943</v>
      </c>
      <c r="B14" s="692"/>
      <c r="C14" s="692"/>
      <c r="D14" s="692"/>
      <c r="E14" s="452">
        <f>Proposal!$C$13</f>
        <v>0</v>
      </c>
      <c r="F14" s="453">
        <f>E14*Proposal!C22</f>
        <v>0</v>
      </c>
    </row>
    <row r="16" spans="1:6" ht="26">
      <c r="A16" s="695" t="s">
        <v>5944</v>
      </c>
      <c r="B16" s="695"/>
      <c r="C16" s="454"/>
      <c r="D16" s="454"/>
      <c r="E16" s="454"/>
      <c r="F16" s="455"/>
    </row>
    <row r="17" spans="1:7" ht="14.25" customHeight="1"/>
    <row r="18" spans="1:7">
      <c r="A18" s="696"/>
      <c r="B18" s="696"/>
      <c r="C18" s="696"/>
      <c r="D18" s="696"/>
      <c r="E18" s="451" t="str">
        <f>IF(Proposal!$C$12="Usuário Concorrente","Nº de Usuários Concorrentes",IF(Proposal!$C$12="Estação de Trabalho","Nº de Estações de Trabalho",""))</f>
        <v/>
      </c>
      <c r="F18" s="451" t="s">
        <v>5941</v>
      </c>
    </row>
    <row r="19" spans="1:7">
      <c r="A19" s="692" t="s">
        <v>5945</v>
      </c>
      <c r="B19" s="692"/>
      <c r="C19" s="692"/>
      <c r="D19" s="692"/>
      <c r="E19" s="452">
        <v>1</v>
      </c>
      <c r="F19" s="456">
        <f>Proposal!C23</f>
        <v>0</v>
      </c>
    </row>
    <row r="20" spans="1:7">
      <c r="A20" s="692" t="s">
        <v>5946</v>
      </c>
      <c r="B20" s="692"/>
      <c r="C20" s="692"/>
      <c r="D20" s="692"/>
      <c r="E20" s="452">
        <f>Proposal!$C$13</f>
        <v>0</v>
      </c>
      <c r="F20" s="456">
        <f>E20*$F$19</f>
        <v>0</v>
      </c>
    </row>
    <row r="21" spans="1:7">
      <c r="A21" s="692" t="s">
        <v>5947</v>
      </c>
      <c r="B21" s="692"/>
      <c r="C21" s="692"/>
      <c r="D21" s="692"/>
      <c r="E21" s="452">
        <f>Proposal!$C$13</f>
        <v>0</v>
      </c>
      <c r="F21" s="456">
        <f>Proposal!$C$25</f>
        <v>0</v>
      </c>
    </row>
    <row r="26" spans="1:7">
      <c r="A26" s="696" t="s">
        <v>5948</v>
      </c>
      <c r="B26" s="696"/>
      <c r="C26" s="696"/>
      <c r="D26" s="696" t="s">
        <v>5949</v>
      </c>
      <c r="E26" s="696"/>
      <c r="F26" s="451" t="s">
        <v>3241</v>
      </c>
      <c r="G26" s="457" t="s">
        <v>5950</v>
      </c>
    </row>
    <row r="27" spans="1:7">
      <c r="A27" s="692" t="s">
        <v>5951</v>
      </c>
      <c r="B27" s="692"/>
      <c r="C27" s="692"/>
      <c r="D27" s="693">
        <f>Summary!$P$14</f>
        <v>232</v>
      </c>
      <c r="E27" s="694"/>
      <c r="F27" s="458">
        <f>Proposal!$C$28</f>
        <v>0</v>
      </c>
      <c r="G27" s="459">
        <f>F27*D27</f>
        <v>0</v>
      </c>
    </row>
    <row r="28" spans="1:7">
      <c r="A28" s="692" t="s">
        <v>5952</v>
      </c>
      <c r="B28" s="692"/>
      <c r="C28" s="692"/>
      <c r="D28" s="699">
        <f>Summary!$P$15</f>
        <v>46.400000000000006</v>
      </c>
      <c r="E28" s="694"/>
      <c r="F28" s="458">
        <f>Proposal!$C$30</f>
        <v>0</v>
      </c>
      <c r="G28" s="459">
        <f>F28*D28</f>
        <v>0</v>
      </c>
    </row>
    <row r="29" spans="1:7">
      <c r="A29" s="692" t="s">
        <v>2646</v>
      </c>
      <c r="B29" s="692"/>
      <c r="C29" s="692"/>
      <c r="D29" s="699">
        <f>D28+D27</f>
        <v>278.39999999999998</v>
      </c>
      <c r="E29" s="694"/>
      <c r="F29" s="459" t="s">
        <v>3242</v>
      </c>
      <c r="G29" s="459" t="s">
        <v>5953</v>
      </c>
    </row>
    <row r="30" spans="1:7">
      <c r="A30" t="str">
        <f>IF(Proposal!C21="Yes","*Nos valores acima estão inclusos os impostos.","*Nos valores acima não estão inclusos os impostos.")</f>
        <v>*Nos valores acima não estão inclusos os impostos.</v>
      </c>
    </row>
    <row r="32" spans="1:7" ht="26">
      <c r="A32" s="695" t="s">
        <v>2922</v>
      </c>
      <c r="B32" s="695"/>
      <c r="C32" s="454"/>
      <c r="D32" s="454"/>
      <c r="E32" s="454"/>
      <c r="F32" s="455"/>
    </row>
    <row r="33" spans="1:8">
      <c r="A33" s="696"/>
      <c r="B33" s="696"/>
      <c r="C33" s="696"/>
      <c r="D33" s="696"/>
      <c r="E33" s="451" t="str">
        <f>IF(Proposal!$C$12="Usuário Concorrente","Nº de Usuários Concorrentes",IF(Proposal!$C$12="Estação de Trabalho","Nº de Estações de Trabalho",""))</f>
        <v/>
      </c>
      <c r="F33" s="451" t="s">
        <v>5941</v>
      </c>
    </row>
    <row r="34" spans="1:8">
      <c r="A34" s="692" t="s">
        <v>5942</v>
      </c>
      <c r="B34" s="692"/>
      <c r="C34" s="692"/>
      <c r="D34" s="692"/>
      <c r="E34" s="452">
        <v>1</v>
      </c>
      <c r="F34" s="453" t="e">
        <f>(Proposal!C38/Proposal!C13)</f>
        <v>#DIV/0!</v>
      </c>
    </row>
    <row r="35" spans="1:8">
      <c r="A35" s="692" t="s">
        <v>5943</v>
      </c>
      <c r="B35" s="692"/>
      <c r="C35" s="692"/>
      <c r="D35" s="692"/>
      <c r="E35" s="452">
        <f>Proposal!$C$13</f>
        <v>0</v>
      </c>
      <c r="F35" s="453">
        <f>Proposal!C38</f>
        <v>0</v>
      </c>
    </row>
    <row r="37" spans="1:8" ht="26">
      <c r="A37" s="695" t="s">
        <v>2492</v>
      </c>
      <c r="B37" s="695"/>
    </row>
    <row r="39" spans="1:8">
      <c r="A39" s="696" t="s">
        <v>5954</v>
      </c>
      <c r="B39" s="696"/>
      <c r="C39" s="696" t="s">
        <v>5955</v>
      </c>
      <c r="D39" s="696"/>
      <c r="E39" s="696" t="s">
        <v>5956</v>
      </c>
      <c r="F39" s="696"/>
      <c r="G39" s="696" t="s">
        <v>2102</v>
      </c>
      <c r="H39" s="696"/>
    </row>
    <row r="40" spans="1:8">
      <c r="A40" s="692">
        <f>Proposal!C52</f>
        <v>0</v>
      </c>
      <c r="B40" s="692"/>
      <c r="C40" s="697">
        <f>Proposal!C53</f>
        <v>0</v>
      </c>
      <c r="D40" s="698"/>
      <c r="E40" s="692">
        <f>Proposal!C51</f>
        <v>0</v>
      </c>
      <c r="F40" s="692"/>
      <c r="G40" s="692">
        <f>Proposal!C54</f>
        <v>0</v>
      </c>
      <c r="H40" s="692"/>
    </row>
    <row r="41" spans="1:8">
      <c r="A41" s="692">
        <f>Proposal!C53</f>
        <v>0</v>
      </c>
      <c r="B41" s="692"/>
      <c r="C41" s="697">
        <f>Proposal!C52</f>
        <v>0</v>
      </c>
      <c r="D41" s="698"/>
      <c r="E41" s="692">
        <f>Proposal!C51</f>
        <v>0</v>
      </c>
      <c r="F41" s="692"/>
      <c r="G41" s="692">
        <f>Proposal!C54</f>
        <v>0</v>
      </c>
      <c r="H41" s="692"/>
    </row>
    <row r="44" spans="1:8">
      <c r="A44" s="696" t="s">
        <v>5954</v>
      </c>
      <c r="B44" s="696"/>
      <c r="C44" s="696" t="s">
        <v>5955</v>
      </c>
      <c r="D44" s="696"/>
      <c r="E44" s="696" t="s">
        <v>5956</v>
      </c>
      <c r="F44" s="696"/>
      <c r="G44" s="696" t="s">
        <v>2102</v>
      </c>
      <c r="H44" s="696"/>
    </row>
    <row r="45" spans="1:8">
      <c r="A45" s="692" t="s">
        <v>5940</v>
      </c>
      <c r="B45" s="692"/>
      <c r="C45" s="692" t="s">
        <v>5957</v>
      </c>
      <c r="D45" s="692"/>
      <c r="E45" s="692" t="s">
        <v>5958</v>
      </c>
      <c r="F45" s="692"/>
      <c r="G45" s="692" t="s">
        <v>5959</v>
      </c>
      <c r="H45" s="692"/>
    </row>
    <row r="46" spans="1:8">
      <c r="A46" s="692" t="s">
        <v>5960</v>
      </c>
      <c r="B46" s="692"/>
      <c r="C46" s="692">
        <f>Proposal!C53</f>
        <v>0</v>
      </c>
      <c r="D46" s="692"/>
      <c r="E46" s="692" t="s">
        <v>2159</v>
      </c>
      <c r="F46" s="692"/>
      <c r="G46" s="692" t="s">
        <v>5959</v>
      </c>
      <c r="H46" s="692"/>
    </row>
    <row r="47" spans="1:8">
      <c r="A47" s="692">
        <f>Proposal!C53</f>
        <v>0</v>
      </c>
      <c r="B47" s="692"/>
      <c r="C47" s="692" t="s">
        <v>5957</v>
      </c>
      <c r="D47" s="692"/>
      <c r="E47" s="692" t="s">
        <v>2159</v>
      </c>
      <c r="F47" s="692"/>
      <c r="G47" s="692" t="s">
        <v>5959</v>
      </c>
      <c r="H47" s="692"/>
    </row>
    <row r="48" spans="1:8">
      <c r="C48" s="692" t="s">
        <v>5940</v>
      </c>
      <c r="D48" s="692"/>
      <c r="E48" s="692" t="s">
        <v>5958</v>
      </c>
      <c r="F48" s="692"/>
      <c r="G48" s="692" t="s">
        <v>5959</v>
      </c>
      <c r="H48" s="692"/>
    </row>
    <row r="49" spans="1:14" ht="26">
      <c r="A49" s="695" t="s">
        <v>2130</v>
      </c>
      <c r="B49" s="695"/>
    </row>
    <row r="50" spans="1:14">
      <c r="H50" s="513" t="s">
        <v>6313</v>
      </c>
    </row>
    <row r="51" spans="1:14" ht="29">
      <c r="A51" s="451" t="str">
        <f>Integrations!A11</f>
        <v>Título</v>
      </c>
      <c r="B51" s="451" t="str">
        <f>Integrations!B11</f>
        <v>Tipo de Sistema</v>
      </c>
      <c r="C51" s="451" t="str">
        <f>Integrations!C11</f>
        <v>Broker</v>
      </c>
      <c r="D51" s="451" t="str">
        <f>Integrations!D11</f>
        <v>Objetivo</v>
      </c>
      <c r="E51" s="451" t="str">
        <f>Integrations!E11</f>
        <v>Empresa</v>
      </c>
      <c r="F51" s="451" t="str">
        <f>Integrations!F11</f>
        <v>Forma de integração</v>
      </c>
      <c r="G51" s="451" t="str">
        <f>Integrations!G11</f>
        <v>Sistema</v>
      </c>
      <c r="H51" s="451" t="str">
        <f>Integrations!H11</f>
        <v>Incluir na Proposta?</v>
      </c>
      <c r="I51" s="451" t="str">
        <f>Integrations!I11</f>
        <v>Tempo desenv</v>
      </c>
      <c r="J51" s="451" t="str">
        <f>Integrations!J11</f>
        <v>Tempo consultoria</v>
      </c>
      <c r="K51" s="451" t="str">
        <f>Integrations!K11</f>
        <v>Horas Gerencia.</v>
      </c>
      <c r="L51" s="451" t="str">
        <f>Integrations!L11</f>
        <v>Tempo desenv</v>
      </c>
      <c r="M51" s="451" t="str">
        <f>Integrations!M11</f>
        <v>Tempo consultoria</v>
      </c>
      <c r="N51" s="451" t="str">
        <f>Integrations!N11</f>
        <v>Horas Gerencia.</v>
      </c>
    </row>
    <row r="52" spans="1:14">
      <c r="A52" t="str">
        <f>Integrations!A12</f>
        <v>Expert Pathos</v>
      </c>
      <c r="B52" t="str">
        <f>Integrations!B12</f>
        <v>Anatomia Patológica</v>
      </c>
      <c r="C52" t="str">
        <f>Integrations!C12</f>
        <v>WSI</v>
      </c>
      <c r="D52" t="str">
        <f>Integrations!D12</f>
        <v>Receber o laudo efetuado no sistema Expert Pathos da empresa TUXXON. A integração consiste apenas no retorno do laudo em HL7 para o Tasy.</v>
      </c>
      <c r="E52" t="str">
        <f>Integrations!E12</f>
        <v>TUXXON</v>
      </c>
      <c r="F52" t="str">
        <f>Integrations!F12</f>
        <v>HL7</v>
      </c>
      <c r="G52" t="str">
        <f>Integrations!G12</f>
        <v>Expert Pathos</v>
      </c>
      <c r="H52">
        <f>Integrations!H63</f>
        <v>0</v>
      </c>
      <c r="I52">
        <f>Integrations!I12</f>
        <v>60</v>
      </c>
      <c r="J52">
        <f>Integrations!J12</f>
        <v>60</v>
      </c>
      <c r="K52">
        <f>Integrations!K12</f>
        <v>12</v>
      </c>
      <c r="L52">
        <f>Integrations!L12</f>
        <v>0</v>
      </c>
      <c r="M52">
        <f>Integrations!M12</f>
        <v>0</v>
      </c>
      <c r="N52">
        <f>Integrations!N12</f>
        <v>0</v>
      </c>
    </row>
    <row r="53" spans="1:14">
      <c r="A53" t="str">
        <f>Integrations!A13</f>
        <v>Integração com assinatura digital</v>
      </c>
      <c r="B53" t="str">
        <f>Integrations!B13</f>
        <v>Assinatura Digital</v>
      </c>
      <c r="C53" t="str">
        <f>Integrations!C13</f>
        <v>WSI</v>
      </c>
      <c r="D53" t="str">
        <f>Integrations!D13</f>
        <v>Assinatura difgital de informações</v>
      </c>
      <c r="E53" t="str">
        <f>Integrations!E13</f>
        <v>Certificadora Digital</v>
      </c>
      <c r="F53" t="str">
        <f>Integrations!F13</f>
        <v>WebService</v>
      </c>
      <c r="G53" t="str">
        <f>Integrations!G13</f>
        <v>Certificadora Digital</v>
      </c>
      <c r="H53">
        <f>Integrations!H13</f>
        <v>0</v>
      </c>
      <c r="I53">
        <f>Integrations!I13</f>
        <v>0</v>
      </c>
      <c r="J53">
        <f>Integrations!J13</f>
        <v>16</v>
      </c>
      <c r="K53">
        <f>Integrations!K13</f>
        <v>3.2</v>
      </c>
      <c r="L53">
        <f>Integrations!L13</f>
        <v>0</v>
      </c>
      <c r="M53">
        <f>Integrations!M13</f>
        <v>0</v>
      </c>
      <c r="N53">
        <f>Integrations!N13</f>
        <v>0</v>
      </c>
    </row>
    <row r="54" spans="1:14">
      <c r="A54" t="str">
        <f>Integrations!A14</f>
        <v>Lexicomp e Medi-span</v>
      </c>
      <c r="B54" t="str">
        <f>Integrations!B14</f>
        <v>Biblioteca de Conhecimento</v>
      </c>
      <c r="C54" t="str">
        <f>Integrations!C14</f>
        <v>-</v>
      </c>
      <c r="D54" t="str">
        <f>Integrations!D14</f>
        <v>Apresentar as interações entre os medicamentos utilizados pelo paciente,  Medi-Span Clinical Dose Screening &amp; Drug Orders API Medi-Span Clinical Drug Interactions API Medi-Span Clinical Duplicate Therapy API Medi-Span Clinical Drug Disease Contraindicati</v>
      </c>
      <c r="E54" t="str">
        <f>Integrations!E14</f>
        <v>Wolters kluwer</v>
      </c>
      <c r="F54" t="str">
        <f>Integrations!F14</f>
        <v>Banco de dados Oracle</v>
      </c>
      <c r="G54" t="str">
        <f>Integrations!G14</f>
        <v>Wolters kluwer</v>
      </c>
      <c r="H54">
        <f>Integrations!H14</f>
        <v>0</v>
      </c>
      <c r="I54">
        <f>Integrations!I14</f>
        <v>22</v>
      </c>
      <c r="J54">
        <f>Integrations!J14</f>
        <v>16</v>
      </c>
      <c r="K54">
        <f>Integrations!K14</f>
        <v>3.2</v>
      </c>
      <c r="L54">
        <f>Integrations!L14</f>
        <v>0</v>
      </c>
      <c r="M54">
        <f>Integrations!M14</f>
        <v>0</v>
      </c>
      <c r="N54">
        <f>Integrations!N14</f>
        <v>0</v>
      </c>
    </row>
    <row r="55" spans="1:14">
      <c r="A55" t="str">
        <f>Integrations!A15</f>
        <v>Elsevier Order Sets</v>
      </c>
      <c r="B55" t="str">
        <f>Integrations!B15</f>
        <v>Biblioteca de Conhecimento</v>
      </c>
      <c r="C55" t="str">
        <f>Integrations!C15</f>
        <v>-</v>
      </c>
      <c r="D55" t="str">
        <f>Integrations!D15</f>
        <v>Importar e gerenciar os protocolos de prescrição, vindos da  base de dados da Elsevier para dentro do cadastro de protocolos do Tasy. Exibir o conteúdo da Elsevier (Protocolos, Orientações e Alertas) na tela de Protocolos dentro da CPOE.</v>
      </c>
      <c r="E55" t="str">
        <f>Integrations!E15</f>
        <v>Elsevier</v>
      </c>
      <c r="F55" t="str">
        <f>Integrations!F15</f>
        <v>HTTP</v>
      </c>
      <c r="G55" t="str">
        <f>Integrations!G15</f>
        <v>Order Sets</v>
      </c>
      <c r="H55">
        <f>Integrations!H15</f>
        <v>0</v>
      </c>
      <c r="I55">
        <f>Integrations!I15</f>
        <v>40</v>
      </c>
      <c r="J55">
        <f>Integrations!J15</f>
        <v>40</v>
      </c>
      <c r="K55">
        <f>Integrations!K15</f>
        <v>8</v>
      </c>
      <c r="L55">
        <f>Integrations!L15</f>
        <v>0</v>
      </c>
      <c r="M55">
        <f>Integrations!M15</f>
        <v>0</v>
      </c>
      <c r="N55">
        <f>Integrations!N15</f>
        <v>0</v>
      </c>
    </row>
    <row r="56" spans="1:14">
      <c r="A56" t="str">
        <f>Integrations!A16</f>
        <v>Micromedex Oncologia</v>
      </c>
      <c r="B56" t="str">
        <f>Integrations!B16</f>
        <v>Biblioteca de Conhecimento</v>
      </c>
      <c r="C56" t="str">
        <f>Integrations!C16</f>
        <v>-</v>
      </c>
      <c r="D56" t="str">
        <f>Integrations!D16</f>
        <v xml:space="preserve">Consulta de informações em banco de medicamentos. - Info button do medicamento. - Interação medicamentosa em protocolo oncologico. </v>
      </c>
      <c r="E56" t="str">
        <f>Integrations!E16</f>
        <v>Micromedex</v>
      </c>
      <c r="F56" t="str">
        <f>Integrations!F16</f>
        <v>HTTP</v>
      </c>
      <c r="G56" t="str">
        <f>Integrations!G16</f>
        <v>Micromedex</v>
      </c>
      <c r="H56">
        <f>Integrations!H16</f>
        <v>0</v>
      </c>
      <c r="I56">
        <f>Integrations!I16</f>
        <v>12</v>
      </c>
      <c r="J56">
        <f>Integrations!J16</f>
        <v>12</v>
      </c>
      <c r="K56">
        <f>Integrations!K16</f>
        <v>2.4000000000000004</v>
      </c>
      <c r="L56">
        <f>Integrations!L16</f>
        <v>0</v>
      </c>
      <c r="M56">
        <f>Integrations!M16</f>
        <v>0</v>
      </c>
      <c r="N56">
        <f>Integrations!N16</f>
        <v>0</v>
      </c>
    </row>
    <row r="57" spans="1:14">
      <c r="A57" t="str">
        <f>Integrations!A17</f>
        <v>Grifols - Pyxis</v>
      </c>
      <c r="B57" t="str">
        <f>Integrations!B17</f>
        <v>Dispensário Eletrônico</v>
      </c>
      <c r="C57" t="str">
        <f>Integrations!C17</f>
        <v>-</v>
      </c>
      <c r="D57" t="str">
        <f>Integrations!D17</f>
        <v xml:space="preserve">Tasy envia os materiais prescritos e o dispensário eletrônico(Armário) processa e envia os materiais utilizados. </v>
      </c>
      <c r="E57" t="str">
        <f>Integrations!E17</f>
        <v>Pyxis</v>
      </c>
      <c r="F57" t="str">
        <f>Integrations!F17</f>
        <v>Banco de dados Oracle</v>
      </c>
      <c r="G57" t="str">
        <f>Integrations!G17</f>
        <v>Pyxis</v>
      </c>
      <c r="H57">
        <f>Integrations!H17</f>
        <v>0</v>
      </c>
      <c r="I57">
        <f>Integrations!I17</f>
        <v>120</v>
      </c>
      <c r="J57">
        <f>Integrations!J17</f>
        <v>80</v>
      </c>
      <c r="K57">
        <f>Integrations!K17</f>
        <v>16</v>
      </c>
      <c r="L57">
        <f>Integrations!L17</f>
        <v>0</v>
      </c>
      <c r="M57">
        <f>Integrations!M17</f>
        <v>0</v>
      </c>
      <c r="N57">
        <f>Integrations!N17</f>
        <v>0</v>
      </c>
    </row>
    <row r="58" spans="1:14">
      <c r="A58" t="str">
        <f>Integrations!A18</f>
        <v>Dispensário Eletrônico - Supply Point</v>
      </c>
      <c r="B58" t="str">
        <f>Integrations!B18</f>
        <v>Dispensário Eletrônico</v>
      </c>
      <c r="C58" t="str">
        <f>Integrations!C18</f>
        <v>WSI</v>
      </c>
      <c r="D58" t="str">
        <f>Integrations!D18</f>
        <v xml:space="preserve">Tasy envia os materiais prescritos e o dispensário eletrônico(Armário) processa e envia os materiais utilizados. </v>
      </c>
      <c r="E58" t="str">
        <f>Integrations!E18</f>
        <v>Supply Point</v>
      </c>
      <c r="F58" t="str">
        <f>Integrations!F18</f>
        <v>HL7</v>
      </c>
      <c r="G58" t="str">
        <f>Integrations!G18</f>
        <v>Supply Point</v>
      </c>
      <c r="H58">
        <f>Integrations!H18</f>
        <v>0</v>
      </c>
      <c r="I58">
        <f>Integrations!I18</f>
        <v>160</v>
      </c>
      <c r="J58">
        <f>Integrations!J18</f>
        <v>160</v>
      </c>
      <c r="K58">
        <f>Integrations!K18</f>
        <v>32</v>
      </c>
      <c r="L58">
        <f>Integrations!L18</f>
        <v>0</v>
      </c>
      <c r="M58">
        <f>Integrations!M18</f>
        <v>0</v>
      </c>
      <c r="N58">
        <f>Integrations!N18</f>
        <v>0</v>
      </c>
    </row>
    <row r="59" spans="1:14">
      <c r="A59" t="str">
        <f>Integrations!A19</f>
        <v>SWISSLOG - Farmácia Central</v>
      </c>
      <c r="B59" t="str">
        <f>Integrations!B19</f>
        <v>Dispensário Eletrônico</v>
      </c>
      <c r="C59" t="str">
        <f>Integrations!C19</f>
        <v>-</v>
      </c>
      <c r="D59" t="str">
        <f>Integrations!D19</f>
        <v xml:space="preserve">Tasy envia os materiais prescritos e o dispensário eletrônico(Armário) processa e envia os materiais utilizados. </v>
      </c>
      <c r="E59" t="str">
        <f>Integrations!E19</f>
        <v>SWISSLOG</v>
      </c>
      <c r="F59" t="str">
        <f>Integrations!F19</f>
        <v>Banco de dados Oracle</v>
      </c>
      <c r="G59" t="str">
        <f>Integrations!G19</f>
        <v>SWISSLOG</v>
      </c>
      <c r="H59">
        <f>Integrations!H19</f>
        <v>0</v>
      </c>
      <c r="I59">
        <f>Integrations!I19</f>
        <v>120</v>
      </c>
      <c r="J59">
        <f>Integrations!J19</f>
        <v>120</v>
      </c>
      <c r="K59">
        <f>Integrations!K19</f>
        <v>24</v>
      </c>
      <c r="L59">
        <f>Integrations!L19</f>
        <v>0</v>
      </c>
      <c r="M59">
        <f>Integrations!M19</f>
        <v>0</v>
      </c>
      <c r="N59">
        <f>Integrations!N19</f>
        <v>0</v>
      </c>
    </row>
    <row r="60" spans="1:14">
      <c r="A60" t="str">
        <f>Integrations!A20</f>
        <v>VSsupply - Portal de Compras</v>
      </c>
      <c r="B60" t="str">
        <f>Integrations!B20</f>
        <v>Dispensário Eletrônico</v>
      </c>
      <c r="C60" t="str">
        <f>Integrations!C20</f>
        <v>WSI</v>
      </c>
      <c r="D60" t="str">
        <f>Integrations!D20</f>
        <v>Integração entre Tasy e Portal de Compras do sistema terceiro VSsupply</v>
      </c>
      <c r="E60" t="str">
        <f>Integrations!E20</f>
        <v>Visual Software</v>
      </c>
      <c r="F60" t="str">
        <f>Integrations!F20</f>
        <v>WebService</v>
      </c>
      <c r="G60" t="str">
        <f>Integrations!G20</f>
        <v>VSsupply</v>
      </c>
      <c r="H60">
        <f>Integrations!H20</f>
        <v>0</v>
      </c>
      <c r="I60">
        <f>Integrations!I20</f>
        <v>144</v>
      </c>
      <c r="J60">
        <f>Integrations!J20</f>
        <v>80</v>
      </c>
      <c r="K60">
        <f>Integrations!K20</f>
        <v>16</v>
      </c>
      <c r="L60">
        <f>Integrations!L20</f>
        <v>0</v>
      </c>
      <c r="M60">
        <f>Integrations!M20</f>
        <v>0</v>
      </c>
      <c r="N60">
        <f>Integrations!N20</f>
        <v>0</v>
      </c>
    </row>
    <row r="61" spans="1:14">
      <c r="A61" t="str">
        <f>Integrations!A21</f>
        <v>Movimentação - Epimed</v>
      </c>
      <c r="B61" t="str">
        <f>Integrations!B21</f>
        <v>EPIMED</v>
      </c>
      <c r="C61" t="str">
        <f>Integrations!C21</f>
        <v>-</v>
      </c>
      <c r="D61" t="str">
        <f>Integrations!D21</f>
        <v>Permitir envio de dados das movimentações dos pacientes</v>
      </c>
      <c r="E61" t="str">
        <f>Integrations!E21</f>
        <v>Epimed</v>
      </c>
      <c r="F61" t="str">
        <f>Integrations!F21</f>
        <v>Banco de dados Oracle</v>
      </c>
      <c r="G61" t="str">
        <f>Integrations!G21</f>
        <v>Epimed</v>
      </c>
      <c r="H61">
        <f>Integrations!H21</f>
        <v>0</v>
      </c>
      <c r="I61">
        <f>Integrations!I21</f>
        <v>2</v>
      </c>
      <c r="J61">
        <f>Integrations!J21</f>
        <v>2</v>
      </c>
      <c r="K61">
        <f>Integrations!K21</f>
        <v>0.4</v>
      </c>
      <c r="L61">
        <f>Integrations!L21</f>
        <v>0</v>
      </c>
      <c r="M61">
        <f>Integrations!M21</f>
        <v>0</v>
      </c>
      <c r="N61">
        <f>Integrations!N21</f>
        <v>0</v>
      </c>
    </row>
    <row r="62" spans="1:14">
      <c r="A62" t="str">
        <f>Integrations!A22</f>
        <v>Epimed - SAPS3</v>
      </c>
      <c r="B62" t="str">
        <f>Integrations!B22</f>
        <v>EPIMED</v>
      </c>
      <c r="C62" t="str">
        <f>Integrations!C22</f>
        <v>-</v>
      </c>
      <c r="D62" t="str">
        <f>Integrations!D22</f>
        <v>Permitir envio de dados da escala SAPS3 dos pacientes</v>
      </c>
      <c r="E62" t="str">
        <f>Integrations!E22</f>
        <v>Epimed</v>
      </c>
      <c r="F62" t="str">
        <f>Integrations!F22</f>
        <v>Banco de dados Oracle</v>
      </c>
      <c r="G62" t="str">
        <f>Integrations!G22</f>
        <v>Epimed</v>
      </c>
      <c r="H62">
        <f>Integrations!H22</f>
        <v>0</v>
      </c>
      <c r="I62">
        <f>Integrations!I22</f>
        <v>38</v>
      </c>
      <c r="J62">
        <f>Integrations!J22</f>
        <v>32</v>
      </c>
      <c r="K62">
        <f>Integrations!K22</f>
        <v>6.4</v>
      </c>
      <c r="L62">
        <f>Integrations!L22</f>
        <v>0</v>
      </c>
      <c r="M62">
        <f>Integrations!M22</f>
        <v>0</v>
      </c>
      <c r="N62">
        <f>Integrations!N22</f>
        <v>0</v>
      </c>
    </row>
    <row r="63" spans="1:14">
      <c r="A63" t="str">
        <f>Integrations!A23</f>
        <v>Epimed - Dados Fisiológicos</v>
      </c>
      <c r="B63" t="str">
        <f>Integrations!B23</f>
        <v>EPIMED</v>
      </c>
      <c r="C63" t="str">
        <f>Integrations!C23</f>
        <v>-</v>
      </c>
      <c r="D63" t="str">
        <f>Integrations!D23</f>
        <v>Permitir envio de dados Fisiológicos dos pacientes</v>
      </c>
      <c r="E63" t="str">
        <f>Integrations!E23</f>
        <v>Epimed</v>
      </c>
      <c r="F63" t="str">
        <f>Integrations!F23</f>
        <v>Banco de dados Oracle</v>
      </c>
      <c r="G63" t="str">
        <f>Integrations!G23</f>
        <v>Epimed</v>
      </c>
      <c r="H63">
        <f>Integrations!H23</f>
        <v>0</v>
      </c>
      <c r="I63">
        <f>Integrations!I23</f>
        <v>38</v>
      </c>
      <c r="J63">
        <f>Integrations!J23</f>
        <v>32</v>
      </c>
      <c r="K63">
        <f>Integrations!K23</f>
        <v>6.4</v>
      </c>
      <c r="L63">
        <f>Integrations!L23</f>
        <v>0</v>
      </c>
      <c r="M63">
        <f>Integrations!M23</f>
        <v>0</v>
      </c>
      <c r="N63">
        <f>Integrations!N23</f>
        <v>0</v>
      </c>
    </row>
    <row r="64" spans="1:14">
      <c r="A64" t="str">
        <f>Integrations!A24</f>
        <v>Epimed - Exames Laboratoriais</v>
      </c>
      <c r="B64" t="str">
        <f>Integrations!B24</f>
        <v>EPIMED</v>
      </c>
      <c r="C64" t="str">
        <f>Integrations!C24</f>
        <v>-</v>
      </c>
      <c r="D64" t="str">
        <f>Integrations!D24</f>
        <v>Permitir envio de dados de exames laboratoriais para o sistema terceiro</v>
      </c>
      <c r="E64" t="str">
        <f>Integrations!E24</f>
        <v>Epimed</v>
      </c>
      <c r="F64" t="str">
        <f>Integrations!F24</f>
        <v>Banco de dados Oracle</v>
      </c>
      <c r="G64" t="str">
        <f>Integrations!G24</f>
        <v>Epimed</v>
      </c>
      <c r="H64">
        <f>Integrations!H24</f>
        <v>0</v>
      </c>
      <c r="I64">
        <f>Integrations!I24</f>
        <v>20</v>
      </c>
      <c r="J64">
        <f>Integrations!J24</f>
        <v>32</v>
      </c>
      <c r="K64">
        <f>Integrations!K24</f>
        <v>6.4</v>
      </c>
      <c r="L64">
        <f>Integrations!L24</f>
        <v>0</v>
      </c>
      <c r="M64">
        <f>Integrations!M24</f>
        <v>0</v>
      </c>
      <c r="N64">
        <f>Integrations!N24</f>
        <v>0</v>
      </c>
    </row>
    <row r="65" spans="1:14">
      <c r="A65" t="str">
        <f>Integrations!A25</f>
        <v>Epimed - Diagnóstico</v>
      </c>
      <c r="B65" t="str">
        <f>Integrations!B25</f>
        <v>EPIMED</v>
      </c>
      <c r="C65" t="str">
        <f>Integrations!C25</f>
        <v>-</v>
      </c>
      <c r="D65" t="str">
        <f>Integrations!D25</f>
        <v>Permitir envio de dados do diagnóstico dos pacientes.</v>
      </c>
      <c r="E65" t="str">
        <f>Integrations!E25</f>
        <v>Epimed</v>
      </c>
      <c r="F65" t="str">
        <f>Integrations!F25</f>
        <v>Banco de dados Oracle</v>
      </c>
      <c r="G65" t="str">
        <f>Integrations!G25</f>
        <v>Epimed</v>
      </c>
      <c r="H65">
        <f>Integrations!H25</f>
        <v>0</v>
      </c>
      <c r="I65">
        <f>Integrations!I25</f>
        <v>38</v>
      </c>
      <c r="J65">
        <f>Integrations!J25</f>
        <v>32</v>
      </c>
      <c r="K65">
        <f>Integrations!K25</f>
        <v>6.4</v>
      </c>
      <c r="L65">
        <f>Integrations!L25</f>
        <v>0</v>
      </c>
      <c r="M65">
        <f>Integrations!M25</f>
        <v>0</v>
      </c>
      <c r="N65">
        <f>Integrations!N25</f>
        <v>0</v>
      </c>
    </row>
    <row r="66" spans="1:14">
      <c r="A66" t="str">
        <f>Integrations!A26</f>
        <v>Extrato bancário - Banco Itaú</v>
      </c>
      <c r="B66" t="str">
        <f>Integrations!B26</f>
        <v>Extrato Bancário</v>
      </c>
      <c r="C66" t="str">
        <f>Integrations!C26</f>
        <v>-</v>
      </c>
      <c r="D66" t="str">
        <f>Integrations!D26</f>
        <v>Importação de extrato bancário para conciliação com os movimentos financeiros registrados no Tasy.</v>
      </c>
      <c r="E66" t="str">
        <f>Integrations!E26</f>
        <v>Banco Itaú</v>
      </c>
      <c r="F66" t="str">
        <f>Integrations!F26</f>
        <v>TXT</v>
      </c>
      <c r="G66" t="str">
        <f>Integrations!G26</f>
        <v>Banco Itaú</v>
      </c>
      <c r="H66">
        <f>Integrations!H26</f>
        <v>0</v>
      </c>
      <c r="I66">
        <f>Integrations!I26</f>
        <v>40</v>
      </c>
      <c r="J66">
        <f>Integrations!J26</f>
        <v>8</v>
      </c>
      <c r="K66">
        <f>Integrations!K26</f>
        <v>1.6</v>
      </c>
      <c r="L66">
        <f>Integrations!L26</f>
        <v>0</v>
      </c>
      <c r="M66">
        <f>Integrations!M26</f>
        <v>0</v>
      </c>
      <c r="N66">
        <f>Integrations!N26</f>
        <v>0</v>
      </c>
    </row>
    <row r="67" spans="1:14">
      <c r="A67" t="str">
        <f>Integrations!A27</f>
        <v>Extrato bancário - Bradesco</v>
      </c>
      <c r="B67" t="str">
        <f>Integrations!B27</f>
        <v>Extrato Bancário</v>
      </c>
      <c r="C67" t="str">
        <f>Integrations!C27</f>
        <v>-</v>
      </c>
      <c r="D67" t="str">
        <f>Integrations!D27</f>
        <v>Importação de extrato bancário para conciliação com os movimentos financeiros registrados no Tasy.</v>
      </c>
      <c r="E67" t="str">
        <f>Integrations!E27</f>
        <v>Totvs</v>
      </c>
      <c r="F67" t="str">
        <f>Integrations!F27</f>
        <v>TXT</v>
      </c>
      <c r="G67" t="str">
        <f>Integrations!G27</f>
        <v>Bradesco</v>
      </c>
      <c r="H67">
        <f>Integrations!H27</f>
        <v>0</v>
      </c>
      <c r="I67">
        <f>Integrations!I27</f>
        <v>40</v>
      </c>
      <c r="J67">
        <f>Integrations!J27</f>
        <v>8</v>
      </c>
      <c r="K67">
        <f>Integrations!K27</f>
        <v>1.6</v>
      </c>
      <c r="L67">
        <f>Integrations!L27</f>
        <v>0</v>
      </c>
      <c r="M67">
        <f>Integrations!M27</f>
        <v>0</v>
      </c>
      <c r="N67">
        <f>Integrations!N27</f>
        <v>0</v>
      </c>
    </row>
    <row r="68" spans="1:14">
      <c r="A68" t="str">
        <f>Integrations!A28</f>
        <v>Extrato bancário - Banco Santander</v>
      </c>
      <c r="B68" t="str">
        <f>Integrations!B28</f>
        <v>Extrato Bancário</v>
      </c>
      <c r="C68" t="str">
        <f>Integrations!C28</f>
        <v>-</v>
      </c>
      <c r="D68" t="str">
        <f>Integrations!D28</f>
        <v>Importação de extrato bancário para conciliação com os movimentos financeiros registrados no Tasy.</v>
      </c>
      <c r="E68" t="str">
        <f>Integrations!E28</f>
        <v>Banco Santander</v>
      </c>
      <c r="F68" t="str">
        <f>Integrations!F28</f>
        <v>TXT</v>
      </c>
      <c r="G68" t="str">
        <f>Integrations!G28</f>
        <v>Banco Santander</v>
      </c>
      <c r="H68">
        <f>Integrations!H28</f>
        <v>0</v>
      </c>
      <c r="I68">
        <f>Integrations!I28</f>
        <v>40</v>
      </c>
      <c r="J68">
        <f>Integrations!J28</f>
        <v>8</v>
      </c>
      <c r="K68">
        <f>Integrations!K28</f>
        <v>1.6</v>
      </c>
      <c r="L68">
        <f>Integrations!L28</f>
        <v>0</v>
      </c>
      <c r="M68">
        <f>Integrations!M28</f>
        <v>0</v>
      </c>
      <c r="N68">
        <f>Integrations!N28</f>
        <v>0</v>
      </c>
    </row>
    <row r="69" spans="1:14">
      <c r="A69" t="str">
        <f>Integrations!A29</f>
        <v>Extrato bancário - Banco do Brasil</v>
      </c>
      <c r="B69" t="str">
        <f>Integrations!B29</f>
        <v>Extrato Bancário</v>
      </c>
      <c r="C69" t="str">
        <f>Integrations!C29</f>
        <v>-</v>
      </c>
      <c r="D69" t="str">
        <f>Integrations!D29</f>
        <v>Importação de extrato bancário para conciliação com os movimentos financeiros registrados no Tasy.</v>
      </c>
      <c r="E69" t="str">
        <f>Integrations!E29</f>
        <v>Banco do Brasil</v>
      </c>
      <c r="F69" t="str">
        <f>Integrations!F29</f>
        <v>TXT</v>
      </c>
      <c r="G69" t="str">
        <f>Integrations!G29</f>
        <v>Banco do Brasil</v>
      </c>
      <c r="H69">
        <f>Integrations!H29</f>
        <v>0</v>
      </c>
      <c r="I69">
        <f>Integrations!I29</f>
        <v>40</v>
      </c>
      <c r="J69">
        <f>Integrations!J29</f>
        <v>8</v>
      </c>
      <c r="K69">
        <f>Integrations!K29</f>
        <v>1.6</v>
      </c>
      <c r="L69">
        <f>Integrations!L29</f>
        <v>0</v>
      </c>
      <c r="M69">
        <f>Integrations!M29</f>
        <v>0</v>
      </c>
      <c r="N69">
        <f>Integrations!N29</f>
        <v>0</v>
      </c>
    </row>
    <row r="70" spans="1:14">
      <c r="A70" t="str">
        <f>Integrations!A30</f>
        <v>Extrato bancário - Caixa Econômica</v>
      </c>
      <c r="B70" t="str">
        <f>Integrations!B30</f>
        <v>Extrato Bancário</v>
      </c>
      <c r="C70" t="str">
        <f>Integrations!C30</f>
        <v>-</v>
      </c>
      <c r="D70" t="str">
        <f>Integrations!D30</f>
        <v>Importação de extrato bancário para conciliação com os movimentos financeiros registrados no Tasy.</v>
      </c>
      <c r="E70" t="str">
        <f>Integrations!E30</f>
        <v>Totvs</v>
      </c>
      <c r="F70" t="str">
        <f>Integrations!F30</f>
        <v>TXT</v>
      </c>
      <c r="G70" t="str">
        <f>Integrations!G30</f>
        <v>Caixa Econômica</v>
      </c>
      <c r="H70">
        <f>Integrations!H30</f>
        <v>0</v>
      </c>
      <c r="I70">
        <f>Integrations!I30</f>
        <v>40</v>
      </c>
      <c r="J70">
        <f>Integrations!J30</f>
        <v>8</v>
      </c>
      <c r="K70">
        <f>Integrations!K30</f>
        <v>1.6</v>
      </c>
      <c r="L70">
        <f>Integrations!L30</f>
        <v>0</v>
      </c>
      <c r="M70">
        <f>Integrations!M30</f>
        <v>0</v>
      </c>
      <c r="N70">
        <f>Integrations!N30</f>
        <v>0</v>
      </c>
    </row>
    <row r="71" spans="1:14">
      <c r="A71" t="str">
        <f>Integrations!A31</f>
        <v>Bandeira de cartão - Visa</v>
      </c>
      <c r="B71" t="str">
        <f>Integrations!B31</f>
        <v>Extrato de Cartão</v>
      </c>
      <c r="C71" t="str">
        <f>Integrations!C31</f>
        <v>-</v>
      </c>
      <c r="D71" t="str">
        <f>Integrations!D31</f>
        <v>Conciliar os extratos de cartão Visa</v>
      </c>
      <c r="E71" t="str">
        <f>Integrations!E31</f>
        <v>Visa</v>
      </c>
      <c r="F71" t="str">
        <f>Integrations!F31</f>
        <v>TXT</v>
      </c>
      <c r="G71" t="str">
        <f>Integrations!G31</f>
        <v>Visa</v>
      </c>
      <c r="H71">
        <f>Integrations!H31</f>
        <v>0</v>
      </c>
      <c r="I71">
        <f>Integrations!I31</f>
        <v>24</v>
      </c>
      <c r="J71">
        <f>Integrations!J31</f>
        <v>8</v>
      </c>
      <c r="K71">
        <f>Integrations!K31</f>
        <v>1.6</v>
      </c>
      <c r="L71">
        <f>Integrations!L31</f>
        <v>0</v>
      </c>
      <c r="M71">
        <f>Integrations!M31</f>
        <v>0</v>
      </c>
      <c r="N71">
        <f>Integrations!N31</f>
        <v>0</v>
      </c>
    </row>
    <row r="72" spans="1:14">
      <c r="A72" t="str">
        <f>Integrations!A32</f>
        <v>Bandeira de cartão - Amex</v>
      </c>
      <c r="B72" t="str">
        <f>Integrations!B32</f>
        <v>Extrato de Cartão</v>
      </c>
      <c r="C72" t="str">
        <f>Integrations!C32</f>
        <v>-</v>
      </c>
      <c r="D72" t="str">
        <f>Integrations!D32</f>
        <v>Conciliar os extratos de cartão Amex</v>
      </c>
      <c r="E72" t="str">
        <f>Integrations!E32</f>
        <v>Amex</v>
      </c>
      <c r="F72" t="str">
        <f>Integrations!F32</f>
        <v>TXT</v>
      </c>
      <c r="G72" t="str">
        <f>Integrations!G32</f>
        <v>Amex</v>
      </c>
      <c r="H72">
        <f>Integrations!H32</f>
        <v>0</v>
      </c>
      <c r="I72">
        <f>Integrations!I32</f>
        <v>24</v>
      </c>
      <c r="J72">
        <f>Integrations!J32</f>
        <v>8</v>
      </c>
      <c r="K72">
        <f>Integrations!K32</f>
        <v>1.6</v>
      </c>
      <c r="L72">
        <f>Integrations!L32</f>
        <v>0</v>
      </c>
      <c r="M72">
        <f>Integrations!M32</f>
        <v>0</v>
      </c>
      <c r="N72">
        <f>Integrations!N32</f>
        <v>0</v>
      </c>
    </row>
    <row r="73" spans="1:14">
      <c r="A73" t="str">
        <f>Integrations!A33</f>
        <v>Bandeira de cartão - Banese</v>
      </c>
      <c r="B73" t="str">
        <f>Integrations!B33</f>
        <v>Extrato de Cartão</v>
      </c>
      <c r="C73" t="str">
        <f>Integrations!C33</f>
        <v>-</v>
      </c>
      <c r="D73" t="str">
        <f>Integrations!D33</f>
        <v>Conciliar os extratos de cartão Banese</v>
      </c>
      <c r="E73" t="str">
        <f>Integrations!E33</f>
        <v>Banese</v>
      </c>
      <c r="F73" t="str">
        <f>Integrations!F33</f>
        <v>TXT</v>
      </c>
      <c r="G73" t="str">
        <f>Integrations!G33</f>
        <v>Banese</v>
      </c>
      <c r="H73">
        <f>Integrations!H33</f>
        <v>0</v>
      </c>
      <c r="I73">
        <f>Integrations!I33</f>
        <v>24</v>
      </c>
      <c r="J73">
        <f>Integrations!J33</f>
        <v>8</v>
      </c>
      <c r="K73">
        <f>Integrations!K33</f>
        <v>1.6</v>
      </c>
      <c r="L73">
        <f>Integrations!L33</f>
        <v>0</v>
      </c>
      <c r="M73">
        <f>Integrations!M33</f>
        <v>0</v>
      </c>
      <c r="N73">
        <f>Integrations!N33</f>
        <v>0</v>
      </c>
    </row>
    <row r="74" spans="1:14">
      <c r="A74" t="str">
        <f>Integrations!A34</f>
        <v>Bandeira de cartão - Mastercard</v>
      </c>
      <c r="B74" t="str">
        <f>Integrations!B34</f>
        <v>Extrato de Cartão</v>
      </c>
      <c r="C74" t="str">
        <f>Integrations!C34</f>
        <v>-</v>
      </c>
      <c r="D74" t="str">
        <f>Integrations!D34</f>
        <v>Conciliar os extratos de cartão Mastercard</v>
      </c>
      <c r="E74" t="str">
        <f>Integrations!E34</f>
        <v>Mastercard</v>
      </c>
      <c r="F74" t="str">
        <f>Integrations!F34</f>
        <v>TXT</v>
      </c>
      <c r="G74" t="str">
        <f>Integrations!G34</f>
        <v>Mastercard</v>
      </c>
      <c r="H74">
        <f>Integrations!H34</f>
        <v>0</v>
      </c>
      <c r="I74">
        <f>Integrations!I34</f>
        <v>24</v>
      </c>
      <c r="J74">
        <f>Integrations!J34</f>
        <v>8</v>
      </c>
      <c r="K74">
        <f>Integrations!K34</f>
        <v>1.6</v>
      </c>
      <c r="L74">
        <f>Integrations!L34</f>
        <v>0</v>
      </c>
      <c r="M74">
        <f>Integrations!M34</f>
        <v>0</v>
      </c>
      <c r="N74">
        <f>Integrations!N34</f>
        <v>0</v>
      </c>
    </row>
    <row r="75" spans="1:14">
      <c r="A75" t="str">
        <f>Integrations!A35</f>
        <v>Senior - Folha de pagamento (contábil)</v>
      </c>
      <c r="B75" t="str">
        <f>Integrations!B35</f>
        <v>Folha de Pagamento</v>
      </c>
      <c r="C75" t="str">
        <f>Integrations!C35</f>
        <v>-</v>
      </c>
      <c r="D75" t="str">
        <f>Integrations!D35</f>
        <v>Integrar o sistema da Senior (RUBI) com o módulo contábil do Tasy</v>
      </c>
      <c r="E75" t="str">
        <f>Integrations!E35</f>
        <v>Sênior Sistemas</v>
      </c>
      <c r="F75" t="str">
        <f>Integrations!F35</f>
        <v>Banco de dados Oracle</v>
      </c>
      <c r="G75" t="str">
        <f>Integrations!G35</f>
        <v>Rubi</v>
      </c>
      <c r="H75">
        <f>Integrations!H35</f>
        <v>0</v>
      </c>
      <c r="I75">
        <f>Integrations!I35</f>
        <v>40</v>
      </c>
      <c r="J75">
        <f>Integrations!J35</f>
        <v>40</v>
      </c>
      <c r="K75">
        <f>Integrations!K35</f>
        <v>8</v>
      </c>
      <c r="L75">
        <f>Integrations!L35</f>
        <v>0</v>
      </c>
      <c r="M75">
        <f>Integrations!M35</f>
        <v>0</v>
      </c>
      <c r="N75">
        <f>Integrations!N35</f>
        <v>0</v>
      </c>
    </row>
    <row r="76" spans="1:14">
      <c r="A76" t="str">
        <f>Integrations!A36</f>
        <v>Laboratório Padrão</v>
      </c>
      <c r="B76" t="str">
        <f>Integrations!B36</f>
        <v>Laboratório</v>
      </c>
      <c r="C76" t="str">
        <f>Integrations!C36</f>
        <v>WSI</v>
      </c>
      <c r="D76" t="str">
        <f>Integrations!D36</f>
        <v>Integração padrão com sistemas de laboratórios terceiros, que permite o envio da solicitação do exame para o laboratório e o retorno do resultado do exame.</v>
      </c>
      <c r="E76" t="str">
        <f>Integrations!E36</f>
        <v>LIS</v>
      </c>
      <c r="F76" t="str">
        <f>Integrations!F36</f>
        <v>WebService</v>
      </c>
      <c r="G76" t="str">
        <f>Integrations!G36</f>
        <v>LIS</v>
      </c>
      <c r="H76">
        <f>Integrations!H36</f>
        <v>0</v>
      </c>
      <c r="I76">
        <f>Integrations!I36</f>
        <v>40</v>
      </c>
      <c r="J76">
        <f>Integrations!J36</f>
        <v>40</v>
      </c>
      <c r="K76">
        <f>Integrations!K36</f>
        <v>8</v>
      </c>
      <c r="L76">
        <f>Integrations!L36</f>
        <v>0</v>
      </c>
      <c r="M76">
        <f>Integrations!M36</f>
        <v>0</v>
      </c>
      <c r="N76">
        <f>Integrations!N36</f>
        <v>0</v>
      </c>
    </row>
    <row r="77" spans="1:14">
      <c r="A77" t="str">
        <f>Integrations!A37</f>
        <v>Monitores - Dixtal</v>
      </c>
      <c r="B77" t="str">
        <f>Integrations!B37</f>
        <v>Monitor de Sinais Vitais</v>
      </c>
      <c r="C77" t="str">
        <f>Integrations!C37</f>
        <v>WSI</v>
      </c>
      <c r="D77" t="str">
        <f>Integrations!D37</f>
        <v>Receber parâmetros dos monitores Dixtal e registrar no PEP parâmetros vitais do paciente.</v>
      </c>
      <c r="E77" t="str">
        <f>Integrations!E37</f>
        <v>Dixtal</v>
      </c>
      <c r="F77" t="str">
        <f>Integrations!F37</f>
        <v>HL7</v>
      </c>
      <c r="G77" t="str">
        <f>Integrations!G37</f>
        <v>Monitor DX2020</v>
      </c>
      <c r="H77">
        <f>Integrations!H37</f>
        <v>0</v>
      </c>
      <c r="I77">
        <f>Integrations!I37</f>
        <v>0</v>
      </c>
      <c r="J77">
        <f>Integrations!J37</f>
        <v>24</v>
      </c>
      <c r="K77">
        <f>Integrations!K37</f>
        <v>4.8000000000000007</v>
      </c>
      <c r="L77">
        <f>Integrations!L37</f>
        <v>0</v>
      </c>
      <c r="M77">
        <f>Integrations!M37</f>
        <v>0</v>
      </c>
      <c r="N77">
        <f>Integrations!N37</f>
        <v>0</v>
      </c>
    </row>
    <row r="78" spans="1:14">
      <c r="A78" t="str">
        <f>Integrations!A38</f>
        <v>Monitores - Philips IntelliVue</v>
      </c>
      <c r="B78" t="str">
        <f>Integrations!B38</f>
        <v>Monitor de Sinais Vitais</v>
      </c>
      <c r="C78" t="str">
        <f>Integrations!C38</f>
        <v>WSI</v>
      </c>
      <c r="D78" t="str">
        <f>Integrations!D38</f>
        <v>Possibilitar o registro de sinais vitais do paciente direto do monitor para o PEP</v>
      </c>
      <c r="E78" t="str">
        <f>Integrations!E38</f>
        <v>Philips</v>
      </c>
      <c r="F78" t="str">
        <f>Integrations!F38</f>
        <v>HL7</v>
      </c>
      <c r="G78" t="str">
        <f>Integrations!G38</f>
        <v>Monitor Intelevue</v>
      </c>
      <c r="H78">
        <f>Integrations!H38</f>
        <v>0</v>
      </c>
      <c r="I78">
        <f>Integrations!I38</f>
        <v>0</v>
      </c>
      <c r="J78">
        <f>Integrations!J38</f>
        <v>24</v>
      </c>
      <c r="K78">
        <f>Integrations!K38</f>
        <v>4.8000000000000007</v>
      </c>
      <c r="L78">
        <f>Integrations!L38</f>
        <v>0</v>
      </c>
      <c r="M78">
        <f>Integrations!M38</f>
        <v>0</v>
      </c>
      <c r="N78">
        <f>Integrations!N38</f>
        <v>0</v>
      </c>
    </row>
    <row r="79" spans="1:14">
      <c r="A79" t="str">
        <f>Integrations!A39</f>
        <v>Monitores - Infinity - Draeger</v>
      </c>
      <c r="B79" t="str">
        <f>Integrations!B39</f>
        <v>Monitor de Sinais Vitais</v>
      </c>
      <c r="C79" t="str">
        <f>Integrations!C39</f>
        <v>WSI</v>
      </c>
      <c r="D79" t="str">
        <f>Integrations!D39</f>
        <v>Coletar informações de monitoramento de sinais vitais dos paciente e gravar no PEP.</v>
      </c>
      <c r="E79" t="str">
        <f>Integrations!E39</f>
        <v>Draeger</v>
      </c>
      <c r="F79" t="str">
        <f>Integrations!F39</f>
        <v>HL7</v>
      </c>
      <c r="G79" t="str">
        <f>Integrations!G39</f>
        <v>Infinity</v>
      </c>
      <c r="H79">
        <f>Integrations!H39</f>
        <v>0</v>
      </c>
      <c r="I79">
        <f>Integrations!I39</f>
        <v>120</v>
      </c>
      <c r="J79">
        <f>Integrations!J39</f>
        <v>120</v>
      </c>
      <c r="K79">
        <f>Integrations!K39</f>
        <v>24</v>
      </c>
      <c r="L79">
        <f>Integrations!L39</f>
        <v>0</v>
      </c>
      <c r="M79">
        <f>Integrations!M39</f>
        <v>0</v>
      </c>
      <c r="N79">
        <f>Integrations!N39</f>
        <v>0</v>
      </c>
    </row>
    <row r="80" spans="1:14">
      <c r="A80" t="str">
        <f>Integrations!A40</f>
        <v>Monitores - Carescape - GE1324</v>
      </c>
      <c r="B80" t="str">
        <f>Integrations!B40</f>
        <v>Monitor de Sinais Vitais</v>
      </c>
      <c r="C80" t="str">
        <f>Integrations!C40</f>
        <v>WSI</v>
      </c>
      <c r="D80" t="str">
        <f>Integrations!D40</f>
        <v>Coletar informações de monitoramento de sinais vitais dos paciente e gravar no PEP.</v>
      </c>
      <c r="E80" t="str">
        <f>Integrations!E40</f>
        <v>GE</v>
      </c>
      <c r="F80" t="str">
        <f>Integrations!F40</f>
        <v>HL7</v>
      </c>
      <c r="G80" t="str">
        <f>Integrations!G40</f>
        <v>Carescape</v>
      </c>
      <c r="H80">
        <f>Integrations!H40</f>
        <v>0</v>
      </c>
      <c r="I80">
        <f>Integrations!I40</f>
        <v>120</v>
      </c>
      <c r="J80">
        <f>Integrations!J40</f>
        <v>120</v>
      </c>
      <c r="K80">
        <f>Integrations!K40</f>
        <v>24</v>
      </c>
      <c r="L80">
        <f>Integrations!L40</f>
        <v>0</v>
      </c>
      <c r="M80">
        <f>Integrations!M40</f>
        <v>0</v>
      </c>
      <c r="N80">
        <f>Integrations!N40</f>
        <v>0</v>
      </c>
    </row>
    <row r="81" spans="1:14">
      <c r="A81" t="str">
        <f>Integrations!A41</f>
        <v>Monitores - Efficia - Monitoramento</v>
      </c>
      <c r="B81" t="str">
        <f>Integrations!B41</f>
        <v>Monitor de Sinais Vitais</v>
      </c>
      <c r="C81" t="str">
        <f>Integrations!C41</f>
        <v>WSI</v>
      </c>
      <c r="D81" t="str">
        <f>Integrations!D41</f>
        <v>Receber parâmetros dos monitores Efficia e registrar na função PEP os registros de sinais vitais do paciente.</v>
      </c>
      <c r="E81" t="str">
        <f>Integrations!E41</f>
        <v>Dixtal</v>
      </c>
      <c r="F81" t="str">
        <f>Integrations!F41</f>
        <v>HL7</v>
      </c>
      <c r="G81" t="str">
        <f>Integrations!G41</f>
        <v>Efficia</v>
      </c>
      <c r="H81">
        <f>Integrations!H41</f>
        <v>0</v>
      </c>
      <c r="I81">
        <f>Integrations!I41</f>
        <v>0</v>
      </c>
      <c r="J81">
        <f>Integrations!J41</f>
        <v>16</v>
      </c>
      <c r="K81">
        <f>Integrations!K41</f>
        <v>3.2</v>
      </c>
      <c r="L81">
        <f>Integrations!L41</f>
        <v>0</v>
      </c>
      <c r="M81">
        <f>Integrations!M41</f>
        <v>0</v>
      </c>
      <c r="N81">
        <f>Integrations!N41</f>
        <v>0</v>
      </c>
    </row>
    <row r="82" spans="1:14">
      <c r="A82" t="str">
        <f>Integrations!A42</f>
        <v>Monitores - Welch Allyn</v>
      </c>
      <c r="B82" t="str">
        <f>Integrations!B42</f>
        <v>Monitor de Sinais Vitais</v>
      </c>
      <c r="C82" t="str">
        <f>Integrations!C42</f>
        <v>WSI</v>
      </c>
      <c r="D82" t="str">
        <f>Integrations!D42</f>
        <v>Receber parâmetros dos monitores Welch Allyn e registrar no PEP parâmetros vitais do paciente</v>
      </c>
      <c r="E82" t="str">
        <f>Integrations!E42</f>
        <v>Welch Allyn</v>
      </c>
      <c r="F82" t="str">
        <f>Integrations!F42</f>
        <v>HL7</v>
      </c>
      <c r="G82" t="str">
        <f>Integrations!G42</f>
        <v>VITAL SIGNS MONITOR 300 SERIES</v>
      </c>
      <c r="H82">
        <f>Integrations!H42</f>
        <v>0</v>
      </c>
      <c r="I82">
        <f>Integrations!I42</f>
        <v>120</v>
      </c>
      <c r="J82">
        <f>Integrations!J42</f>
        <v>120</v>
      </c>
      <c r="K82">
        <f>Integrations!K42</f>
        <v>24</v>
      </c>
      <c r="L82">
        <f>Integrations!L42</f>
        <v>0</v>
      </c>
      <c r="M82">
        <f>Integrations!M42</f>
        <v>0</v>
      </c>
      <c r="N82">
        <f>Integrations!N42</f>
        <v>0</v>
      </c>
    </row>
    <row r="83" spans="1:14">
      <c r="A83" t="str">
        <f>Integrations!A43</f>
        <v>Monitores - Mindray</v>
      </c>
      <c r="B83" t="str">
        <f>Integrations!B43</f>
        <v>Monitor de Sinais Vitais</v>
      </c>
      <c r="C83" t="str">
        <f>Integrations!C43</f>
        <v>WSI</v>
      </c>
      <c r="D83" t="str">
        <f>Integrations!D43</f>
        <v>Receber parâmetros dos monitores Mindray e registrar no PEP parâmetros vitais do paciente</v>
      </c>
      <c r="E83" t="str">
        <f>Integrations!E43</f>
        <v>Mindray</v>
      </c>
      <c r="F83" t="str">
        <f>Integrations!F43</f>
        <v>HL7</v>
      </c>
      <c r="G83" t="str">
        <f>Integrations!G43</f>
        <v>VS-600</v>
      </c>
      <c r="H83">
        <f>Integrations!H43</f>
        <v>0</v>
      </c>
      <c r="I83">
        <f>Integrations!I43</f>
        <v>120</v>
      </c>
      <c r="J83">
        <f>Integrations!J43</f>
        <v>120</v>
      </c>
      <c r="K83">
        <f>Integrations!K43</f>
        <v>24</v>
      </c>
      <c r="L83">
        <f>Integrations!L43</f>
        <v>0</v>
      </c>
      <c r="M83">
        <f>Integrations!M43</f>
        <v>0</v>
      </c>
      <c r="N83">
        <f>Integrations!N43</f>
        <v>0</v>
      </c>
    </row>
    <row r="84" spans="1:14">
      <c r="A84" t="str">
        <f>Integrations!A44</f>
        <v>Monitores - Bionet</v>
      </c>
      <c r="B84" t="str">
        <f>Integrations!B44</f>
        <v>Monitor de Sinais Vitais</v>
      </c>
      <c r="C84" t="str">
        <f>Integrations!C44</f>
        <v>WSI</v>
      </c>
      <c r="D84" t="str">
        <f>Integrations!D44</f>
        <v>Medidor de sinais vitais.</v>
      </c>
      <c r="E84" t="str">
        <f>Integrations!E44</f>
        <v>Bionet</v>
      </c>
      <c r="F84" t="str">
        <f>Integrations!F44</f>
        <v>HL7</v>
      </c>
      <c r="G84" t="str">
        <f>Integrations!G44</f>
        <v>BM1 Bionet</v>
      </c>
      <c r="H84">
        <f>Integrations!H44</f>
        <v>0</v>
      </c>
      <c r="I84">
        <f>Integrations!I44</f>
        <v>120</v>
      </c>
      <c r="J84">
        <f>Integrations!J44</f>
        <v>120</v>
      </c>
      <c r="K84">
        <f>Integrations!K44</f>
        <v>24</v>
      </c>
      <c r="L84">
        <f>Integrations!L44</f>
        <v>0</v>
      </c>
      <c r="M84">
        <f>Integrations!M44</f>
        <v>0</v>
      </c>
      <c r="N84">
        <f>Integrations!N44</f>
        <v>0</v>
      </c>
    </row>
    <row r="85" spans="1:14">
      <c r="A85" t="str">
        <f>Integrations!A45</f>
        <v>Monitores - Mindray - ADT</v>
      </c>
      <c r="B85" t="str">
        <f>Integrations!B45</f>
        <v>Monitor de Sinais Vitais</v>
      </c>
      <c r="C85" t="str">
        <f>Integrations!C45</f>
        <v>WSI</v>
      </c>
      <c r="D85" t="str">
        <f>Integrations!D45</f>
        <v>Envio para o monitor sobre internações \ transferências \ altas.</v>
      </c>
      <c r="E85" t="str">
        <f>Integrations!E45</f>
        <v>Mindray</v>
      </c>
      <c r="F85" t="str">
        <f>Integrations!F45</f>
        <v>HL7</v>
      </c>
      <c r="G85" t="str">
        <f>Integrations!G45</f>
        <v>VS-600</v>
      </c>
      <c r="H85">
        <f>Integrations!H45</f>
        <v>0</v>
      </c>
      <c r="I85">
        <f>Integrations!I45</f>
        <v>30</v>
      </c>
      <c r="J85">
        <f>Integrations!J45</f>
        <v>30</v>
      </c>
      <c r="K85">
        <f>Integrations!K45</f>
        <v>6</v>
      </c>
      <c r="L85">
        <f>Integrations!L45</f>
        <v>0</v>
      </c>
      <c r="M85">
        <f>Integrations!M45</f>
        <v>0</v>
      </c>
      <c r="N85">
        <f>Integrations!N45</f>
        <v>0</v>
      </c>
    </row>
    <row r="86" spans="1:14">
      <c r="A86" t="str">
        <f>Integrations!A46</f>
        <v>Monitores - Prolife</v>
      </c>
      <c r="B86" t="str">
        <f>Integrations!B46</f>
        <v>Monitor de Sinais Vitais</v>
      </c>
      <c r="C86" t="str">
        <f>Integrations!C46</f>
        <v>WSI</v>
      </c>
      <c r="D86" t="str">
        <f>Integrations!D46</f>
        <v>Receber parâmetros dos monitores Prolife e registrar no PEP parâmetros vitais do paciente.</v>
      </c>
      <c r="E86" t="str">
        <f>Integrations!E46</f>
        <v>Prolife</v>
      </c>
      <c r="F86" t="str">
        <f>Integrations!F46</f>
        <v>HL7</v>
      </c>
      <c r="G86" t="str">
        <f>Integrations!G46</f>
        <v>Prolife</v>
      </c>
      <c r="H86">
        <f>Integrations!H46</f>
        <v>0</v>
      </c>
      <c r="I86">
        <f>Integrations!I46</f>
        <v>120</v>
      </c>
      <c r="J86">
        <f>Integrations!J46</f>
        <v>120</v>
      </c>
      <c r="K86">
        <f>Integrations!K46</f>
        <v>24</v>
      </c>
      <c r="L86">
        <f>Integrations!L46</f>
        <v>0</v>
      </c>
      <c r="M86">
        <f>Integrations!M46</f>
        <v>0</v>
      </c>
      <c r="N86">
        <f>Integrations!N46</f>
        <v>0</v>
      </c>
    </row>
    <row r="87" spans="1:14">
      <c r="A87" t="str">
        <f>Integrations!A47</f>
        <v>Monitores - Nihon Kohden</v>
      </c>
      <c r="B87" t="str">
        <f>Integrations!B47</f>
        <v>Monitor de Sinais Vitais</v>
      </c>
      <c r="C87" t="str">
        <f>Integrations!C47</f>
        <v>WSI</v>
      </c>
      <c r="D87" t="str">
        <f>Integrations!D47</f>
        <v>Receber parâmetros dos monitores Nihon Kohden e registrar no PEP parâmetros vitais do paciente.</v>
      </c>
      <c r="E87" t="str">
        <f>Integrations!E47</f>
        <v>Nihon Kohden</v>
      </c>
      <c r="F87" t="str">
        <f>Integrations!F47</f>
        <v>HL7</v>
      </c>
      <c r="G87" t="str">
        <f>Integrations!G47</f>
        <v>Monitor Nihon Kohden</v>
      </c>
      <c r="H87">
        <f>Integrations!H47</f>
        <v>0</v>
      </c>
      <c r="I87">
        <f>Integrations!I47</f>
        <v>120</v>
      </c>
      <c r="J87">
        <f>Integrations!J47</f>
        <v>120</v>
      </c>
      <c r="K87">
        <f>Integrations!K47</f>
        <v>24</v>
      </c>
      <c r="L87">
        <f>Integrations!L47</f>
        <v>0</v>
      </c>
      <c r="M87">
        <f>Integrations!M47</f>
        <v>0</v>
      </c>
      <c r="N87">
        <f>Integrations!N47</f>
        <v>0</v>
      </c>
    </row>
    <row r="88" spans="1:14">
      <c r="A88" t="str">
        <f>Integrations!A48</f>
        <v>Monitores - SureSigns - linha Philips VS (Vsi, VS2+ e VS4) para Triagem</v>
      </c>
      <c r="B88" t="str">
        <f>Integrations!B48</f>
        <v>Monitor de Sinais Vitais</v>
      </c>
      <c r="C88" t="str">
        <f>Integrations!C48</f>
        <v>WSI</v>
      </c>
      <c r="D88" t="str">
        <f>Integrations!D48</f>
        <v>Receber parâmetros dos monitores Philips e registrar no PEP parâmetros vitais do paciente.</v>
      </c>
      <c r="E88" t="str">
        <f>Integrations!E48</f>
        <v>Philips</v>
      </c>
      <c r="F88" t="str">
        <f>Integrations!F48</f>
        <v>HL7</v>
      </c>
      <c r="G88" t="str">
        <f>Integrations!G48</f>
        <v>Tasy</v>
      </c>
      <c r="H88">
        <f>Integrations!H48</f>
        <v>0</v>
      </c>
      <c r="I88">
        <f>Integrations!I48</f>
        <v>0</v>
      </c>
      <c r="J88">
        <f>Integrations!J48</f>
        <v>4</v>
      </c>
      <c r="K88">
        <f>Integrations!K48</f>
        <v>0.8</v>
      </c>
      <c r="L88">
        <f>Integrations!L48</f>
        <v>0</v>
      </c>
      <c r="M88">
        <f>Integrations!M48</f>
        <v>0</v>
      </c>
      <c r="N88">
        <f>Integrations!N48</f>
        <v>0</v>
      </c>
    </row>
    <row r="89" spans="1:14">
      <c r="A89" t="str">
        <f>Integrations!A49</f>
        <v>Nota Fiscal Eletrônica - Prefeitura (Consultar lista de cidades)</v>
      </c>
      <c r="B89" t="str">
        <f>Integrations!B49</f>
        <v>Nota Fiscal Eletrônica</v>
      </c>
      <c r="C89" t="str">
        <f>Integrations!C49</f>
        <v>WSI</v>
      </c>
      <c r="D89" t="str">
        <f>Integrations!D49</f>
        <v>Automatizar o processo de geração, consulta e cancelamento de NFS-e.</v>
      </c>
      <c r="E89" t="str">
        <f>Integrations!E49</f>
        <v>Prefeitura</v>
      </c>
      <c r="F89" t="str">
        <f>Integrations!F49</f>
        <v>WebService</v>
      </c>
      <c r="G89" t="str">
        <f>Integrations!G49</f>
        <v>Sistema da Prefeitura</v>
      </c>
      <c r="H89">
        <f>Integrations!H49</f>
        <v>0</v>
      </c>
      <c r="I89">
        <f>Integrations!I49</f>
        <v>40</v>
      </c>
      <c r="J89">
        <f>Integrations!J49</f>
        <v>40</v>
      </c>
      <c r="K89">
        <f>Integrations!K49</f>
        <v>8</v>
      </c>
      <c r="L89">
        <f>Integrations!L49</f>
        <v>0</v>
      </c>
      <c r="M89">
        <f>Integrations!M49</f>
        <v>0</v>
      </c>
      <c r="N89">
        <f>Integrations!N49</f>
        <v>0</v>
      </c>
    </row>
    <row r="90" spans="1:14">
      <c r="A90" t="str">
        <f>Integrations!A50</f>
        <v>PACS - Padrão Philips</v>
      </c>
      <c r="B90" t="str">
        <f>Integrations!B50</f>
        <v>PACS</v>
      </c>
      <c r="C90" t="str">
        <f>Integrations!C50</f>
        <v>WSI</v>
      </c>
      <c r="D90" t="str">
        <f>Integrations!D50</f>
        <v xml:space="preserve">Integração PACS padrão. Possibilita enviar um Worklist, receber o retorno do laudo. Possibilia a visualização de imagens de exames no PEP. </v>
      </c>
      <c r="E90" t="str">
        <f>Integrations!E50</f>
        <v>PACS</v>
      </c>
      <c r="F90" t="str">
        <f>Integrations!F50</f>
        <v>WebService</v>
      </c>
      <c r="G90" t="str">
        <f>Integrations!G50</f>
        <v>PACS</v>
      </c>
      <c r="H90">
        <f>Integrations!H50</f>
        <v>0</v>
      </c>
      <c r="I90">
        <f>Integrations!I50</f>
        <v>40</v>
      </c>
      <c r="J90">
        <f>Integrations!J50</f>
        <v>40</v>
      </c>
      <c r="K90">
        <f>Integrations!K50</f>
        <v>8</v>
      </c>
      <c r="L90">
        <f>Integrations!L50</f>
        <v>0</v>
      </c>
      <c r="M90">
        <f>Integrations!M50</f>
        <v>0</v>
      </c>
      <c r="N90">
        <f>Integrations!N50</f>
        <v>0</v>
      </c>
    </row>
    <row r="91" spans="1:14">
      <c r="A91" t="str">
        <f>Integrations!A51</f>
        <v>Pagamento em banco - Banco do Brasil</v>
      </c>
      <c r="B91" t="str">
        <f>Integrations!B51</f>
        <v>Pagamento/Cobrança escritural</v>
      </c>
      <c r="C91" t="str">
        <f>Integrations!C51</f>
        <v>-</v>
      </c>
      <c r="D91" t="str">
        <f>Integrations!D51</f>
        <v>Geração de arquivo de pagamento escritural conforme layout enviado pelo banco. A implementação dos segmentos é de acordo com a necessidade do cliente</v>
      </c>
      <c r="E91" t="str">
        <f>Integrations!E51</f>
        <v>Banco do Brasil</v>
      </c>
      <c r="F91" t="str">
        <f>Integrations!F51</f>
        <v>TXT</v>
      </c>
      <c r="G91" t="str">
        <f>Integrations!G51</f>
        <v>Banco do Brasil</v>
      </c>
      <c r="H91">
        <f>Integrations!H51</f>
        <v>0</v>
      </c>
      <c r="I91">
        <f>Integrations!I51</f>
        <v>20</v>
      </c>
      <c r="J91">
        <f>Integrations!J51</f>
        <v>8</v>
      </c>
      <c r="K91">
        <f>Integrations!K51</f>
        <v>1.6</v>
      </c>
      <c r="L91">
        <f>Integrations!L51</f>
        <v>0</v>
      </c>
      <c r="M91">
        <f>Integrations!M51</f>
        <v>0</v>
      </c>
      <c r="N91">
        <f>Integrations!N51</f>
        <v>0</v>
      </c>
    </row>
    <row r="93" spans="1:14" ht="26">
      <c r="B93" s="512"/>
    </row>
    <row r="94" spans="1:14" ht="26">
      <c r="B94" s="512"/>
    </row>
    <row r="96" spans="1:14" ht="26">
      <c r="B96" s="512"/>
    </row>
    <row r="97" spans="1:14" ht="26">
      <c r="A97" s="512"/>
      <c r="B97" s="512"/>
    </row>
    <row r="99" spans="1:14" ht="26">
      <c r="A99" s="512"/>
      <c r="B99" s="512"/>
    </row>
    <row r="100" spans="1:14" ht="26">
      <c r="A100" s="512"/>
      <c r="B100" s="512"/>
    </row>
    <row r="102" spans="1:14" ht="26">
      <c r="A102" s="512"/>
      <c r="B102" s="512"/>
    </row>
    <row r="105" spans="1:14">
      <c r="A105" s="327" t="s">
        <v>6323</v>
      </c>
      <c r="B105" s="327" t="s">
        <v>6249</v>
      </c>
    </row>
    <row r="106" spans="1:14">
      <c r="A106" s="327" t="s">
        <v>6244</v>
      </c>
      <c r="B106" t="s">
        <v>2360</v>
      </c>
      <c r="C106" t="s">
        <v>2136</v>
      </c>
      <c r="D106" t="s">
        <v>2384</v>
      </c>
      <c r="E106" t="s">
        <v>2138</v>
      </c>
      <c r="F106" t="s">
        <v>2200</v>
      </c>
      <c r="G106" t="s">
        <v>2385</v>
      </c>
      <c r="H106" t="s">
        <v>849</v>
      </c>
      <c r="I106" t="s">
        <v>2137</v>
      </c>
      <c r="J106" t="s">
        <v>2387</v>
      </c>
      <c r="K106" t="s">
        <v>2386</v>
      </c>
      <c r="L106" t="s">
        <v>2078</v>
      </c>
      <c r="M106" t="s">
        <v>2359</v>
      </c>
      <c r="N106" t="s">
        <v>6243</v>
      </c>
    </row>
    <row r="107" spans="1:14">
      <c r="A107" s="19" t="s">
        <v>3</v>
      </c>
      <c r="F107">
        <v>0</v>
      </c>
      <c r="N107">
        <v>0</v>
      </c>
    </row>
    <row r="108" spans="1:14">
      <c r="A108" s="19" t="s">
        <v>1</v>
      </c>
      <c r="D108">
        <v>0</v>
      </c>
      <c r="N108">
        <v>0</v>
      </c>
    </row>
    <row r="109" spans="1:14">
      <c r="A109" s="19" t="s">
        <v>5</v>
      </c>
      <c r="F109">
        <v>0</v>
      </c>
      <c r="N109">
        <v>0</v>
      </c>
    </row>
    <row r="110" spans="1:14">
      <c r="A110" s="19" t="s">
        <v>2843</v>
      </c>
      <c r="G110">
        <v>0</v>
      </c>
      <c r="N110">
        <v>0</v>
      </c>
    </row>
    <row r="111" spans="1:14">
      <c r="A111" s="19" t="s">
        <v>3086</v>
      </c>
      <c r="L111">
        <v>0</v>
      </c>
      <c r="N111">
        <v>0</v>
      </c>
    </row>
    <row r="112" spans="1:14">
      <c r="A112" s="19" t="s">
        <v>3085</v>
      </c>
      <c r="L112">
        <v>0</v>
      </c>
      <c r="N112">
        <v>0</v>
      </c>
    </row>
    <row r="113" spans="1:14">
      <c r="A113" s="19" t="s">
        <v>3084</v>
      </c>
      <c r="L113">
        <v>0</v>
      </c>
      <c r="N113">
        <v>0</v>
      </c>
    </row>
    <row r="114" spans="1:14">
      <c r="A114" s="19" t="s">
        <v>2834</v>
      </c>
      <c r="C114">
        <v>0</v>
      </c>
      <c r="N114">
        <v>0</v>
      </c>
    </row>
    <row r="115" spans="1:14">
      <c r="A115" s="19" t="s">
        <v>19</v>
      </c>
      <c r="H115">
        <v>0</v>
      </c>
      <c r="N115">
        <v>0</v>
      </c>
    </row>
    <row r="116" spans="1:14">
      <c r="A116" s="19" t="s">
        <v>2035</v>
      </c>
      <c r="G116">
        <v>0</v>
      </c>
      <c r="N116">
        <v>0</v>
      </c>
    </row>
    <row r="117" spans="1:14">
      <c r="A117" s="19" t="s">
        <v>235</v>
      </c>
      <c r="G117">
        <v>0</v>
      </c>
      <c r="N117">
        <v>0</v>
      </c>
    </row>
    <row r="118" spans="1:14">
      <c r="A118" s="19" t="s">
        <v>423</v>
      </c>
      <c r="J118">
        <v>0</v>
      </c>
      <c r="N118">
        <v>0</v>
      </c>
    </row>
    <row r="119" spans="1:14">
      <c r="A119" s="19" t="s">
        <v>149</v>
      </c>
      <c r="F119">
        <v>0</v>
      </c>
      <c r="N119">
        <v>0</v>
      </c>
    </row>
    <row r="120" spans="1:14">
      <c r="A120" s="19" t="s">
        <v>237</v>
      </c>
      <c r="C120">
        <v>0</v>
      </c>
      <c r="N120">
        <v>0</v>
      </c>
    </row>
    <row r="121" spans="1:14">
      <c r="A121" s="19" t="s">
        <v>300</v>
      </c>
      <c r="G121">
        <v>0</v>
      </c>
      <c r="N121">
        <v>0</v>
      </c>
    </row>
    <row r="122" spans="1:14">
      <c r="A122" s="19" t="s">
        <v>290</v>
      </c>
      <c r="B122">
        <v>0</v>
      </c>
      <c r="N122">
        <v>0</v>
      </c>
    </row>
    <row r="123" spans="1:14">
      <c r="A123" s="19" t="s">
        <v>15</v>
      </c>
      <c r="M123">
        <v>0</v>
      </c>
      <c r="N123">
        <v>0</v>
      </c>
    </row>
    <row r="124" spans="1:14">
      <c r="A124" s="19" t="s">
        <v>2</v>
      </c>
      <c r="B124">
        <v>0</v>
      </c>
      <c r="N124">
        <v>0</v>
      </c>
    </row>
    <row r="125" spans="1:14">
      <c r="A125" s="19" t="s">
        <v>2783</v>
      </c>
      <c r="C125">
        <v>0</v>
      </c>
      <c r="N125">
        <v>0</v>
      </c>
    </row>
    <row r="126" spans="1:14">
      <c r="A126" s="19" t="s">
        <v>6</v>
      </c>
      <c r="E126">
        <v>0</v>
      </c>
      <c r="N126">
        <v>0</v>
      </c>
    </row>
    <row r="127" spans="1:14">
      <c r="A127" s="19" t="s">
        <v>4</v>
      </c>
      <c r="I127">
        <v>0</v>
      </c>
      <c r="N127">
        <v>0</v>
      </c>
    </row>
    <row r="128" spans="1:14">
      <c r="A128" s="19" t="s">
        <v>9</v>
      </c>
      <c r="I128">
        <v>0</v>
      </c>
      <c r="N128">
        <v>0</v>
      </c>
    </row>
    <row r="129" spans="1:14">
      <c r="A129" s="19" t="s">
        <v>20</v>
      </c>
      <c r="I129">
        <v>0</v>
      </c>
      <c r="N129">
        <v>0</v>
      </c>
    </row>
    <row r="130" spans="1:14">
      <c r="A130" s="19" t="s">
        <v>768</v>
      </c>
      <c r="B130">
        <v>0</v>
      </c>
      <c r="N130">
        <v>0</v>
      </c>
    </row>
    <row r="131" spans="1:14">
      <c r="A131" s="19" t="s">
        <v>11</v>
      </c>
      <c r="E131">
        <v>0</v>
      </c>
      <c r="N131">
        <v>0</v>
      </c>
    </row>
    <row r="132" spans="1:14">
      <c r="A132" s="19" t="s">
        <v>12</v>
      </c>
      <c r="J132">
        <v>0</v>
      </c>
      <c r="N132">
        <v>0</v>
      </c>
    </row>
    <row r="133" spans="1:14">
      <c r="A133" s="19" t="s">
        <v>42</v>
      </c>
      <c r="C133">
        <v>0</v>
      </c>
      <c r="N133">
        <v>0</v>
      </c>
    </row>
    <row r="134" spans="1:14">
      <c r="A134" s="19" t="s">
        <v>10</v>
      </c>
      <c r="F134">
        <v>0</v>
      </c>
      <c r="N134">
        <v>0</v>
      </c>
    </row>
    <row r="135" spans="1:14">
      <c r="A135" s="19" t="s">
        <v>0</v>
      </c>
      <c r="G135">
        <v>0</v>
      </c>
      <c r="N135">
        <v>0</v>
      </c>
    </row>
    <row r="136" spans="1:14">
      <c r="A136" s="19" t="s">
        <v>188</v>
      </c>
      <c r="M136">
        <v>0</v>
      </c>
      <c r="N136">
        <v>0</v>
      </c>
    </row>
    <row r="137" spans="1:14">
      <c r="A137" s="19" t="s">
        <v>58</v>
      </c>
      <c r="F137">
        <v>0</v>
      </c>
      <c r="N137">
        <v>0</v>
      </c>
    </row>
    <row r="138" spans="1:14">
      <c r="A138" s="19" t="s">
        <v>442</v>
      </c>
      <c r="E138">
        <v>0</v>
      </c>
      <c r="N138">
        <v>0</v>
      </c>
    </row>
    <row r="139" spans="1:14">
      <c r="A139" s="19" t="s">
        <v>17</v>
      </c>
      <c r="I139">
        <v>0</v>
      </c>
      <c r="N139">
        <v>0</v>
      </c>
    </row>
    <row r="140" spans="1:14">
      <c r="A140" s="19" t="s">
        <v>250</v>
      </c>
      <c r="F140">
        <v>0</v>
      </c>
      <c r="N140">
        <v>0</v>
      </c>
    </row>
    <row r="141" spans="1:14">
      <c r="A141" s="19" t="s">
        <v>21</v>
      </c>
      <c r="H141">
        <v>0</v>
      </c>
      <c r="N141">
        <v>0</v>
      </c>
    </row>
    <row r="142" spans="1:14">
      <c r="A142" s="19" t="s">
        <v>323</v>
      </c>
      <c r="G142">
        <v>0</v>
      </c>
      <c r="N142">
        <v>0</v>
      </c>
    </row>
    <row r="143" spans="1:14">
      <c r="A143" s="19" t="s">
        <v>294</v>
      </c>
      <c r="K143">
        <v>0</v>
      </c>
      <c r="N143">
        <v>0</v>
      </c>
    </row>
    <row r="144" spans="1:14">
      <c r="A144" s="19" t="s">
        <v>420</v>
      </c>
      <c r="B144">
        <v>0</v>
      </c>
      <c r="N144">
        <v>0</v>
      </c>
    </row>
    <row r="145" spans="1:14">
      <c r="A145" s="19" t="s">
        <v>301</v>
      </c>
      <c r="G145">
        <v>0</v>
      </c>
      <c r="N145">
        <v>0</v>
      </c>
    </row>
    <row r="146" spans="1:14">
      <c r="A146" s="19" t="s">
        <v>7</v>
      </c>
      <c r="G146">
        <v>0</v>
      </c>
      <c r="N146">
        <v>0</v>
      </c>
    </row>
    <row r="147" spans="1:14">
      <c r="A147" s="19" t="s">
        <v>308</v>
      </c>
      <c r="M147">
        <v>0</v>
      </c>
      <c r="N147">
        <v>0</v>
      </c>
    </row>
    <row r="148" spans="1:14">
      <c r="A148" s="19" t="s">
        <v>13</v>
      </c>
      <c r="B148">
        <v>0</v>
      </c>
      <c r="N148">
        <v>0</v>
      </c>
    </row>
    <row r="149" spans="1:14">
      <c r="A149" s="19" t="s">
        <v>2294</v>
      </c>
      <c r="G149">
        <v>0</v>
      </c>
      <c r="N149">
        <v>0</v>
      </c>
    </row>
    <row r="150" spans="1:14">
      <c r="A150" s="19" t="s">
        <v>257</v>
      </c>
      <c r="K150">
        <v>0</v>
      </c>
      <c r="N150">
        <v>0</v>
      </c>
    </row>
    <row r="151" spans="1:14">
      <c r="A151" s="19" t="s">
        <v>133</v>
      </c>
      <c r="E151">
        <v>0</v>
      </c>
      <c r="N151">
        <v>0</v>
      </c>
    </row>
    <row r="152" spans="1:14">
      <c r="A152" s="19" t="s">
        <v>18</v>
      </c>
      <c r="E152">
        <v>0</v>
      </c>
      <c r="N152">
        <v>0</v>
      </c>
    </row>
    <row r="153" spans="1:14">
      <c r="A153" s="19" t="s">
        <v>213</v>
      </c>
      <c r="C153">
        <v>0</v>
      </c>
      <c r="N153">
        <v>0</v>
      </c>
    </row>
    <row r="154" spans="1:14">
      <c r="A154" s="19" t="s">
        <v>342</v>
      </c>
      <c r="E154">
        <v>0</v>
      </c>
      <c r="N154">
        <v>0</v>
      </c>
    </row>
    <row r="155" spans="1:14">
      <c r="A155" s="19" t="s">
        <v>282</v>
      </c>
      <c r="C155">
        <v>0</v>
      </c>
      <c r="N155">
        <v>0</v>
      </c>
    </row>
    <row r="156" spans="1:14">
      <c r="A156" s="19" t="s">
        <v>16</v>
      </c>
      <c r="C156">
        <v>0</v>
      </c>
      <c r="N156">
        <v>0</v>
      </c>
    </row>
    <row r="157" spans="1:14">
      <c r="A157" s="19" t="s">
        <v>313</v>
      </c>
      <c r="B157">
        <v>0</v>
      </c>
      <c r="N157">
        <v>0</v>
      </c>
    </row>
    <row r="158" spans="1:14">
      <c r="A158" s="19" t="s">
        <v>287</v>
      </c>
      <c r="G158">
        <v>0</v>
      </c>
      <c r="N158">
        <v>0</v>
      </c>
    </row>
    <row r="159" spans="1:14">
      <c r="A159" s="19" t="s">
        <v>387</v>
      </c>
      <c r="G159">
        <v>0</v>
      </c>
      <c r="N159">
        <v>0</v>
      </c>
    </row>
    <row r="160" spans="1:14">
      <c r="A160" s="19" t="s">
        <v>177</v>
      </c>
      <c r="F160">
        <v>0</v>
      </c>
      <c r="N160">
        <v>0</v>
      </c>
    </row>
    <row r="161" spans="1:14">
      <c r="A161" s="19" t="s">
        <v>396</v>
      </c>
      <c r="F161">
        <v>0</v>
      </c>
      <c r="N161">
        <v>0</v>
      </c>
    </row>
    <row r="162" spans="1:14">
      <c r="A162" s="19" t="s">
        <v>23</v>
      </c>
      <c r="I162">
        <v>0</v>
      </c>
      <c r="N162">
        <v>0</v>
      </c>
    </row>
    <row r="163" spans="1:14">
      <c r="A163" s="19" t="s">
        <v>22</v>
      </c>
      <c r="I163">
        <v>0</v>
      </c>
      <c r="N163">
        <v>0</v>
      </c>
    </row>
    <row r="164" spans="1:14">
      <c r="A164" s="19" t="s">
        <v>414</v>
      </c>
      <c r="K164">
        <v>0</v>
      </c>
      <c r="N164">
        <v>0</v>
      </c>
    </row>
    <row r="165" spans="1:14">
      <c r="A165" s="19" t="s">
        <v>8</v>
      </c>
      <c r="D165">
        <v>0</v>
      </c>
      <c r="N165">
        <v>0</v>
      </c>
    </row>
    <row r="166" spans="1:14">
      <c r="A166" s="19" t="s">
        <v>303</v>
      </c>
      <c r="B166">
        <v>0</v>
      </c>
      <c r="N166">
        <v>0</v>
      </c>
    </row>
    <row r="167" spans="1:14">
      <c r="A167" s="19" t="s">
        <v>297</v>
      </c>
      <c r="B167">
        <v>0</v>
      </c>
      <c r="N167">
        <v>0</v>
      </c>
    </row>
    <row r="168" spans="1:14">
      <c r="A168" s="19" t="s">
        <v>1573</v>
      </c>
      <c r="C168">
        <v>0</v>
      </c>
      <c r="N168">
        <v>0</v>
      </c>
    </row>
    <row r="169" spans="1:14">
      <c r="A169" s="19" t="s">
        <v>245</v>
      </c>
      <c r="H169">
        <v>0</v>
      </c>
      <c r="N169">
        <v>0</v>
      </c>
    </row>
    <row r="170" spans="1:14">
      <c r="A170" s="19" t="s">
        <v>262</v>
      </c>
      <c r="H170">
        <v>0</v>
      </c>
      <c r="N170">
        <v>0</v>
      </c>
    </row>
    <row r="171" spans="1:14">
      <c r="A171" s="19" t="s">
        <v>248</v>
      </c>
      <c r="H171">
        <v>0</v>
      </c>
      <c r="N171">
        <v>0</v>
      </c>
    </row>
    <row r="172" spans="1:14">
      <c r="A172" s="19" t="s">
        <v>2042</v>
      </c>
      <c r="L172">
        <v>0</v>
      </c>
      <c r="N172">
        <v>0</v>
      </c>
    </row>
    <row r="173" spans="1:14">
      <c r="A173" s="19" t="s">
        <v>14</v>
      </c>
      <c r="I173">
        <v>0</v>
      </c>
      <c r="N173">
        <v>0</v>
      </c>
    </row>
    <row r="174" spans="1:14">
      <c r="A174" s="19" t="s">
        <v>440</v>
      </c>
      <c r="G174">
        <v>0</v>
      </c>
      <c r="N174">
        <v>0</v>
      </c>
    </row>
    <row r="175" spans="1:14">
      <c r="A175" s="19" t="s">
        <v>415</v>
      </c>
      <c r="B175">
        <v>0</v>
      </c>
      <c r="N175">
        <v>0</v>
      </c>
    </row>
    <row r="176" spans="1:14">
      <c r="A176" s="19" t="s">
        <v>426</v>
      </c>
      <c r="D176">
        <v>0</v>
      </c>
      <c r="N176">
        <v>0</v>
      </c>
    </row>
    <row r="177" spans="1:14">
      <c r="A177" s="19" t="s">
        <v>6243</v>
      </c>
      <c r="B177">
        <v>0</v>
      </c>
      <c r="C177">
        <v>0</v>
      </c>
      <c r="D177">
        <v>0</v>
      </c>
      <c r="E177">
        <v>0</v>
      </c>
      <c r="F177">
        <v>0</v>
      </c>
      <c r="G177">
        <v>0</v>
      </c>
      <c r="H177">
        <v>0</v>
      </c>
      <c r="I177">
        <v>0</v>
      </c>
      <c r="J177">
        <v>0</v>
      </c>
      <c r="K177">
        <v>0</v>
      </c>
      <c r="L177">
        <v>0</v>
      </c>
      <c r="M177">
        <v>0</v>
      </c>
      <c r="N177">
        <v>0</v>
      </c>
    </row>
  </sheetData>
  <autoFilter ref="A51:BK51" xr:uid="{632CB527-4736-4A64-BF24-5A237200C07B}"/>
  <mergeCells count="54">
    <mergeCell ref="A49:B49"/>
    <mergeCell ref="A37:B37"/>
    <mergeCell ref="A33:D33"/>
    <mergeCell ref="A34:D34"/>
    <mergeCell ref="A35:D35"/>
    <mergeCell ref="A45:B45"/>
    <mergeCell ref="C45:D45"/>
    <mergeCell ref="C48:D48"/>
    <mergeCell ref="E48:F48"/>
    <mergeCell ref="G48:H48"/>
    <mergeCell ref="A46:B46"/>
    <mergeCell ref="C46:D46"/>
    <mergeCell ref="E46:F46"/>
    <mergeCell ref="G46:H46"/>
    <mergeCell ref="A47:B47"/>
    <mergeCell ref="C47:D47"/>
    <mergeCell ref="E47:F47"/>
    <mergeCell ref="G47:H47"/>
    <mergeCell ref="E45:F45"/>
    <mergeCell ref="G45:H45"/>
    <mergeCell ref="A41:B41"/>
    <mergeCell ref="C41:D41"/>
    <mergeCell ref="E41:F41"/>
    <mergeCell ref="G41:H41"/>
    <mergeCell ref="A44:B44"/>
    <mergeCell ref="C44:D44"/>
    <mergeCell ref="E44:F44"/>
    <mergeCell ref="G44:H44"/>
    <mergeCell ref="A28:C28"/>
    <mergeCell ref="D28:E28"/>
    <mergeCell ref="A29:C29"/>
    <mergeCell ref="D29:E29"/>
    <mergeCell ref="A39:B39"/>
    <mergeCell ref="C39:D39"/>
    <mergeCell ref="E39:F39"/>
    <mergeCell ref="A32:B32"/>
    <mergeCell ref="G39:H39"/>
    <mergeCell ref="A40:B40"/>
    <mergeCell ref="C40:D40"/>
    <mergeCell ref="E40:F40"/>
    <mergeCell ref="G40:H40"/>
    <mergeCell ref="A27:C27"/>
    <mergeCell ref="D27:E27"/>
    <mergeCell ref="A10:B10"/>
    <mergeCell ref="A12:D12"/>
    <mergeCell ref="A13:D13"/>
    <mergeCell ref="A14:D14"/>
    <mergeCell ref="A16:B16"/>
    <mergeCell ref="A18:D18"/>
    <mergeCell ref="A19:D19"/>
    <mergeCell ref="A20:D20"/>
    <mergeCell ref="A21:D21"/>
    <mergeCell ref="A26:C26"/>
    <mergeCell ref="D26:E26"/>
  </mergeCells>
  <conditionalFormatting sqref="A30:A31">
    <cfRule type="expression" dxfId="7" priority="1">
      <formula>"IF(Proposal!$C$35=""Yes"";""*Nos valores acima estão inclusos os impostos"";""*Nos valores acima não estão inclusos os impostos."")"</formula>
    </cfRule>
  </conditionalFormatting>
  <pageMargins left="0.7" right="0.7" top="0.75" bottom="0.75" header="0.3" footer="0.3"/>
  <pageSetup orientation="portrait"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dimension ref="A1:X1178"/>
  <sheetViews>
    <sheetView showGridLines="0" zoomScale="110" zoomScaleNormal="110" workbookViewId="0">
      <pane ySplit="3" topLeftCell="A663" activePane="bottomLeft" state="frozen"/>
      <selection activeCell="E2" sqref="E1:G1048576"/>
      <selection pane="bottomLeft" activeCell="C684" sqref="C684"/>
    </sheetView>
  </sheetViews>
  <sheetFormatPr defaultRowHeight="14.5" outlineLevelCol="1"/>
  <cols>
    <col min="1" max="1" width="16.54296875" style="1" bestFit="1" customWidth="1"/>
    <col min="2" max="2" width="57.453125" style="1" bestFit="1" customWidth="1"/>
    <col min="3" max="3" width="76.7265625" style="1" customWidth="1" outlineLevel="1"/>
    <col min="4" max="4" width="61.81640625" style="1" customWidth="1" outlineLevel="1"/>
    <col min="5" max="5" width="21.7265625" style="1" customWidth="1" outlineLevel="1"/>
    <col min="6" max="6" width="36.81640625" style="1" customWidth="1" outlineLevel="1"/>
    <col min="7" max="7" width="47.26953125" style="1" customWidth="1"/>
    <col min="8" max="8" width="39.54296875" style="1" customWidth="1"/>
    <col min="9" max="9" width="22.54296875" style="12" customWidth="1"/>
    <col min="10" max="10" width="25.7265625" style="17" customWidth="1" outlineLevel="1"/>
    <col min="11" max="11" width="15.26953125" style="17" customWidth="1" outlineLevel="1"/>
    <col min="12" max="15" width="18.81640625" style="17" customWidth="1" outlineLevel="1"/>
    <col min="16" max="16" width="17.1796875" style="17" customWidth="1" outlineLevel="1"/>
    <col min="17" max="17" width="11.1796875" style="17" bestFit="1" customWidth="1" outlineLevel="1"/>
    <col min="18" max="18" width="18.81640625" style="17" bestFit="1" customWidth="1" outlineLevel="1"/>
    <col min="19" max="19" width="18" style="17" bestFit="1" customWidth="1" outlineLevel="1"/>
    <col min="20" max="20" width="27.7265625" style="17" customWidth="1" outlineLevel="1"/>
    <col min="21" max="21" width="29.54296875" style="17" customWidth="1" outlineLevel="1"/>
    <col min="22" max="22" width="25.7265625" style="1" customWidth="1" outlineLevel="1"/>
    <col min="23" max="23" width="18.7265625" customWidth="1" outlineLevel="1"/>
    <col min="24" max="24" width="22.54296875" style="12" bestFit="1" customWidth="1"/>
  </cols>
  <sheetData>
    <row r="1" spans="1:24">
      <c r="T1" s="324" t="s">
        <v>3225</v>
      </c>
      <c r="U1" s="324" t="s">
        <v>3226</v>
      </c>
      <c r="X1" s="12" t="s">
        <v>3465</v>
      </c>
    </row>
    <row r="2" spans="1:24">
      <c r="T2" s="325">
        <v>1</v>
      </c>
      <c r="U2" s="325">
        <v>1.1000000000000001</v>
      </c>
    </row>
    <row r="3" spans="1:24">
      <c r="A3" s="3" t="s">
        <v>1915</v>
      </c>
      <c r="B3" s="3" t="s">
        <v>1916</v>
      </c>
      <c r="C3" s="3" t="s">
        <v>1919</v>
      </c>
      <c r="D3" s="3" t="s">
        <v>1921</v>
      </c>
      <c r="E3" s="3" t="s">
        <v>1917</v>
      </c>
      <c r="F3" s="3" t="s">
        <v>1918</v>
      </c>
      <c r="G3" s="3" t="s">
        <v>1920</v>
      </c>
      <c r="H3" s="3" t="s">
        <v>1922</v>
      </c>
      <c r="I3" s="3" t="s">
        <v>1928</v>
      </c>
      <c r="J3" s="16" t="s">
        <v>1993</v>
      </c>
      <c r="K3" s="16" t="s">
        <v>1994</v>
      </c>
      <c r="L3" s="16" t="s">
        <v>1995</v>
      </c>
      <c r="M3" s="16" t="s">
        <v>3182</v>
      </c>
      <c r="N3" s="16" t="s">
        <v>2358</v>
      </c>
      <c r="O3" s="16" t="s">
        <v>2371</v>
      </c>
      <c r="P3" s="16" t="s">
        <v>2372</v>
      </c>
      <c r="Q3" s="16" t="s">
        <v>6009</v>
      </c>
      <c r="R3" s="16" t="s">
        <v>6010</v>
      </c>
      <c r="S3" s="16" t="s">
        <v>6011</v>
      </c>
      <c r="T3" s="16" t="s">
        <v>2847</v>
      </c>
      <c r="U3" s="16" t="s">
        <v>3181</v>
      </c>
      <c r="V3" s="16" t="s">
        <v>2028</v>
      </c>
      <c r="W3" s="240" t="s">
        <v>2833</v>
      </c>
      <c r="X3" s="3" t="s">
        <v>3465</v>
      </c>
    </row>
    <row r="4" spans="1:24">
      <c r="A4" s="1">
        <v>10010</v>
      </c>
      <c r="B4" s="426" t="s">
        <v>1529</v>
      </c>
      <c r="C4" s="1" t="s">
        <v>1530</v>
      </c>
      <c r="D4" s="1" t="s">
        <v>1531</v>
      </c>
      <c r="E4" s="1">
        <v>511</v>
      </c>
      <c r="F4" s="1" t="str">
        <f>VLOOKUP(E4,'ESTRUTURA_MODULO(hide)'!$A$2:$D$230,2,FALSE)</f>
        <v>Funções Inativas</v>
      </c>
      <c r="G4" s="1" t="str">
        <f>VLOOKUP(E4,'ESTRUTURA_MODULO(hide)'!$A$2:$D$95,3,FALSE)</f>
        <v>Inactive functions</v>
      </c>
      <c r="H4" s="1" t="str">
        <f>VLOOKUP(E4,'ESTRUTURA_MODULO(hide)'!$A$2:$D$95,4,FALSE)</f>
        <v>Funciones Inactivas</v>
      </c>
      <c r="I4" s="20">
        <v>0</v>
      </c>
      <c r="J4" s="17" t="s">
        <v>2890</v>
      </c>
      <c r="K4" s="17" t="s">
        <v>2890</v>
      </c>
      <c r="L4" s="17" t="s">
        <v>2890</v>
      </c>
      <c r="M4" s="17" t="s">
        <v>2890</v>
      </c>
      <c r="N4" s="17" t="s">
        <v>2890</v>
      </c>
      <c r="O4" s="17" t="s">
        <v>2890</v>
      </c>
      <c r="P4" s="17" t="s">
        <v>2890</v>
      </c>
      <c r="T4" s="17" t="s">
        <v>2889</v>
      </c>
      <c r="U4" s="17" t="s">
        <v>2890</v>
      </c>
      <c r="V4" s="21"/>
      <c r="W4" s="17"/>
      <c r="X4" s="20">
        <v>0</v>
      </c>
    </row>
    <row r="5" spans="1:24">
      <c r="A5" s="1">
        <v>9052</v>
      </c>
      <c r="B5" s="426" t="s">
        <v>330</v>
      </c>
      <c r="C5" s="1" t="s">
        <v>1532</v>
      </c>
      <c r="D5" s="1" t="s">
        <v>1533</v>
      </c>
      <c r="E5" s="1">
        <v>511</v>
      </c>
      <c r="F5" s="1" t="str">
        <f>VLOOKUP(E5,'ESTRUTURA_MODULO(hide)'!$A$2:$D$230,2,FALSE)</f>
        <v>Funções Inativas</v>
      </c>
      <c r="G5" s="1" t="str">
        <f>VLOOKUP(E5,'ESTRUTURA_MODULO(hide)'!$A$2:$D$95,3,FALSE)</f>
        <v>Inactive functions</v>
      </c>
      <c r="H5" s="1" t="str">
        <f>VLOOKUP(E5,'ESTRUTURA_MODULO(hide)'!$A$2:$D$95,4,FALSE)</f>
        <v>Funciones Inactivas</v>
      </c>
      <c r="I5" s="20">
        <v>0</v>
      </c>
      <c r="J5" s="17" t="s">
        <v>2890</v>
      </c>
      <c r="K5" s="17" t="s">
        <v>2890</v>
      </c>
      <c r="L5" s="17" t="s">
        <v>2890</v>
      </c>
      <c r="M5" s="17" t="s">
        <v>2890</v>
      </c>
      <c r="N5" s="17" t="s">
        <v>2890</v>
      </c>
      <c r="O5" s="17" t="s">
        <v>2890</v>
      </c>
      <c r="P5" s="17" t="s">
        <v>2890</v>
      </c>
      <c r="T5" s="17" t="s">
        <v>2889</v>
      </c>
      <c r="U5" s="17" t="s">
        <v>2890</v>
      </c>
      <c r="V5" s="21"/>
      <c r="W5" s="17"/>
      <c r="X5" s="20">
        <v>0</v>
      </c>
    </row>
    <row r="6" spans="1:24">
      <c r="A6" s="1">
        <v>97</v>
      </c>
      <c r="B6" s="426" t="s">
        <v>433</v>
      </c>
      <c r="C6" s="1" t="s">
        <v>1536</v>
      </c>
      <c r="D6" s="1" t="s">
        <v>433</v>
      </c>
      <c r="E6" s="1">
        <v>511</v>
      </c>
      <c r="F6" s="1" t="str">
        <f>VLOOKUP(E6,'ESTRUTURA_MODULO(hide)'!$A$2:$D$230,2,FALSE)</f>
        <v>Funções Inativas</v>
      </c>
      <c r="G6" s="1" t="str">
        <f>VLOOKUP(E6,'ESTRUTURA_MODULO(hide)'!$A$2:$D$95,3,FALSE)</f>
        <v>Inactive functions</v>
      </c>
      <c r="H6" s="1" t="str">
        <f>VLOOKUP(E6,'ESTRUTURA_MODULO(hide)'!$A$2:$D$95,4,FALSE)</f>
        <v>Funciones Inactivas</v>
      </c>
      <c r="I6" s="20">
        <v>0</v>
      </c>
      <c r="J6" s="17" t="s">
        <v>2890</v>
      </c>
      <c r="K6" s="17" t="s">
        <v>2890</v>
      </c>
      <c r="L6" s="17" t="s">
        <v>2890</v>
      </c>
      <c r="M6" s="17" t="s">
        <v>2890</v>
      </c>
      <c r="N6" s="17" t="s">
        <v>2890</v>
      </c>
      <c r="O6" s="17" t="s">
        <v>2890</v>
      </c>
      <c r="P6" s="17" t="s">
        <v>2890</v>
      </c>
      <c r="T6" s="17" t="s">
        <v>2889</v>
      </c>
      <c r="U6" s="17" t="s">
        <v>2890</v>
      </c>
      <c r="V6" s="21"/>
      <c r="W6" s="17"/>
      <c r="X6" s="20">
        <v>0</v>
      </c>
    </row>
    <row r="7" spans="1:24">
      <c r="A7" s="1">
        <v>94</v>
      </c>
      <c r="B7" s="426" t="s">
        <v>434</v>
      </c>
      <c r="C7" s="1" t="s">
        <v>1534</v>
      </c>
      <c r="D7" s="1" t="s">
        <v>1535</v>
      </c>
      <c r="E7" s="1">
        <v>511</v>
      </c>
      <c r="F7" s="1" t="str">
        <f>VLOOKUP(E7,'ESTRUTURA_MODULO(hide)'!$A$2:$D$230,2,FALSE)</f>
        <v>Funções Inativas</v>
      </c>
      <c r="G7" s="1" t="str">
        <f>VLOOKUP(E7,'ESTRUTURA_MODULO(hide)'!$A$2:$D$95,3,FALSE)</f>
        <v>Inactive functions</v>
      </c>
      <c r="H7" s="1" t="str">
        <f>VLOOKUP(E7,'ESTRUTURA_MODULO(hide)'!$A$2:$D$95,4,FALSE)</f>
        <v>Funciones Inactivas</v>
      </c>
      <c r="I7" s="20">
        <v>0</v>
      </c>
      <c r="J7" s="17" t="s">
        <v>2890</v>
      </c>
      <c r="K7" s="17" t="s">
        <v>2890</v>
      </c>
      <c r="L7" s="17" t="s">
        <v>2890</v>
      </c>
      <c r="M7" s="17" t="s">
        <v>2890</v>
      </c>
      <c r="N7" s="17" t="s">
        <v>2890</v>
      </c>
      <c r="O7" s="17" t="s">
        <v>2890</v>
      </c>
      <c r="P7" s="17" t="s">
        <v>2890</v>
      </c>
      <c r="T7" s="17" t="s">
        <v>2889</v>
      </c>
      <c r="U7" s="17" t="s">
        <v>2890</v>
      </c>
      <c r="V7" s="21"/>
      <c r="W7" s="17"/>
      <c r="X7" s="20">
        <v>0</v>
      </c>
    </row>
    <row r="8" spans="1:24">
      <c r="A8" s="1">
        <v>269</v>
      </c>
      <c r="B8" s="426" t="s">
        <v>435</v>
      </c>
      <c r="C8" s="1" t="s">
        <v>1525</v>
      </c>
      <c r="D8" s="1" t="s">
        <v>1527</v>
      </c>
      <c r="E8" s="1">
        <v>511</v>
      </c>
      <c r="F8" s="1" t="str">
        <f>VLOOKUP(E8,'ESTRUTURA_MODULO(hide)'!$A$2:$D$230,2,FALSE)</f>
        <v>Funções Inativas</v>
      </c>
      <c r="G8" s="1" t="str">
        <f>VLOOKUP(E8,'ESTRUTURA_MODULO(hide)'!$A$2:$D$95,3,FALSE)</f>
        <v>Inactive functions</v>
      </c>
      <c r="H8" s="1" t="str">
        <f>VLOOKUP(E8,'ESTRUTURA_MODULO(hide)'!$A$2:$D$95,4,FALSE)</f>
        <v>Funciones Inactivas</v>
      </c>
      <c r="I8" s="20">
        <v>0</v>
      </c>
      <c r="J8" s="17" t="s">
        <v>2890</v>
      </c>
      <c r="K8" s="17" t="s">
        <v>2890</v>
      </c>
      <c r="L8" s="17" t="s">
        <v>2890</v>
      </c>
      <c r="M8" s="17" t="s">
        <v>2890</v>
      </c>
      <c r="N8" s="17" t="s">
        <v>2890</v>
      </c>
      <c r="O8" s="17" t="s">
        <v>2890</v>
      </c>
      <c r="P8" s="17" t="s">
        <v>2890</v>
      </c>
      <c r="T8" s="17" t="s">
        <v>2889</v>
      </c>
      <c r="U8" s="17" t="s">
        <v>2890</v>
      </c>
      <c r="V8" s="21"/>
      <c r="W8" s="17"/>
      <c r="X8" s="20">
        <v>0</v>
      </c>
    </row>
    <row r="9" spans="1:24">
      <c r="A9" s="1">
        <v>96</v>
      </c>
      <c r="B9" s="426" t="s">
        <v>42</v>
      </c>
      <c r="C9" s="1" t="s">
        <v>1009</v>
      </c>
      <c r="D9" s="1" t="s">
        <v>1011</v>
      </c>
      <c r="E9" s="1">
        <v>511</v>
      </c>
      <c r="F9" s="1" t="str">
        <f>VLOOKUP(E9,'ESTRUTURA_MODULO(hide)'!$A$2:$D$230,2,FALSE)</f>
        <v>Funções Inativas</v>
      </c>
      <c r="G9" s="1" t="str">
        <f>VLOOKUP(E9,'ESTRUTURA_MODULO(hide)'!$A$2:$D$95,3,FALSE)</f>
        <v>Inactive functions</v>
      </c>
      <c r="H9" s="1" t="str">
        <f>VLOOKUP(E9,'ESTRUTURA_MODULO(hide)'!$A$2:$D$95,4,FALSE)</f>
        <v>Funciones Inactivas</v>
      </c>
      <c r="I9" s="20">
        <v>0</v>
      </c>
      <c r="J9" s="17" t="s">
        <v>2890</v>
      </c>
      <c r="K9" s="17" t="s">
        <v>2890</v>
      </c>
      <c r="L9" s="17" t="s">
        <v>2890</v>
      </c>
      <c r="M9" s="17" t="s">
        <v>2890</v>
      </c>
      <c r="N9" s="17" t="s">
        <v>2890</v>
      </c>
      <c r="O9" s="17" t="s">
        <v>2890</v>
      </c>
      <c r="P9" s="17" t="s">
        <v>2890</v>
      </c>
      <c r="T9" s="17" t="s">
        <v>2889</v>
      </c>
      <c r="U9" s="17" t="s">
        <v>2890</v>
      </c>
      <c r="V9" s="21"/>
      <c r="W9" s="17"/>
      <c r="X9" s="20">
        <v>0</v>
      </c>
    </row>
    <row r="10" spans="1:24">
      <c r="A10" s="1">
        <v>204</v>
      </c>
      <c r="B10" s="426" t="s">
        <v>432</v>
      </c>
      <c r="C10" s="1" t="s">
        <v>761</v>
      </c>
      <c r="D10" s="1" t="s">
        <v>1547</v>
      </c>
      <c r="E10" s="1">
        <v>511</v>
      </c>
      <c r="F10" s="1" t="str">
        <f>VLOOKUP(E10,'ESTRUTURA_MODULO(hide)'!$A$2:$D$230,2,FALSE)</f>
        <v>Funções Inativas</v>
      </c>
      <c r="G10" s="1" t="str">
        <f>VLOOKUP(E10,'ESTRUTURA_MODULO(hide)'!$A$2:$D$95,3,FALSE)</f>
        <v>Inactive functions</v>
      </c>
      <c r="H10" s="1" t="str">
        <f>VLOOKUP(E10,'ESTRUTURA_MODULO(hide)'!$A$2:$D$95,4,FALSE)</f>
        <v>Funciones Inactivas</v>
      </c>
      <c r="I10" s="20">
        <v>0</v>
      </c>
      <c r="J10" s="17" t="s">
        <v>2890</v>
      </c>
      <c r="K10" s="17" t="s">
        <v>2890</v>
      </c>
      <c r="L10" s="17" t="s">
        <v>2890</v>
      </c>
      <c r="M10" s="17" t="s">
        <v>2890</v>
      </c>
      <c r="N10" s="17" t="s">
        <v>2890</v>
      </c>
      <c r="O10" s="17" t="s">
        <v>2890</v>
      </c>
      <c r="P10" s="17" t="s">
        <v>2890</v>
      </c>
      <c r="T10" s="17" t="s">
        <v>2889</v>
      </c>
      <c r="U10" s="17" t="s">
        <v>2890</v>
      </c>
      <c r="V10" s="21" t="s">
        <v>849</v>
      </c>
      <c r="W10" s="17"/>
      <c r="X10" s="20">
        <v>0</v>
      </c>
    </row>
    <row r="11" spans="1:24">
      <c r="A11" s="1">
        <v>170</v>
      </c>
      <c r="B11" s="426" t="s">
        <v>437</v>
      </c>
      <c r="C11" s="1" t="s">
        <v>1539</v>
      </c>
      <c r="D11" s="1" t="s">
        <v>1540</v>
      </c>
      <c r="E11" s="1">
        <v>511</v>
      </c>
      <c r="F11" s="1" t="str">
        <f>VLOOKUP(E11,'ESTRUTURA_MODULO(hide)'!$A$2:$D$230,2,FALSE)</f>
        <v>Funções Inativas</v>
      </c>
      <c r="G11" s="1" t="str">
        <f>VLOOKUP(E11,'ESTRUTURA_MODULO(hide)'!$A$2:$D$95,3,FALSE)</f>
        <v>Inactive functions</v>
      </c>
      <c r="H11" s="1" t="str">
        <f>VLOOKUP(E11,'ESTRUTURA_MODULO(hide)'!$A$2:$D$95,4,FALSE)</f>
        <v>Funciones Inactivas</v>
      </c>
      <c r="I11" s="20">
        <v>0</v>
      </c>
      <c r="J11" s="17" t="s">
        <v>2890</v>
      </c>
      <c r="K11" s="17" t="s">
        <v>2890</v>
      </c>
      <c r="L11" s="17" t="s">
        <v>2890</v>
      </c>
      <c r="M11" s="17" t="s">
        <v>2890</v>
      </c>
      <c r="N11" s="17" t="s">
        <v>2890</v>
      </c>
      <c r="O11" s="17" t="s">
        <v>2890</v>
      </c>
      <c r="P11" s="17" t="s">
        <v>2890</v>
      </c>
      <c r="T11" s="17" t="s">
        <v>2889</v>
      </c>
      <c r="U11" s="17" t="s">
        <v>2890</v>
      </c>
      <c r="V11" s="21"/>
      <c r="W11" s="17"/>
      <c r="X11" s="20">
        <v>0</v>
      </c>
    </row>
    <row r="12" spans="1:24">
      <c r="A12" s="1">
        <v>172</v>
      </c>
      <c r="B12" s="1" t="s">
        <v>430</v>
      </c>
      <c r="C12" s="1" t="s">
        <v>1545</v>
      </c>
      <c r="D12" s="1" t="s">
        <v>1546</v>
      </c>
      <c r="E12" s="1">
        <v>511</v>
      </c>
      <c r="F12" s="1" t="str">
        <f>VLOOKUP(E12,'ESTRUTURA_MODULO(hide)'!$A$2:$D$230,2,FALSE)</f>
        <v>Funções Inativas</v>
      </c>
      <c r="G12" s="1" t="str">
        <f>VLOOKUP(E12,'ESTRUTURA_MODULO(hide)'!$A$2:$D$95,3,FALSE)</f>
        <v>Inactive functions</v>
      </c>
      <c r="H12" s="1" t="str">
        <f>VLOOKUP(E12,'ESTRUTURA_MODULO(hide)'!$A$2:$D$95,4,FALSE)</f>
        <v>Funciones Inactivas</v>
      </c>
      <c r="I12" s="20">
        <v>0</v>
      </c>
      <c r="J12" s="17" t="s">
        <v>2890</v>
      </c>
      <c r="K12" s="17" t="s">
        <v>2890</v>
      </c>
      <c r="L12" s="17" t="s">
        <v>2890</v>
      </c>
      <c r="M12" s="17" t="s">
        <v>2890</v>
      </c>
      <c r="N12" s="17" t="s">
        <v>2890</v>
      </c>
      <c r="O12" s="17" t="s">
        <v>2890</v>
      </c>
      <c r="P12" s="17" t="s">
        <v>2890</v>
      </c>
      <c r="T12" s="17" t="s">
        <v>2889</v>
      </c>
      <c r="U12" s="17" t="s">
        <v>2890</v>
      </c>
      <c r="V12" s="21"/>
      <c r="W12" s="17"/>
      <c r="X12" s="20">
        <v>0</v>
      </c>
    </row>
    <row r="13" spans="1:24">
      <c r="A13" s="1">
        <v>166</v>
      </c>
      <c r="B13" s="426" t="s">
        <v>438</v>
      </c>
      <c r="C13" s="1" t="s">
        <v>1543</v>
      </c>
      <c r="D13" s="1" t="s">
        <v>1544</v>
      </c>
      <c r="E13" s="1">
        <v>511</v>
      </c>
      <c r="F13" s="1" t="str">
        <f>VLOOKUP(E13,'ESTRUTURA_MODULO(hide)'!$A$2:$D$230,2,FALSE)</f>
        <v>Funções Inativas</v>
      </c>
      <c r="G13" s="1" t="str">
        <f>VLOOKUP(E13,'ESTRUTURA_MODULO(hide)'!$A$2:$D$95,3,FALSE)</f>
        <v>Inactive functions</v>
      </c>
      <c r="H13" s="1" t="str">
        <f>VLOOKUP(E13,'ESTRUTURA_MODULO(hide)'!$A$2:$D$95,4,FALSE)</f>
        <v>Funciones Inactivas</v>
      </c>
      <c r="I13" s="20">
        <v>0</v>
      </c>
      <c r="J13" s="17" t="s">
        <v>2890</v>
      </c>
      <c r="K13" s="17" t="s">
        <v>2890</v>
      </c>
      <c r="L13" s="17" t="s">
        <v>2890</v>
      </c>
      <c r="M13" s="17" t="s">
        <v>2890</v>
      </c>
      <c r="N13" s="17" t="s">
        <v>2890</v>
      </c>
      <c r="O13" s="17" t="s">
        <v>2890</v>
      </c>
      <c r="P13" s="17" t="s">
        <v>2890</v>
      </c>
      <c r="T13" s="17" t="s">
        <v>2889</v>
      </c>
      <c r="U13" s="17" t="s">
        <v>2890</v>
      </c>
      <c r="V13" s="21"/>
      <c r="W13" s="17"/>
      <c r="X13" s="20">
        <v>0</v>
      </c>
    </row>
    <row r="14" spans="1:24">
      <c r="A14" s="1">
        <v>66</v>
      </c>
      <c r="B14" s="426" t="s">
        <v>431</v>
      </c>
      <c r="C14" s="1" t="s">
        <v>1537</v>
      </c>
      <c r="D14" s="1" t="s">
        <v>1538</v>
      </c>
      <c r="E14" s="1">
        <v>511</v>
      </c>
      <c r="F14" s="1" t="str">
        <f>VLOOKUP(E14,'ESTRUTURA_MODULO(hide)'!$A$2:$D$230,2,FALSE)</f>
        <v>Funções Inativas</v>
      </c>
      <c r="G14" s="1" t="str">
        <f>VLOOKUP(E14,'ESTRUTURA_MODULO(hide)'!$A$2:$D$95,3,FALSE)</f>
        <v>Inactive functions</v>
      </c>
      <c r="H14" s="1" t="str">
        <f>VLOOKUP(E14,'ESTRUTURA_MODULO(hide)'!$A$2:$D$95,4,FALSE)</f>
        <v>Funciones Inactivas</v>
      </c>
      <c r="I14" s="20">
        <v>0</v>
      </c>
      <c r="J14" s="17" t="s">
        <v>2890</v>
      </c>
      <c r="K14" s="17" t="s">
        <v>2890</v>
      </c>
      <c r="L14" s="17" t="s">
        <v>2890</v>
      </c>
      <c r="M14" s="17" t="s">
        <v>2890</v>
      </c>
      <c r="N14" s="17" t="s">
        <v>2890</v>
      </c>
      <c r="O14" s="17" t="s">
        <v>2890</v>
      </c>
      <c r="P14" s="17" t="s">
        <v>2890</v>
      </c>
      <c r="T14" s="17" t="s">
        <v>2889</v>
      </c>
      <c r="U14" s="17" t="s">
        <v>2890</v>
      </c>
      <c r="V14" s="21"/>
      <c r="W14" s="17"/>
      <c r="X14" s="20">
        <v>0</v>
      </c>
    </row>
    <row r="15" spans="1:24">
      <c r="A15" s="1">
        <v>62</v>
      </c>
      <c r="B15" s="426" t="s">
        <v>436</v>
      </c>
      <c r="C15" s="1" t="s">
        <v>1541</v>
      </c>
      <c r="D15" s="1" t="s">
        <v>1542</v>
      </c>
      <c r="E15" s="1">
        <v>511</v>
      </c>
      <c r="F15" s="1" t="str">
        <f>VLOOKUP(E15,'ESTRUTURA_MODULO(hide)'!$A$2:$D$230,2,FALSE)</f>
        <v>Funções Inativas</v>
      </c>
      <c r="G15" s="1" t="str">
        <f>VLOOKUP(E15,'ESTRUTURA_MODULO(hide)'!$A$2:$D$95,3,FALSE)</f>
        <v>Inactive functions</v>
      </c>
      <c r="H15" s="1" t="str">
        <f>VLOOKUP(E15,'ESTRUTURA_MODULO(hide)'!$A$2:$D$95,4,FALSE)</f>
        <v>Funciones Inactivas</v>
      </c>
      <c r="I15" s="20">
        <v>0</v>
      </c>
      <c r="J15" s="17" t="s">
        <v>2890</v>
      </c>
      <c r="K15" s="17" t="s">
        <v>2890</v>
      </c>
      <c r="L15" s="17" t="s">
        <v>2890</v>
      </c>
      <c r="M15" s="17" t="s">
        <v>2890</v>
      </c>
      <c r="N15" s="17" t="s">
        <v>2890</v>
      </c>
      <c r="O15" s="17" t="s">
        <v>2890</v>
      </c>
      <c r="P15" s="17" t="s">
        <v>2890</v>
      </c>
      <c r="T15" s="17" t="s">
        <v>2889</v>
      </c>
      <c r="U15" s="17" t="s">
        <v>2890</v>
      </c>
      <c r="V15" s="21"/>
      <c r="W15" s="17"/>
      <c r="X15" s="20">
        <v>0</v>
      </c>
    </row>
    <row r="16" spans="1:24">
      <c r="A16" s="1">
        <v>8011</v>
      </c>
      <c r="B16" s="426" t="s">
        <v>1548</v>
      </c>
      <c r="C16" s="1" t="s">
        <v>1550</v>
      </c>
      <c r="D16" s="1" t="s">
        <v>1552</v>
      </c>
      <c r="E16" s="1">
        <v>521</v>
      </c>
      <c r="F16" s="1" t="str">
        <f>VLOOKUP(E16,'ESTRUTURA_MODULO(hide)'!$A$2:$D$230,2,FALSE)</f>
        <v>Gestão Desenvolv e Tecnologia - Philips</v>
      </c>
      <c r="G16" s="1" t="str">
        <f>VLOOKUP(E16,'ESTRUTURA_MODULO(hide)'!$A$2:$D$95,3,FALSE)</f>
        <v>Development and Tecnology management - Philips</v>
      </c>
      <c r="H16" s="1" t="str">
        <f>VLOOKUP(E16,'ESTRUTURA_MODULO(hide)'!$A$2:$D$95,4,FALSE)</f>
        <v>Gesticón desarrollo y tecnología - Philips</v>
      </c>
      <c r="I16" s="20">
        <v>0</v>
      </c>
      <c r="J16" s="17" t="s">
        <v>2890</v>
      </c>
      <c r="K16" s="17" t="s">
        <v>2890</v>
      </c>
      <c r="L16" s="17" t="s">
        <v>2890</v>
      </c>
      <c r="M16" s="17" t="s">
        <v>2890</v>
      </c>
      <c r="N16" s="17" t="s">
        <v>2890</v>
      </c>
      <c r="O16" s="17" t="s">
        <v>2890</v>
      </c>
      <c r="P16" s="17" t="s">
        <v>2890</v>
      </c>
      <c r="T16" s="17" t="s">
        <v>2889</v>
      </c>
      <c r="U16" s="17" t="s">
        <v>2890</v>
      </c>
      <c r="V16" s="21"/>
      <c r="W16" s="17"/>
      <c r="X16" s="20">
        <v>0</v>
      </c>
    </row>
    <row r="17" spans="1:24">
      <c r="A17" s="1">
        <v>367</v>
      </c>
      <c r="B17" s="426" t="s">
        <v>1607</v>
      </c>
      <c r="C17" s="1" t="s">
        <v>1608</v>
      </c>
      <c r="D17" s="1" t="s">
        <v>1609</v>
      </c>
      <c r="E17" s="1">
        <v>283</v>
      </c>
      <c r="F17" s="1" t="str">
        <f>VLOOKUP(E17,'ESTRUTURA_MODULO(hide)'!$A$2:$D$230,2,FALSE)</f>
        <v>Tasy Web Suite</v>
      </c>
      <c r="G17" s="1" t="str">
        <f>VLOOKUP(E17,'ESTRUTURA_MODULO(hide)'!$A$2:$D$95,3,FALSE)</f>
        <v>Tasy Web Suite</v>
      </c>
      <c r="H17" s="1" t="str">
        <f>VLOOKUP(E17,'ESTRUTURA_MODULO(hide)'!$A$2:$D$95,4,FALSE)</f>
        <v>Tasy Web Suite</v>
      </c>
      <c r="I17" s="20">
        <v>0</v>
      </c>
      <c r="J17" s="17" t="s">
        <v>2890</v>
      </c>
      <c r="K17" s="17" t="s">
        <v>2890</v>
      </c>
      <c r="L17" s="17" t="s">
        <v>2890</v>
      </c>
      <c r="M17" s="17" t="s">
        <v>2890</v>
      </c>
      <c r="N17" s="17" t="s">
        <v>2890</v>
      </c>
      <c r="O17" s="17" t="s">
        <v>2890</v>
      </c>
      <c r="P17" s="17" t="s">
        <v>2890</v>
      </c>
      <c r="T17" s="17" t="s">
        <v>2889</v>
      </c>
      <c r="U17" s="17" t="s">
        <v>2890</v>
      </c>
      <c r="V17" s="21"/>
      <c r="W17" s="17"/>
      <c r="X17" s="20">
        <v>0</v>
      </c>
    </row>
    <row r="18" spans="1:24">
      <c r="A18" s="1">
        <v>-1040</v>
      </c>
      <c r="B18" s="426" t="s">
        <v>1610</v>
      </c>
      <c r="C18" s="1" t="s">
        <v>1611</v>
      </c>
      <c r="D18" s="1" t="s">
        <v>1612</v>
      </c>
      <c r="E18" s="1">
        <v>283</v>
      </c>
      <c r="F18" s="1" t="str">
        <f>VLOOKUP(E18,'ESTRUTURA_MODULO(hide)'!$A$2:$D$230,2,FALSE)</f>
        <v>Tasy Web Suite</v>
      </c>
      <c r="G18" s="1" t="str">
        <f>VLOOKUP(E18,'ESTRUTURA_MODULO(hide)'!$A$2:$D$95,3,FALSE)</f>
        <v>Tasy Web Suite</v>
      </c>
      <c r="H18" s="1" t="str">
        <f>VLOOKUP(E18,'ESTRUTURA_MODULO(hide)'!$A$2:$D$95,4,FALSE)</f>
        <v>Tasy Web Suite</v>
      </c>
      <c r="I18" s="20">
        <v>0</v>
      </c>
      <c r="J18" s="17" t="s">
        <v>2890</v>
      </c>
      <c r="K18" s="17" t="s">
        <v>2890</v>
      </c>
      <c r="L18" s="17" t="s">
        <v>2890</v>
      </c>
      <c r="M18" s="17" t="s">
        <v>2890</v>
      </c>
      <c r="N18" s="17" t="s">
        <v>2890</v>
      </c>
      <c r="O18" s="17" t="s">
        <v>2890</v>
      </c>
      <c r="P18" s="17" t="s">
        <v>2890</v>
      </c>
      <c r="T18" s="17" t="s">
        <v>2889</v>
      </c>
      <c r="U18" s="17" t="s">
        <v>2890</v>
      </c>
      <c r="V18" s="21"/>
      <c r="W18" s="17"/>
      <c r="X18" s="20">
        <v>0</v>
      </c>
    </row>
    <row r="19" spans="1:24">
      <c r="A19" s="1">
        <v>366</v>
      </c>
      <c r="B19" s="1" t="s">
        <v>1613</v>
      </c>
      <c r="C19" s="1" t="s">
        <v>1614</v>
      </c>
      <c r="D19" s="1" t="s">
        <v>1615</v>
      </c>
      <c r="E19" s="1">
        <v>283</v>
      </c>
      <c r="F19" s="1" t="str">
        <f>VLOOKUP(E19,'ESTRUTURA_MODULO(hide)'!$A$2:$D$230,2,FALSE)</f>
        <v>Tasy Web Suite</v>
      </c>
      <c r="G19" s="1" t="str">
        <f>VLOOKUP(E19,'ESTRUTURA_MODULO(hide)'!$A$2:$D$95,3,FALSE)</f>
        <v>Tasy Web Suite</v>
      </c>
      <c r="H19" s="1" t="str">
        <f>VLOOKUP(E19,'ESTRUTURA_MODULO(hide)'!$A$2:$D$95,4,FALSE)</f>
        <v>Tasy Web Suite</v>
      </c>
      <c r="I19" s="20">
        <v>0</v>
      </c>
      <c r="J19" s="17" t="s">
        <v>2890</v>
      </c>
      <c r="K19" s="17" t="s">
        <v>2890</v>
      </c>
      <c r="L19" s="17" t="s">
        <v>2890</v>
      </c>
      <c r="M19" s="17" t="s">
        <v>2890</v>
      </c>
      <c r="N19" s="17" t="s">
        <v>2890</v>
      </c>
      <c r="O19" s="17" t="s">
        <v>2890</v>
      </c>
      <c r="P19" s="17" t="s">
        <v>2890</v>
      </c>
      <c r="T19" s="17" t="s">
        <v>2889</v>
      </c>
      <c r="U19" s="17" t="s">
        <v>2890</v>
      </c>
      <c r="V19" s="21"/>
      <c r="W19" s="17"/>
      <c r="X19" s="20">
        <v>0</v>
      </c>
    </row>
    <row r="20" spans="1:24">
      <c r="A20" s="1">
        <v>-1050</v>
      </c>
      <c r="B20" s="426" t="s">
        <v>1616</v>
      </c>
      <c r="C20" s="1" t="s">
        <v>2859</v>
      </c>
      <c r="D20" s="1" t="s">
        <v>1617</v>
      </c>
      <c r="E20" s="1">
        <v>283</v>
      </c>
      <c r="F20" s="1" t="str">
        <f>VLOOKUP(E20,'ESTRUTURA_MODULO(hide)'!$A$2:$D$230,2,FALSE)</f>
        <v>Tasy Web Suite</v>
      </c>
      <c r="G20" s="1" t="str">
        <f>VLOOKUP(E20,'ESTRUTURA_MODULO(hide)'!$A$2:$D$95,3,FALSE)</f>
        <v>Tasy Web Suite</v>
      </c>
      <c r="H20" s="1" t="str">
        <f>VLOOKUP(E20,'ESTRUTURA_MODULO(hide)'!$A$2:$D$95,4,FALSE)</f>
        <v>Tasy Web Suite</v>
      </c>
      <c r="I20" s="20">
        <v>0</v>
      </c>
      <c r="J20" s="17" t="s">
        <v>2890</v>
      </c>
      <c r="K20" s="17" t="s">
        <v>2890</v>
      </c>
      <c r="L20" s="17" t="s">
        <v>2890</v>
      </c>
      <c r="M20" s="17" t="s">
        <v>2890</v>
      </c>
      <c r="N20" s="17" t="s">
        <v>2890</v>
      </c>
      <c r="O20" s="17" t="s">
        <v>2890</v>
      </c>
      <c r="P20" s="17" t="s">
        <v>2890</v>
      </c>
      <c r="T20" s="17" t="s">
        <v>2889</v>
      </c>
      <c r="U20" s="17" t="s">
        <v>2890</v>
      </c>
      <c r="V20" s="21"/>
      <c r="W20" s="17"/>
      <c r="X20" s="20">
        <v>0</v>
      </c>
    </row>
    <row r="21" spans="1:24">
      <c r="A21" s="1">
        <v>359</v>
      </c>
      <c r="B21" s="426" t="s">
        <v>1464</v>
      </c>
      <c r="C21" s="1" t="s">
        <v>1464</v>
      </c>
      <c r="D21" s="1" t="s">
        <v>1465</v>
      </c>
      <c r="E21" s="1">
        <v>283</v>
      </c>
      <c r="F21" s="1" t="str">
        <f>VLOOKUP(E21,'ESTRUTURA_MODULO(hide)'!$A$2:$D$230,2,FALSE)</f>
        <v>Tasy Web Suite</v>
      </c>
      <c r="G21" s="1" t="str">
        <f>VLOOKUP(E21,'ESTRUTURA_MODULO(hide)'!$A$2:$D$95,3,FALSE)</f>
        <v>Tasy Web Suite</v>
      </c>
      <c r="H21" s="1" t="str">
        <f>VLOOKUP(E21,'ESTRUTURA_MODULO(hide)'!$A$2:$D$95,4,FALSE)</f>
        <v>Tasy Web Suite</v>
      </c>
      <c r="I21" s="20">
        <v>0</v>
      </c>
      <c r="J21" s="17" t="s">
        <v>2890</v>
      </c>
      <c r="K21" s="17" t="s">
        <v>2890</v>
      </c>
      <c r="L21" s="17" t="s">
        <v>2890</v>
      </c>
      <c r="M21" s="17" t="s">
        <v>2890</v>
      </c>
      <c r="N21" s="17" t="s">
        <v>2890</v>
      </c>
      <c r="O21" s="17" t="s">
        <v>2890</v>
      </c>
      <c r="P21" s="17" t="s">
        <v>2890</v>
      </c>
      <c r="T21" s="17" t="s">
        <v>2889</v>
      </c>
      <c r="U21" s="17" t="s">
        <v>2890</v>
      </c>
      <c r="V21" s="21"/>
      <c r="W21" s="17"/>
      <c r="X21" s="20">
        <v>0</v>
      </c>
    </row>
    <row r="22" spans="1:24">
      <c r="A22" s="1">
        <v>357</v>
      </c>
      <c r="B22" s="1" t="s">
        <v>1618</v>
      </c>
      <c r="C22" s="1" t="s">
        <v>1619</v>
      </c>
      <c r="D22" s="1" t="s">
        <v>1620</v>
      </c>
      <c r="E22" s="1">
        <v>283</v>
      </c>
      <c r="F22" s="1" t="str">
        <f>VLOOKUP(E22,'ESTRUTURA_MODULO(hide)'!$A$2:$D$230,2,FALSE)</f>
        <v>Tasy Web Suite</v>
      </c>
      <c r="G22" s="1" t="str">
        <f>VLOOKUP(E22,'ESTRUTURA_MODULO(hide)'!$A$2:$D$95,3,FALSE)</f>
        <v>Tasy Web Suite</v>
      </c>
      <c r="H22" s="1" t="str">
        <f>VLOOKUP(E22,'ESTRUTURA_MODULO(hide)'!$A$2:$D$95,4,FALSE)</f>
        <v>Tasy Web Suite</v>
      </c>
      <c r="I22" s="20">
        <v>0</v>
      </c>
      <c r="J22" s="17" t="s">
        <v>2890</v>
      </c>
      <c r="K22" s="17" t="s">
        <v>2890</v>
      </c>
      <c r="L22" s="17" t="s">
        <v>2890</v>
      </c>
      <c r="M22" s="17" t="s">
        <v>2890</v>
      </c>
      <c r="N22" s="17" t="s">
        <v>2890</v>
      </c>
      <c r="O22" s="17" t="s">
        <v>2890</v>
      </c>
      <c r="P22" s="17" t="s">
        <v>2890</v>
      </c>
      <c r="T22" s="17" t="s">
        <v>2889</v>
      </c>
      <c r="U22" s="17" t="s">
        <v>2890</v>
      </c>
      <c r="V22" s="21"/>
      <c r="W22" s="17"/>
      <c r="X22" s="20">
        <v>0</v>
      </c>
    </row>
    <row r="23" spans="1:24">
      <c r="A23" s="1">
        <v>352</v>
      </c>
      <c r="B23" s="426" t="s">
        <v>1435</v>
      </c>
      <c r="C23" s="1" t="s">
        <v>1621</v>
      </c>
      <c r="D23" s="1" t="s">
        <v>2860</v>
      </c>
      <c r="E23" s="1">
        <v>283</v>
      </c>
      <c r="F23" s="1" t="str">
        <f>VLOOKUP(E23,'ESTRUTURA_MODULO(hide)'!$A$2:$D$230,2,FALSE)</f>
        <v>Tasy Web Suite</v>
      </c>
      <c r="G23" s="1" t="str">
        <f>VLOOKUP(E23,'ESTRUTURA_MODULO(hide)'!$A$2:$D$95,3,FALSE)</f>
        <v>Tasy Web Suite</v>
      </c>
      <c r="H23" s="1" t="str">
        <f>VLOOKUP(E23,'ESTRUTURA_MODULO(hide)'!$A$2:$D$95,4,FALSE)</f>
        <v>Tasy Web Suite</v>
      </c>
      <c r="I23" s="20">
        <v>0</v>
      </c>
      <c r="J23" s="17" t="s">
        <v>2890</v>
      </c>
      <c r="K23" s="17" t="s">
        <v>2890</v>
      </c>
      <c r="L23" s="17" t="s">
        <v>2890</v>
      </c>
      <c r="M23" s="17" t="s">
        <v>2890</v>
      </c>
      <c r="N23" s="17" t="s">
        <v>2890</v>
      </c>
      <c r="O23" s="17" t="s">
        <v>2890</v>
      </c>
      <c r="P23" s="17" t="s">
        <v>2890</v>
      </c>
      <c r="T23" s="17" t="s">
        <v>2889</v>
      </c>
      <c r="U23" s="17" t="s">
        <v>2890</v>
      </c>
      <c r="V23" s="21"/>
      <c r="W23" s="17"/>
      <c r="X23" s="20">
        <v>0</v>
      </c>
    </row>
    <row r="24" spans="1:24">
      <c r="A24" s="1">
        <v>351</v>
      </c>
      <c r="B24" s="426" t="s">
        <v>1433</v>
      </c>
      <c r="C24" s="1" t="s">
        <v>1434</v>
      </c>
      <c r="D24" s="1" t="s">
        <v>2861</v>
      </c>
      <c r="E24" s="1">
        <v>283</v>
      </c>
      <c r="F24" s="1" t="str">
        <f>VLOOKUP(E24,'ESTRUTURA_MODULO(hide)'!$A$2:$D$230,2,FALSE)</f>
        <v>Tasy Web Suite</v>
      </c>
      <c r="G24" s="1" t="str">
        <f>VLOOKUP(E24,'ESTRUTURA_MODULO(hide)'!$A$2:$D$95,3,FALSE)</f>
        <v>Tasy Web Suite</v>
      </c>
      <c r="H24" s="1" t="str">
        <f>VLOOKUP(E24,'ESTRUTURA_MODULO(hide)'!$A$2:$D$95,4,FALSE)</f>
        <v>Tasy Web Suite</v>
      </c>
      <c r="I24" s="20">
        <v>0</v>
      </c>
      <c r="J24" s="17" t="s">
        <v>2890</v>
      </c>
      <c r="K24" s="17" t="s">
        <v>2890</v>
      </c>
      <c r="L24" s="17" t="s">
        <v>2890</v>
      </c>
      <c r="M24" s="17" t="s">
        <v>2890</v>
      </c>
      <c r="N24" s="17" t="s">
        <v>2890</v>
      </c>
      <c r="O24" s="17" t="s">
        <v>2890</v>
      </c>
      <c r="P24" s="17" t="s">
        <v>2890</v>
      </c>
      <c r="T24" s="17" t="s">
        <v>2889</v>
      </c>
      <c r="U24" s="17" t="s">
        <v>2890</v>
      </c>
      <c r="V24" s="21"/>
      <c r="W24" s="17"/>
      <c r="X24" s="20">
        <v>0</v>
      </c>
    </row>
    <row r="25" spans="1:24">
      <c r="A25" s="1">
        <v>99071</v>
      </c>
      <c r="B25" s="426" t="s">
        <v>1429</v>
      </c>
      <c r="C25" s="1" t="s">
        <v>1430</v>
      </c>
      <c r="D25" s="1" t="s">
        <v>1431</v>
      </c>
      <c r="E25" s="1">
        <v>283</v>
      </c>
      <c r="F25" s="1" t="str">
        <f>VLOOKUP(E25,'ESTRUTURA_MODULO(hide)'!$A$2:$D$230,2,FALSE)</f>
        <v>Tasy Web Suite</v>
      </c>
      <c r="G25" s="1" t="str">
        <f>VLOOKUP(E25,'ESTRUTURA_MODULO(hide)'!$A$2:$D$95,3,FALSE)</f>
        <v>Tasy Web Suite</v>
      </c>
      <c r="H25" s="1" t="str">
        <f>VLOOKUP(E25,'ESTRUTURA_MODULO(hide)'!$A$2:$D$95,4,FALSE)</f>
        <v>Tasy Web Suite</v>
      </c>
      <c r="I25" s="20">
        <v>0</v>
      </c>
      <c r="J25" s="17" t="s">
        <v>2890</v>
      </c>
      <c r="K25" s="17" t="s">
        <v>2890</v>
      </c>
      <c r="L25" s="17" t="s">
        <v>2890</v>
      </c>
      <c r="M25" s="17" t="s">
        <v>2890</v>
      </c>
      <c r="N25" s="17" t="s">
        <v>2890</v>
      </c>
      <c r="O25" s="17" t="s">
        <v>2890</v>
      </c>
      <c r="P25" s="17" t="s">
        <v>2890</v>
      </c>
      <c r="T25" s="17" t="s">
        <v>2889</v>
      </c>
      <c r="U25" s="17" t="s">
        <v>2890</v>
      </c>
      <c r="V25" s="21"/>
      <c r="W25" s="17"/>
      <c r="X25" s="20">
        <v>0</v>
      </c>
    </row>
    <row r="26" spans="1:24">
      <c r="A26" s="1">
        <v>340</v>
      </c>
      <c r="B26" s="426" t="s">
        <v>1452</v>
      </c>
      <c r="C26" s="1" t="s">
        <v>1453</v>
      </c>
      <c r="D26" s="1" t="s">
        <v>1454</v>
      </c>
      <c r="E26" s="1">
        <v>283</v>
      </c>
      <c r="F26" s="1" t="str">
        <f>VLOOKUP(E26,'ESTRUTURA_MODULO(hide)'!$A$2:$D$230,2,FALSE)</f>
        <v>Tasy Web Suite</v>
      </c>
      <c r="G26" s="1" t="str">
        <f>VLOOKUP(E26,'ESTRUTURA_MODULO(hide)'!$A$2:$D$95,3,FALSE)</f>
        <v>Tasy Web Suite</v>
      </c>
      <c r="H26" s="1" t="str">
        <f>VLOOKUP(E26,'ESTRUTURA_MODULO(hide)'!$A$2:$D$95,4,FALSE)</f>
        <v>Tasy Web Suite</v>
      </c>
      <c r="I26" s="20">
        <v>0</v>
      </c>
      <c r="J26" s="17" t="s">
        <v>2890</v>
      </c>
      <c r="K26" s="17" t="s">
        <v>2890</v>
      </c>
      <c r="L26" s="17" t="s">
        <v>2890</v>
      </c>
      <c r="M26" s="17" t="s">
        <v>2890</v>
      </c>
      <c r="N26" s="17" t="s">
        <v>2890</v>
      </c>
      <c r="O26" s="17" t="s">
        <v>2890</v>
      </c>
      <c r="P26" s="17" t="s">
        <v>2890</v>
      </c>
      <c r="T26" s="17" t="s">
        <v>2889</v>
      </c>
      <c r="U26" s="17" t="s">
        <v>2890</v>
      </c>
      <c r="V26" s="21"/>
      <c r="W26" s="17"/>
      <c r="X26" s="20">
        <v>0</v>
      </c>
    </row>
    <row r="27" spans="1:24">
      <c r="A27" s="1">
        <v>9960</v>
      </c>
      <c r="B27" s="1" t="s">
        <v>1449</v>
      </c>
      <c r="C27" s="1" t="s">
        <v>1450</v>
      </c>
      <c r="D27" s="1" t="s">
        <v>1451</v>
      </c>
      <c r="E27" s="1">
        <v>283</v>
      </c>
      <c r="F27" s="1" t="str">
        <f>VLOOKUP(E27,'ESTRUTURA_MODULO(hide)'!$A$2:$D$230,2,FALSE)</f>
        <v>Tasy Web Suite</v>
      </c>
      <c r="G27" s="1" t="str">
        <f>VLOOKUP(E27,'ESTRUTURA_MODULO(hide)'!$A$2:$D$95,3,FALSE)</f>
        <v>Tasy Web Suite</v>
      </c>
      <c r="H27" s="1" t="str">
        <f>VLOOKUP(E27,'ESTRUTURA_MODULO(hide)'!$A$2:$D$95,4,FALSE)</f>
        <v>Tasy Web Suite</v>
      </c>
      <c r="I27" s="20">
        <v>0</v>
      </c>
      <c r="J27" s="17" t="s">
        <v>2890</v>
      </c>
      <c r="K27" s="17" t="s">
        <v>2890</v>
      </c>
      <c r="L27" s="17" t="s">
        <v>2890</v>
      </c>
      <c r="M27" s="17" t="s">
        <v>2890</v>
      </c>
      <c r="N27" s="17" t="s">
        <v>2890</v>
      </c>
      <c r="O27" s="17" t="s">
        <v>2890</v>
      </c>
      <c r="P27" s="17" t="s">
        <v>2890</v>
      </c>
      <c r="T27" s="17" t="s">
        <v>2889</v>
      </c>
      <c r="U27" s="17" t="s">
        <v>2890</v>
      </c>
      <c r="V27" s="21"/>
      <c r="W27" s="17"/>
      <c r="X27" s="20">
        <v>0</v>
      </c>
    </row>
    <row r="28" spans="1:24">
      <c r="A28" s="1">
        <v>338</v>
      </c>
      <c r="B28" s="35" t="s">
        <v>1446</v>
      </c>
      <c r="C28" s="1" t="s">
        <v>1447</v>
      </c>
      <c r="D28" s="1" t="s">
        <v>1448</v>
      </c>
      <c r="E28" s="35">
        <v>88</v>
      </c>
      <c r="F28" s="1" t="str">
        <f>VLOOKUP(E28,'ESTRUTURA_MODULO(hide)'!$A$2:$D$230,2,FALSE)</f>
        <v>Prontuário Eletrônico</v>
      </c>
      <c r="G28" s="1" t="str">
        <f>VLOOKUP(E28,'ESTRUTURA_MODULO(hide)'!$A$2:$D$95,3,FALSE)</f>
        <v>Electronic Medical Record</v>
      </c>
      <c r="H28" s="1" t="str">
        <f>VLOOKUP(E28,'ESTRUTURA_MODULO(hide)'!$A$2:$D$95,4,FALSE)</f>
        <v>Expediente electrónico</v>
      </c>
      <c r="I28" s="37">
        <v>80</v>
      </c>
      <c r="J28" s="17" t="s">
        <v>2890</v>
      </c>
      <c r="K28" s="17" t="s">
        <v>2889</v>
      </c>
      <c r="L28" s="17" t="s">
        <v>2889</v>
      </c>
      <c r="M28" s="17" t="s">
        <v>2890</v>
      </c>
      <c r="N28" s="38" t="s">
        <v>2889</v>
      </c>
      <c r="O28" s="17" t="s">
        <v>2890</v>
      </c>
      <c r="P28" s="17" t="s">
        <v>2889</v>
      </c>
      <c r="T28" s="17" t="s">
        <v>2890</v>
      </c>
      <c r="U28" s="17" t="s">
        <v>2890</v>
      </c>
      <c r="V28" s="36" t="s">
        <v>16</v>
      </c>
      <c r="W28" s="17"/>
      <c r="X28" s="20">
        <v>100</v>
      </c>
    </row>
    <row r="29" spans="1:24">
      <c r="A29" s="1">
        <v>99070</v>
      </c>
      <c r="B29" s="426" t="s">
        <v>1443</v>
      </c>
      <c r="C29" s="1" t="s">
        <v>1444</v>
      </c>
      <c r="D29" s="1" t="s">
        <v>1445</v>
      </c>
      <c r="E29" s="1">
        <v>283</v>
      </c>
      <c r="F29" s="1" t="str">
        <f>VLOOKUP(E29,'ESTRUTURA_MODULO(hide)'!$A$2:$D$230,2,FALSE)</f>
        <v>Tasy Web Suite</v>
      </c>
      <c r="G29" s="1" t="str">
        <f>VLOOKUP(E29,'ESTRUTURA_MODULO(hide)'!$A$2:$D$95,3,FALSE)</f>
        <v>Tasy Web Suite</v>
      </c>
      <c r="H29" s="1" t="str">
        <f>VLOOKUP(E29,'ESTRUTURA_MODULO(hide)'!$A$2:$D$95,4,FALSE)</f>
        <v>Tasy Web Suite</v>
      </c>
      <c r="I29" s="20">
        <v>0</v>
      </c>
      <c r="J29" s="17" t="s">
        <v>2890</v>
      </c>
      <c r="K29" s="17" t="s">
        <v>2890</v>
      </c>
      <c r="L29" s="17" t="s">
        <v>2890</v>
      </c>
      <c r="M29" s="17" t="s">
        <v>2890</v>
      </c>
      <c r="N29" s="17" t="s">
        <v>2890</v>
      </c>
      <c r="O29" s="17" t="s">
        <v>2890</v>
      </c>
      <c r="P29" s="17" t="s">
        <v>2890</v>
      </c>
      <c r="T29" s="17" t="s">
        <v>2889</v>
      </c>
      <c r="U29" s="17" t="s">
        <v>2890</v>
      </c>
      <c r="V29" s="21"/>
      <c r="W29" s="17"/>
      <c r="X29" s="20">
        <v>0</v>
      </c>
    </row>
    <row r="30" spans="1:24">
      <c r="A30" s="1">
        <v>329</v>
      </c>
      <c r="B30" s="35" t="s">
        <v>1440</v>
      </c>
      <c r="C30" s="1" t="s">
        <v>1441</v>
      </c>
      <c r="D30" s="1" t="s">
        <v>1442</v>
      </c>
      <c r="E30" s="35">
        <v>36</v>
      </c>
      <c r="F30" s="1" t="str">
        <f>VLOOKUP(E30,'ESTRUTURA_MODULO(hide)'!$A$2:$D$230,2,FALSE)</f>
        <v>Gerenciador do Sistema</v>
      </c>
      <c r="G30" s="1" t="str">
        <f>VLOOKUP(E30,'ESTRUTURA_MODULO(hide)'!$A$2:$D$95,3,FALSE)</f>
        <v>System Manager</v>
      </c>
      <c r="H30" s="1" t="str">
        <f>VLOOKUP(E30,'ESTRUTURA_MODULO(hide)'!$A$2:$D$95,4,FALSE)</f>
        <v>Gestión del sistema</v>
      </c>
      <c r="I30" s="37">
        <v>8</v>
      </c>
      <c r="J30" s="17" t="s">
        <v>2890</v>
      </c>
      <c r="K30" s="17" t="s">
        <v>2889</v>
      </c>
      <c r="L30" s="17" t="s">
        <v>2889</v>
      </c>
      <c r="M30" s="17" t="s">
        <v>2890</v>
      </c>
      <c r="N30" s="38" t="s">
        <v>2889</v>
      </c>
      <c r="O30" s="17" t="s">
        <v>2890</v>
      </c>
      <c r="P30" s="17" t="s">
        <v>2889</v>
      </c>
      <c r="T30" s="17" t="s">
        <v>2889</v>
      </c>
      <c r="U30" s="17" t="s">
        <v>2890</v>
      </c>
      <c r="V30" s="36" t="s">
        <v>250</v>
      </c>
      <c r="W30" s="17"/>
      <c r="X30" s="20">
        <v>24</v>
      </c>
    </row>
    <row r="31" spans="1:24">
      <c r="A31" s="1">
        <v>341</v>
      </c>
      <c r="B31" s="35" t="s">
        <v>1427</v>
      </c>
      <c r="C31" s="1" t="s">
        <v>1622</v>
      </c>
      <c r="D31" s="1" t="s">
        <v>1428</v>
      </c>
      <c r="E31" s="35">
        <v>998</v>
      </c>
      <c r="F31" s="1" t="str">
        <f>VLOOKUP(E31,'ESTRUTURA_MODULO(hide)'!$A$2:$D$230,2,FALSE)</f>
        <v>Atenção Primária</v>
      </c>
      <c r="G31" s="1" t="str">
        <f>VLOOKUP(E31,'ESTRUTURA_MODULO(hide)'!$A$2:$D$95,3,FALSE)</f>
        <v>Primary Care</v>
      </c>
      <c r="H31" s="1" t="str">
        <f>VLOOKUP(E31,'ESTRUTURA_MODULO(hide)'!$A$2:$D$95,4,FALSE)</f>
        <v>Atención Primaria</v>
      </c>
      <c r="I31" s="37">
        <v>40</v>
      </c>
      <c r="J31" s="17" t="s">
        <v>2890</v>
      </c>
      <c r="K31" s="17" t="s">
        <v>2889</v>
      </c>
      <c r="L31" s="17" t="s">
        <v>2889</v>
      </c>
      <c r="M31" s="17" t="s">
        <v>2890</v>
      </c>
      <c r="N31" s="38" t="s">
        <v>2889</v>
      </c>
      <c r="O31" s="17" t="s">
        <v>2889</v>
      </c>
      <c r="P31" s="17" t="s">
        <v>2889</v>
      </c>
      <c r="T31" s="17" t="s">
        <v>2889</v>
      </c>
      <c r="U31" s="17" t="s">
        <v>2890</v>
      </c>
      <c r="V31" s="36" t="s">
        <v>2030</v>
      </c>
      <c r="W31" s="17"/>
      <c r="X31" s="20">
        <v>40</v>
      </c>
    </row>
    <row r="32" spans="1:24">
      <c r="A32" s="1">
        <v>350</v>
      </c>
      <c r="B32" s="426" t="s">
        <v>1437</v>
      </c>
      <c r="C32" s="1" t="s">
        <v>1438</v>
      </c>
      <c r="D32" s="1" t="s">
        <v>1439</v>
      </c>
      <c r="E32" s="1">
        <v>283</v>
      </c>
      <c r="F32" s="1" t="str">
        <f>VLOOKUP(E32,'ESTRUTURA_MODULO(hide)'!$A$2:$D$230,2,FALSE)</f>
        <v>Tasy Web Suite</v>
      </c>
      <c r="G32" s="1" t="str">
        <f>VLOOKUP(E32,'ESTRUTURA_MODULO(hide)'!$A$2:$D$95,3,FALSE)</f>
        <v>Tasy Web Suite</v>
      </c>
      <c r="H32" s="1" t="str">
        <f>VLOOKUP(E32,'ESTRUTURA_MODULO(hide)'!$A$2:$D$95,4,FALSE)</f>
        <v>Tasy Web Suite</v>
      </c>
      <c r="I32" s="20">
        <v>0</v>
      </c>
      <c r="J32" s="17" t="s">
        <v>2890</v>
      </c>
      <c r="K32" s="17" t="s">
        <v>2890</v>
      </c>
      <c r="L32" s="17" t="s">
        <v>2890</v>
      </c>
      <c r="M32" s="17" t="s">
        <v>2890</v>
      </c>
      <c r="N32" s="17" t="s">
        <v>2890</v>
      </c>
      <c r="O32" s="17" t="s">
        <v>2890</v>
      </c>
      <c r="P32" s="17" t="s">
        <v>2890</v>
      </c>
      <c r="T32" s="17" t="s">
        <v>2889</v>
      </c>
      <c r="U32" s="17" t="s">
        <v>2890</v>
      </c>
      <c r="V32" s="21"/>
      <c r="W32" s="17"/>
      <c r="X32" s="20">
        <v>0</v>
      </c>
    </row>
    <row r="33" spans="1:24">
      <c r="A33" s="1">
        <v>20003</v>
      </c>
      <c r="B33" s="426" t="s">
        <v>1423</v>
      </c>
      <c r="C33" s="1" t="s">
        <v>1423</v>
      </c>
      <c r="D33" s="1" t="s">
        <v>1423</v>
      </c>
      <c r="E33" s="1">
        <v>283</v>
      </c>
      <c r="F33" s="1" t="str">
        <f>VLOOKUP(E33,'ESTRUTURA_MODULO(hide)'!$A$2:$D$230,2,FALSE)</f>
        <v>Tasy Web Suite</v>
      </c>
      <c r="G33" s="1" t="str">
        <f>VLOOKUP(E33,'ESTRUTURA_MODULO(hide)'!$A$2:$D$95,3,FALSE)</f>
        <v>Tasy Web Suite</v>
      </c>
      <c r="H33" s="1" t="str">
        <f>VLOOKUP(E33,'ESTRUTURA_MODULO(hide)'!$A$2:$D$95,4,FALSE)</f>
        <v>Tasy Web Suite</v>
      </c>
      <c r="I33" s="20">
        <v>0</v>
      </c>
      <c r="J33" s="17" t="s">
        <v>2890</v>
      </c>
      <c r="K33" s="17" t="s">
        <v>2890</v>
      </c>
      <c r="L33" s="17" t="s">
        <v>2890</v>
      </c>
      <c r="M33" s="17" t="s">
        <v>2890</v>
      </c>
      <c r="N33" s="17" t="s">
        <v>2890</v>
      </c>
      <c r="O33" s="17" t="s">
        <v>2890</v>
      </c>
      <c r="P33" s="17" t="s">
        <v>2890</v>
      </c>
      <c r="T33" s="17" t="s">
        <v>2889</v>
      </c>
      <c r="U33" s="17" t="s">
        <v>2890</v>
      </c>
      <c r="V33" s="21"/>
      <c r="W33" s="17"/>
      <c r="X33" s="20">
        <v>0</v>
      </c>
    </row>
    <row r="34" spans="1:24">
      <c r="A34" s="1">
        <v>8726</v>
      </c>
      <c r="B34" s="426" t="s">
        <v>1623</v>
      </c>
      <c r="C34" s="1" t="s">
        <v>1623</v>
      </c>
      <c r="D34" s="1" t="s">
        <v>1623</v>
      </c>
      <c r="E34" s="1">
        <v>283</v>
      </c>
      <c r="F34" s="1" t="str">
        <f>VLOOKUP(E34,'ESTRUTURA_MODULO(hide)'!$A$2:$D$230,2,FALSE)</f>
        <v>Tasy Web Suite</v>
      </c>
      <c r="G34" s="1" t="str">
        <f>VLOOKUP(E34,'ESTRUTURA_MODULO(hide)'!$A$2:$D$95,3,FALSE)</f>
        <v>Tasy Web Suite</v>
      </c>
      <c r="H34" s="1" t="str">
        <f>VLOOKUP(E34,'ESTRUTURA_MODULO(hide)'!$A$2:$D$95,4,FALSE)</f>
        <v>Tasy Web Suite</v>
      </c>
      <c r="I34" s="20">
        <v>0</v>
      </c>
      <c r="J34" s="17" t="s">
        <v>2890</v>
      </c>
      <c r="K34" s="17" t="s">
        <v>2890</v>
      </c>
      <c r="L34" s="17" t="s">
        <v>2890</v>
      </c>
      <c r="M34" s="17" t="s">
        <v>2890</v>
      </c>
      <c r="N34" s="17" t="s">
        <v>2890</v>
      </c>
      <c r="O34" s="17" t="s">
        <v>2890</v>
      </c>
      <c r="P34" s="17" t="s">
        <v>2890</v>
      </c>
      <c r="T34" s="17" t="s">
        <v>2889</v>
      </c>
      <c r="U34" s="17" t="s">
        <v>2890</v>
      </c>
      <c r="V34" s="21"/>
      <c r="W34" s="17"/>
      <c r="X34" s="20">
        <v>0</v>
      </c>
    </row>
    <row r="35" spans="1:24">
      <c r="A35" s="1">
        <v>284</v>
      </c>
      <c r="B35" s="35" t="s">
        <v>1461</v>
      </c>
      <c r="C35" s="1" t="s">
        <v>1462</v>
      </c>
      <c r="D35" s="1" t="s">
        <v>1463</v>
      </c>
      <c r="E35" s="35">
        <v>36</v>
      </c>
      <c r="F35" s="1" t="str">
        <f>VLOOKUP(E35,'ESTRUTURA_MODULO(hide)'!$A$2:$D$230,2,FALSE)</f>
        <v>Gerenciador do Sistema</v>
      </c>
      <c r="G35" s="1" t="str">
        <f>VLOOKUP(E35,'ESTRUTURA_MODULO(hide)'!$A$2:$D$95,3,FALSE)</f>
        <v>System Manager</v>
      </c>
      <c r="H35" s="1" t="str">
        <f>VLOOKUP(E35,'ESTRUTURA_MODULO(hide)'!$A$2:$D$95,4,FALSE)</f>
        <v>Gestión del sistema</v>
      </c>
      <c r="I35" s="37">
        <v>8</v>
      </c>
      <c r="J35" s="17" t="s">
        <v>2890</v>
      </c>
      <c r="K35" s="17" t="s">
        <v>2889</v>
      </c>
      <c r="L35" s="17" t="s">
        <v>2889</v>
      </c>
      <c r="M35" s="17" t="s">
        <v>2890</v>
      </c>
      <c r="N35" s="38" t="s">
        <v>2889</v>
      </c>
      <c r="O35" s="17" t="s">
        <v>2890</v>
      </c>
      <c r="P35" s="17" t="s">
        <v>2890</v>
      </c>
      <c r="T35" s="17" t="s">
        <v>2889</v>
      </c>
      <c r="U35" s="17" t="s">
        <v>2890</v>
      </c>
      <c r="V35" s="36" t="s">
        <v>250</v>
      </c>
      <c r="W35" s="17"/>
      <c r="X35" s="20">
        <v>8</v>
      </c>
    </row>
    <row r="36" spans="1:24">
      <c r="A36" s="1">
        <v>283</v>
      </c>
      <c r="B36" s="426" t="s">
        <v>1432</v>
      </c>
      <c r="C36" s="1" t="s">
        <v>1624</v>
      </c>
      <c r="D36" s="1" t="s">
        <v>1432</v>
      </c>
      <c r="E36" s="1">
        <v>944</v>
      </c>
      <c r="F36" s="1" t="str">
        <f>VLOOKUP(E36,'ESTRUTURA_MODULO(hide)'!$A$2:$D$230,2,FALSE)</f>
        <v>Aplicação Tasy iOS</v>
      </c>
      <c r="G36" s="1" t="str">
        <f>VLOOKUP(E36,'ESTRUTURA_MODULO(hide)'!$A$2:$D$95,3,FALSE)</f>
        <v>Tasy iOS Aplication</v>
      </c>
      <c r="H36" s="1" t="str">
        <f>VLOOKUP(E36,'ESTRUTURA_MODULO(hide)'!$A$2:$D$95,4,FALSE)</f>
        <v>Aplicación iOS Tasy</v>
      </c>
      <c r="I36" s="20">
        <v>0</v>
      </c>
      <c r="J36" s="17" t="s">
        <v>2890</v>
      </c>
      <c r="K36" s="17" t="s">
        <v>2890</v>
      </c>
      <c r="L36" s="17" t="s">
        <v>2890</v>
      </c>
      <c r="M36" s="17" t="s">
        <v>2890</v>
      </c>
      <c r="N36" s="17" t="s">
        <v>2890</v>
      </c>
      <c r="O36" s="17" t="s">
        <v>2890</v>
      </c>
      <c r="P36" s="17" t="s">
        <v>2890</v>
      </c>
      <c r="T36" s="17" t="s">
        <v>2889</v>
      </c>
      <c r="U36" s="17" t="s">
        <v>2890</v>
      </c>
      <c r="V36" s="21" t="s">
        <v>2034</v>
      </c>
      <c r="W36" s="17"/>
      <c r="X36" s="20">
        <v>0</v>
      </c>
    </row>
    <row r="37" spans="1:24">
      <c r="A37" s="1">
        <v>276</v>
      </c>
      <c r="B37" s="426" t="s">
        <v>1459</v>
      </c>
      <c r="C37" s="1" t="s">
        <v>2862</v>
      </c>
      <c r="D37" s="1" t="s">
        <v>1460</v>
      </c>
      <c r="E37" s="1">
        <v>944</v>
      </c>
      <c r="F37" s="1" t="str">
        <f>VLOOKUP(E37,'ESTRUTURA_MODULO(hide)'!$A$2:$D$230,2,FALSE)</f>
        <v>Aplicação Tasy iOS</v>
      </c>
      <c r="G37" s="1" t="str">
        <f>VLOOKUP(E37,'ESTRUTURA_MODULO(hide)'!$A$2:$D$95,3,FALSE)</f>
        <v>Tasy iOS Aplication</v>
      </c>
      <c r="H37" s="1" t="str">
        <f>VLOOKUP(E37,'ESTRUTURA_MODULO(hide)'!$A$2:$D$95,4,FALSE)</f>
        <v>Aplicación iOS Tasy</v>
      </c>
      <c r="I37" s="20">
        <v>0</v>
      </c>
      <c r="J37" s="17" t="s">
        <v>2890</v>
      </c>
      <c r="K37" s="17" t="s">
        <v>2890</v>
      </c>
      <c r="L37" s="17" t="s">
        <v>2890</v>
      </c>
      <c r="M37" s="17" t="s">
        <v>2890</v>
      </c>
      <c r="N37" s="17" t="s">
        <v>2890</v>
      </c>
      <c r="O37" s="17" t="s">
        <v>2890</v>
      </c>
      <c r="P37" s="17" t="s">
        <v>2890</v>
      </c>
      <c r="T37" s="17" t="s">
        <v>2889</v>
      </c>
      <c r="U37" s="17" t="s">
        <v>2890</v>
      </c>
      <c r="V37" s="21" t="s">
        <v>2034</v>
      </c>
      <c r="W37" s="17"/>
      <c r="X37" s="20">
        <v>0</v>
      </c>
    </row>
    <row r="38" spans="1:24">
      <c r="A38" s="1">
        <v>274</v>
      </c>
      <c r="B38" s="426" t="s">
        <v>1457</v>
      </c>
      <c r="C38" s="1" t="s">
        <v>2863</v>
      </c>
      <c r="D38" s="1" t="s">
        <v>1458</v>
      </c>
      <c r="E38" s="1">
        <v>944</v>
      </c>
      <c r="F38" s="1" t="str">
        <f>VLOOKUP(E38,'ESTRUTURA_MODULO(hide)'!$A$2:$D$230,2,FALSE)</f>
        <v>Aplicação Tasy iOS</v>
      </c>
      <c r="G38" s="1" t="str">
        <f>VLOOKUP(E38,'ESTRUTURA_MODULO(hide)'!$A$2:$D$95,3,FALSE)</f>
        <v>Tasy iOS Aplication</v>
      </c>
      <c r="H38" s="1" t="str">
        <f>VLOOKUP(E38,'ESTRUTURA_MODULO(hide)'!$A$2:$D$95,4,FALSE)</f>
        <v>Aplicación iOS Tasy</v>
      </c>
      <c r="I38" s="20">
        <v>0</v>
      </c>
      <c r="J38" s="17" t="s">
        <v>2890</v>
      </c>
      <c r="K38" s="17" t="s">
        <v>2890</v>
      </c>
      <c r="L38" s="17" t="s">
        <v>2890</v>
      </c>
      <c r="M38" s="17" t="s">
        <v>2890</v>
      </c>
      <c r="N38" s="17" t="s">
        <v>2890</v>
      </c>
      <c r="O38" s="17" t="s">
        <v>2890</v>
      </c>
      <c r="P38" s="17" t="s">
        <v>2890</v>
      </c>
      <c r="T38" s="17" t="s">
        <v>2889</v>
      </c>
      <c r="U38" s="17" t="s">
        <v>2890</v>
      </c>
      <c r="V38" s="21" t="s">
        <v>2034</v>
      </c>
      <c r="W38" s="17"/>
      <c r="X38" s="20">
        <v>0</v>
      </c>
    </row>
    <row r="39" spans="1:24">
      <c r="A39" s="1">
        <v>272</v>
      </c>
      <c r="B39" s="426" t="s">
        <v>1455</v>
      </c>
      <c r="C39" s="1" t="s">
        <v>2864</v>
      </c>
      <c r="D39" s="1" t="s">
        <v>1456</v>
      </c>
      <c r="E39" s="1">
        <v>944</v>
      </c>
      <c r="F39" s="1" t="str">
        <f>VLOOKUP(E39,'ESTRUTURA_MODULO(hide)'!$A$2:$D$230,2,FALSE)</f>
        <v>Aplicação Tasy iOS</v>
      </c>
      <c r="G39" s="1" t="str">
        <f>VLOOKUP(E39,'ESTRUTURA_MODULO(hide)'!$A$2:$D$95,3,FALSE)</f>
        <v>Tasy iOS Aplication</v>
      </c>
      <c r="H39" s="1" t="str">
        <f>VLOOKUP(E39,'ESTRUTURA_MODULO(hide)'!$A$2:$D$95,4,FALSE)</f>
        <v>Aplicación iOS Tasy</v>
      </c>
      <c r="I39" s="20">
        <v>0</v>
      </c>
      <c r="J39" s="17" t="s">
        <v>2890</v>
      </c>
      <c r="K39" s="17" t="s">
        <v>2890</v>
      </c>
      <c r="L39" s="17" t="s">
        <v>2890</v>
      </c>
      <c r="M39" s="17" t="s">
        <v>2890</v>
      </c>
      <c r="N39" s="17" t="s">
        <v>2890</v>
      </c>
      <c r="O39" s="17" t="s">
        <v>2890</v>
      </c>
      <c r="P39" s="17" t="s">
        <v>2890</v>
      </c>
      <c r="T39" s="17" t="s">
        <v>2889</v>
      </c>
      <c r="U39" s="17" t="s">
        <v>2890</v>
      </c>
      <c r="V39" s="21" t="s">
        <v>2034</v>
      </c>
      <c r="W39" s="17"/>
      <c r="X39" s="20">
        <v>0</v>
      </c>
    </row>
    <row r="40" spans="1:24">
      <c r="A40" s="1">
        <v>277</v>
      </c>
      <c r="B40" s="426" t="s">
        <v>1436</v>
      </c>
      <c r="C40" s="1" t="s">
        <v>1625</v>
      </c>
      <c r="D40" s="1" t="s">
        <v>1436</v>
      </c>
      <c r="E40" s="1">
        <v>944</v>
      </c>
      <c r="F40" s="1" t="str">
        <f>VLOOKUP(E40,'ESTRUTURA_MODULO(hide)'!$A$2:$D$230,2,FALSE)</f>
        <v>Aplicação Tasy iOS</v>
      </c>
      <c r="G40" s="1" t="str">
        <f>VLOOKUP(E40,'ESTRUTURA_MODULO(hide)'!$A$2:$D$95,3,FALSE)</f>
        <v>Tasy iOS Aplication</v>
      </c>
      <c r="H40" s="1" t="str">
        <f>VLOOKUP(E40,'ESTRUTURA_MODULO(hide)'!$A$2:$D$95,4,FALSE)</f>
        <v>Aplicación iOS Tasy</v>
      </c>
      <c r="I40" s="20">
        <v>0</v>
      </c>
      <c r="J40" s="17" t="s">
        <v>2890</v>
      </c>
      <c r="K40" s="17" t="s">
        <v>2890</v>
      </c>
      <c r="L40" s="17" t="s">
        <v>2890</v>
      </c>
      <c r="M40" s="17" t="s">
        <v>2890</v>
      </c>
      <c r="N40" s="17" t="s">
        <v>2890</v>
      </c>
      <c r="O40" s="17" t="s">
        <v>2890</v>
      </c>
      <c r="P40" s="17" t="s">
        <v>2890</v>
      </c>
      <c r="T40" s="17" t="s">
        <v>2889</v>
      </c>
      <c r="U40" s="17" t="s">
        <v>2890</v>
      </c>
      <c r="V40" s="21" t="s">
        <v>2034</v>
      </c>
      <c r="W40" s="17"/>
      <c r="X40" s="20">
        <v>0</v>
      </c>
    </row>
    <row r="41" spans="1:24">
      <c r="A41" s="1">
        <v>99059</v>
      </c>
      <c r="B41" s="426" t="s">
        <v>1424</v>
      </c>
      <c r="C41" s="1" t="s">
        <v>1425</v>
      </c>
      <c r="D41" s="1" t="s">
        <v>1426</v>
      </c>
      <c r="E41" s="1">
        <v>283</v>
      </c>
      <c r="F41" s="1" t="str">
        <f>VLOOKUP(E41,'ESTRUTURA_MODULO(hide)'!$A$2:$D$230,2,FALSE)</f>
        <v>Tasy Web Suite</v>
      </c>
      <c r="G41" s="1" t="str">
        <f>VLOOKUP(E41,'ESTRUTURA_MODULO(hide)'!$A$2:$D$95,3,FALSE)</f>
        <v>Tasy Web Suite</v>
      </c>
      <c r="H41" s="1" t="str">
        <f>VLOOKUP(E41,'ESTRUTURA_MODULO(hide)'!$A$2:$D$95,4,FALSE)</f>
        <v>Tasy Web Suite</v>
      </c>
      <c r="I41" s="20">
        <v>0</v>
      </c>
      <c r="J41" s="17" t="s">
        <v>2890</v>
      </c>
      <c r="K41" s="17" t="s">
        <v>2890</v>
      </c>
      <c r="L41" s="17" t="s">
        <v>2890</v>
      </c>
      <c r="M41" s="17" t="s">
        <v>2890</v>
      </c>
      <c r="N41" s="17" t="s">
        <v>2890</v>
      </c>
      <c r="O41" s="17" t="s">
        <v>2890</v>
      </c>
      <c r="P41" s="17" t="s">
        <v>2890</v>
      </c>
      <c r="T41" s="17" t="s">
        <v>2889</v>
      </c>
      <c r="U41" s="17" t="s">
        <v>2890</v>
      </c>
      <c r="V41" s="21"/>
      <c r="W41" s="17"/>
      <c r="X41" s="20">
        <v>0</v>
      </c>
    </row>
    <row r="42" spans="1:24">
      <c r="A42" s="1">
        <v>9112</v>
      </c>
      <c r="B42" s="1" t="s">
        <v>1420</v>
      </c>
      <c r="C42" s="1" t="s">
        <v>1421</v>
      </c>
      <c r="D42" s="1" t="s">
        <v>1422</v>
      </c>
      <c r="E42" s="1">
        <v>283</v>
      </c>
      <c r="F42" s="1" t="str">
        <f>VLOOKUP(E42,'ESTRUTURA_MODULO(hide)'!$A$2:$D$230,2,FALSE)</f>
        <v>Tasy Web Suite</v>
      </c>
      <c r="G42" s="1" t="str">
        <f>VLOOKUP(E42,'ESTRUTURA_MODULO(hide)'!$A$2:$D$95,3,FALSE)</f>
        <v>Tasy Web Suite</v>
      </c>
      <c r="H42" s="1" t="str">
        <f>VLOOKUP(E42,'ESTRUTURA_MODULO(hide)'!$A$2:$D$95,4,FALSE)</f>
        <v>Tasy Web Suite</v>
      </c>
      <c r="I42" s="20">
        <v>0</v>
      </c>
      <c r="J42" s="17" t="s">
        <v>2890</v>
      </c>
      <c r="K42" s="17" t="s">
        <v>2890</v>
      </c>
      <c r="L42" s="17" t="s">
        <v>2890</v>
      </c>
      <c r="M42" s="17" t="s">
        <v>2890</v>
      </c>
      <c r="N42" s="17" t="s">
        <v>2890</v>
      </c>
      <c r="O42" s="17" t="s">
        <v>2890</v>
      </c>
      <c r="P42" s="17" t="s">
        <v>2890</v>
      </c>
      <c r="T42" s="17" t="s">
        <v>2889</v>
      </c>
      <c r="U42" s="17" t="s">
        <v>2890</v>
      </c>
      <c r="V42" s="21"/>
      <c r="W42" s="17"/>
      <c r="X42" s="20">
        <v>0</v>
      </c>
    </row>
    <row r="43" spans="1:24">
      <c r="A43" s="1">
        <v>99058</v>
      </c>
      <c r="B43" s="426" t="s">
        <v>1417</v>
      </c>
      <c r="C43" s="1" t="s">
        <v>1418</v>
      </c>
      <c r="D43" s="1" t="s">
        <v>1419</v>
      </c>
      <c r="E43" s="1">
        <v>283</v>
      </c>
      <c r="F43" s="1" t="str">
        <f>VLOOKUP(E43,'ESTRUTURA_MODULO(hide)'!$A$2:$D$230,2,FALSE)</f>
        <v>Tasy Web Suite</v>
      </c>
      <c r="G43" s="1" t="str">
        <f>VLOOKUP(E43,'ESTRUTURA_MODULO(hide)'!$A$2:$D$95,3,FALSE)</f>
        <v>Tasy Web Suite</v>
      </c>
      <c r="H43" s="1" t="str">
        <f>VLOOKUP(E43,'ESTRUTURA_MODULO(hide)'!$A$2:$D$95,4,FALSE)</f>
        <v>Tasy Web Suite</v>
      </c>
      <c r="I43" s="20">
        <v>0</v>
      </c>
      <c r="J43" s="17" t="s">
        <v>2890</v>
      </c>
      <c r="K43" s="17" t="s">
        <v>2890</v>
      </c>
      <c r="L43" s="17" t="s">
        <v>2890</v>
      </c>
      <c r="M43" s="17" t="s">
        <v>2890</v>
      </c>
      <c r="N43" s="17" t="s">
        <v>2890</v>
      </c>
      <c r="O43" s="17" t="s">
        <v>2890</v>
      </c>
      <c r="P43" s="17" t="s">
        <v>2890</v>
      </c>
      <c r="T43" s="17" t="s">
        <v>2889</v>
      </c>
      <c r="U43" s="17" t="s">
        <v>2890</v>
      </c>
      <c r="V43" s="21"/>
      <c r="W43" s="17"/>
      <c r="X43" s="20">
        <v>0</v>
      </c>
    </row>
    <row r="44" spans="1:24">
      <c r="A44" s="1">
        <v>252</v>
      </c>
      <c r="B44" s="427" t="s">
        <v>1414</v>
      </c>
      <c r="C44" s="1" t="s">
        <v>1415</v>
      </c>
      <c r="D44" s="1" t="s">
        <v>1416</v>
      </c>
      <c r="E44" s="35">
        <v>88</v>
      </c>
      <c r="F44" s="1" t="str">
        <f>VLOOKUP(E44,'ESTRUTURA_MODULO(hide)'!$A$2:$D$230,2,FALSE)</f>
        <v>Prontuário Eletrônico</v>
      </c>
      <c r="G44" s="1" t="str">
        <f>VLOOKUP(E44,'ESTRUTURA_MODULO(hide)'!$A$2:$D$95,3,FALSE)</f>
        <v>Electronic Medical Record</v>
      </c>
      <c r="H44" s="1" t="str">
        <f>VLOOKUP(E44,'ESTRUTURA_MODULO(hide)'!$A$2:$D$95,4,FALSE)</f>
        <v>Expediente electrónico</v>
      </c>
      <c r="I44" s="37">
        <v>32</v>
      </c>
      <c r="J44" s="17" t="s">
        <v>2890</v>
      </c>
      <c r="K44" s="17" t="s">
        <v>2889</v>
      </c>
      <c r="L44" s="17" t="s">
        <v>2889</v>
      </c>
      <c r="M44" s="17" t="s">
        <v>2890</v>
      </c>
      <c r="N44" s="38" t="s">
        <v>2889</v>
      </c>
      <c r="O44" s="17" t="s">
        <v>2889</v>
      </c>
      <c r="P44" s="17" t="s">
        <v>2889</v>
      </c>
      <c r="T44" s="17" t="s">
        <v>2890</v>
      </c>
      <c r="U44" s="17" t="s">
        <v>2890</v>
      </c>
      <c r="V44" s="36" t="s">
        <v>16</v>
      </c>
      <c r="W44" s="17"/>
      <c r="X44" s="20">
        <v>40</v>
      </c>
    </row>
    <row r="45" spans="1:24">
      <c r="A45" s="1">
        <v>263</v>
      </c>
      <c r="B45" s="426" t="s">
        <v>1411</v>
      </c>
      <c r="C45" s="1" t="s">
        <v>1412</v>
      </c>
      <c r="D45" s="1" t="s">
        <v>1413</v>
      </c>
      <c r="E45" s="1">
        <v>944</v>
      </c>
      <c r="F45" s="1" t="str">
        <f>VLOOKUP(E45,'ESTRUTURA_MODULO(hide)'!$A$2:$D$230,2,FALSE)</f>
        <v>Aplicação Tasy iOS</v>
      </c>
      <c r="G45" s="1" t="str">
        <f>VLOOKUP(E45,'ESTRUTURA_MODULO(hide)'!$A$2:$D$95,3,FALSE)</f>
        <v>Tasy iOS Aplication</v>
      </c>
      <c r="H45" s="1" t="str">
        <f>VLOOKUP(E45,'ESTRUTURA_MODULO(hide)'!$A$2:$D$95,4,FALSE)</f>
        <v>Aplicación iOS Tasy</v>
      </c>
      <c r="I45" s="20">
        <v>0</v>
      </c>
      <c r="J45" s="17" t="s">
        <v>2890</v>
      </c>
      <c r="K45" s="17" t="s">
        <v>2890</v>
      </c>
      <c r="L45" s="17" t="s">
        <v>2890</v>
      </c>
      <c r="M45" s="17" t="s">
        <v>2890</v>
      </c>
      <c r="N45" s="17" t="s">
        <v>2890</v>
      </c>
      <c r="O45" s="17" t="s">
        <v>2890</v>
      </c>
      <c r="P45" s="17" t="s">
        <v>2890</v>
      </c>
      <c r="T45" s="17" t="s">
        <v>2889</v>
      </c>
      <c r="U45" s="17" t="s">
        <v>2890</v>
      </c>
      <c r="V45" s="21" t="s">
        <v>2034</v>
      </c>
      <c r="W45" s="17"/>
      <c r="X45" s="20">
        <v>0</v>
      </c>
    </row>
    <row r="46" spans="1:24">
      <c r="A46" s="1">
        <v>251</v>
      </c>
      <c r="B46" s="426" t="s">
        <v>1410</v>
      </c>
      <c r="C46" s="1" t="s">
        <v>1410</v>
      </c>
      <c r="D46" s="1" t="s">
        <v>1410</v>
      </c>
      <c r="E46" s="1">
        <v>283</v>
      </c>
      <c r="F46" s="1" t="str">
        <f>VLOOKUP(E46,'ESTRUTURA_MODULO(hide)'!$A$2:$D$230,2,FALSE)</f>
        <v>Tasy Web Suite</v>
      </c>
      <c r="G46" s="1" t="str">
        <f>VLOOKUP(E46,'ESTRUTURA_MODULO(hide)'!$A$2:$D$95,3,FALSE)</f>
        <v>Tasy Web Suite</v>
      </c>
      <c r="H46" s="1" t="str">
        <f>VLOOKUP(E46,'ESTRUTURA_MODULO(hide)'!$A$2:$D$95,4,FALSE)</f>
        <v>Tasy Web Suite</v>
      </c>
      <c r="I46" s="20">
        <v>0</v>
      </c>
      <c r="J46" s="17" t="s">
        <v>2890</v>
      </c>
      <c r="K46" s="17" t="s">
        <v>2890</v>
      </c>
      <c r="L46" s="17" t="s">
        <v>2890</v>
      </c>
      <c r="M46" s="17" t="s">
        <v>2890</v>
      </c>
      <c r="N46" s="17" t="s">
        <v>2890</v>
      </c>
      <c r="O46" s="17" t="s">
        <v>2890</v>
      </c>
      <c r="P46" s="17" t="s">
        <v>2890</v>
      </c>
      <c r="T46" s="17" t="s">
        <v>2889</v>
      </c>
      <c r="U46" s="17" t="s">
        <v>2890</v>
      </c>
      <c r="V46" s="21"/>
      <c r="W46" s="17"/>
      <c r="X46" s="20">
        <v>0</v>
      </c>
    </row>
    <row r="47" spans="1:24">
      <c r="A47" s="1">
        <v>264</v>
      </c>
      <c r="B47" s="426" t="s">
        <v>1396</v>
      </c>
      <c r="C47" s="1" t="s">
        <v>1397</v>
      </c>
      <c r="D47" s="1" t="s">
        <v>1398</v>
      </c>
      <c r="E47" s="1">
        <v>944</v>
      </c>
      <c r="F47" s="1" t="str">
        <f>VLOOKUP(E47,'ESTRUTURA_MODULO(hide)'!$A$2:$D$230,2,FALSE)</f>
        <v>Aplicação Tasy iOS</v>
      </c>
      <c r="G47" s="1" t="str">
        <f>VLOOKUP(E47,'ESTRUTURA_MODULO(hide)'!$A$2:$D$95,3,FALSE)</f>
        <v>Tasy iOS Aplication</v>
      </c>
      <c r="H47" s="1" t="str">
        <f>VLOOKUP(E47,'ESTRUTURA_MODULO(hide)'!$A$2:$D$95,4,FALSE)</f>
        <v>Aplicación iOS Tasy</v>
      </c>
      <c r="I47" s="20">
        <v>0</v>
      </c>
      <c r="J47" s="17" t="s">
        <v>2890</v>
      </c>
      <c r="K47" s="17" t="s">
        <v>2890</v>
      </c>
      <c r="L47" s="17" t="s">
        <v>2890</v>
      </c>
      <c r="M47" s="17" t="s">
        <v>2890</v>
      </c>
      <c r="N47" s="17" t="s">
        <v>2890</v>
      </c>
      <c r="O47" s="17" t="s">
        <v>2890</v>
      </c>
      <c r="P47" s="17" t="s">
        <v>2890</v>
      </c>
      <c r="T47" s="17" t="s">
        <v>2889</v>
      </c>
      <c r="U47" s="17" t="s">
        <v>2890</v>
      </c>
      <c r="V47" s="21" t="s">
        <v>2034</v>
      </c>
      <c r="W47" s="17"/>
      <c r="X47" s="20">
        <v>0</v>
      </c>
    </row>
    <row r="48" spans="1:24">
      <c r="A48" s="1">
        <v>239</v>
      </c>
      <c r="B48" s="426" t="s">
        <v>1626</v>
      </c>
      <c r="C48" s="1" t="s">
        <v>1626</v>
      </c>
      <c r="D48" s="1" t="s">
        <v>1626</v>
      </c>
      <c r="E48" s="1">
        <v>283</v>
      </c>
      <c r="F48" s="1" t="str">
        <f>VLOOKUP(E48,'ESTRUTURA_MODULO(hide)'!$A$2:$D$230,2,FALSE)</f>
        <v>Tasy Web Suite</v>
      </c>
      <c r="G48" s="1" t="str">
        <f>VLOOKUP(E48,'ESTRUTURA_MODULO(hide)'!$A$2:$D$95,3,FALSE)</f>
        <v>Tasy Web Suite</v>
      </c>
      <c r="H48" s="1" t="str">
        <f>VLOOKUP(E48,'ESTRUTURA_MODULO(hide)'!$A$2:$D$95,4,FALSE)</f>
        <v>Tasy Web Suite</v>
      </c>
      <c r="I48" s="20">
        <v>0</v>
      </c>
      <c r="J48" s="17" t="s">
        <v>2890</v>
      </c>
      <c r="K48" s="17" t="s">
        <v>2890</v>
      </c>
      <c r="L48" s="17" t="s">
        <v>2890</v>
      </c>
      <c r="M48" s="17" t="s">
        <v>2890</v>
      </c>
      <c r="N48" s="17" t="s">
        <v>2890</v>
      </c>
      <c r="O48" s="17" t="s">
        <v>2890</v>
      </c>
      <c r="P48" s="17" t="s">
        <v>2890</v>
      </c>
      <c r="T48" s="17" t="s">
        <v>2889</v>
      </c>
      <c r="U48" s="17" t="s">
        <v>2890</v>
      </c>
      <c r="V48" s="21"/>
      <c r="W48" s="17"/>
      <c r="X48" s="20">
        <v>0</v>
      </c>
    </row>
    <row r="49" spans="1:24">
      <c r="A49" s="1">
        <v>241</v>
      </c>
      <c r="B49" s="426" t="s">
        <v>1405</v>
      </c>
      <c r="C49" s="1" t="s">
        <v>1406</v>
      </c>
      <c r="D49" s="1" t="s">
        <v>1627</v>
      </c>
      <c r="E49" s="1">
        <v>944</v>
      </c>
      <c r="F49" s="1" t="str">
        <f>VLOOKUP(E49,'ESTRUTURA_MODULO(hide)'!$A$2:$D$230,2,FALSE)</f>
        <v>Aplicação Tasy iOS</v>
      </c>
      <c r="G49" s="1" t="str">
        <f>VLOOKUP(E49,'ESTRUTURA_MODULO(hide)'!$A$2:$D$95,3,FALSE)</f>
        <v>Tasy iOS Aplication</v>
      </c>
      <c r="H49" s="1" t="str">
        <f>VLOOKUP(E49,'ESTRUTURA_MODULO(hide)'!$A$2:$D$95,4,FALSE)</f>
        <v>Aplicación iOS Tasy</v>
      </c>
      <c r="I49" s="20">
        <v>0</v>
      </c>
      <c r="J49" s="17" t="s">
        <v>2890</v>
      </c>
      <c r="K49" s="17" t="s">
        <v>2890</v>
      </c>
      <c r="L49" s="17" t="s">
        <v>2890</v>
      </c>
      <c r="M49" s="17" t="s">
        <v>2890</v>
      </c>
      <c r="N49" s="17" t="s">
        <v>2890</v>
      </c>
      <c r="O49" s="17" t="s">
        <v>2890</v>
      </c>
      <c r="P49" s="17" t="s">
        <v>2890</v>
      </c>
      <c r="T49" s="17" t="s">
        <v>2889</v>
      </c>
      <c r="U49" s="17" t="s">
        <v>2890</v>
      </c>
      <c r="V49" s="21" t="s">
        <v>2034</v>
      </c>
      <c r="W49" s="17"/>
      <c r="X49" s="20">
        <v>0</v>
      </c>
    </row>
    <row r="50" spans="1:24">
      <c r="A50" s="1">
        <v>27065</v>
      </c>
      <c r="B50" s="1" t="s">
        <v>1402</v>
      </c>
      <c r="C50" s="1" t="s">
        <v>1403</v>
      </c>
      <c r="D50" s="1" t="s">
        <v>1404</v>
      </c>
      <c r="E50" s="1">
        <v>283</v>
      </c>
      <c r="F50" s="1" t="str">
        <f>VLOOKUP(E50,'ESTRUTURA_MODULO(hide)'!$A$2:$D$230,2,FALSE)</f>
        <v>Tasy Web Suite</v>
      </c>
      <c r="G50" s="1" t="str">
        <f>VLOOKUP(E50,'ESTRUTURA_MODULO(hide)'!$A$2:$D$95,3,FALSE)</f>
        <v>Tasy Web Suite</v>
      </c>
      <c r="H50" s="1" t="str">
        <f>VLOOKUP(E50,'ESTRUTURA_MODULO(hide)'!$A$2:$D$95,4,FALSE)</f>
        <v>Tasy Web Suite</v>
      </c>
      <c r="I50" s="20">
        <v>0</v>
      </c>
      <c r="J50" s="17" t="s">
        <v>2890</v>
      </c>
      <c r="K50" s="17" t="s">
        <v>2890</v>
      </c>
      <c r="L50" s="17" t="s">
        <v>2890</v>
      </c>
      <c r="M50" s="17" t="s">
        <v>2890</v>
      </c>
      <c r="N50" s="17" t="s">
        <v>2890</v>
      </c>
      <c r="O50" s="17" t="s">
        <v>2890</v>
      </c>
      <c r="P50" s="17" t="s">
        <v>2890</v>
      </c>
      <c r="T50" s="17" t="s">
        <v>2889</v>
      </c>
      <c r="U50" s="17" t="s">
        <v>2890</v>
      </c>
      <c r="V50" s="21"/>
      <c r="W50" s="17"/>
      <c r="X50" s="20">
        <v>0</v>
      </c>
    </row>
    <row r="51" spans="1:24">
      <c r="A51" s="1">
        <v>49</v>
      </c>
      <c r="B51" s="35" t="s">
        <v>1395</v>
      </c>
      <c r="C51" s="1" t="s">
        <v>1395</v>
      </c>
      <c r="D51" s="1" t="s">
        <v>1395</v>
      </c>
      <c r="E51" s="35">
        <v>14</v>
      </c>
      <c r="F51" s="1" t="str">
        <f>VLOOKUP(E51,'ESTRUTURA_MODULO(hide)'!$A$2:$D$230,2,FALSE)</f>
        <v>EIS</v>
      </c>
      <c r="G51" s="1" t="str">
        <f>VLOOKUP(E51,'ESTRUTURA_MODULO(hide)'!$A$2:$D$95,3,FALSE)</f>
        <v xml:space="preserve">EIS </v>
      </c>
      <c r="H51" s="1" t="str">
        <f>VLOOKUP(E51,'ESTRUTURA_MODULO(hide)'!$A$2:$D$95,4,FALSE)</f>
        <v>EIS</v>
      </c>
      <c r="I51" s="37">
        <v>40</v>
      </c>
      <c r="J51" s="17" t="s">
        <v>2889</v>
      </c>
      <c r="K51" s="17" t="s">
        <v>2889</v>
      </c>
      <c r="L51" s="17" t="s">
        <v>2889</v>
      </c>
      <c r="M51" s="17" t="s">
        <v>2890</v>
      </c>
      <c r="N51" s="38" t="s">
        <v>2889</v>
      </c>
      <c r="O51" s="17" t="s">
        <v>2889</v>
      </c>
      <c r="P51" s="17" t="s">
        <v>2889</v>
      </c>
      <c r="T51" s="17" t="s">
        <v>2889</v>
      </c>
      <c r="U51" s="17" t="s">
        <v>2890</v>
      </c>
      <c r="V51" s="36" t="s">
        <v>2033</v>
      </c>
      <c r="W51" s="17"/>
      <c r="X51" s="20">
        <v>60</v>
      </c>
    </row>
    <row r="52" spans="1:24">
      <c r="A52" s="1">
        <v>238</v>
      </c>
      <c r="B52" s="426" t="s">
        <v>1628</v>
      </c>
      <c r="C52" s="1" t="s">
        <v>1629</v>
      </c>
      <c r="D52" s="1" t="s">
        <v>1630</v>
      </c>
      <c r="E52" s="1">
        <v>283</v>
      </c>
      <c r="F52" s="1" t="str">
        <f>VLOOKUP(E52,'ESTRUTURA_MODULO(hide)'!$A$2:$D$230,2,FALSE)</f>
        <v>Tasy Web Suite</v>
      </c>
      <c r="G52" s="1" t="str">
        <f>VLOOKUP(E52,'ESTRUTURA_MODULO(hide)'!$A$2:$D$95,3,FALSE)</f>
        <v>Tasy Web Suite</v>
      </c>
      <c r="H52" s="1" t="str">
        <f>VLOOKUP(E52,'ESTRUTURA_MODULO(hide)'!$A$2:$D$95,4,FALSE)</f>
        <v>Tasy Web Suite</v>
      </c>
      <c r="I52" s="20">
        <v>0</v>
      </c>
      <c r="J52" s="17" t="s">
        <v>2890</v>
      </c>
      <c r="K52" s="17" t="s">
        <v>2890</v>
      </c>
      <c r="L52" s="17" t="s">
        <v>2890</v>
      </c>
      <c r="M52" s="17" t="s">
        <v>2890</v>
      </c>
      <c r="N52" s="17" t="s">
        <v>2890</v>
      </c>
      <c r="O52" s="17" t="s">
        <v>2890</v>
      </c>
      <c r="P52" s="17" t="s">
        <v>2890</v>
      </c>
      <c r="T52" s="17" t="s">
        <v>2889</v>
      </c>
      <c r="U52" s="17" t="s">
        <v>2890</v>
      </c>
      <c r="V52" s="21"/>
      <c r="W52" s="17"/>
      <c r="X52" s="20">
        <v>0</v>
      </c>
    </row>
    <row r="53" spans="1:24">
      <c r="A53" s="1">
        <v>237</v>
      </c>
      <c r="B53" s="426" t="s">
        <v>1631</v>
      </c>
      <c r="C53" s="1" t="s">
        <v>1632</v>
      </c>
      <c r="D53" s="1" t="s">
        <v>1633</v>
      </c>
      <c r="E53" s="1">
        <v>283</v>
      </c>
      <c r="F53" s="1" t="str">
        <f>VLOOKUP(E53,'ESTRUTURA_MODULO(hide)'!$A$2:$D$230,2,FALSE)</f>
        <v>Tasy Web Suite</v>
      </c>
      <c r="G53" s="1" t="str">
        <f>VLOOKUP(E53,'ESTRUTURA_MODULO(hide)'!$A$2:$D$95,3,FALSE)</f>
        <v>Tasy Web Suite</v>
      </c>
      <c r="H53" s="1" t="str">
        <f>VLOOKUP(E53,'ESTRUTURA_MODULO(hide)'!$A$2:$D$95,4,FALSE)</f>
        <v>Tasy Web Suite</v>
      </c>
      <c r="I53" s="20">
        <v>0</v>
      </c>
      <c r="J53" s="17" t="s">
        <v>2890</v>
      </c>
      <c r="K53" s="17" t="s">
        <v>2890</v>
      </c>
      <c r="L53" s="17" t="s">
        <v>2890</v>
      </c>
      <c r="M53" s="17" t="s">
        <v>2890</v>
      </c>
      <c r="N53" s="17" t="s">
        <v>2890</v>
      </c>
      <c r="O53" s="17" t="s">
        <v>2890</v>
      </c>
      <c r="P53" s="17" t="s">
        <v>2890</v>
      </c>
      <c r="T53" s="17" t="s">
        <v>2889</v>
      </c>
      <c r="U53" s="17" t="s">
        <v>2890</v>
      </c>
      <c r="V53" s="21"/>
      <c r="W53" s="17"/>
      <c r="X53" s="20">
        <v>0</v>
      </c>
    </row>
    <row r="54" spans="1:24">
      <c r="A54" s="1">
        <v>236</v>
      </c>
      <c r="B54" s="426" t="s">
        <v>1634</v>
      </c>
      <c r="C54" s="1" t="s">
        <v>1635</v>
      </c>
      <c r="D54" s="1" t="s">
        <v>1636</v>
      </c>
      <c r="E54" s="1">
        <v>283</v>
      </c>
      <c r="F54" s="1" t="str">
        <f>VLOOKUP(E54,'ESTRUTURA_MODULO(hide)'!$A$2:$D$230,2,FALSE)</f>
        <v>Tasy Web Suite</v>
      </c>
      <c r="G54" s="1" t="str">
        <f>VLOOKUP(E54,'ESTRUTURA_MODULO(hide)'!$A$2:$D$95,3,FALSE)</f>
        <v>Tasy Web Suite</v>
      </c>
      <c r="H54" s="1" t="str">
        <f>VLOOKUP(E54,'ESTRUTURA_MODULO(hide)'!$A$2:$D$95,4,FALSE)</f>
        <v>Tasy Web Suite</v>
      </c>
      <c r="I54" s="20">
        <v>0</v>
      </c>
      <c r="J54" s="17" t="s">
        <v>2890</v>
      </c>
      <c r="K54" s="17" t="s">
        <v>2890</v>
      </c>
      <c r="L54" s="17" t="s">
        <v>2890</v>
      </c>
      <c r="M54" s="17" t="s">
        <v>2890</v>
      </c>
      <c r="N54" s="17" t="s">
        <v>2890</v>
      </c>
      <c r="O54" s="17" t="s">
        <v>2890</v>
      </c>
      <c r="P54" s="17" t="s">
        <v>2890</v>
      </c>
      <c r="T54" s="17" t="s">
        <v>2889</v>
      </c>
      <c r="U54" s="17" t="s">
        <v>2890</v>
      </c>
      <c r="V54" s="21"/>
      <c r="W54" s="17"/>
      <c r="X54" s="20">
        <v>0</v>
      </c>
    </row>
    <row r="55" spans="1:24">
      <c r="A55" s="1">
        <v>235</v>
      </c>
      <c r="B55" s="426" t="s">
        <v>1637</v>
      </c>
      <c r="C55" s="1" t="s">
        <v>1638</v>
      </c>
      <c r="D55" s="1" t="s">
        <v>1639</v>
      </c>
      <c r="E55" s="1">
        <v>283</v>
      </c>
      <c r="F55" s="1" t="str">
        <f>VLOOKUP(E55,'ESTRUTURA_MODULO(hide)'!$A$2:$D$230,2,FALSE)</f>
        <v>Tasy Web Suite</v>
      </c>
      <c r="G55" s="1" t="str">
        <f>VLOOKUP(E55,'ESTRUTURA_MODULO(hide)'!$A$2:$D$95,3,FALSE)</f>
        <v>Tasy Web Suite</v>
      </c>
      <c r="H55" s="1" t="str">
        <f>VLOOKUP(E55,'ESTRUTURA_MODULO(hide)'!$A$2:$D$95,4,FALSE)</f>
        <v>Tasy Web Suite</v>
      </c>
      <c r="I55" s="20">
        <v>0</v>
      </c>
      <c r="J55" s="17" t="s">
        <v>2890</v>
      </c>
      <c r="K55" s="17" t="s">
        <v>2890</v>
      </c>
      <c r="L55" s="17" t="s">
        <v>2890</v>
      </c>
      <c r="M55" s="17" t="s">
        <v>2890</v>
      </c>
      <c r="N55" s="17" t="s">
        <v>2890</v>
      </c>
      <c r="O55" s="17" t="s">
        <v>2890</v>
      </c>
      <c r="P55" s="17" t="s">
        <v>2890</v>
      </c>
      <c r="T55" s="17" t="s">
        <v>2889</v>
      </c>
      <c r="U55" s="17" t="s">
        <v>2890</v>
      </c>
      <c r="V55" s="21"/>
      <c r="W55" s="17"/>
      <c r="X55" s="20">
        <v>0</v>
      </c>
    </row>
    <row r="56" spans="1:24">
      <c r="A56" s="1">
        <v>234</v>
      </c>
      <c r="B56" s="426" t="s">
        <v>1640</v>
      </c>
      <c r="C56" s="1" t="s">
        <v>1641</v>
      </c>
      <c r="D56" s="1" t="s">
        <v>1642</v>
      </c>
      <c r="E56" s="1">
        <v>283</v>
      </c>
      <c r="F56" s="1" t="str">
        <f>VLOOKUP(E56,'ESTRUTURA_MODULO(hide)'!$A$2:$D$230,2,FALSE)</f>
        <v>Tasy Web Suite</v>
      </c>
      <c r="G56" s="1" t="str">
        <f>VLOOKUP(E56,'ESTRUTURA_MODULO(hide)'!$A$2:$D$95,3,FALSE)</f>
        <v>Tasy Web Suite</v>
      </c>
      <c r="H56" s="1" t="str">
        <f>VLOOKUP(E56,'ESTRUTURA_MODULO(hide)'!$A$2:$D$95,4,FALSE)</f>
        <v>Tasy Web Suite</v>
      </c>
      <c r="I56" s="20">
        <v>0</v>
      </c>
      <c r="J56" s="17" t="s">
        <v>2890</v>
      </c>
      <c r="K56" s="17" t="s">
        <v>2890</v>
      </c>
      <c r="L56" s="17" t="s">
        <v>2890</v>
      </c>
      <c r="M56" s="17" t="s">
        <v>2890</v>
      </c>
      <c r="N56" s="17" t="s">
        <v>2890</v>
      </c>
      <c r="O56" s="17" t="s">
        <v>2890</v>
      </c>
      <c r="P56" s="17" t="s">
        <v>2890</v>
      </c>
      <c r="T56" s="17" t="s">
        <v>2889</v>
      </c>
      <c r="U56" s="17" t="s">
        <v>2890</v>
      </c>
      <c r="V56" s="21"/>
      <c r="W56" s="17"/>
      <c r="X56" s="20">
        <v>0</v>
      </c>
    </row>
    <row r="57" spans="1:24">
      <c r="A57" s="1">
        <v>233</v>
      </c>
      <c r="B57" s="426" t="s">
        <v>1643</v>
      </c>
      <c r="C57" s="1" t="s">
        <v>1644</v>
      </c>
      <c r="D57" s="1" t="s">
        <v>1645</v>
      </c>
      <c r="E57" s="1">
        <v>283</v>
      </c>
      <c r="F57" s="1" t="str">
        <f>VLOOKUP(E57,'ESTRUTURA_MODULO(hide)'!$A$2:$D$230,2,FALSE)</f>
        <v>Tasy Web Suite</v>
      </c>
      <c r="G57" s="1" t="str">
        <f>VLOOKUP(E57,'ESTRUTURA_MODULO(hide)'!$A$2:$D$95,3,FALSE)</f>
        <v>Tasy Web Suite</v>
      </c>
      <c r="H57" s="1" t="str">
        <f>VLOOKUP(E57,'ESTRUTURA_MODULO(hide)'!$A$2:$D$95,4,FALSE)</f>
        <v>Tasy Web Suite</v>
      </c>
      <c r="I57" s="20">
        <v>0</v>
      </c>
      <c r="J57" s="17" t="s">
        <v>2890</v>
      </c>
      <c r="K57" s="17" t="s">
        <v>2890</v>
      </c>
      <c r="L57" s="17" t="s">
        <v>2890</v>
      </c>
      <c r="M57" s="17" t="s">
        <v>2890</v>
      </c>
      <c r="N57" s="17" t="s">
        <v>2890</v>
      </c>
      <c r="O57" s="17" t="s">
        <v>2890</v>
      </c>
      <c r="P57" s="17" t="s">
        <v>2890</v>
      </c>
      <c r="T57" s="17" t="s">
        <v>2889</v>
      </c>
      <c r="U57" s="17" t="s">
        <v>2890</v>
      </c>
      <c r="V57" s="21"/>
      <c r="W57" s="17"/>
      <c r="X57" s="20">
        <v>0</v>
      </c>
    </row>
    <row r="58" spans="1:24">
      <c r="A58" s="1">
        <v>231</v>
      </c>
      <c r="B58" s="426" t="s">
        <v>1646</v>
      </c>
      <c r="C58" s="1" t="s">
        <v>1647</v>
      </c>
      <c r="D58" s="1" t="s">
        <v>1648</v>
      </c>
      <c r="E58" s="1">
        <v>283</v>
      </c>
      <c r="F58" s="1" t="str">
        <f>VLOOKUP(E58,'ESTRUTURA_MODULO(hide)'!$A$2:$D$230,2,FALSE)</f>
        <v>Tasy Web Suite</v>
      </c>
      <c r="G58" s="1" t="str">
        <f>VLOOKUP(E58,'ESTRUTURA_MODULO(hide)'!$A$2:$D$95,3,FALSE)</f>
        <v>Tasy Web Suite</v>
      </c>
      <c r="H58" s="1" t="str">
        <f>VLOOKUP(E58,'ESTRUTURA_MODULO(hide)'!$A$2:$D$95,4,FALSE)</f>
        <v>Tasy Web Suite</v>
      </c>
      <c r="I58" s="20">
        <v>0</v>
      </c>
      <c r="J58" s="17" t="s">
        <v>2890</v>
      </c>
      <c r="K58" s="17" t="s">
        <v>2890</v>
      </c>
      <c r="L58" s="17" t="s">
        <v>2890</v>
      </c>
      <c r="M58" s="17" t="s">
        <v>2890</v>
      </c>
      <c r="N58" s="17" t="s">
        <v>2890</v>
      </c>
      <c r="O58" s="17" t="s">
        <v>2890</v>
      </c>
      <c r="P58" s="17" t="s">
        <v>2890</v>
      </c>
      <c r="T58" s="17" t="s">
        <v>2889</v>
      </c>
      <c r="U58" s="17" t="s">
        <v>2890</v>
      </c>
      <c r="V58" s="21"/>
      <c r="W58" s="17"/>
      <c r="X58" s="20">
        <v>0</v>
      </c>
    </row>
    <row r="59" spans="1:24">
      <c r="A59" s="1">
        <v>229</v>
      </c>
      <c r="B59" s="426" t="s">
        <v>1649</v>
      </c>
      <c r="C59" s="1" t="s">
        <v>1650</v>
      </c>
      <c r="D59" s="1" t="s">
        <v>1651</v>
      </c>
      <c r="E59" s="1">
        <v>283</v>
      </c>
      <c r="F59" s="1" t="str">
        <f>VLOOKUP(E59,'ESTRUTURA_MODULO(hide)'!$A$2:$D$230,2,FALSE)</f>
        <v>Tasy Web Suite</v>
      </c>
      <c r="G59" s="1" t="str">
        <f>VLOOKUP(E59,'ESTRUTURA_MODULO(hide)'!$A$2:$D$95,3,FALSE)</f>
        <v>Tasy Web Suite</v>
      </c>
      <c r="H59" s="1" t="str">
        <f>VLOOKUP(E59,'ESTRUTURA_MODULO(hide)'!$A$2:$D$95,4,FALSE)</f>
        <v>Tasy Web Suite</v>
      </c>
      <c r="I59" s="20">
        <v>0</v>
      </c>
      <c r="J59" s="17" t="s">
        <v>2890</v>
      </c>
      <c r="K59" s="17" t="s">
        <v>2890</v>
      </c>
      <c r="L59" s="17" t="s">
        <v>2890</v>
      </c>
      <c r="M59" s="17" t="s">
        <v>2890</v>
      </c>
      <c r="N59" s="17" t="s">
        <v>2890</v>
      </c>
      <c r="O59" s="17" t="s">
        <v>2890</v>
      </c>
      <c r="P59" s="17" t="s">
        <v>2890</v>
      </c>
      <c r="T59" s="17" t="s">
        <v>2889</v>
      </c>
      <c r="U59" s="17" t="s">
        <v>2890</v>
      </c>
      <c r="V59" s="21"/>
      <c r="W59" s="17"/>
      <c r="X59" s="20">
        <v>0</v>
      </c>
    </row>
    <row r="60" spans="1:24">
      <c r="A60" s="1">
        <v>228</v>
      </c>
      <c r="B60" s="426" t="s">
        <v>1652</v>
      </c>
      <c r="C60" s="1" t="s">
        <v>1653</v>
      </c>
      <c r="D60" s="1" t="s">
        <v>1654</v>
      </c>
      <c r="E60" s="1">
        <v>283</v>
      </c>
      <c r="F60" s="1" t="str">
        <f>VLOOKUP(E60,'ESTRUTURA_MODULO(hide)'!$A$2:$D$230,2,FALSE)</f>
        <v>Tasy Web Suite</v>
      </c>
      <c r="G60" s="1" t="str">
        <f>VLOOKUP(E60,'ESTRUTURA_MODULO(hide)'!$A$2:$D$95,3,FALSE)</f>
        <v>Tasy Web Suite</v>
      </c>
      <c r="H60" s="1" t="str">
        <f>VLOOKUP(E60,'ESTRUTURA_MODULO(hide)'!$A$2:$D$95,4,FALSE)</f>
        <v>Tasy Web Suite</v>
      </c>
      <c r="I60" s="20">
        <v>0</v>
      </c>
      <c r="J60" s="17" t="s">
        <v>2890</v>
      </c>
      <c r="K60" s="17" t="s">
        <v>2890</v>
      </c>
      <c r="L60" s="17" t="s">
        <v>2890</v>
      </c>
      <c r="M60" s="17" t="s">
        <v>2890</v>
      </c>
      <c r="N60" s="17" t="s">
        <v>2890</v>
      </c>
      <c r="O60" s="17" t="s">
        <v>2890</v>
      </c>
      <c r="P60" s="17" t="s">
        <v>2890</v>
      </c>
      <c r="T60" s="17" t="s">
        <v>2889</v>
      </c>
      <c r="U60" s="17" t="s">
        <v>2890</v>
      </c>
      <c r="V60" s="21"/>
      <c r="W60" s="17"/>
      <c r="X60" s="20">
        <v>0</v>
      </c>
    </row>
    <row r="61" spans="1:24">
      <c r="A61" s="1">
        <v>227</v>
      </c>
      <c r="B61" s="426" t="s">
        <v>1655</v>
      </c>
      <c r="C61" s="1" t="s">
        <v>1656</v>
      </c>
      <c r="D61" s="1" t="s">
        <v>1657</v>
      </c>
      <c r="E61" s="1">
        <v>283</v>
      </c>
      <c r="F61" s="1" t="str">
        <f>VLOOKUP(E61,'ESTRUTURA_MODULO(hide)'!$A$2:$D$230,2,FALSE)</f>
        <v>Tasy Web Suite</v>
      </c>
      <c r="G61" s="1" t="str">
        <f>VLOOKUP(E61,'ESTRUTURA_MODULO(hide)'!$A$2:$D$95,3,FALSE)</f>
        <v>Tasy Web Suite</v>
      </c>
      <c r="H61" s="1" t="str">
        <f>VLOOKUP(E61,'ESTRUTURA_MODULO(hide)'!$A$2:$D$95,4,FALSE)</f>
        <v>Tasy Web Suite</v>
      </c>
      <c r="I61" s="20">
        <v>0</v>
      </c>
      <c r="J61" s="17" t="s">
        <v>2890</v>
      </c>
      <c r="K61" s="17" t="s">
        <v>2890</v>
      </c>
      <c r="L61" s="17" t="s">
        <v>2890</v>
      </c>
      <c r="M61" s="17" t="s">
        <v>2890</v>
      </c>
      <c r="N61" s="17" t="s">
        <v>2890</v>
      </c>
      <c r="O61" s="17" t="s">
        <v>2890</v>
      </c>
      <c r="P61" s="17" t="s">
        <v>2890</v>
      </c>
      <c r="T61" s="17" t="s">
        <v>2889</v>
      </c>
      <c r="U61" s="17" t="s">
        <v>2890</v>
      </c>
      <c r="V61" s="21"/>
      <c r="W61" s="17"/>
      <c r="X61" s="20">
        <v>0</v>
      </c>
    </row>
    <row r="62" spans="1:24">
      <c r="A62" s="1">
        <v>226</v>
      </c>
      <c r="B62" s="426" t="s">
        <v>1658</v>
      </c>
      <c r="C62" s="1" t="s">
        <v>1659</v>
      </c>
      <c r="D62" s="1" t="s">
        <v>1660</v>
      </c>
      <c r="E62" s="1">
        <v>283</v>
      </c>
      <c r="F62" s="1" t="str">
        <f>VLOOKUP(E62,'ESTRUTURA_MODULO(hide)'!$A$2:$D$230,2,FALSE)</f>
        <v>Tasy Web Suite</v>
      </c>
      <c r="G62" s="1" t="str">
        <f>VLOOKUP(E62,'ESTRUTURA_MODULO(hide)'!$A$2:$D$95,3,FALSE)</f>
        <v>Tasy Web Suite</v>
      </c>
      <c r="H62" s="1" t="str">
        <f>VLOOKUP(E62,'ESTRUTURA_MODULO(hide)'!$A$2:$D$95,4,FALSE)</f>
        <v>Tasy Web Suite</v>
      </c>
      <c r="I62" s="20">
        <v>0</v>
      </c>
      <c r="J62" s="17" t="s">
        <v>2890</v>
      </c>
      <c r="K62" s="17" t="s">
        <v>2890</v>
      </c>
      <c r="L62" s="17" t="s">
        <v>2890</v>
      </c>
      <c r="M62" s="17" t="s">
        <v>2890</v>
      </c>
      <c r="N62" s="17" t="s">
        <v>2890</v>
      </c>
      <c r="O62" s="17" t="s">
        <v>2890</v>
      </c>
      <c r="P62" s="17" t="s">
        <v>2890</v>
      </c>
      <c r="T62" s="17" t="s">
        <v>2889</v>
      </c>
      <c r="U62" s="17" t="s">
        <v>2890</v>
      </c>
      <c r="V62" s="21"/>
      <c r="W62" s="17"/>
      <c r="X62" s="20">
        <v>0</v>
      </c>
    </row>
    <row r="63" spans="1:24">
      <c r="A63" s="1">
        <v>225</v>
      </c>
      <c r="B63" s="426" t="s">
        <v>1661</v>
      </c>
      <c r="C63" s="1" t="s">
        <v>1662</v>
      </c>
      <c r="D63" s="1" t="s">
        <v>1663</v>
      </c>
      <c r="E63" s="1">
        <v>283</v>
      </c>
      <c r="F63" s="1" t="str">
        <f>VLOOKUP(E63,'ESTRUTURA_MODULO(hide)'!$A$2:$D$230,2,FALSE)</f>
        <v>Tasy Web Suite</v>
      </c>
      <c r="G63" s="1" t="str">
        <f>VLOOKUP(E63,'ESTRUTURA_MODULO(hide)'!$A$2:$D$95,3,FALSE)</f>
        <v>Tasy Web Suite</v>
      </c>
      <c r="H63" s="1" t="str">
        <f>VLOOKUP(E63,'ESTRUTURA_MODULO(hide)'!$A$2:$D$95,4,FALSE)</f>
        <v>Tasy Web Suite</v>
      </c>
      <c r="I63" s="20">
        <v>0</v>
      </c>
      <c r="J63" s="17" t="s">
        <v>2890</v>
      </c>
      <c r="K63" s="17" t="s">
        <v>2890</v>
      </c>
      <c r="L63" s="17" t="s">
        <v>2890</v>
      </c>
      <c r="M63" s="17" t="s">
        <v>2890</v>
      </c>
      <c r="N63" s="17" t="s">
        <v>2890</v>
      </c>
      <c r="O63" s="17" t="s">
        <v>2890</v>
      </c>
      <c r="P63" s="17" t="s">
        <v>2890</v>
      </c>
      <c r="T63" s="17" t="s">
        <v>2889</v>
      </c>
      <c r="U63" s="17" t="s">
        <v>2890</v>
      </c>
      <c r="V63" s="21"/>
      <c r="W63" s="17"/>
      <c r="X63" s="20">
        <v>0</v>
      </c>
    </row>
    <row r="64" spans="1:24">
      <c r="A64" s="1">
        <v>224</v>
      </c>
      <c r="B64" s="426" t="s">
        <v>1664</v>
      </c>
      <c r="C64" s="1" t="s">
        <v>1665</v>
      </c>
      <c r="D64" s="1" t="s">
        <v>1666</v>
      </c>
      <c r="E64" s="1">
        <v>283</v>
      </c>
      <c r="F64" s="1" t="str">
        <f>VLOOKUP(E64,'ESTRUTURA_MODULO(hide)'!$A$2:$D$230,2,FALSE)</f>
        <v>Tasy Web Suite</v>
      </c>
      <c r="G64" s="1" t="str">
        <f>VLOOKUP(E64,'ESTRUTURA_MODULO(hide)'!$A$2:$D$95,3,FALSE)</f>
        <v>Tasy Web Suite</v>
      </c>
      <c r="H64" s="1" t="str">
        <f>VLOOKUP(E64,'ESTRUTURA_MODULO(hide)'!$A$2:$D$95,4,FALSE)</f>
        <v>Tasy Web Suite</v>
      </c>
      <c r="I64" s="20">
        <v>0</v>
      </c>
      <c r="J64" s="17" t="s">
        <v>2890</v>
      </c>
      <c r="K64" s="17" t="s">
        <v>2890</v>
      </c>
      <c r="L64" s="17" t="s">
        <v>2890</v>
      </c>
      <c r="M64" s="17" t="s">
        <v>2890</v>
      </c>
      <c r="N64" s="17" t="s">
        <v>2890</v>
      </c>
      <c r="O64" s="17" t="s">
        <v>2890</v>
      </c>
      <c r="P64" s="17" t="s">
        <v>2890</v>
      </c>
      <c r="T64" s="17" t="s">
        <v>2889</v>
      </c>
      <c r="U64" s="17" t="s">
        <v>2890</v>
      </c>
      <c r="V64" s="21"/>
      <c r="W64" s="17"/>
      <c r="X64" s="20">
        <v>0</v>
      </c>
    </row>
    <row r="65" spans="1:24">
      <c r="A65" s="1">
        <v>222</v>
      </c>
      <c r="B65" s="426" t="s">
        <v>1667</v>
      </c>
      <c r="C65" s="1" t="s">
        <v>1668</v>
      </c>
      <c r="D65" s="1" t="s">
        <v>1669</v>
      </c>
      <c r="E65" s="1">
        <v>283</v>
      </c>
      <c r="F65" s="1" t="str">
        <f>VLOOKUP(E65,'ESTRUTURA_MODULO(hide)'!$A$2:$D$230,2,FALSE)</f>
        <v>Tasy Web Suite</v>
      </c>
      <c r="G65" s="1" t="str">
        <f>VLOOKUP(E65,'ESTRUTURA_MODULO(hide)'!$A$2:$D$95,3,FALSE)</f>
        <v>Tasy Web Suite</v>
      </c>
      <c r="H65" s="1" t="str">
        <f>VLOOKUP(E65,'ESTRUTURA_MODULO(hide)'!$A$2:$D$95,4,FALSE)</f>
        <v>Tasy Web Suite</v>
      </c>
      <c r="I65" s="20">
        <v>0</v>
      </c>
      <c r="J65" s="17" t="s">
        <v>2890</v>
      </c>
      <c r="K65" s="17" t="s">
        <v>2890</v>
      </c>
      <c r="L65" s="17" t="s">
        <v>2890</v>
      </c>
      <c r="M65" s="17" t="s">
        <v>2890</v>
      </c>
      <c r="N65" s="17" t="s">
        <v>2890</v>
      </c>
      <c r="O65" s="17" t="s">
        <v>2890</v>
      </c>
      <c r="P65" s="17" t="s">
        <v>2890</v>
      </c>
      <c r="T65" s="17" t="s">
        <v>2889</v>
      </c>
      <c r="U65" s="17" t="s">
        <v>2890</v>
      </c>
      <c r="V65" s="21"/>
      <c r="W65" s="17"/>
      <c r="X65" s="20">
        <v>0</v>
      </c>
    </row>
    <row r="66" spans="1:24">
      <c r="A66" s="1">
        <v>219</v>
      </c>
      <c r="B66" s="426" t="s">
        <v>1670</v>
      </c>
      <c r="C66" s="1" t="s">
        <v>1671</v>
      </c>
      <c r="D66" s="1" t="s">
        <v>1672</v>
      </c>
      <c r="E66" s="1">
        <v>283</v>
      </c>
      <c r="F66" s="1" t="str">
        <f>VLOOKUP(E66,'ESTRUTURA_MODULO(hide)'!$A$2:$D$230,2,FALSE)</f>
        <v>Tasy Web Suite</v>
      </c>
      <c r="G66" s="1" t="str">
        <f>VLOOKUP(E66,'ESTRUTURA_MODULO(hide)'!$A$2:$D$95,3,FALSE)</f>
        <v>Tasy Web Suite</v>
      </c>
      <c r="H66" s="1" t="str">
        <f>VLOOKUP(E66,'ESTRUTURA_MODULO(hide)'!$A$2:$D$95,4,FALSE)</f>
        <v>Tasy Web Suite</v>
      </c>
      <c r="I66" s="20">
        <v>0</v>
      </c>
      <c r="J66" s="17" t="s">
        <v>2890</v>
      </c>
      <c r="K66" s="17" t="s">
        <v>2890</v>
      </c>
      <c r="L66" s="17" t="s">
        <v>2890</v>
      </c>
      <c r="M66" s="17" t="s">
        <v>2890</v>
      </c>
      <c r="N66" s="17" t="s">
        <v>2890</v>
      </c>
      <c r="O66" s="17" t="s">
        <v>2890</v>
      </c>
      <c r="P66" s="17" t="s">
        <v>2890</v>
      </c>
      <c r="T66" s="17" t="s">
        <v>2889</v>
      </c>
      <c r="U66" s="17" t="s">
        <v>2890</v>
      </c>
      <c r="V66" s="21"/>
      <c r="W66" s="17"/>
      <c r="X66" s="20">
        <v>0</v>
      </c>
    </row>
    <row r="67" spans="1:24">
      <c r="A67" s="1">
        <v>217</v>
      </c>
      <c r="B67" s="426" t="s">
        <v>1673</v>
      </c>
      <c r="C67" s="1" t="s">
        <v>1674</v>
      </c>
      <c r="D67" s="1" t="s">
        <v>1675</v>
      </c>
      <c r="E67" s="1">
        <v>283</v>
      </c>
      <c r="F67" s="1" t="str">
        <f>VLOOKUP(E67,'ESTRUTURA_MODULO(hide)'!$A$2:$D$230,2,FALSE)</f>
        <v>Tasy Web Suite</v>
      </c>
      <c r="G67" s="1" t="str">
        <f>VLOOKUP(E67,'ESTRUTURA_MODULO(hide)'!$A$2:$D$95,3,FALSE)</f>
        <v>Tasy Web Suite</v>
      </c>
      <c r="H67" s="1" t="str">
        <f>VLOOKUP(E67,'ESTRUTURA_MODULO(hide)'!$A$2:$D$95,4,FALSE)</f>
        <v>Tasy Web Suite</v>
      </c>
      <c r="I67" s="20">
        <v>0</v>
      </c>
      <c r="J67" s="17" t="s">
        <v>2890</v>
      </c>
      <c r="K67" s="17" t="s">
        <v>2890</v>
      </c>
      <c r="L67" s="17" t="s">
        <v>2890</v>
      </c>
      <c r="M67" s="17" t="s">
        <v>2890</v>
      </c>
      <c r="N67" s="17" t="s">
        <v>2890</v>
      </c>
      <c r="O67" s="17" t="s">
        <v>2890</v>
      </c>
      <c r="P67" s="17" t="s">
        <v>2890</v>
      </c>
      <c r="T67" s="17" t="s">
        <v>2889</v>
      </c>
      <c r="U67" s="17" t="s">
        <v>2890</v>
      </c>
      <c r="V67" s="21"/>
      <c r="W67" s="17"/>
      <c r="X67" s="20">
        <v>0</v>
      </c>
    </row>
    <row r="68" spans="1:24">
      <c r="A68" s="1">
        <v>214</v>
      </c>
      <c r="B68" s="426" t="s">
        <v>1676</v>
      </c>
      <c r="C68" s="1" t="s">
        <v>1677</v>
      </c>
      <c r="D68" s="1" t="s">
        <v>1678</v>
      </c>
      <c r="E68" s="1">
        <v>283</v>
      </c>
      <c r="F68" s="1" t="str">
        <f>VLOOKUP(E68,'ESTRUTURA_MODULO(hide)'!$A$2:$D$230,2,FALSE)</f>
        <v>Tasy Web Suite</v>
      </c>
      <c r="G68" s="1" t="str">
        <f>VLOOKUP(E68,'ESTRUTURA_MODULO(hide)'!$A$2:$D$95,3,FALSE)</f>
        <v>Tasy Web Suite</v>
      </c>
      <c r="H68" s="1" t="str">
        <f>VLOOKUP(E68,'ESTRUTURA_MODULO(hide)'!$A$2:$D$95,4,FALSE)</f>
        <v>Tasy Web Suite</v>
      </c>
      <c r="I68" s="20">
        <v>0</v>
      </c>
      <c r="J68" s="17" t="s">
        <v>2890</v>
      </c>
      <c r="K68" s="17" t="s">
        <v>2890</v>
      </c>
      <c r="L68" s="17" t="s">
        <v>2890</v>
      </c>
      <c r="M68" s="17" t="s">
        <v>2890</v>
      </c>
      <c r="N68" s="17" t="s">
        <v>2890</v>
      </c>
      <c r="O68" s="17" t="s">
        <v>2890</v>
      </c>
      <c r="P68" s="17" t="s">
        <v>2890</v>
      </c>
      <c r="T68" s="17" t="s">
        <v>2889</v>
      </c>
      <c r="U68" s="17" t="s">
        <v>2890</v>
      </c>
      <c r="V68" s="21"/>
      <c r="W68" s="17"/>
      <c r="X68" s="20">
        <v>0</v>
      </c>
    </row>
    <row r="69" spans="1:24">
      <c r="A69" s="1">
        <v>99040</v>
      </c>
      <c r="B69" s="426" t="s">
        <v>1392</v>
      </c>
      <c r="C69" s="1" t="s">
        <v>1393</v>
      </c>
      <c r="D69" s="1" t="s">
        <v>1394</v>
      </c>
      <c r="E69" s="1">
        <v>283</v>
      </c>
      <c r="F69" s="1" t="str">
        <f>VLOOKUP(E69,'ESTRUTURA_MODULO(hide)'!$A$2:$D$230,2,FALSE)</f>
        <v>Tasy Web Suite</v>
      </c>
      <c r="G69" s="1" t="str">
        <f>VLOOKUP(E69,'ESTRUTURA_MODULO(hide)'!$A$2:$D$95,3,FALSE)</f>
        <v>Tasy Web Suite</v>
      </c>
      <c r="H69" s="1" t="str">
        <f>VLOOKUP(E69,'ESTRUTURA_MODULO(hide)'!$A$2:$D$95,4,FALSE)</f>
        <v>Tasy Web Suite</v>
      </c>
      <c r="I69" s="20">
        <v>0</v>
      </c>
      <c r="J69" s="17" t="s">
        <v>2890</v>
      </c>
      <c r="K69" s="17" t="s">
        <v>2890</v>
      </c>
      <c r="L69" s="17" t="s">
        <v>2890</v>
      </c>
      <c r="M69" s="17" t="s">
        <v>2890</v>
      </c>
      <c r="N69" s="17" t="s">
        <v>2890</v>
      </c>
      <c r="O69" s="17" t="s">
        <v>2890</v>
      </c>
      <c r="P69" s="17" t="s">
        <v>2890</v>
      </c>
      <c r="T69" s="17" t="s">
        <v>2889</v>
      </c>
      <c r="U69" s="17" t="s">
        <v>2890</v>
      </c>
      <c r="V69" s="21"/>
      <c r="W69" s="17"/>
      <c r="X69" s="20">
        <v>0</v>
      </c>
    </row>
    <row r="70" spans="1:24">
      <c r="A70" s="1">
        <v>183</v>
      </c>
      <c r="B70" s="426" t="s">
        <v>1399</v>
      </c>
      <c r="C70" s="1" t="s">
        <v>1400</v>
      </c>
      <c r="D70" s="1" t="s">
        <v>1401</v>
      </c>
      <c r="E70" s="1">
        <v>283</v>
      </c>
      <c r="F70" s="1" t="str">
        <f>VLOOKUP(E70,'ESTRUTURA_MODULO(hide)'!$A$2:$D$230,2,FALSE)</f>
        <v>Tasy Web Suite</v>
      </c>
      <c r="G70" s="1" t="str">
        <f>VLOOKUP(E70,'ESTRUTURA_MODULO(hide)'!$A$2:$D$95,3,FALSE)</f>
        <v>Tasy Web Suite</v>
      </c>
      <c r="H70" s="1" t="str">
        <f>VLOOKUP(E70,'ESTRUTURA_MODULO(hide)'!$A$2:$D$95,4,FALSE)</f>
        <v>Tasy Web Suite</v>
      </c>
      <c r="I70" s="20">
        <v>0</v>
      </c>
      <c r="J70" s="17" t="s">
        <v>2890</v>
      </c>
      <c r="K70" s="17" t="s">
        <v>2890</v>
      </c>
      <c r="L70" s="17" t="s">
        <v>2890</v>
      </c>
      <c r="M70" s="17" t="s">
        <v>2890</v>
      </c>
      <c r="N70" s="17" t="s">
        <v>2890</v>
      </c>
      <c r="O70" s="17" t="s">
        <v>2890</v>
      </c>
      <c r="P70" s="17" t="s">
        <v>2890</v>
      </c>
      <c r="T70" s="17" t="s">
        <v>2889</v>
      </c>
      <c r="U70" s="17" t="s">
        <v>2890</v>
      </c>
      <c r="V70" s="21"/>
      <c r="W70" s="17"/>
      <c r="X70" s="20">
        <v>0</v>
      </c>
    </row>
    <row r="71" spans="1:24">
      <c r="A71" s="1">
        <v>158</v>
      </c>
      <c r="B71" s="426" t="s">
        <v>1679</v>
      </c>
      <c r="C71" s="1" t="s">
        <v>1680</v>
      </c>
      <c r="D71" s="1" t="s">
        <v>1681</v>
      </c>
      <c r="E71" s="1">
        <v>283</v>
      </c>
      <c r="F71" s="1" t="str">
        <f>VLOOKUP(E71,'ESTRUTURA_MODULO(hide)'!$A$2:$D$230,2,FALSE)</f>
        <v>Tasy Web Suite</v>
      </c>
      <c r="G71" s="1" t="str">
        <f>VLOOKUP(E71,'ESTRUTURA_MODULO(hide)'!$A$2:$D$95,3,FALSE)</f>
        <v>Tasy Web Suite</v>
      </c>
      <c r="H71" s="1" t="str">
        <f>VLOOKUP(E71,'ESTRUTURA_MODULO(hide)'!$A$2:$D$95,4,FALSE)</f>
        <v>Tasy Web Suite</v>
      </c>
      <c r="I71" s="20">
        <v>0</v>
      </c>
      <c r="J71" s="17" t="s">
        <v>2890</v>
      </c>
      <c r="K71" s="17" t="s">
        <v>2890</v>
      </c>
      <c r="L71" s="17" t="s">
        <v>2890</v>
      </c>
      <c r="M71" s="17" t="s">
        <v>2890</v>
      </c>
      <c r="N71" s="17" t="s">
        <v>2890</v>
      </c>
      <c r="O71" s="17" t="s">
        <v>2890</v>
      </c>
      <c r="P71" s="17" t="s">
        <v>2890</v>
      </c>
      <c r="T71" s="17" t="s">
        <v>2889</v>
      </c>
      <c r="U71" s="17" t="s">
        <v>2890</v>
      </c>
      <c r="V71" s="21"/>
      <c r="W71" s="17"/>
      <c r="X71" s="20">
        <v>0</v>
      </c>
    </row>
    <row r="72" spans="1:24">
      <c r="A72" s="1">
        <v>149</v>
      </c>
      <c r="B72" s="426" t="s">
        <v>1682</v>
      </c>
      <c r="C72" s="1" t="s">
        <v>1683</v>
      </c>
      <c r="D72" s="1" t="s">
        <v>1684</v>
      </c>
      <c r="E72" s="1">
        <v>283</v>
      </c>
      <c r="F72" s="1" t="str">
        <f>VLOOKUP(E72,'ESTRUTURA_MODULO(hide)'!$A$2:$D$230,2,FALSE)</f>
        <v>Tasy Web Suite</v>
      </c>
      <c r="G72" s="1" t="str">
        <f>VLOOKUP(E72,'ESTRUTURA_MODULO(hide)'!$A$2:$D$95,3,FALSE)</f>
        <v>Tasy Web Suite</v>
      </c>
      <c r="H72" s="1" t="str">
        <f>VLOOKUP(E72,'ESTRUTURA_MODULO(hide)'!$A$2:$D$95,4,FALSE)</f>
        <v>Tasy Web Suite</v>
      </c>
      <c r="I72" s="20">
        <v>0</v>
      </c>
      <c r="J72" s="17" t="s">
        <v>2890</v>
      </c>
      <c r="K72" s="17" t="s">
        <v>2890</v>
      </c>
      <c r="L72" s="17" t="s">
        <v>2890</v>
      </c>
      <c r="M72" s="17" t="s">
        <v>2890</v>
      </c>
      <c r="N72" s="17" t="s">
        <v>2890</v>
      </c>
      <c r="O72" s="17" t="s">
        <v>2890</v>
      </c>
      <c r="P72" s="17" t="s">
        <v>2890</v>
      </c>
      <c r="T72" s="17" t="s">
        <v>2889</v>
      </c>
      <c r="U72" s="17" t="s">
        <v>2890</v>
      </c>
      <c r="V72" s="21"/>
      <c r="W72" s="17"/>
      <c r="X72" s="20">
        <v>0</v>
      </c>
    </row>
    <row r="73" spans="1:24">
      <c r="A73" s="1">
        <v>142</v>
      </c>
      <c r="B73" s="426" t="s">
        <v>1685</v>
      </c>
      <c r="C73" s="1" t="s">
        <v>1686</v>
      </c>
      <c r="D73" s="1" t="s">
        <v>1687</v>
      </c>
      <c r="E73" s="1">
        <v>283</v>
      </c>
      <c r="F73" s="1" t="str">
        <f>VLOOKUP(E73,'ESTRUTURA_MODULO(hide)'!$A$2:$D$230,2,FALSE)</f>
        <v>Tasy Web Suite</v>
      </c>
      <c r="G73" s="1" t="str">
        <f>VLOOKUP(E73,'ESTRUTURA_MODULO(hide)'!$A$2:$D$95,3,FALSE)</f>
        <v>Tasy Web Suite</v>
      </c>
      <c r="H73" s="1" t="str">
        <f>VLOOKUP(E73,'ESTRUTURA_MODULO(hide)'!$A$2:$D$95,4,FALSE)</f>
        <v>Tasy Web Suite</v>
      </c>
      <c r="I73" s="20">
        <v>0</v>
      </c>
      <c r="J73" s="17" t="s">
        <v>2890</v>
      </c>
      <c r="K73" s="17" t="s">
        <v>2890</v>
      </c>
      <c r="L73" s="17" t="s">
        <v>2890</v>
      </c>
      <c r="M73" s="17" t="s">
        <v>2890</v>
      </c>
      <c r="N73" s="17" t="s">
        <v>2890</v>
      </c>
      <c r="O73" s="17" t="s">
        <v>2890</v>
      </c>
      <c r="P73" s="17" t="s">
        <v>2890</v>
      </c>
      <c r="T73" s="17" t="s">
        <v>2889</v>
      </c>
      <c r="U73" s="17" t="s">
        <v>2890</v>
      </c>
      <c r="V73" s="21"/>
      <c r="W73" s="17"/>
      <c r="X73" s="20">
        <v>0</v>
      </c>
    </row>
    <row r="74" spans="1:24">
      <c r="A74" s="1">
        <v>141</v>
      </c>
      <c r="B74" s="426" t="s">
        <v>1688</v>
      </c>
      <c r="C74" s="1" t="s">
        <v>1689</v>
      </c>
      <c r="D74" s="1" t="s">
        <v>1690</v>
      </c>
      <c r="E74" s="1">
        <v>283</v>
      </c>
      <c r="F74" s="1" t="str">
        <f>VLOOKUP(E74,'ESTRUTURA_MODULO(hide)'!$A$2:$D$230,2,FALSE)</f>
        <v>Tasy Web Suite</v>
      </c>
      <c r="G74" s="1" t="str">
        <f>VLOOKUP(E74,'ESTRUTURA_MODULO(hide)'!$A$2:$D$95,3,FALSE)</f>
        <v>Tasy Web Suite</v>
      </c>
      <c r="H74" s="1" t="str">
        <f>VLOOKUP(E74,'ESTRUTURA_MODULO(hide)'!$A$2:$D$95,4,FALSE)</f>
        <v>Tasy Web Suite</v>
      </c>
      <c r="I74" s="20">
        <v>0</v>
      </c>
      <c r="J74" s="17" t="s">
        <v>2890</v>
      </c>
      <c r="K74" s="17" t="s">
        <v>2890</v>
      </c>
      <c r="L74" s="17" t="s">
        <v>2890</v>
      </c>
      <c r="M74" s="17" t="s">
        <v>2890</v>
      </c>
      <c r="N74" s="17" t="s">
        <v>2890</v>
      </c>
      <c r="O74" s="17" t="s">
        <v>2890</v>
      </c>
      <c r="P74" s="17" t="s">
        <v>2890</v>
      </c>
      <c r="T74" s="17" t="s">
        <v>2889</v>
      </c>
      <c r="U74" s="17" t="s">
        <v>2890</v>
      </c>
      <c r="V74" s="21"/>
      <c r="W74" s="17"/>
      <c r="X74" s="20">
        <v>0</v>
      </c>
    </row>
    <row r="75" spans="1:24">
      <c r="A75" s="1">
        <v>133</v>
      </c>
      <c r="B75" s="426" t="s">
        <v>1691</v>
      </c>
      <c r="C75" s="1" t="s">
        <v>1692</v>
      </c>
      <c r="D75" s="1" t="s">
        <v>1693</v>
      </c>
      <c r="E75" s="1">
        <v>283</v>
      </c>
      <c r="F75" s="1" t="str">
        <f>VLOOKUP(E75,'ESTRUTURA_MODULO(hide)'!$A$2:$D$230,2,FALSE)</f>
        <v>Tasy Web Suite</v>
      </c>
      <c r="G75" s="1" t="str">
        <f>VLOOKUP(E75,'ESTRUTURA_MODULO(hide)'!$A$2:$D$95,3,FALSE)</f>
        <v>Tasy Web Suite</v>
      </c>
      <c r="H75" s="1" t="str">
        <f>VLOOKUP(E75,'ESTRUTURA_MODULO(hide)'!$A$2:$D$95,4,FALSE)</f>
        <v>Tasy Web Suite</v>
      </c>
      <c r="I75" s="20">
        <v>0</v>
      </c>
      <c r="J75" s="17" t="s">
        <v>2890</v>
      </c>
      <c r="K75" s="17" t="s">
        <v>2890</v>
      </c>
      <c r="L75" s="17" t="s">
        <v>2890</v>
      </c>
      <c r="M75" s="17" t="s">
        <v>2890</v>
      </c>
      <c r="N75" s="17" t="s">
        <v>2890</v>
      </c>
      <c r="O75" s="17" t="s">
        <v>2890</v>
      </c>
      <c r="P75" s="17" t="s">
        <v>2890</v>
      </c>
      <c r="T75" s="17" t="s">
        <v>2889</v>
      </c>
      <c r="U75" s="17" t="s">
        <v>2890</v>
      </c>
      <c r="V75" s="21"/>
      <c r="W75" s="17"/>
      <c r="X75" s="20">
        <v>0</v>
      </c>
    </row>
    <row r="76" spans="1:24">
      <c r="A76" s="1">
        <v>129</v>
      </c>
      <c r="B76" s="426" t="s">
        <v>1694</v>
      </c>
      <c r="C76" s="1" t="s">
        <v>1695</v>
      </c>
      <c r="D76" s="1" t="s">
        <v>1696</v>
      </c>
      <c r="E76" s="1">
        <v>283</v>
      </c>
      <c r="F76" s="1" t="str">
        <f>VLOOKUP(E76,'ESTRUTURA_MODULO(hide)'!$A$2:$D$230,2,FALSE)</f>
        <v>Tasy Web Suite</v>
      </c>
      <c r="G76" s="1" t="str">
        <f>VLOOKUP(E76,'ESTRUTURA_MODULO(hide)'!$A$2:$D$95,3,FALSE)</f>
        <v>Tasy Web Suite</v>
      </c>
      <c r="H76" s="1" t="str">
        <f>VLOOKUP(E76,'ESTRUTURA_MODULO(hide)'!$A$2:$D$95,4,FALSE)</f>
        <v>Tasy Web Suite</v>
      </c>
      <c r="I76" s="20">
        <v>0</v>
      </c>
      <c r="J76" s="17" t="s">
        <v>2890</v>
      </c>
      <c r="K76" s="17" t="s">
        <v>2890</v>
      </c>
      <c r="L76" s="17" t="s">
        <v>2890</v>
      </c>
      <c r="M76" s="17" t="s">
        <v>2890</v>
      </c>
      <c r="N76" s="17" t="s">
        <v>2890</v>
      </c>
      <c r="O76" s="17" t="s">
        <v>2890</v>
      </c>
      <c r="P76" s="17" t="s">
        <v>2890</v>
      </c>
      <c r="T76" s="17" t="s">
        <v>2889</v>
      </c>
      <c r="U76" s="17" t="s">
        <v>2890</v>
      </c>
      <c r="V76" s="21"/>
      <c r="W76" s="17"/>
      <c r="X76" s="20">
        <v>0</v>
      </c>
    </row>
    <row r="77" spans="1:24">
      <c r="A77" s="1">
        <v>118</v>
      </c>
      <c r="B77" s="426" t="s">
        <v>1697</v>
      </c>
      <c r="C77" s="1" t="s">
        <v>1698</v>
      </c>
      <c r="D77" s="1" t="s">
        <v>1699</v>
      </c>
      <c r="E77" s="1">
        <v>283</v>
      </c>
      <c r="F77" s="1" t="str">
        <f>VLOOKUP(E77,'ESTRUTURA_MODULO(hide)'!$A$2:$D$230,2,FALSE)</f>
        <v>Tasy Web Suite</v>
      </c>
      <c r="G77" s="1" t="str">
        <f>VLOOKUP(E77,'ESTRUTURA_MODULO(hide)'!$A$2:$D$95,3,FALSE)</f>
        <v>Tasy Web Suite</v>
      </c>
      <c r="H77" s="1" t="str">
        <f>VLOOKUP(E77,'ESTRUTURA_MODULO(hide)'!$A$2:$D$95,4,FALSE)</f>
        <v>Tasy Web Suite</v>
      </c>
      <c r="I77" s="20">
        <v>0</v>
      </c>
      <c r="J77" s="17" t="s">
        <v>2890</v>
      </c>
      <c r="K77" s="17" t="s">
        <v>2890</v>
      </c>
      <c r="L77" s="17" t="s">
        <v>2890</v>
      </c>
      <c r="M77" s="17" t="s">
        <v>2890</v>
      </c>
      <c r="N77" s="17" t="s">
        <v>2890</v>
      </c>
      <c r="O77" s="17" t="s">
        <v>2890</v>
      </c>
      <c r="P77" s="17" t="s">
        <v>2890</v>
      </c>
      <c r="T77" s="17" t="s">
        <v>2889</v>
      </c>
      <c r="U77" s="17" t="s">
        <v>2890</v>
      </c>
      <c r="V77" s="21"/>
      <c r="W77" s="17"/>
      <c r="X77" s="20">
        <v>0</v>
      </c>
    </row>
    <row r="78" spans="1:24">
      <c r="A78" s="1">
        <v>117</v>
      </c>
      <c r="B78" s="426" t="s">
        <v>1700</v>
      </c>
      <c r="C78" s="1" t="s">
        <v>1701</v>
      </c>
      <c r="D78" s="1" t="s">
        <v>1702</v>
      </c>
      <c r="E78" s="1">
        <v>283</v>
      </c>
      <c r="F78" s="1" t="str">
        <f>VLOOKUP(E78,'ESTRUTURA_MODULO(hide)'!$A$2:$D$230,2,FALSE)</f>
        <v>Tasy Web Suite</v>
      </c>
      <c r="G78" s="1" t="str">
        <f>VLOOKUP(E78,'ESTRUTURA_MODULO(hide)'!$A$2:$D$95,3,FALSE)</f>
        <v>Tasy Web Suite</v>
      </c>
      <c r="H78" s="1" t="str">
        <f>VLOOKUP(E78,'ESTRUTURA_MODULO(hide)'!$A$2:$D$95,4,FALSE)</f>
        <v>Tasy Web Suite</v>
      </c>
      <c r="I78" s="20">
        <v>0</v>
      </c>
      <c r="J78" s="17" t="s">
        <v>2890</v>
      </c>
      <c r="K78" s="17" t="s">
        <v>2890</v>
      </c>
      <c r="L78" s="17" t="s">
        <v>2890</v>
      </c>
      <c r="M78" s="17" t="s">
        <v>2890</v>
      </c>
      <c r="N78" s="17" t="s">
        <v>2890</v>
      </c>
      <c r="O78" s="17" t="s">
        <v>2890</v>
      </c>
      <c r="P78" s="17" t="s">
        <v>2890</v>
      </c>
      <c r="T78" s="17" t="s">
        <v>2889</v>
      </c>
      <c r="U78" s="17" t="s">
        <v>2890</v>
      </c>
      <c r="V78" s="21"/>
      <c r="W78" s="17"/>
      <c r="X78" s="20">
        <v>0</v>
      </c>
    </row>
    <row r="79" spans="1:24">
      <c r="A79" s="1">
        <v>115</v>
      </c>
      <c r="B79" s="426" t="s">
        <v>1703</v>
      </c>
      <c r="C79" s="1" t="s">
        <v>1704</v>
      </c>
      <c r="D79" s="1" t="s">
        <v>1705</v>
      </c>
      <c r="E79" s="1">
        <v>283</v>
      </c>
      <c r="F79" s="1" t="str">
        <f>VLOOKUP(E79,'ESTRUTURA_MODULO(hide)'!$A$2:$D$230,2,FALSE)</f>
        <v>Tasy Web Suite</v>
      </c>
      <c r="G79" s="1" t="str">
        <f>VLOOKUP(E79,'ESTRUTURA_MODULO(hide)'!$A$2:$D$95,3,FALSE)</f>
        <v>Tasy Web Suite</v>
      </c>
      <c r="H79" s="1" t="str">
        <f>VLOOKUP(E79,'ESTRUTURA_MODULO(hide)'!$A$2:$D$95,4,FALSE)</f>
        <v>Tasy Web Suite</v>
      </c>
      <c r="I79" s="20">
        <v>0</v>
      </c>
      <c r="J79" s="17" t="s">
        <v>2890</v>
      </c>
      <c r="K79" s="17" t="s">
        <v>2890</v>
      </c>
      <c r="L79" s="17" t="s">
        <v>2890</v>
      </c>
      <c r="M79" s="17" t="s">
        <v>2890</v>
      </c>
      <c r="N79" s="17" t="s">
        <v>2890</v>
      </c>
      <c r="O79" s="17" t="s">
        <v>2890</v>
      </c>
      <c r="P79" s="17" t="s">
        <v>2890</v>
      </c>
      <c r="T79" s="17" t="s">
        <v>2889</v>
      </c>
      <c r="U79" s="17" t="s">
        <v>2890</v>
      </c>
      <c r="V79" s="21"/>
      <c r="W79" s="17"/>
      <c r="X79" s="20">
        <v>0</v>
      </c>
    </row>
    <row r="80" spans="1:24">
      <c r="A80" s="1">
        <v>114</v>
      </c>
      <c r="B80" s="426" t="s">
        <v>1706</v>
      </c>
      <c r="C80" s="1" t="s">
        <v>1707</v>
      </c>
      <c r="D80" s="1" t="s">
        <v>1708</v>
      </c>
      <c r="E80" s="1">
        <v>283</v>
      </c>
      <c r="F80" s="1" t="str">
        <f>VLOOKUP(E80,'ESTRUTURA_MODULO(hide)'!$A$2:$D$230,2,FALSE)</f>
        <v>Tasy Web Suite</v>
      </c>
      <c r="G80" s="1" t="str">
        <f>VLOOKUP(E80,'ESTRUTURA_MODULO(hide)'!$A$2:$D$95,3,FALSE)</f>
        <v>Tasy Web Suite</v>
      </c>
      <c r="H80" s="1" t="str">
        <f>VLOOKUP(E80,'ESTRUTURA_MODULO(hide)'!$A$2:$D$95,4,FALSE)</f>
        <v>Tasy Web Suite</v>
      </c>
      <c r="I80" s="20">
        <v>0</v>
      </c>
      <c r="J80" s="17" t="s">
        <v>2890</v>
      </c>
      <c r="K80" s="17" t="s">
        <v>2890</v>
      </c>
      <c r="L80" s="17" t="s">
        <v>2890</v>
      </c>
      <c r="M80" s="17" t="s">
        <v>2890</v>
      </c>
      <c r="N80" s="17" t="s">
        <v>2890</v>
      </c>
      <c r="O80" s="17" t="s">
        <v>2890</v>
      </c>
      <c r="P80" s="17" t="s">
        <v>2890</v>
      </c>
      <c r="T80" s="17" t="s">
        <v>2889</v>
      </c>
      <c r="U80" s="17" t="s">
        <v>2890</v>
      </c>
      <c r="V80" s="21"/>
      <c r="W80" s="17"/>
      <c r="X80" s="20">
        <v>0</v>
      </c>
    </row>
    <row r="81" spans="1:24">
      <c r="A81" s="1">
        <v>108</v>
      </c>
      <c r="B81" s="426" t="s">
        <v>1709</v>
      </c>
      <c r="C81" s="1" t="s">
        <v>1710</v>
      </c>
      <c r="D81" s="1" t="s">
        <v>1711</v>
      </c>
      <c r="E81" s="1">
        <v>283</v>
      </c>
      <c r="F81" s="1" t="str">
        <f>VLOOKUP(E81,'ESTRUTURA_MODULO(hide)'!$A$2:$D$230,2,FALSE)</f>
        <v>Tasy Web Suite</v>
      </c>
      <c r="G81" s="1" t="str">
        <f>VLOOKUP(E81,'ESTRUTURA_MODULO(hide)'!$A$2:$D$95,3,FALSE)</f>
        <v>Tasy Web Suite</v>
      </c>
      <c r="H81" s="1" t="str">
        <f>VLOOKUP(E81,'ESTRUTURA_MODULO(hide)'!$A$2:$D$95,4,FALSE)</f>
        <v>Tasy Web Suite</v>
      </c>
      <c r="I81" s="20">
        <v>0</v>
      </c>
      <c r="J81" s="17" t="s">
        <v>2890</v>
      </c>
      <c r="K81" s="17" t="s">
        <v>2890</v>
      </c>
      <c r="L81" s="17" t="s">
        <v>2890</v>
      </c>
      <c r="M81" s="17" t="s">
        <v>2890</v>
      </c>
      <c r="N81" s="17" t="s">
        <v>2890</v>
      </c>
      <c r="O81" s="17" t="s">
        <v>2890</v>
      </c>
      <c r="P81" s="17" t="s">
        <v>2890</v>
      </c>
      <c r="T81" s="17" t="s">
        <v>2889</v>
      </c>
      <c r="U81" s="17" t="s">
        <v>2890</v>
      </c>
      <c r="V81" s="21"/>
      <c r="W81" s="17"/>
      <c r="X81" s="20">
        <v>0</v>
      </c>
    </row>
    <row r="82" spans="1:24">
      <c r="A82" s="1">
        <v>99024</v>
      </c>
      <c r="B82" s="35" t="s">
        <v>1071</v>
      </c>
      <c r="C82" s="1" t="s">
        <v>1072</v>
      </c>
      <c r="D82" s="1" t="s">
        <v>1073</v>
      </c>
      <c r="E82" s="35">
        <v>88</v>
      </c>
      <c r="F82" s="1" t="str">
        <f>VLOOKUP(E82,'ESTRUTURA_MODULO(hide)'!$A$2:$D$230,2,FALSE)</f>
        <v>Prontuário Eletrônico</v>
      </c>
      <c r="G82" s="1" t="str">
        <f>VLOOKUP(E82,'ESTRUTURA_MODULO(hide)'!$A$2:$D$95,3,FALSE)</f>
        <v>Electronic Medical Record</v>
      </c>
      <c r="H82" s="1" t="str">
        <f>VLOOKUP(E82,'ESTRUTURA_MODULO(hide)'!$A$2:$D$95,4,FALSE)</f>
        <v>Expediente electrónico</v>
      </c>
      <c r="I82" s="37">
        <v>1</v>
      </c>
      <c r="J82" s="17" t="s">
        <v>2889</v>
      </c>
      <c r="K82" s="17" t="s">
        <v>2889</v>
      </c>
      <c r="L82" s="17" t="s">
        <v>2889</v>
      </c>
      <c r="M82" s="17" t="s">
        <v>2890</v>
      </c>
      <c r="N82" s="38" t="s">
        <v>2889</v>
      </c>
      <c r="O82" s="17" t="s">
        <v>2889</v>
      </c>
      <c r="P82" s="17" t="s">
        <v>2889</v>
      </c>
      <c r="T82" s="17" t="s">
        <v>2889</v>
      </c>
      <c r="U82" s="17" t="s">
        <v>2890</v>
      </c>
      <c r="V82" s="36" t="s">
        <v>16</v>
      </c>
      <c r="W82" s="17"/>
      <c r="X82" s="20">
        <v>24</v>
      </c>
    </row>
    <row r="83" spans="1:24">
      <c r="A83" s="1">
        <v>99023</v>
      </c>
      <c r="B83" s="35" t="s">
        <v>1407</v>
      </c>
      <c r="C83" s="1" t="s">
        <v>1408</v>
      </c>
      <c r="D83" s="1" t="s">
        <v>1409</v>
      </c>
      <c r="E83" s="35">
        <v>88</v>
      </c>
      <c r="F83" s="1" t="str">
        <f>VLOOKUP(E83,'ESTRUTURA_MODULO(hide)'!$A$2:$D$230,2,FALSE)</f>
        <v>Prontuário Eletrônico</v>
      </c>
      <c r="G83" s="1" t="str">
        <f>VLOOKUP(E83,'ESTRUTURA_MODULO(hide)'!$A$2:$D$95,3,FALSE)</f>
        <v>Electronic Medical Record</v>
      </c>
      <c r="H83" s="1" t="str">
        <f>VLOOKUP(E83,'ESTRUTURA_MODULO(hide)'!$A$2:$D$95,4,FALSE)</f>
        <v>Expediente electrónico</v>
      </c>
      <c r="I83" s="37">
        <v>1</v>
      </c>
      <c r="J83" s="17" t="s">
        <v>2889</v>
      </c>
      <c r="K83" s="17" t="s">
        <v>2889</v>
      </c>
      <c r="L83" s="17" t="s">
        <v>2889</v>
      </c>
      <c r="M83" s="17" t="s">
        <v>2890</v>
      </c>
      <c r="N83" s="38" t="s">
        <v>2889</v>
      </c>
      <c r="O83" s="17" t="s">
        <v>2889</v>
      </c>
      <c r="P83" s="17" t="s">
        <v>2889</v>
      </c>
      <c r="T83" s="17" t="s">
        <v>2889</v>
      </c>
      <c r="U83" s="17" t="s">
        <v>2890</v>
      </c>
      <c r="V83" s="36" t="s">
        <v>16</v>
      </c>
      <c r="W83" s="17"/>
      <c r="X83" s="20">
        <v>40</v>
      </c>
    </row>
    <row r="84" spans="1:24">
      <c r="A84" s="1">
        <v>161</v>
      </c>
      <c r="B84" s="426" t="s">
        <v>1712</v>
      </c>
      <c r="C84" s="1" t="s">
        <v>1713</v>
      </c>
      <c r="D84" s="1" t="s">
        <v>1714</v>
      </c>
      <c r="E84" s="1">
        <v>283</v>
      </c>
      <c r="F84" s="1" t="str">
        <f>VLOOKUP(E84,'ESTRUTURA_MODULO(hide)'!$A$2:$D$230,2,FALSE)</f>
        <v>Tasy Web Suite</v>
      </c>
      <c r="G84" s="1" t="str">
        <f>VLOOKUP(E84,'ESTRUTURA_MODULO(hide)'!$A$2:$D$95,3,FALSE)</f>
        <v>Tasy Web Suite</v>
      </c>
      <c r="H84" s="1" t="str">
        <f>VLOOKUP(E84,'ESTRUTURA_MODULO(hide)'!$A$2:$D$95,4,FALSE)</f>
        <v>Tasy Web Suite</v>
      </c>
      <c r="I84" s="20">
        <v>0</v>
      </c>
      <c r="J84" s="17" t="s">
        <v>2890</v>
      </c>
      <c r="K84" s="17" t="s">
        <v>2890</v>
      </c>
      <c r="L84" s="17" t="s">
        <v>2890</v>
      </c>
      <c r="M84" s="17" t="s">
        <v>2890</v>
      </c>
      <c r="N84" s="17" t="s">
        <v>2890</v>
      </c>
      <c r="O84" s="17" t="s">
        <v>2890</v>
      </c>
      <c r="P84" s="17" t="s">
        <v>2890</v>
      </c>
      <c r="T84" s="17" t="s">
        <v>2889</v>
      </c>
      <c r="U84" s="17" t="s">
        <v>2890</v>
      </c>
      <c r="V84" s="21"/>
      <c r="W84" s="17"/>
      <c r="X84" s="20">
        <v>0</v>
      </c>
    </row>
    <row r="85" spans="1:24">
      <c r="A85" s="1">
        <v>77</v>
      </c>
      <c r="B85" s="426" t="s">
        <v>1715</v>
      </c>
      <c r="C85" s="1" t="s">
        <v>1716</v>
      </c>
      <c r="D85" s="1" t="s">
        <v>1717</v>
      </c>
      <c r="E85" s="1">
        <v>283</v>
      </c>
      <c r="F85" s="1" t="str">
        <f>VLOOKUP(E85,'ESTRUTURA_MODULO(hide)'!$A$2:$D$230,2,FALSE)</f>
        <v>Tasy Web Suite</v>
      </c>
      <c r="G85" s="1" t="str">
        <f>VLOOKUP(E85,'ESTRUTURA_MODULO(hide)'!$A$2:$D$95,3,FALSE)</f>
        <v>Tasy Web Suite</v>
      </c>
      <c r="H85" s="1" t="str">
        <f>VLOOKUP(E85,'ESTRUTURA_MODULO(hide)'!$A$2:$D$95,4,FALSE)</f>
        <v>Tasy Web Suite</v>
      </c>
      <c r="I85" s="20">
        <v>0</v>
      </c>
      <c r="J85" s="17" t="s">
        <v>2890</v>
      </c>
      <c r="K85" s="17" t="s">
        <v>2890</v>
      </c>
      <c r="L85" s="17" t="s">
        <v>2890</v>
      </c>
      <c r="M85" s="17" t="s">
        <v>2890</v>
      </c>
      <c r="N85" s="17" t="s">
        <v>2890</v>
      </c>
      <c r="O85" s="17" t="s">
        <v>2890</v>
      </c>
      <c r="P85" s="17" t="s">
        <v>2890</v>
      </c>
      <c r="T85" s="17" t="s">
        <v>2889</v>
      </c>
      <c r="U85" s="17" t="s">
        <v>2890</v>
      </c>
      <c r="V85" s="21"/>
      <c r="W85" s="17"/>
      <c r="X85" s="20">
        <v>0</v>
      </c>
    </row>
    <row r="86" spans="1:24">
      <c r="A86" s="1">
        <v>10250</v>
      </c>
      <c r="B86" s="426" t="s">
        <v>1718</v>
      </c>
      <c r="C86" s="1" t="s">
        <v>1719</v>
      </c>
      <c r="D86" s="1" t="s">
        <v>1720</v>
      </c>
      <c r="E86" s="1">
        <v>283</v>
      </c>
      <c r="F86" s="1" t="str">
        <f>VLOOKUP(E86,'ESTRUTURA_MODULO(hide)'!$A$2:$D$230,2,FALSE)</f>
        <v>Tasy Web Suite</v>
      </c>
      <c r="G86" s="1" t="str">
        <f>VLOOKUP(E86,'ESTRUTURA_MODULO(hide)'!$A$2:$D$95,3,FALSE)</f>
        <v>Tasy Web Suite</v>
      </c>
      <c r="H86" s="1" t="str">
        <f>VLOOKUP(E86,'ESTRUTURA_MODULO(hide)'!$A$2:$D$95,4,FALSE)</f>
        <v>Tasy Web Suite</v>
      </c>
      <c r="I86" s="20">
        <v>0</v>
      </c>
      <c r="J86" s="17" t="s">
        <v>2890</v>
      </c>
      <c r="K86" s="17" t="s">
        <v>2890</v>
      </c>
      <c r="L86" s="17" t="s">
        <v>2890</v>
      </c>
      <c r="M86" s="17" t="s">
        <v>2890</v>
      </c>
      <c r="N86" s="17" t="s">
        <v>2890</v>
      </c>
      <c r="O86" s="17" t="s">
        <v>2890</v>
      </c>
      <c r="P86" s="17" t="s">
        <v>2890</v>
      </c>
      <c r="T86" s="17" t="s">
        <v>2889</v>
      </c>
      <c r="U86" s="17" t="s">
        <v>2890</v>
      </c>
      <c r="V86" s="21"/>
      <c r="W86" s="17"/>
      <c r="X86" s="20">
        <v>0</v>
      </c>
    </row>
    <row r="87" spans="1:24">
      <c r="A87" s="1">
        <v>57</v>
      </c>
      <c r="B87" s="426" t="s">
        <v>1208</v>
      </c>
      <c r="C87" s="1" t="s">
        <v>1209</v>
      </c>
      <c r="D87" s="1" t="s">
        <v>1210</v>
      </c>
      <c r="E87" s="1">
        <v>283</v>
      </c>
      <c r="F87" s="1" t="str">
        <f>VLOOKUP(E87,'ESTRUTURA_MODULO(hide)'!$A$2:$D$230,2,FALSE)</f>
        <v>Tasy Web Suite</v>
      </c>
      <c r="G87" s="1" t="str">
        <f>VLOOKUP(E87,'ESTRUTURA_MODULO(hide)'!$A$2:$D$95,3,FALSE)</f>
        <v>Tasy Web Suite</v>
      </c>
      <c r="H87" s="1" t="str">
        <f>VLOOKUP(E87,'ESTRUTURA_MODULO(hide)'!$A$2:$D$95,4,FALSE)</f>
        <v>Tasy Web Suite</v>
      </c>
      <c r="I87" s="20">
        <v>0</v>
      </c>
      <c r="J87" s="17" t="s">
        <v>2890</v>
      </c>
      <c r="K87" s="17" t="s">
        <v>2890</v>
      </c>
      <c r="L87" s="17" t="s">
        <v>2890</v>
      </c>
      <c r="M87" s="17" t="s">
        <v>2890</v>
      </c>
      <c r="N87" s="17" t="s">
        <v>2890</v>
      </c>
      <c r="O87" s="17" t="s">
        <v>2890</v>
      </c>
      <c r="P87" s="17" t="s">
        <v>2890</v>
      </c>
      <c r="T87" s="17" t="s">
        <v>2889</v>
      </c>
      <c r="U87" s="17" t="s">
        <v>2890</v>
      </c>
      <c r="V87" s="21"/>
      <c r="W87" s="17"/>
      <c r="X87" s="20">
        <v>0</v>
      </c>
    </row>
    <row r="88" spans="1:24">
      <c r="A88" s="1">
        <v>10251</v>
      </c>
      <c r="B88" s="426" t="s">
        <v>1721</v>
      </c>
      <c r="C88" s="1" t="s">
        <v>1722</v>
      </c>
      <c r="D88" s="1" t="s">
        <v>1723</v>
      </c>
      <c r="E88" s="1">
        <v>283</v>
      </c>
      <c r="F88" s="1" t="str">
        <f>VLOOKUP(E88,'ESTRUTURA_MODULO(hide)'!$A$2:$D$230,2,FALSE)</f>
        <v>Tasy Web Suite</v>
      </c>
      <c r="G88" s="1" t="str">
        <f>VLOOKUP(E88,'ESTRUTURA_MODULO(hide)'!$A$2:$D$95,3,FALSE)</f>
        <v>Tasy Web Suite</v>
      </c>
      <c r="H88" s="1" t="str">
        <f>VLOOKUP(E88,'ESTRUTURA_MODULO(hide)'!$A$2:$D$95,4,FALSE)</f>
        <v>Tasy Web Suite</v>
      </c>
      <c r="I88" s="20">
        <v>0</v>
      </c>
      <c r="J88" s="17" t="s">
        <v>2890</v>
      </c>
      <c r="K88" s="17" t="s">
        <v>2890</v>
      </c>
      <c r="L88" s="17" t="s">
        <v>2890</v>
      </c>
      <c r="M88" s="17" t="s">
        <v>2890</v>
      </c>
      <c r="N88" s="17" t="s">
        <v>2890</v>
      </c>
      <c r="O88" s="17" t="s">
        <v>2890</v>
      </c>
      <c r="P88" s="17" t="s">
        <v>2890</v>
      </c>
      <c r="T88" s="17" t="s">
        <v>2889</v>
      </c>
      <c r="U88" s="17" t="s">
        <v>2890</v>
      </c>
      <c r="V88" s="21"/>
      <c r="W88" s="17"/>
      <c r="X88" s="20">
        <v>0</v>
      </c>
    </row>
    <row r="89" spans="1:24">
      <c r="A89" s="1">
        <v>835</v>
      </c>
      <c r="B89" s="35" t="s">
        <v>1360</v>
      </c>
      <c r="C89" s="1" t="s">
        <v>1361</v>
      </c>
      <c r="D89" s="1" t="s">
        <v>1362</v>
      </c>
      <c r="E89" s="35">
        <v>28</v>
      </c>
      <c r="F89" s="1" t="str">
        <f>VLOOKUP(E89,'ESTRUTURA_MODULO(hide)'!$A$2:$D$230,2,FALSE)</f>
        <v>Contas a Receber</v>
      </c>
      <c r="G89" s="1" t="str">
        <f>VLOOKUP(E89,'ESTRUTURA_MODULO(hide)'!$A$2:$D$95,3,FALSE)</f>
        <v xml:space="preserve">Accounts receivable </v>
      </c>
      <c r="H89" s="1" t="str">
        <f>VLOOKUP(E89,'ESTRUTURA_MODULO(hide)'!$A$2:$D$95,4,FALSE)</f>
        <v>Cuentas por Cobrar</v>
      </c>
      <c r="I89" s="37">
        <v>4</v>
      </c>
      <c r="J89" s="17" t="s">
        <v>2890</v>
      </c>
      <c r="K89" s="17" t="s">
        <v>2890</v>
      </c>
      <c r="L89" s="17" t="s">
        <v>2889</v>
      </c>
      <c r="M89" s="17" t="s">
        <v>2890</v>
      </c>
      <c r="N89" s="38" t="s">
        <v>2889</v>
      </c>
      <c r="O89" s="17" t="s">
        <v>2890</v>
      </c>
      <c r="P89" s="17" t="s">
        <v>2890</v>
      </c>
      <c r="T89" s="17" t="s">
        <v>2889</v>
      </c>
      <c r="U89" s="17" t="s">
        <v>2890</v>
      </c>
      <c r="V89" s="36" t="s">
        <v>9</v>
      </c>
      <c r="W89" s="17"/>
      <c r="X89" s="20">
        <v>4</v>
      </c>
    </row>
    <row r="90" spans="1:24">
      <c r="A90" s="1">
        <v>99020</v>
      </c>
      <c r="B90" s="426" t="s">
        <v>1389</v>
      </c>
      <c r="C90" s="1" t="s">
        <v>1390</v>
      </c>
      <c r="D90" s="1" t="s">
        <v>1391</v>
      </c>
      <c r="E90" s="1">
        <v>283</v>
      </c>
      <c r="F90" s="1" t="str">
        <f>VLOOKUP(E90,'ESTRUTURA_MODULO(hide)'!$A$2:$D$230,2,FALSE)</f>
        <v>Tasy Web Suite</v>
      </c>
      <c r="G90" s="1" t="str">
        <f>VLOOKUP(E90,'ESTRUTURA_MODULO(hide)'!$A$2:$D$95,3,FALSE)</f>
        <v>Tasy Web Suite</v>
      </c>
      <c r="H90" s="1" t="str">
        <f>VLOOKUP(E90,'ESTRUTURA_MODULO(hide)'!$A$2:$D$95,4,FALSE)</f>
        <v>Tasy Web Suite</v>
      </c>
      <c r="I90" s="20">
        <v>0</v>
      </c>
      <c r="J90" s="17" t="s">
        <v>2890</v>
      </c>
      <c r="K90" s="17" t="s">
        <v>2890</v>
      </c>
      <c r="L90" s="17" t="s">
        <v>2890</v>
      </c>
      <c r="M90" s="17" t="s">
        <v>2890</v>
      </c>
      <c r="N90" s="17" t="s">
        <v>2890</v>
      </c>
      <c r="O90" s="17" t="s">
        <v>2890</v>
      </c>
      <c r="P90" s="17" t="s">
        <v>2890</v>
      </c>
      <c r="T90" s="17" t="s">
        <v>2889</v>
      </c>
      <c r="U90" s="17" t="s">
        <v>2890</v>
      </c>
      <c r="V90" s="21"/>
      <c r="W90" s="17"/>
      <c r="X90" s="20">
        <v>0</v>
      </c>
    </row>
    <row r="91" spans="1:24">
      <c r="A91" s="1">
        <v>10207</v>
      </c>
      <c r="B91" s="1" t="s">
        <v>1386</v>
      </c>
      <c r="C91" s="1" t="s">
        <v>1387</v>
      </c>
      <c r="D91" s="1" t="s">
        <v>1388</v>
      </c>
      <c r="E91" s="1">
        <v>283</v>
      </c>
      <c r="F91" s="1" t="str">
        <f>VLOOKUP(E91,'ESTRUTURA_MODULO(hide)'!$A$2:$D$230,2,FALSE)</f>
        <v>Tasy Web Suite</v>
      </c>
      <c r="G91" s="1" t="str">
        <f>VLOOKUP(E91,'ESTRUTURA_MODULO(hide)'!$A$2:$D$95,3,FALSE)</f>
        <v>Tasy Web Suite</v>
      </c>
      <c r="H91" s="1" t="str">
        <f>VLOOKUP(E91,'ESTRUTURA_MODULO(hide)'!$A$2:$D$95,4,FALSE)</f>
        <v>Tasy Web Suite</v>
      </c>
      <c r="I91" s="20">
        <v>0</v>
      </c>
      <c r="J91" s="17" t="s">
        <v>2890</v>
      </c>
      <c r="K91" s="17" t="s">
        <v>2890</v>
      </c>
      <c r="L91" s="17" t="s">
        <v>2890</v>
      </c>
      <c r="M91" s="17" t="s">
        <v>2890</v>
      </c>
      <c r="N91" s="17" t="s">
        <v>2890</v>
      </c>
      <c r="O91" s="17" t="s">
        <v>2890</v>
      </c>
      <c r="P91" s="17" t="s">
        <v>2890</v>
      </c>
      <c r="T91" s="17" t="s">
        <v>2889</v>
      </c>
      <c r="U91" s="17" t="s">
        <v>2890</v>
      </c>
      <c r="V91" s="21"/>
      <c r="W91" s="17"/>
      <c r="X91" s="20">
        <v>0</v>
      </c>
    </row>
    <row r="92" spans="1:24">
      <c r="A92" s="1">
        <v>10230</v>
      </c>
      <c r="B92" s="1" t="s">
        <v>401</v>
      </c>
      <c r="C92" s="1" t="s">
        <v>1358</v>
      </c>
      <c r="D92" s="1" t="s">
        <v>1359</v>
      </c>
      <c r="E92" s="1">
        <v>283</v>
      </c>
      <c r="F92" s="1" t="str">
        <f>VLOOKUP(E92,'ESTRUTURA_MODULO(hide)'!$A$2:$D$230,2,FALSE)</f>
        <v>Tasy Web Suite</v>
      </c>
      <c r="G92" s="1" t="str">
        <f>VLOOKUP(E92,'ESTRUTURA_MODULO(hide)'!$A$2:$D$95,3,FALSE)</f>
        <v>Tasy Web Suite</v>
      </c>
      <c r="H92" s="1" t="str">
        <f>VLOOKUP(E92,'ESTRUTURA_MODULO(hide)'!$A$2:$D$95,4,FALSE)</f>
        <v>Tasy Web Suite</v>
      </c>
      <c r="I92" s="20">
        <v>0</v>
      </c>
      <c r="J92" s="17" t="s">
        <v>2890</v>
      </c>
      <c r="K92" s="17" t="s">
        <v>2890</v>
      </c>
      <c r="L92" s="17" t="s">
        <v>2890</v>
      </c>
      <c r="M92" s="17" t="s">
        <v>2890</v>
      </c>
      <c r="N92" s="17" t="s">
        <v>2890</v>
      </c>
      <c r="O92" s="17" t="s">
        <v>2890</v>
      </c>
      <c r="P92" s="17" t="s">
        <v>2890</v>
      </c>
      <c r="T92" s="17" t="s">
        <v>2889</v>
      </c>
      <c r="U92" s="17" t="s">
        <v>2890</v>
      </c>
      <c r="V92" s="21"/>
      <c r="W92" s="17"/>
      <c r="X92" s="20">
        <v>0</v>
      </c>
    </row>
    <row r="93" spans="1:24">
      <c r="A93" s="1">
        <v>3014</v>
      </c>
      <c r="B93" s="1" t="s">
        <v>1380</v>
      </c>
      <c r="C93" s="1" t="s">
        <v>1381</v>
      </c>
      <c r="D93" s="1" t="s">
        <v>1382</v>
      </c>
      <c r="E93" s="1">
        <v>283</v>
      </c>
      <c r="F93" s="1" t="str">
        <f>VLOOKUP(E93,'ESTRUTURA_MODULO(hide)'!$A$2:$D$230,2,FALSE)</f>
        <v>Tasy Web Suite</v>
      </c>
      <c r="G93" s="1" t="str">
        <f>VLOOKUP(E93,'ESTRUTURA_MODULO(hide)'!$A$2:$D$95,3,FALSE)</f>
        <v>Tasy Web Suite</v>
      </c>
      <c r="H93" s="1" t="str">
        <f>VLOOKUP(E93,'ESTRUTURA_MODULO(hide)'!$A$2:$D$95,4,FALSE)</f>
        <v>Tasy Web Suite</v>
      </c>
      <c r="I93" s="20">
        <v>0</v>
      </c>
      <c r="J93" s="17" t="s">
        <v>2890</v>
      </c>
      <c r="K93" s="17" t="s">
        <v>2890</v>
      </c>
      <c r="L93" s="17" t="s">
        <v>2890</v>
      </c>
      <c r="M93" s="17" t="s">
        <v>2890</v>
      </c>
      <c r="N93" s="17" t="s">
        <v>2890</v>
      </c>
      <c r="O93" s="17" t="s">
        <v>2890</v>
      </c>
      <c r="P93" s="17" t="s">
        <v>2890</v>
      </c>
      <c r="T93" s="17" t="s">
        <v>2889</v>
      </c>
      <c r="U93" s="17" t="s">
        <v>2890</v>
      </c>
      <c r="V93" s="21"/>
      <c r="W93" s="17"/>
      <c r="X93" s="20">
        <v>0</v>
      </c>
    </row>
    <row r="94" spans="1:24">
      <c r="A94" s="1">
        <v>99014</v>
      </c>
      <c r="B94" s="1" t="s">
        <v>363</v>
      </c>
      <c r="C94" s="1" t="s">
        <v>1376</v>
      </c>
      <c r="D94" s="1" t="s">
        <v>1377</v>
      </c>
      <c r="E94" s="1">
        <v>283</v>
      </c>
      <c r="F94" s="1" t="str">
        <f>VLOOKUP(E94,'ESTRUTURA_MODULO(hide)'!$A$2:$D$230,2,FALSE)</f>
        <v>Tasy Web Suite</v>
      </c>
      <c r="G94" s="1" t="str">
        <f>VLOOKUP(E94,'ESTRUTURA_MODULO(hide)'!$A$2:$D$95,3,FALSE)</f>
        <v>Tasy Web Suite</v>
      </c>
      <c r="H94" s="1" t="str">
        <f>VLOOKUP(E94,'ESTRUTURA_MODULO(hide)'!$A$2:$D$95,4,FALSE)</f>
        <v>Tasy Web Suite</v>
      </c>
      <c r="I94" s="20">
        <v>0</v>
      </c>
      <c r="J94" s="17" t="s">
        <v>2890</v>
      </c>
      <c r="K94" s="17" t="s">
        <v>2890</v>
      </c>
      <c r="L94" s="17" t="s">
        <v>2890</v>
      </c>
      <c r="M94" s="17" t="s">
        <v>2890</v>
      </c>
      <c r="N94" s="17" t="s">
        <v>2890</v>
      </c>
      <c r="O94" s="17" t="s">
        <v>2890</v>
      </c>
      <c r="P94" s="17" t="s">
        <v>2890</v>
      </c>
      <c r="T94" s="17" t="s">
        <v>2889</v>
      </c>
      <c r="U94" s="17" t="s">
        <v>2890</v>
      </c>
      <c r="V94" s="21"/>
      <c r="W94" s="17"/>
      <c r="X94" s="20">
        <v>0</v>
      </c>
    </row>
    <row r="95" spans="1:24">
      <c r="A95" s="1">
        <v>914</v>
      </c>
      <c r="B95" s="427" t="s">
        <v>399</v>
      </c>
      <c r="C95" s="1" t="s">
        <v>1363</v>
      </c>
      <c r="D95" s="1" t="s">
        <v>1364</v>
      </c>
      <c r="E95" s="35">
        <v>5</v>
      </c>
      <c r="F95" s="1" t="str">
        <f>VLOOKUP(E95,'ESTRUTURA_MODULO(hide)'!$A$2:$D$230,2,FALSE)</f>
        <v>Recepção e Internação</v>
      </c>
      <c r="G95" s="1" t="str">
        <f>VLOOKUP(E95,'ESTRUTURA_MODULO(hide)'!$A$2:$D$95,3,FALSE)</f>
        <v>Reception and Admission</v>
      </c>
      <c r="H95" s="1" t="str">
        <f>VLOOKUP(E95,'ESTRUTURA_MODULO(hide)'!$A$2:$D$95,4,FALSE)</f>
        <v>Recepción e Hospitalización</v>
      </c>
      <c r="I95" s="37">
        <v>16</v>
      </c>
      <c r="J95" s="17" t="s">
        <v>2890</v>
      </c>
      <c r="K95" s="17" t="s">
        <v>2890</v>
      </c>
      <c r="L95" s="17" t="s">
        <v>2890</v>
      </c>
      <c r="M95" s="17" t="s">
        <v>2890</v>
      </c>
      <c r="N95" s="38" t="s">
        <v>2889</v>
      </c>
      <c r="O95" s="17" t="s">
        <v>2890</v>
      </c>
      <c r="P95" s="17" t="s">
        <v>2890</v>
      </c>
      <c r="T95" s="17" t="s">
        <v>2889</v>
      </c>
      <c r="U95" s="17" t="s">
        <v>2890</v>
      </c>
      <c r="V95" s="36" t="s">
        <v>177</v>
      </c>
      <c r="W95" s="17"/>
      <c r="X95" s="20">
        <v>12</v>
      </c>
    </row>
    <row r="96" spans="1:24">
      <c r="A96" s="1">
        <v>99013</v>
      </c>
      <c r="B96" s="1" t="s">
        <v>48</v>
      </c>
      <c r="C96" s="1" t="s">
        <v>1372</v>
      </c>
      <c r="D96" s="1" t="s">
        <v>1373</v>
      </c>
      <c r="E96" s="1">
        <v>9</v>
      </c>
      <c r="F96" s="1" t="str">
        <f>VLOOKUP(E96,'ESTRUTURA_MODULO(hide)'!$A$2:$D$230,2,FALSE)</f>
        <v>Exames</v>
      </c>
      <c r="G96" s="1" t="str">
        <f>VLOOKUP(E96,'ESTRUTURA_MODULO(hide)'!$A$2:$D$95,3,FALSE)</f>
        <v>Exams/Tests</v>
      </c>
      <c r="H96" s="1" t="str">
        <f>VLOOKUP(E96,'ESTRUTURA_MODULO(hide)'!$A$2:$D$95,4,FALSE)</f>
        <v>Exámenes</v>
      </c>
      <c r="I96" s="20">
        <v>12</v>
      </c>
      <c r="J96" s="17" t="s">
        <v>2890</v>
      </c>
      <c r="K96" s="17" t="s">
        <v>2890</v>
      </c>
      <c r="L96" s="17" t="s">
        <v>2890</v>
      </c>
      <c r="M96" s="17" t="s">
        <v>2890</v>
      </c>
      <c r="N96" s="17" t="s">
        <v>2889</v>
      </c>
      <c r="O96" s="17" t="s">
        <v>2890</v>
      </c>
      <c r="P96" s="17" t="s">
        <v>2890</v>
      </c>
      <c r="T96" s="17" t="s">
        <v>2889</v>
      </c>
      <c r="U96" s="17" t="s">
        <v>2890</v>
      </c>
      <c r="V96" s="21"/>
      <c r="W96" s="17"/>
      <c r="X96" s="20">
        <v>20</v>
      </c>
    </row>
    <row r="97" spans="1:24">
      <c r="A97" s="1">
        <v>-6936</v>
      </c>
      <c r="B97" s="1" t="s">
        <v>1365</v>
      </c>
      <c r="C97" s="1" t="s">
        <v>1366</v>
      </c>
      <c r="D97" s="1" t="s">
        <v>1367</v>
      </c>
      <c r="E97" s="1">
        <v>283</v>
      </c>
      <c r="F97" s="1" t="str">
        <f>VLOOKUP(E97,'ESTRUTURA_MODULO(hide)'!$A$2:$D$230,2,FALSE)</f>
        <v>Tasy Web Suite</v>
      </c>
      <c r="G97" s="1" t="str">
        <f>VLOOKUP(E97,'ESTRUTURA_MODULO(hide)'!$A$2:$D$95,3,FALSE)</f>
        <v>Tasy Web Suite</v>
      </c>
      <c r="H97" s="1" t="str">
        <f>VLOOKUP(E97,'ESTRUTURA_MODULO(hide)'!$A$2:$D$95,4,FALSE)</f>
        <v>Tasy Web Suite</v>
      </c>
      <c r="I97" s="20">
        <v>0</v>
      </c>
      <c r="J97" s="17" t="s">
        <v>2890</v>
      </c>
      <c r="K97" s="17" t="s">
        <v>2890</v>
      </c>
      <c r="L97" s="17" t="s">
        <v>2890</v>
      </c>
      <c r="M97" s="17" t="s">
        <v>2890</v>
      </c>
      <c r="N97" s="17" t="s">
        <v>2890</v>
      </c>
      <c r="O97" s="17" t="s">
        <v>2890</v>
      </c>
      <c r="P97" s="17" t="s">
        <v>2890</v>
      </c>
      <c r="T97" s="17" t="s">
        <v>2889</v>
      </c>
      <c r="U97" s="17" t="s">
        <v>2890</v>
      </c>
      <c r="V97" s="21"/>
      <c r="W97" s="17"/>
      <c r="X97" s="20">
        <v>0</v>
      </c>
    </row>
    <row r="98" spans="1:24">
      <c r="A98" s="1">
        <v>99012</v>
      </c>
      <c r="B98" s="1" t="s">
        <v>34</v>
      </c>
      <c r="C98" s="1" t="s">
        <v>1352</v>
      </c>
      <c r="D98" s="1" t="s">
        <v>1353</v>
      </c>
      <c r="E98" s="1">
        <v>283</v>
      </c>
      <c r="F98" s="1" t="str">
        <f>VLOOKUP(E98,'ESTRUTURA_MODULO(hide)'!$A$2:$D$230,2,FALSE)</f>
        <v>Tasy Web Suite</v>
      </c>
      <c r="G98" s="1" t="str">
        <f>VLOOKUP(E98,'ESTRUTURA_MODULO(hide)'!$A$2:$D$95,3,FALSE)</f>
        <v>Tasy Web Suite</v>
      </c>
      <c r="H98" s="1" t="str">
        <f>VLOOKUP(E98,'ESTRUTURA_MODULO(hide)'!$A$2:$D$95,4,FALSE)</f>
        <v>Tasy Web Suite</v>
      </c>
      <c r="I98" s="20">
        <v>0</v>
      </c>
      <c r="J98" s="17" t="s">
        <v>2890</v>
      </c>
      <c r="K98" s="17" t="s">
        <v>2890</v>
      </c>
      <c r="L98" s="17" t="s">
        <v>2890</v>
      </c>
      <c r="M98" s="17" t="s">
        <v>2890</v>
      </c>
      <c r="N98" s="17" t="s">
        <v>2890</v>
      </c>
      <c r="O98" s="17" t="s">
        <v>2890</v>
      </c>
      <c r="P98" s="17" t="s">
        <v>2890</v>
      </c>
      <c r="T98" s="17" t="s">
        <v>2889</v>
      </c>
      <c r="U98" s="17" t="s">
        <v>2890</v>
      </c>
      <c r="V98" s="21"/>
      <c r="W98" s="17"/>
      <c r="X98" s="20">
        <v>0</v>
      </c>
    </row>
    <row r="99" spans="1:24">
      <c r="A99" s="1">
        <v>9043</v>
      </c>
      <c r="B99" s="426" t="s">
        <v>383</v>
      </c>
      <c r="C99" s="1" t="s">
        <v>1354</v>
      </c>
      <c r="D99" s="1" t="s">
        <v>1355</v>
      </c>
      <c r="E99" s="1">
        <v>283</v>
      </c>
      <c r="F99" s="1" t="str">
        <f>VLOOKUP(E99,'ESTRUTURA_MODULO(hide)'!$A$2:$D$230,2,FALSE)</f>
        <v>Tasy Web Suite</v>
      </c>
      <c r="G99" s="1" t="str">
        <f>VLOOKUP(E99,'ESTRUTURA_MODULO(hide)'!$A$2:$D$95,3,FALSE)</f>
        <v>Tasy Web Suite</v>
      </c>
      <c r="H99" s="1" t="str">
        <f>VLOOKUP(E99,'ESTRUTURA_MODULO(hide)'!$A$2:$D$95,4,FALSE)</f>
        <v>Tasy Web Suite</v>
      </c>
      <c r="I99" s="20">
        <v>0</v>
      </c>
      <c r="J99" s="17" t="s">
        <v>2890</v>
      </c>
      <c r="K99" s="17" t="s">
        <v>2890</v>
      </c>
      <c r="L99" s="17" t="s">
        <v>2890</v>
      </c>
      <c r="M99" s="17" t="s">
        <v>2890</v>
      </c>
      <c r="N99" s="17" t="s">
        <v>2890</v>
      </c>
      <c r="O99" s="17" t="s">
        <v>2890</v>
      </c>
      <c r="P99" s="17" t="s">
        <v>2890</v>
      </c>
      <c r="T99" s="17" t="s">
        <v>2889</v>
      </c>
      <c r="U99" s="17" t="s">
        <v>2890</v>
      </c>
      <c r="V99" s="21"/>
      <c r="W99" s="17"/>
      <c r="X99" s="20">
        <v>0</v>
      </c>
    </row>
    <row r="100" spans="1:24">
      <c r="A100" s="1">
        <v>10209</v>
      </c>
      <c r="B100" s="35" t="s">
        <v>374</v>
      </c>
      <c r="C100" s="1" t="s">
        <v>1384</v>
      </c>
      <c r="D100" s="1" t="s">
        <v>1385</v>
      </c>
      <c r="E100" s="35">
        <v>23</v>
      </c>
      <c r="F100" s="1" t="str">
        <f>VLOOKUP(E100,'ESTRUTURA_MODULO(hide)'!$A$2:$D$230,2,FALSE)</f>
        <v>Laboratório</v>
      </c>
      <c r="G100" s="1" t="str">
        <f>VLOOKUP(E100,'ESTRUTURA_MODULO(hide)'!$A$2:$D$95,3,FALSE)</f>
        <v xml:space="preserve">Laboratory </v>
      </c>
      <c r="H100" s="1" t="str">
        <f>VLOOKUP(E100,'ESTRUTURA_MODULO(hide)'!$A$2:$D$95,4,FALSE)</f>
        <v>Laboratorio</v>
      </c>
      <c r="I100" s="37">
        <v>8</v>
      </c>
      <c r="J100" s="17" t="s">
        <v>2890</v>
      </c>
      <c r="K100" s="17" t="s">
        <v>2890</v>
      </c>
      <c r="L100" s="17" t="s">
        <v>2890</v>
      </c>
      <c r="M100" s="17" t="s">
        <v>2890</v>
      </c>
      <c r="N100" s="38" t="s">
        <v>2889</v>
      </c>
      <c r="O100" s="17" t="s">
        <v>2890</v>
      </c>
      <c r="P100" s="17" t="s">
        <v>2890</v>
      </c>
      <c r="T100" s="17" t="s">
        <v>2889</v>
      </c>
      <c r="U100" s="17" t="s">
        <v>2890</v>
      </c>
      <c r="V100" s="36" t="s">
        <v>7</v>
      </c>
      <c r="W100" s="17"/>
      <c r="X100" s="20">
        <v>12</v>
      </c>
    </row>
    <row r="101" spans="1:24">
      <c r="A101" s="1">
        <v>10212</v>
      </c>
      <c r="B101" s="1" t="s">
        <v>349</v>
      </c>
      <c r="C101" s="1" t="s">
        <v>1370</v>
      </c>
      <c r="D101" s="1" t="s">
        <v>1371</v>
      </c>
      <c r="E101" s="1">
        <v>283</v>
      </c>
      <c r="F101" s="1" t="str">
        <f>VLOOKUP(E101,'ESTRUTURA_MODULO(hide)'!$A$2:$D$230,2,FALSE)</f>
        <v>Tasy Web Suite</v>
      </c>
      <c r="G101" s="1" t="str">
        <f>VLOOKUP(E101,'ESTRUTURA_MODULO(hide)'!$A$2:$D$95,3,FALSE)</f>
        <v>Tasy Web Suite</v>
      </c>
      <c r="H101" s="1" t="str">
        <f>VLOOKUP(E101,'ESTRUTURA_MODULO(hide)'!$A$2:$D$95,4,FALSE)</f>
        <v>Tasy Web Suite</v>
      </c>
      <c r="I101" s="20">
        <v>0</v>
      </c>
      <c r="J101" s="17" t="s">
        <v>2890</v>
      </c>
      <c r="K101" s="17" t="s">
        <v>2890</v>
      </c>
      <c r="L101" s="17" t="s">
        <v>2890</v>
      </c>
      <c r="M101" s="17" t="s">
        <v>2890</v>
      </c>
      <c r="N101" s="17" t="s">
        <v>2890</v>
      </c>
      <c r="O101" s="17" t="s">
        <v>2890</v>
      </c>
      <c r="P101" s="17" t="s">
        <v>2890</v>
      </c>
      <c r="T101" s="17" t="s">
        <v>2889</v>
      </c>
      <c r="U101" s="17" t="s">
        <v>2890</v>
      </c>
      <c r="V101" s="21"/>
      <c r="W101" s="17"/>
      <c r="X101" s="20">
        <v>0</v>
      </c>
    </row>
    <row r="102" spans="1:24">
      <c r="A102" s="1">
        <v>10034</v>
      </c>
      <c r="B102" s="1" t="s">
        <v>350</v>
      </c>
      <c r="C102" s="1" t="s">
        <v>1368</v>
      </c>
      <c r="D102" s="1" t="s">
        <v>1369</v>
      </c>
      <c r="E102" s="1">
        <v>283</v>
      </c>
      <c r="F102" s="1" t="str">
        <f>VLOOKUP(E102,'ESTRUTURA_MODULO(hide)'!$A$2:$D$230,2,FALSE)</f>
        <v>Tasy Web Suite</v>
      </c>
      <c r="G102" s="1" t="str">
        <f>VLOOKUP(E102,'ESTRUTURA_MODULO(hide)'!$A$2:$D$95,3,FALSE)</f>
        <v>Tasy Web Suite</v>
      </c>
      <c r="H102" s="1" t="str">
        <f>VLOOKUP(E102,'ESTRUTURA_MODULO(hide)'!$A$2:$D$95,4,FALSE)</f>
        <v>Tasy Web Suite</v>
      </c>
      <c r="I102" s="20">
        <v>0</v>
      </c>
      <c r="J102" s="17" t="s">
        <v>2890</v>
      </c>
      <c r="K102" s="17" t="s">
        <v>2890</v>
      </c>
      <c r="L102" s="17" t="s">
        <v>2890</v>
      </c>
      <c r="M102" s="17" t="s">
        <v>2890</v>
      </c>
      <c r="N102" s="17" t="s">
        <v>2890</v>
      </c>
      <c r="O102" s="17" t="s">
        <v>2890</v>
      </c>
      <c r="P102" s="17" t="s">
        <v>2890</v>
      </c>
      <c r="T102" s="17" t="s">
        <v>2889</v>
      </c>
      <c r="U102" s="17" t="s">
        <v>2890</v>
      </c>
      <c r="V102" s="21"/>
      <c r="W102" s="17"/>
      <c r="X102" s="20">
        <v>0</v>
      </c>
    </row>
    <row r="103" spans="1:24">
      <c r="A103" s="1">
        <v>9935</v>
      </c>
      <c r="B103" s="426" t="s">
        <v>1724</v>
      </c>
      <c r="C103" s="1" t="s">
        <v>1724</v>
      </c>
      <c r="D103" s="1" t="s">
        <v>1724</v>
      </c>
      <c r="E103" s="1">
        <v>283</v>
      </c>
      <c r="F103" s="1" t="str">
        <f>VLOOKUP(E103,'ESTRUTURA_MODULO(hide)'!$A$2:$D$230,2,FALSE)</f>
        <v>Tasy Web Suite</v>
      </c>
      <c r="G103" s="1" t="str">
        <f>VLOOKUP(E103,'ESTRUTURA_MODULO(hide)'!$A$2:$D$95,3,FALSE)</f>
        <v>Tasy Web Suite</v>
      </c>
      <c r="H103" s="1" t="str">
        <f>VLOOKUP(E103,'ESTRUTURA_MODULO(hide)'!$A$2:$D$95,4,FALSE)</f>
        <v>Tasy Web Suite</v>
      </c>
      <c r="I103" s="20">
        <v>0</v>
      </c>
      <c r="J103" s="17" t="s">
        <v>2890</v>
      </c>
      <c r="K103" s="17" t="s">
        <v>2890</v>
      </c>
      <c r="L103" s="17" t="s">
        <v>2890</v>
      </c>
      <c r="M103" s="17" t="s">
        <v>2890</v>
      </c>
      <c r="N103" s="17" t="s">
        <v>2890</v>
      </c>
      <c r="O103" s="17" t="s">
        <v>2890</v>
      </c>
      <c r="P103" s="17" t="s">
        <v>2890</v>
      </c>
      <c r="T103" s="17" t="s">
        <v>2889</v>
      </c>
      <c r="U103" s="17" t="s">
        <v>2890</v>
      </c>
      <c r="V103" s="21"/>
      <c r="W103" s="17"/>
      <c r="X103" s="20">
        <v>0</v>
      </c>
    </row>
    <row r="104" spans="1:24">
      <c r="A104" s="1">
        <v>20002</v>
      </c>
      <c r="B104" s="426" t="s">
        <v>408</v>
      </c>
      <c r="C104" s="1" t="s">
        <v>408</v>
      </c>
      <c r="D104" s="1" t="s">
        <v>1383</v>
      </c>
      <c r="E104" s="1">
        <v>283</v>
      </c>
      <c r="F104" s="1" t="str">
        <f>VLOOKUP(E104,'ESTRUTURA_MODULO(hide)'!$A$2:$D$230,2,FALSE)</f>
        <v>Tasy Web Suite</v>
      </c>
      <c r="G104" s="1" t="str">
        <f>VLOOKUP(E104,'ESTRUTURA_MODULO(hide)'!$A$2:$D$95,3,FALSE)</f>
        <v>Tasy Web Suite</v>
      </c>
      <c r="H104" s="1" t="str">
        <f>VLOOKUP(E104,'ESTRUTURA_MODULO(hide)'!$A$2:$D$95,4,FALSE)</f>
        <v>Tasy Web Suite</v>
      </c>
      <c r="I104" s="20">
        <v>0</v>
      </c>
      <c r="J104" s="17" t="s">
        <v>2890</v>
      </c>
      <c r="K104" s="17" t="s">
        <v>2890</v>
      </c>
      <c r="L104" s="17" t="s">
        <v>2890</v>
      </c>
      <c r="M104" s="17" t="s">
        <v>2890</v>
      </c>
      <c r="N104" s="17" t="s">
        <v>2890</v>
      </c>
      <c r="O104" s="17" t="s">
        <v>2890</v>
      </c>
      <c r="P104" s="17" t="s">
        <v>2890</v>
      </c>
      <c r="T104" s="17" t="s">
        <v>2889</v>
      </c>
      <c r="U104" s="17" t="s">
        <v>2890</v>
      </c>
      <c r="V104" s="21"/>
      <c r="W104" s="17"/>
      <c r="X104" s="20">
        <v>0</v>
      </c>
    </row>
    <row r="105" spans="1:24">
      <c r="A105" s="1">
        <v>99018</v>
      </c>
      <c r="B105" s="1" t="s">
        <v>365</v>
      </c>
      <c r="C105" s="1" t="s">
        <v>1378</v>
      </c>
      <c r="D105" s="1" t="s">
        <v>1379</v>
      </c>
      <c r="E105" s="1">
        <v>283</v>
      </c>
      <c r="F105" s="1" t="str">
        <f>VLOOKUP(E105,'ESTRUTURA_MODULO(hide)'!$A$2:$D$230,2,FALSE)</f>
        <v>Tasy Web Suite</v>
      </c>
      <c r="G105" s="1" t="str">
        <f>VLOOKUP(E105,'ESTRUTURA_MODULO(hide)'!$A$2:$D$95,3,FALSE)</f>
        <v>Tasy Web Suite</v>
      </c>
      <c r="H105" s="1" t="str">
        <f>VLOOKUP(E105,'ESTRUTURA_MODULO(hide)'!$A$2:$D$95,4,FALSE)</f>
        <v>Tasy Web Suite</v>
      </c>
      <c r="I105" s="20">
        <v>0</v>
      </c>
      <c r="J105" s="17" t="s">
        <v>2890</v>
      </c>
      <c r="K105" s="17" t="s">
        <v>2890</v>
      </c>
      <c r="L105" s="17" t="s">
        <v>2890</v>
      </c>
      <c r="M105" s="17" t="s">
        <v>2890</v>
      </c>
      <c r="N105" s="17" t="s">
        <v>2890</v>
      </c>
      <c r="O105" s="17" t="s">
        <v>2890</v>
      </c>
      <c r="P105" s="17" t="s">
        <v>2890</v>
      </c>
      <c r="T105" s="17" t="s">
        <v>2889</v>
      </c>
      <c r="U105" s="17" t="s">
        <v>2890</v>
      </c>
      <c r="V105" s="21"/>
      <c r="W105" s="17"/>
      <c r="X105" s="20">
        <v>0</v>
      </c>
    </row>
    <row r="106" spans="1:24">
      <c r="A106" s="1">
        <v>2105</v>
      </c>
      <c r="B106" s="1" t="s">
        <v>397</v>
      </c>
      <c r="C106" s="1" t="s">
        <v>397</v>
      </c>
      <c r="D106" s="1" t="s">
        <v>397</v>
      </c>
      <c r="E106" s="1">
        <v>283</v>
      </c>
      <c r="F106" s="1" t="str">
        <f>VLOOKUP(E106,'ESTRUTURA_MODULO(hide)'!$A$2:$D$230,2,FALSE)</f>
        <v>Tasy Web Suite</v>
      </c>
      <c r="G106" s="1" t="str">
        <f>VLOOKUP(E106,'ESTRUTURA_MODULO(hide)'!$A$2:$D$95,3,FALSE)</f>
        <v>Tasy Web Suite</v>
      </c>
      <c r="H106" s="1" t="str">
        <f>VLOOKUP(E106,'ESTRUTURA_MODULO(hide)'!$A$2:$D$95,4,FALSE)</f>
        <v>Tasy Web Suite</v>
      </c>
      <c r="I106" s="20">
        <v>0</v>
      </c>
      <c r="J106" s="17" t="s">
        <v>2890</v>
      </c>
      <c r="K106" s="17" t="s">
        <v>2890</v>
      </c>
      <c r="L106" s="17" t="s">
        <v>2890</v>
      </c>
      <c r="M106" s="17" t="s">
        <v>2890</v>
      </c>
      <c r="N106" s="17" t="s">
        <v>2890</v>
      </c>
      <c r="O106" s="17" t="s">
        <v>2890</v>
      </c>
      <c r="P106" s="17" t="s">
        <v>2890</v>
      </c>
      <c r="T106" s="17" t="s">
        <v>2889</v>
      </c>
      <c r="U106" s="17" t="s">
        <v>2890</v>
      </c>
      <c r="V106" s="21"/>
      <c r="W106" s="17"/>
      <c r="X106" s="20">
        <v>0</v>
      </c>
    </row>
    <row r="107" spans="1:24">
      <c r="A107" s="1">
        <v>10210</v>
      </c>
      <c r="B107" s="35" t="s">
        <v>389</v>
      </c>
      <c r="C107" s="1" t="s">
        <v>1374</v>
      </c>
      <c r="D107" s="1" t="s">
        <v>1375</v>
      </c>
      <c r="E107" s="35">
        <v>23</v>
      </c>
      <c r="F107" s="1" t="str">
        <f>VLOOKUP(E107,'ESTRUTURA_MODULO(hide)'!$A$2:$D$230,2,FALSE)</f>
        <v>Laboratório</v>
      </c>
      <c r="G107" s="1" t="str">
        <f>VLOOKUP(E107,'ESTRUTURA_MODULO(hide)'!$A$2:$D$95,3,FALSE)</f>
        <v xml:space="preserve">Laboratory </v>
      </c>
      <c r="H107" s="1" t="str">
        <f>VLOOKUP(E107,'ESTRUTURA_MODULO(hide)'!$A$2:$D$95,4,FALSE)</f>
        <v>Laboratorio</v>
      </c>
      <c r="I107" s="37">
        <v>2</v>
      </c>
      <c r="J107" s="17" t="s">
        <v>2890</v>
      </c>
      <c r="K107" s="17" t="s">
        <v>2890</v>
      </c>
      <c r="L107" s="17" t="s">
        <v>2890</v>
      </c>
      <c r="M107" s="17" t="s">
        <v>2890</v>
      </c>
      <c r="N107" s="38" t="s">
        <v>2889</v>
      </c>
      <c r="O107" s="17" t="s">
        <v>2890</v>
      </c>
      <c r="P107" s="17" t="s">
        <v>2890</v>
      </c>
      <c r="T107" s="17" t="s">
        <v>2889</v>
      </c>
      <c r="U107" s="17" t="s">
        <v>2890</v>
      </c>
      <c r="V107" s="36" t="s">
        <v>7</v>
      </c>
      <c r="W107" s="17"/>
      <c r="X107" s="20">
        <v>8</v>
      </c>
    </row>
    <row r="108" spans="1:24">
      <c r="A108" s="1">
        <v>10211</v>
      </c>
      <c r="B108" s="1" t="s">
        <v>398</v>
      </c>
      <c r="C108" s="1" t="s">
        <v>1356</v>
      </c>
      <c r="D108" s="1" t="s">
        <v>1357</v>
      </c>
      <c r="E108" s="1">
        <v>283</v>
      </c>
      <c r="F108" s="1" t="str">
        <f>VLOOKUP(E108,'ESTRUTURA_MODULO(hide)'!$A$2:$D$230,2,FALSE)</f>
        <v>Tasy Web Suite</v>
      </c>
      <c r="G108" s="1" t="str">
        <f>VLOOKUP(E108,'ESTRUTURA_MODULO(hide)'!$A$2:$D$95,3,FALSE)</f>
        <v>Tasy Web Suite</v>
      </c>
      <c r="H108" s="1" t="str">
        <f>VLOOKUP(E108,'ESTRUTURA_MODULO(hide)'!$A$2:$D$95,4,FALSE)</f>
        <v>Tasy Web Suite</v>
      </c>
      <c r="I108" s="20">
        <v>0</v>
      </c>
      <c r="J108" s="17" t="s">
        <v>2890</v>
      </c>
      <c r="K108" s="17" t="s">
        <v>2890</v>
      </c>
      <c r="L108" s="17" t="s">
        <v>2890</v>
      </c>
      <c r="M108" s="17" t="s">
        <v>2890</v>
      </c>
      <c r="N108" s="17" t="s">
        <v>2890</v>
      </c>
      <c r="O108" s="17" t="s">
        <v>2890</v>
      </c>
      <c r="P108" s="17" t="s">
        <v>2890</v>
      </c>
      <c r="T108" s="17" t="s">
        <v>2889</v>
      </c>
      <c r="U108" s="17" t="s">
        <v>2890</v>
      </c>
      <c r="V108" s="21"/>
      <c r="W108" s="17"/>
      <c r="X108" s="20">
        <v>0</v>
      </c>
    </row>
    <row r="109" spans="1:24">
      <c r="A109" s="1">
        <v>1141</v>
      </c>
      <c r="B109" s="1" t="s">
        <v>364</v>
      </c>
      <c r="C109" s="1" t="s">
        <v>1349</v>
      </c>
      <c r="D109" s="1" t="s">
        <v>2865</v>
      </c>
      <c r="E109" s="1">
        <v>283</v>
      </c>
      <c r="F109" s="1" t="str">
        <f>VLOOKUP(E109,'ESTRUTURA_MODULO(hide)'!$A$2:$D$230,2,FALSE)</f>
        <v>Tasy Web Suite</v>
      </c>
      <c r="G109" s="1" t="str">
        <f>VLOOKUP(E109,'ESTRUTURA_MODULO(hide)'!$A$2:$D$95,3,FALSE)</f>
        <v>Tasy Web Suite</v>
      </c>
      <c r="H109" s="1" t="str">
        <f>VLOOKUP(E109,'ESTRUTURA_MODULO(hide)'!$A$2:$D$95,4,FALSE)</f>
        <v>Tasy Web Suite</v>
      </c>
      <c r="I109" s="20">
        <v>0</v>
      </c>
      <c r="J109" s="17" t="s">
        <v>2890</v>
      </c>
      <c r="K109" s="17" t="s">
        <v>2890</v>
      </c>
      <c r="L109" s="17" t="s">
        <v>2890</v>
      </c>
      <c r="M109" s="17" t="s">
        <v>2890</v>
      </c>
      <c r="N109" s="17" t="s">
        <v>2890</v>
      </c>
      <c r="O109" s="17" t="s">
        <v>2890</v>
      </c>
      <c r="P109" s="17" t="s">
        <v>2890</v>
      </c>
      <c r="T109" s="17" t="s">
        <v>2889</v>
      </c>
      <c r="U109" s="17" t="s">
        <v>2890</v>
      </c>
      <c r="V109" s="21"/>
      <c r="W109" s="17"/>
      <c r="X109" s="20">
        <v>0</v>
      </c>
    </row>
    <row r="110" spans="1:24">
      <c r="A110" s="1">
        <v>10091</v>
      </c>
      <c r="B110" s="426" t="s">
        <v>384</v>
      </c>
      <c r="C110" s="1" t="s">
        <v>1347</v>
      </c>
      <c r="D110" s="1" t="s">
        <v>1348</v>
      </c>
      <c r="E110" s="1">
        <v>283</v>
      </c>
      <c r="F110" s="1" t="str">
        <f>VLOOKUP(E110,'ESTRUTURA_MODULO(hide)'!$A$2:$D$230,2,FALSE)</f>
        <v>Tasy Web Suite</v>
      </c>
      <c r="G110" s="1" t="str">
        <f>VLOOKUP(E110,'ESTRUTURA_MODULO(hide)'!$A$2:$D$95,3,FALSE)</f>
        <v>Tasy Web Suite</v>
      </c>
      <c r="H110" s="1" t="str">
        <f>VLOOKUP(E110,'ESTRUTURA_MODULO(hide)'!$A$2:$D$95,4,FALSE)</f>
        <v>Tasy Web Suite</v>
      </c>
      <c r="I110" s="20">
        <v>0</v>
      </c>
      <c r="J110" s="17" t="s">
        <v>2890</v>
      </c>
      <c r="K110" s="17" t="s">
        <v>2890</v>
      </c>
      <c r="L110" s="17" t="s">
        <v>2890</v>
      </c>
      <c r="M110" s="17" t="s">
        <v>2890</v>
      </c>
      <c r="N110" s="17" t="s">
        <v>2890</v>
      </c>
      <c r="O110" s="17" t="s">
        <v>2890</v>
      </c>
      <c r="P110" s="17" t="s">
        <v>2890</v>
      </c>
      <c r="T110" s="17" t="s">
        <v>2889</v>
      </c>
      <c r="U110" s="17" t="s">
        <v>2890</v>
      </c>
      <c r="V110" s="21"/>
      <c r="W110" s="17"/>
      <c r="X110" s="20">
        <v>0</v>
      </c>
    </row>
    <row r="111" spans="1:24">
      <c r="A111" s="1">
        <v>10100</v>
      </c>
      <c r="B111" s="1" t="s">
        <v>1344</v>
      </c>
      <c r="C111" s="1" t="s">
        <v>1345</v>
      </c>
      <c r="D111" s="1" t="s">
        <v>1346</v>
      </c>
      <c r="E111" s="1">
        <v>283</v>
      </c>
      <c r="F111" s="1" t="str">
        <f>VLOOKUP(E111,'ESTRUTURA_MODULO(hide)'!$A$2:$D$230,2,FALSE)</f>
        <v>Tasy Web Suite</v>
      </c>
      <c r="G111" s="1" t="str">
        <f>VLOOKUP(E111,'ESTRUTURA_MODULO(hide)'!$A$2:$D$95,3,FALSE)</f>
        <v>Tasy Web Suite</v>
      </c>
      <c r="H111" s="1" t="str">
        <f>VLOOKUP(E111,'ESTRUTURA_MODULO(hide)'!$A$2:$D$95,4,FALSE)</f>
        <v>Tasy Web Suite</v>
      </c>
      <c r="I111" s="20">
        <v>0</v>
      </c>
      <c r="J111" s="17" t="s">
        <v>2890</v>
      </c>
      <c r="K111" s="17" t="s">
        <v>2890</v>
      </c>
      <c r="L111" s="17" t="s">
        <v>2890</v>
      </c>
      <c r="M111" s="17" t="s">
        <v>2890</v>
      </c>
      <c r="N111" s="17" t="s">
        <v>2890</v>
      </c>
      <c r="O111" s="17" t="s">
        <v>2890</v>
      </c>
      <c r="P111" s="17" t="s">
        <v>2890</v>
      </c>
      <c r="T111" s="17" t="s">
        <v>2889</v>
      </c>
      <c r="U111" s="17" t="s">
        <v>2890</v>
      </c>
      <c r="V111" s="21"/>
      <c r="W111" s="17"/>
      <c r="X111" s="20">
        <v>0</v>
      </c>
    </row>
    <row r="112" spans="1:24">
      <c r="A112" s="1">
        <v>8045</v>
      </c>
      <c r="B112" s="426" t="s">
        <v>1312</v>
      </c>
      <c r="C112" s="1" t="s">
        <v>1313</v>
      </c>
      <c r="D112" s="1" t="s">
        <v>1314</v>
      </c>
      <c r="E112" s="1">
        <v>283</v>
      </c>
      <c r="F112" s="1" t="str">
        <f>VLOOKUP(E112,'ESTRUTURA_MODULO(hide)'!$A$2:$D$230,2,FALSE)</f>
        <v>Tasy Web Suite</v>
      </c>
      <c r="G112" s="1" t="str">
        <f>VLOOKUP(E112,'ESTRUTURA_MODULO(hide)'!$A$2:$D$95,3,FALSE)</f>
        <v>Tasy Web Suite</v>
      </c>
      <c r="H112" s="1" t="str">
        <f>VLOOKUP(E112,'ESTRUTURA_MODULO(hide)'!$A$2:$D$95,4,FALSE)</f>
        <v>Tasy Web Suite</v>
      </c>
      <c r="I112" s="20">
        <v>0</v>
      </c>
      <c r="J112" s="17" t="s">
        <v>2890</v>
      </c>
      <c r="K112" s="17" t="s">
        <v>2890</v>
      </c>
      <c r="L112" s="17" t="s">
        <v>2890</v>
      </c>
      <c r="M112" s="17" t="s">
        <v>2890</v>
      </c>
      <c r="N112" s="17" t="s">
        <v>2890</v>
      </c>
      <c r="O112" s="17" t="s">
        <v>2890</v>
      </c>
      <c r="P112" s="17" t="s">
        <v>2890</v>
      </c>
      <c r="T112" s="17" t="s">
        <v>2889</v>
      </c>
      <c r="U112" s="17" t="s">
        <v>2890</v>
      </c>
      <c r="V112" s="21"/>
      <c r="W112" s="17"/>
      <c r="X112" s="20">
        <v>0</v>
      </c>
    </row>
    <row r="113" spans="1:24">
      <c r="A113" s="1">
        <v>10070</v>
      </c>
      <c r="B113" s="1" t="s">
        <v>367</v>
      </c>
      <c r="C113" s="1" t="s">
        <v>1324</v>
      </c>
      <c r="D113" s="1" t="s">
        <v>1325</v>
      </c>
      <c r="E113" s="1">
        <v>283</v>
      </c>
      <c r="F113" s="1" t="str">
        <f>VLOOKUP(E113,'ESTRUTURA_MODULO(hide)'!$A$2:$D$230,2,FALSE)</f>
        <v>Tasy Web Suite</v>
      </c>
      <c r="G113" s="1" t="str">
        <f>VLOOKUP(E113,'ESTRUTURA_MODULO(hide)'!$A$2:$D$95,3,FALSE)</f>
        <v>Tasy Web Suite</v>
      </c>
      <c r="H113" s="1" t="str">
        <f>VLOOKUP(E113,'ESTRUTURA_MODULO(hide)'!$A$2:$D$95,4,FALSE)</f>
        <v>Tasy Web Suite</v>
      </c>
      <c r="I113" s="20">
        <v>0</v>
      </c>
      <c r="J113" s="17" t="s">
        <v>2890</v>
      </c>
      <c r="K113" s="17" t="s">
        <v>2890</v>
      </c>
      <c r="L113" s="17" t="s">
        <v>2890</v>
      </c>
      <c r="M113" s="17" t="s">
        <v>2890</v>
      </c>
      <c r="N113" s="17" t="s">
        <v>2890</v>
      </c>
      <c r="O113" s="17" t="s">
        <v>2890</v>
      </c>
      <c r="P113" s="17" t="s">
        <v>2890</v>
      </c>
      <c r="T113" s="17" t="s">
        <v>2889</v>
      </c>
      <c r="U113" s="17" t="s">
        <v>2890</v>
      </c>
      <c r="V113" s="21"/>
      <c r="W113" s="17"/>
      <c r="X113" s="20">
        <v>0</v>
      </c>
    </row>
    <row r="114" spans="1:24">
      <c r="A114" s="1">
        <v>2687</v>
      </c>
      <c r="B114" s="427" t="s">
        <v>1321</v>
      </c>
      <c r="C114" s="1" t="s">
        <v>1322</v>
      </c>
      <c r="D114" s="1" t="s">
        <v>1323</v>
      </c>
      <c r="E114" s="35">
        <v>944</v>
      </c>
      <c r="F114" s="1" t="str">
        <f>VLOOKUP(E114,'ESTRUTURA_MODULO(hide)'!$A$2:$D$230,2,FALSE)</f>
        <v>Aplicação Tasy iOS</v>
      </c>
      <c r="G114" s="1" t="str">
        <f>VLOOKUP(E114,'ESTRUTURA_MODULO(hide)'!$A$2:$D$95,3,FALSE)</f>
        <v>Tasy iOS Aplication</v>
      </c>
      <c r="H114" s="1" t="str">
        <f>VLOOKUP(E114,'ESTRUTURA_MODULO(hide)'!$A$2:$D$95,4,FALSE)</f>
        <v>Aplicación iOS Tasy</v>
      </c>
      <c r="I114" s="37">
        <v>4</v>
      </c>
      <c r="J114" s="17" t="s">
        <v>2890</v>
      </c>
      <c r="K114" s="17" t="s">
        <v>2890</v>
      </c>
      <c r="L114" s="17" t="s">
        <v>2890</v>
      </c>
      <c r="M114" s="17" t="s">
        <v>2890</v>
      </c>
      <c r="N114" s="38" t="s">
        <v>2889</v>
      </c>
      <c r="O114" s="17" t="s">
        <v>2890</v>
      </c>
      <c r="P114" s="17" t="s">
        <v>2890</v>
      </c>
      <c r="T114" s="17" t="s">
        <v>2889</v>
      </c>
      <c r="U114" s="17" t="s">
        <v>2890</v>
      </c>
      <c r="V114" s="36" t="s">
        <v>2034</v>
      </c>
      <c r="W114" s="17"/>
      <c r="X114" s="20">
        <v>4</v>
      </c>
    </row>
    <row r="115" spans="1:24">
      <c r="A115" s="1">
        <v>2703</v>
      </c>
      <c r="B115" s="427" t="s">
        <v>1309</v>
      </c>
      <c r="C115" s="1" t="s">
        <v>1310</v>
      </c>
      <c r="D115" s="1" t="s">
        <v>1311</v>
      </c>
      <c r="E115" s="35">
        <v>944</v>
      </c>
      <c r="F115" s="1" t="str">
        <f>VLOOKUP(E115,'ESTRUTURA_MODULO(hide)'!$A$2:$D$230,2,FALSE)</f>
        <v>Aplicação Tasy iOS</v>
      </c>
      <c r="G115" s="1" t="str">
        <f>VLOOKUP(E115,'ESTRUTURA_MODULO(hide)'!$A$2:$D$95,3,FALSE)</f>
        <v>Tasy iOS Aplication</v>
      </c>
      <c r="H115" s="1" t="str">
        <f>VLOOKUP(E115,'ESTRUTURA_MODULO(hide)'!$A$2:$D$95,4,FALSE)</f>
        <v>Aplicación iOS Tasy</v>
      </c>
      <c r="I115" s="37">
        <v>4</v>
      </c>
      <c r="J115" s="17" t="s">
        <v>2890</v>
      </c>
      <c r="K115" s="17" t="s">
        <v>2890</v>
      </c>
      <c r="L115" s="17" t="s">
        <v>2890</v>
      </c>
      <c r="M115" s="17" t="s">
        <v>2890</v>
      </c>
      <c r="N115" s="38" t="s">
        <v>2889</v>
      </c>
      <c r="O115" s="17" t="s">
        <v>2890</v>
      </c>
      <c r="P115" s="17" t="s">
        <v>2890</v>
      </c>
      <c r="T115" s="17" t="s">
        <v>2889</v>
      </c>
      <c r="U115" s="17" t="s">
        <v>2890</v>
      </c>
      <c r="V115" s="36" t="s">
        <v>2034</v>
      </c>
      <c r="W115" s="17"/>
      <c r="X115" s="20">
        <v>4</v>
      </c>
    </row>
    <row r="116" spans="1:24">
      <c r="A116" s="1">
        <v>2689</v>
      </c>
      <c r="B116" s="427" t="s">
        <v>2896</v>
      </c>
      <c r="C116" s="1" t="s">
        <v>1350</v>
      </c>
      <c r="D116" s="1" t="s">
        <v>1351</v>
      </c>
      <c r="E116" s="35">
        <v>944</v>
      </c>
      <c r="F116" s="1" t="str">
        <f>VLOOKUP(E116,'ESTRUTURA_MODULO(hide)'!$A$2:$D$230,2,FALSE)</f>
        <v>Aplicação Tasy iOS</v>
      </c>
      <c r="G116" s="1" t="str">
        <f>VLOOKUP(E116,'ESTRUTURA_MODULO(hide)'!$A$2:$D$95,3,FALSE)</f>
        <v>Tasy iOS Aplication</v>
      </c>
      <c r="H116" s="1" t="str">
        <f>VLOOKUP(E116,'ESTRUTURA_MODULO(hide)'!$A$2:$D$95,4,FALSE)</f>
        <v>Aplicación iOS Tasy</v>
      </c>
      <c r="I116" s="37">
        <v>4</v>
      </c>
      <c r="J116" s="17" t="s">
        <v>2890</v>
      </c>
      <c r="K116" s="17" t="s">
        <v>2890</v>
      </c>
      <c r="L116" s="17" t="s">
        <v>2890</v>
      </c>
      <c r="M116" s="17" t="s">
        <v>2890</v>
      </c>
      <c r="N116" s="38" t="s">
        <v>2889</v>
      </c>
      <c r="O116" s="17" t="s">
        <v>2890</v>
      </c>
      <c r="P116" s="17" t="s">
        <v>2890</v>
      </c>
      <c r="T116" s="17" t="s">
        <v>2889</v>
      </c>
      <c r="U116" s="17" t="s">
        <v>2890</v>
      </c>
      <c r="V116" s="36" t="s">
        <v>2034</v>
      </c>
      <c r="W116" s="17"/>
      <c r="X116" s="20">
        <v>4</v>
      </c>
    </row>
    <row r="117" spans="1:24">
      <c r="A117" s="1">
        <v>99009</v>
      </c>
      <c r="B117" s="35" t="s">
        <v>388</v>
      </c>
      <c r="C117" s="1" t="s">
        <v>1337</v>
      </c>
      <c r="D117" s="1" t="s">
        <v>1338</v>
      </c>
      <c r="E117" s="35">
        <v>451</v>
      </c>
      <c r="F117" s="1" t="str">
        <f>VLOOKUP(E117,'ESTRUTURA_MODULO(hide)'!$A$2:$D$230,2,FALSE)</f>
        <v>Radioterapia</v>
      </c>
      <c r="G117" s="1" t="str">
        <f>VLOOKUP(E117,'ESTRUTURA_MODULO(hide)'!$A$2:$D$95,3,FALSE)</f>
        <v>Radiotherapy</v>
      </c>
      <c r="H117" s="1" t="str">
        <f>VLOOKUP(E117,'ESTRUTURA_MODULO(hide)'!$A$2:$D$95,4,FALSE)</f>
        <v>Radioterapia</v>
      </c>
      <c r="I117" s="37">
        <v>2</v>
      </c>
      <c r="J117" s="17" t="s">
        <v>2890</v>
      </c>
      <c r="K117" s="17" t="s">
        <v>2890</v>
      </c>
      <c r="L117" s="17" t="s">
        <v>2890</v>
      </c>
      <c r="M117" s="17" t="s">
        <v>2890</v>
      </c>
      <c r="N117" s="38" t="s">
        <v>2889</v>
      </c>
      <c r="O117" s="17" t="s">
        <v>2890</v>
      </c>
      <c r="P117" s="17" t="s">
        <v>2890</v>
      </c>
      <c r="T117" s="17" t="s">
        <v>2889</v>
      </c>
      <c r="U117" s="17" t="s">
        <v>2890</v>
      </c>
      <c r="V117" s="36" t="s">
        <v>387</v>
      </c>
      <c r="W117" s="17"/>
      <c r="X117" s="20">
        <v>8</v>
      </c>
    </row>
    <row r="118" spans="1:24">
      <c r="A118" s="1">
        <v>2682</v>
      </c>
      <c r="B118" s="427" t="s">
        <v>1335</v>
      </c>
      <c r="C118" s="1" t="s">
        <v>1336</v>
      </c>
      <c r="D118" s="1" t="s">
        <v>1335</v>
      </c>
      <c r="E118" s="35">
        <v>944</v>
      </c>
      <c r="F118" s="1" t="str">
        <f>VLOOKUP(E118,'ESTRUTURA_MODULO(hide)'!$A$2:$D$230,2,FALSE)</f>
        <v>Aplicação Tasy iOS</v>
      </c>
      <c r="G118" s="1" t="str">
        <f>VLOOKUP(E118,'ESTRUTURA_MODULO(hide)'!$A$2:$D$95,3,FALSE)</f>
        <v>Tasy iOS Aplication</v>
      </c>
      <c r="H118" s="1" t="str">
        <f>VLOOKUP(E118,'ESTRUTURA_MODULO(hide)'!$A$2:$D$95,4,FALSE)</f>
        <v>Aplicación iOS Tasy</v>
      </c>
      <c r="I118" s="37">
        <v>4</v>
      </c>
      <c r="J118" s="17" t="s">
        <v>2890</v>
      </c>
      <c r="K118" s="17" t="s">
        <v>2890</v>
      </c>
      <c r="L118" s="17" t="s">
        <v>2890</v>
      </c>
      <c r="M118" s="17" t="s">
        <v>2890</v>
      </c>
      <c r="N118" s="38" t="s">
        <v>2889</v>
      </c>
      <c r="O118" s="17" t="s">
        <v>2890</v>
      </c>
      <c r="P118" s="17" t="s">
        <v>2890</v>
      </c>
      <c r="T118" s="17" t="s">
        <v>2889</v>
      </c>
      <c r="U118" s="17" t="s">
        <v>2890</v>
      </c>
      <c r="V118" s="36" t="s">
        <v>2034</v>
      </c>
      <c r="W118" s="17"/>
      <c r="X118" s="20">
        <v>4</v>
      </c>
    </row>
    <row r="119" spans="1:24">
      <c r="A119" s="1">
        <v>2681</v>
      </c>
      <c r="B119" s="427" t="s">
        <v>1318</v>
      </c>
      <c r="C119" s="1" t="s">
        <v>1319</v>
      </c>
      <c r="D119" s="1" t="s">
        <v>1320</v>
      </c>
      <c r="E119" s="35">
        <v>944</v>
      </c>
      <c r="F119" s="1" t="str">
        <f>VLOOKUP(E119,'ESTRUTURA_MODULO(hide)'!$A$2:$D$230,2,FALSE)</f>
        <v>Aplicação Tasy iOS</v>
      </c>
      <c r="G119" s="1" t="str">
        <f>VLOOKUP(E119,'ESTRUTURA_MODULO(hide)'!$A$2:$D$95,3,FALSE)</f>
        <v>Tasy iOS Aplication</v>
      </c>
      <c r="H119" s="1" t="str">
        <f>VLOOKUP(E119,'ESTRUTURA_MODULO(hide)'!$A$2:$D$95,4,FALSE)</f>
        <v>Aplicación iOS Tasy</v>
      </c>
      <c r="I119" s="37">
        <v>4</v>
      </c>
      <c r="J119" s="17" t="s">
        <v>2890</v>
      </c>
      <c r="K119" s="17" t="s">
        <v>2890</v>
      </c>
      <c r="L119" s="17" t="s">
        <v>2890</v>
      </c>
      <c r="M119" s="17" t="s">
        <v>2890</v>
      </c>
      <c r="N119" s="38" t="s">
        <v>2889</v>
      </c>
      <c r="O119" s="17" t="s">
        <v>2890</v>
      </c>
      <c r="P119" s="17" t="s">
        <v>2890</v>
      </c>
      <c r="T119" s="17" t="s">
        <v>2889</v>
      </c>
      <c r="U119" s="17" t="s">
        <v>2890</v>
      </c>
      <c r="V119" s="36" t="s">
        <v>2034</v>
      </c>
      <c r="W119" s="17"/>
      <c r="X119" s="20">
        <v>4</v>
      </c>
    </row>
    <row r="120" spans="1:24">
      <c r="A120" s="1">
        <v>2707</v>
      </c>
      <c r="B120" s="1" t="s">
        <v>390</v>
      </c>
      <c r="C120" s="1" t="s">
        <v>1307</v>
      </c>
      <c r="D120" s="1" t="s">
        <v>1308</v>
      </c>
      <c r="E120" s="1">
        <v>283</v>
      </c>
      <c r="F120" s="1" t="str">
        <f>VLOOKUP(E120,'ESTRUTURA_MODULO(hide)'!$A$2:$D$230,2,FALSE)</f>
        <v>Tasy Web Suite</v>
      </c>
      <c r="G120" s="1" t="str">
        <f>VLOOKUP(E120,'ESTRUTURA_MODULO(hide)'!$A$2:$D$95,3,FALSE)</f>
        <v>Tasy Web Suite</v>
      </c>
      <c r="H120" s="1" t="str">
        <f>VLOOKUP(E120,'ESTRUTURA_MODULO(hide)'!$A$2:$D$95,4,FALSE)</f>
        <v>Tasy Web Suite</v>
      </c>
      <c r="I120" s="20">
        <v>0</v>
      </c>
      <c r="J120" s="17" t="s">
        <v>2890</v>
      </c>
      <c r="K120" s="17" t="s">
        <v>2890</v>
      </c>
      <c r="L120" s="17" t="s">
        <v>2890</v>
      </c>
      <c r="M120" s="17" t="s">
        <v>2890</v>
      </c>
      <c r="N120" s="17" t="s">
        <v>2890</v>
      </c>
      <c r="O120" s="17" t="s">
        <v>2890</v>
      </c>
      <c r="P120" s="17" t="s">
        <v>2890</v>
      </c>
      <c r="T120" s="17" t="s">
        <v>2889</v>
      </c>
      <c r="U120" s="17" t="s">
        <v>2890</v>
      </c>
      <c r="V120" s="21"/>
      <c r="W120" s="17"/>
      <c r="X120" s="20">
        <v>0</v>
      </c>
    </row>
    <row r="121" spans="1:24">
      <c r="A121" s="1">
        <v>-2260</v>
      </c>
      <c r="B121" s="1" t="s">
        <v>1304</v>
      </c>
      <c r="C121" s="1" t="s">
        <v>1305</v>
      </c>
      <c r="D121" s="1" t="s">
        <v>1306</v>
      </c>
      <c r="E121" s="1">
        <v>283</v>
      </c>
      <c r="F121" s="1" t="str">
        <f>VLOOKUP(E121,'ESTRUTURA_MODULO(hide)'!$A$2:$D$230,2,FALSE)</f>
        <v>Tasy Web Suite</v>
      </c>
      <c r="G121" s="1" t="str">
        <f>VLOOKUP(E121,'ESTRUTURA_MODULO(hide)'!$A$2:$D$95,3,FALSE)</f>
        <v>Tasy Web Suite</v>
      </c>
      <c r="H121" s="1" t="str">
        <f>VLOOKUP(E121,'ESTRUTURA_MODULO(hide)'!$A$2:$D$95,4,FALSE)</f>
        <v>Tasy Web Suite</v>
      </c>
      <c r="I121" s="20">
        <v>0</v>
      </c>
      <c r="J121" s="17" t="s">
        <v>2890</v>
      </c>
      <c r="K121" s="17" t="s">
        <v>2890</v>
      </c>
      <c r="L121" s="17" t="s">
        <v>2890</v>
      </c>
      <c r="M121" s="17" t="s">
        <v>2890</v>
      </c>
      <c r="N121" s="17" t="s">
        <v>2890</v>
      </c>
      <c r="O121" s="17" t="s">
        <v>2890</v>
      </c>
      <c r="P121" s="17" t="s">
        <v>2890</v>
      </c>
      <c r="T121" s="17" t="s">
        <v>2889</v>
      </c>
      <c r="U121" s="17" t="s">
        <v>2890</v>
      </c>
      <c r="V121" s="21"/>
      <c r="W121" s="17"/>
      <c r="X121" s="20">
        <v>0</v>
      </c>
    </row>
    <row r="122" spans="1:24">
      <c r="A122" s="1">
        <v>333</v>
      </c>
      <c r="B122" s="426" t="s">
        <v>1652</v>
      </c>
      <c r="C122" s="1" t="s">
        <v>1653</v>
      </c>
      <c r="D122" s="1" t="s">
        <v>1654</v>
      </c>
      <c r="E122" s="1">
        <v>283</v>
      </c>
      <c r="F122" s="1" t="str">
        <f>VLOOKUP(E122,'ESTRUTURA_MODULO(hide)'!$A$2:$D$230,2,FALSE)</f>
        <v>Tasy Web Suite</v>
      </c>
      <c r="G122" s="1" t="str">
        <f>VLOOKUP(E122,'ESTRUTURA_MODULO(hide)'!$A$2:$D$95,3,FALSE)</f>
        <v>Tasy Web Suite</v>
      </c>
      <c r="H122" s="1" t="str">
        <f>VLOOKUP(E122,'ESTRUTURA_MODULO(hide)'!$A$2:$D$95,4,FALSE)</f>
        <v>Tasy Web Suite</v>
      </c>
      <c r="I122" s="20">
        <v>0</v>
      </c>
      <c r="J122" s="17" t="s">
        <v>2890</v>
      </c>
      <c r="K122" s="17" t="s">
        <v>2890</v>
      </c>
      <c r="L122" s="17" t="s">
        <v>2890</v>
      </c>
      <c r="M122" s="17" t="s">
        <v>2890</v>
      </c>
      <c r="N122" s="17" t="s">
        <v>2890</v>
      </c>
      <c r="O122" s="17" t="s">
        <v>2890</v>
      </c>
      <c r="P122" s="17" t="s">
        <v>2890</v>
      </c>
      <c r="T122" s="17" t="s">
        <v>2889</v>
      </c>
      <c r="U122" s="17" t="s">
        <v>2890</v>
      </c>
      <c r="V122" s="21"/>
      <c r="W122" s="17"/>
      <c r="X122" s="20">
        <v>0</v>
      </c>
    </row>
    <row r="123" spans="1:24">
      <c r="A123" s="1">
        <v>335</v>
      </c>
      <c r="B123" s="426" t="s">
        <v>1649</v>
      </c>
      <c r="C123" s="1" t="s">
        <v>1650</v>
      </c>
      <c r="D123" s="1" t="s">
        <v>1651</v>
      </c>
      <c r="E123" s="1">
        <v>283</v>
      </c>
      <c r="F123" s="1" t="str">
        <f>VLOOKUP(E123,'ESTRUTURA_MODULO(hide)'!$A$2:$D$230,2,FALSE)</f>
        <v>Tasy Web Suite</v>
      </c>
      <c r="G123" s="1" t="str">
        <f>VLOOKUP(E123,'ESTRUTURA_MODULO(hide)'!$A$2:$D$95,3,FALSE)</f>
        <v>Tasy Web Suite</v>
      </c>
      <c r="H123" s="1" t="str">
        <f>VLOOKUP(E123,'ESTRUTURA_MODULO(hide)'!$A$2:$D$95,4,FALSE)</f>
        <v>Tasy Web Suite</v>
      </c>
      <c r="I123" s="20">
        <v>0</v>
      </c>
      <c r="J123" s="17" t="s">
        <v>2890</v>
      </c>
      <c r="K123" s="17" t="s">
        <v>2890</v>
      </c>
      <c r="L123" s="17" t="s">
        <v>2890</v>
      </c>
      <c r="M123" s="17" t="s">
        <v>2890</v>
      </c>
      <c r="N123" s="17" t="s">
        <v>2890</v>
      </c>
      <c r="O123" s="17" t="s">
        <v>2890</v>
      </c>
      <c r="P123" s="17" t="s">
        <v>2890</v>
      </c>
      <c r="T123" s="17" t="s">
        <v>2889</v>
      </c>
      <c r="U123" s="17" t="s">
        <v>2890</v>
      </c>
      <c r="V123" s="21"/>
      <c r="W123" s="17"/>
      <c r="X123" s="20">
        <v>0</v>
      </c>
    </row>
    <row r="124" spans="1:24">
      <c r="A124" s="1">
        <v>10050</v>
      </c>
      <c r="B124" s="1" t="s">
        <v>371</v>
      </c>
      <c r="C124" s="1" t="s">
        <v>1333</v>
      </c>
      <c r="D124" s="1" t="s">
        <v>1334</v>
      </c>
      <c r="E124" s="1">
        <v>283</v>
      </c>
      <c r="F124" s="1" t="str">
        <f>VLOOKUP(E124,'ESTRUTURA_MODULO(hide)'!$A$2:$D$230,2,FALSE)</f>
        <v>Tasy Web Suite</v>
      </c>
      <c r="G124" s="1" t="str">
        <f>VLOOKUP(E124,'ESTRUTURA_MODULO(hide)'!$A$2:$D$95,3,FALSE)</f>
        <v>Tasy Web Suite</v>
      </c>
      <c r="H124" s="1" t="str">
        <f>VLOOKUP(E124,'ESTRUTURA_MODULO(hide)'!$A$2:$D$95,4,FALSE)</f>
        <v>Tasy Web Suite</v>
      </c>
      <c r="I124" s="20">
        <v>0</v>
      </c>
      <c r="J124" s="17" t="s">
        <v>2890</v>
      </c>
      <c r="K124" s="17" t="s">
        <v>2890</v>
      </c>
      <c r="L124" s="17" t="s">
        <v>2890</v>
      </c>
      <c r="M124" s="17" t="s">
        <v>2890</v>
      </c>
      <c r="N124" s="17" t="s">
        <v>2890</v>
      </c>
      <c r="O124" s="17" t="s">
        <v>2890</v>
      </c>
      <c r="P124" s="17" t="s">
        <v>2890</v>
      </c>
      <c r="T124" s="17" t="s">
        <v>2889</v>
      </c>
      <c r="U124" s="17" t="s">
        <v>2890</v>
      </c>
      <c r="V124" s="21"/>
      <c r="W124" s="17"/>
      <c r="X124" s="20">
        <v>0</v>
      </c>
    </row>
    <row r="125" spans="1:24">
      <c r="A125" s="1">
        <v>875</v>
      </c>
      <c r="B125" s="1" t="s">
        <v>362</v>
      </c>
      <c r="C125" s="1" t="s">
        <v>1302</v>
      </c>
      <c r="D125" s="1" t="s">
        <v>1303</v>
      </c>
      <c r="E125" s="1">
        <v>283</v>
      </c>
      <c r="F125" s="1" t="str">
        <f>VLOOKUP(E125,'ESTRUTURA_MODULO(hide)'!$A$2:$D$230,2,FALSE)</f>
        <v>Tasy Web Suite</v>
      </c>
      <c r="G125" s="1" t="str">
        <f>VLOOKUP(E125,'ESTRUTURA_MODULO(hide)'!$A$2:$D$95,3,FALSE)</f>
        <v>Tasy Web Suite</v>
      </c>
      <c r="H125" s="1" t="str">
        <f>VLOOKUP(E125,'ESTRUTURA_MODULO(hide)'!$A$2:$D$95,4,FALSE)</f>
        <v>Tasy Web Suite</v>
      </c>
      <c r="I125" s="20">
        <v>0</v>
      </c>
      <c r="J125" s="17" t="s">
        <v>2890</v>
      </c>
      <c r="K125" s="17" t="s">
        <v>2890</v>
      </c>
      <c r="L125" s="17" t="s">
        <v>2890</v>
      </c>
      <c r="M125" s="17" t="s">
        <v>2890</v>
      </c>
      <c r="N125" s="17" t="s">
        <v>2890</v>
      </c>
      <c r="O125" s="17" t="s">
        <v>2890</v>
      </c>
      <c r="P125" s="17" t="s">
        <v>2890</v>
      </c>
      <c r="T125" s="17" t="s">
        <v>2889</v>
      </c>
      <c r="U125" s="17" t="s">
        <v>2890</v>
      </c>
      <c r="V125" s="21"/>
      <c r="W125" s="17"/>
      <c r="X125" s="20">
        <v>0</v>
      </c>
    </row>
    <row r="126" spans="1:24">
      <c r="A126" s="1">
        <v>-617</v>
      </c>
      <c r="B126" s="426" t="s">
        <v>1725</v>
      </c>
      <c r="C126" s="1" t="s">
        <v>1726</v>
      </c>
      <c r="D126" s="1" t="s">
        <v>1727</v>
      </c>
      <c r="E126" s="1">
        <v>283</v>
      </c>
      <c r="F126" s="1" t="str">
        <f>VLOOKUP(E126,'ESTRUTURA_MODULO(hide)'!$A$2:$D$230,2,FALSE)</f>
        <v>Tasy Web Suite</v>
      </c>
      <c r="G126" s="1" t="str">
        <f>VLOOKUP(E126,'ESTRUTURA_MODULO(hide)'!$A$2:$D$95,3,FALSE)</f>
        <v>Tasy Web Suite</v>
      </c>
      <c r="H126" s="1" t="str">
        <f>VLOOKUP(E126,'ESTRUTURA_MODULO(hide)'!$A$2:$D$95,4,FALSE)</f>
        <v>Tasy Web Suite</v>
      </c>
      <c r="I126" s="20">
        <v>0</v>
      </c>
      <c r="J126" s="17" t="s">
        <v>2890</v>
      </c>
      <c r="K126" s="17" t="s">
        <v>2890</v>
      </c>
      <c r="L126" s="17" t="s">
        <v>2890</v>
      </c>
      <c r="M126" s="17" t="s">
        <v>2890</v>
      </c>
      <c r="N126" s="17" t="s">
        <v>2890</v>
      </c>
      <c r="O126" s="17" t="s">
        <v>2890</v>
      </c>
      <c r="P126" s="17" t="s">
        <v>2890</v>
      </c>
      <c r="T126" s="17" t="s">
        <v>2889</v>
      </c>
      <c r="U126" s="17" t="s">
        <v>2890</v>
      </c>
      <c r="V126" s="21"/>
      <c r="W126" s="17"/>
      <c r="X126" s="20">
        <v>0</v>
      </c>
    </row>
    <row r="127" spans="1:24">
      <c r="A127" s="1">
        <v>6542</v>
      </c>
      <c r="B127" s="1" t="s">
        <v>1227</v>
      </c>
      <c r="C127" s="1" t="s">
        <v>1228</v>
      </c>
      <c r="D127" s="1" t="s">
        <v>1229</v>
      </c>
      <c r="E127" s="1">
        <v>283</v>
      </c>
      <c r="F127" s="1" t="str">
        <f>VLOOKUP(E127,'ESTRUTURA_MODULO(hide)'!$A$2:$D$230,2,FALSE)</f>
        <v>Tasy Web Suite</v>
      </c>
      <c r="G127" s="1" t="str">
        <f>VLOOKUP(E127,'ESTRUTURA_MODULO(hide)'!$A$2:$D$95,3,FALSE)</f>
        <v>Tasy Web Suite</v>
      </c>
      <c r="H127" s="1" t="str">
        <f>VLOOKUP(E127,'ESTRUTURA_MODULO(hide)'!$A$2:$D$95,4,FALSE)</f>
        <v>Tasy Web Suite</v>
      </c>
      <c r="I127" s="20">
        <v>0</v>
      </c>
      <c r="J127" s="17" t="s">
        <v>2890</v>
      </c>
      <c r="K127" s="17" t="s">
        <v>2890</v>
      </c>
      <c r="L127" s="17" t="s">
        <v>2890</v>
      </c>
      <c r="M127" s="17" t="s">
        <v>2890</v>
      </c>
      <c r="N127" s="17" t="s">
        <v>2890</v>
      </c>
      <c r="O127" s="17" t="s">
        <v>2890</v>
      </c>
      <c r="P127" s="17" t="s">
        <v>2890</v>
      </c>
      <c r="T127" s="17" t="s">
        <v>2889</v>
      </c>
      <c r="U127" s="17" t="s">
        <v>2890</v>
      </c>
      <c r="V127" s="21"/>
      <c r="W127" s="17"/>
      <c r="X127" s="20">
        <v>0</v>
      </c>
    </row>
    <row r="128" spans="1:24">
      <c r="A128" s="1">
        <v>7053</v>
      </c>
      <c r="B128" s="35" t="s">
        <v>1224</v>
      </c>
      <c r="C128" s="1" t="s">
        <v>1225</v>
      </c>
      <c r="D128" s="1" t="s">
        <v>1226</v>
      </c>
      <c r="E128" s="35">
        <v>28</v>
      </c>
      <c r="F128" s="1" t="str">
        <f>VLOOKUP(E128,'ESTRUTURA_MODULO(hide)'!$A$2:$D$230,2,FALSE)</f>
        <v>Contas a Receber</v>
      </c>
      <c r="G128" s="1" t="str">
        <f>VLOOKUP(E128,'ESTRUTURA_MODULO(hide)'!$A$2:$D$95,3,FALSE)</f>
        <v xml:space="preserve">Accounts receivable </v>
      </c>
      <c r="H128" s="1" t="str">
        <f>VLOOKUP(E128,'ESTRUTURA_MODULO(hide)'!$A$2:$D$95,4,FALSE)</f>
        <v>Cuentas por Cobrar</v>
      </c>
      <c r="I128" s="37">
        <v>4</v>
      </c>
      <c r="J128" s="17" t="s">
        <v>2890</v>
      </c>
      <c r="K128" s="17" t="s">
        <v>2890</v>
      </c>
      <c r="L128" s="17" t="s">
        <v>2890</v>
      </c>
      <c r="M128" s="17" t="s">
        <v>2890</v>
      </c>
      <c r="N128" s="38" t="s">
        <v>2889</v>
      </c>
      <c r="O128" s="17" t="s">
        <v>2890</v>
      </c>
      <c r="P128" s="17" t="s">
        <v>2890</v>
      </c>
      <c r="T128" s="17" t="s">
        <v>2889</v>
      </c>
      <c r="U128" s="17" t="s">
        <v>2890</v>
      </c>
      <c r="V128" s="36" t="s">
        <v>9</v>
      </c>
      <c r="W128" s="17"/>
      <c r="X128" s="20">
        <v>4</v>
      </c>
    </row>
    <row r="129" spans="1:24">
      <c r="A129" s="1">
        <v>356</v>
      </c>
      <c r="B129" s="426" t="s">
        <v>402</v>
      </c>
      <c r="C129" s="1" t="s">
        <v>1290</v>
      </c>
      <c r="D129" s="1" t="s">
        <v>1291</v>
      </c>
      <c r="E129" s="1">
        <v>283</v>
      </c>
      <c r="F129" s="1" t="str">
        <f>VLOOKUP(E129,'ESTRUTURA_MODULO(hide)'!$A$2:$D$230,2,FALSE)</f>
        <v>Tasy Web Suite</v>
      </c>
      <c r="G129" s="1" t="str">
        <f>VLOOKUP(E129,'ESTRUTURA_MODULO(hide)'!$A$2:$D$95,3,FALSE)</f>
        <v>Tasy Web Suite</v>
      </c>
      <c r="H129" s="1" t="str">
        <f>VLOOKUP(E129,'ESTRUTURA_MODULO(hide)'!$A$2:$D$95,4,FALSE)</f>
        <v>Tasy Web Suite</v>
      </c>
      <c r="I129" s="20">
        <v>0</v>
      </c>
      <c r="J129" s="17" t="s">
        <v>2890</v>
      </c>
      <c r="K129" s="17" t="s">
        <v>2890</v>
      </c>
      <c r="L129" s="17" t="s">
        <v>2890</v>
      </c>
      <c r="M129" s="17" t="s">
        <v>2890</v>
      </c>
      <c r="N129" s="17" t="s">
        <v>2890</v>
      </c>
      <c r="O129" s="17" t="s">
        <v>2890</v>
      </c>
      <c r="P129" s="17" t="s">
        <v>2890</v>
      </c>
      <c r="T129" s="17" t="s">
        <v>2889</v>
      </c>
      <c r="U129" s="17" t="s">
        <v>2890</v>
      </c>
      <c r="V129" s="21"/>
      <c r="W129" s="17"/>
      <c r="X129" s="20">
        <v>0</v>
      </c>
    </row>
    <row r="130" spans="1:24">
      <c r="A130" s="1">
        <v>-613</v>
      </c>
      <c r="B130" s="426" t="s">
        <v>1728</v>
      </c>
      <c r="C130" s="1" t="s">
        <v>1729</v>
      </c>
      <c r="D130" s="1" t="s">
        <v>1730</v>
      </c>
      <c r="E130" s="1">
        <v>283</v>
      </c>
      <c r="F130" s="1" t="str">
        <f>VLOOKUP(E130,'ESTRUTURA_MODULO(hide)'!$A$2:$D$230,2,FALSE)</f>
        <v>Tasy Web Suite</v>
      </c>
      <c r="G130" s="1" t="str">
        <f>VLOOKUP(E130,'ESTRUTURA_MODULO(hide)'!$A$2:$D$95,3,FALSE)</f>
        <v>Tasy Web Suite</v>
      </c>
      <c r="H130" s="1" t="str">
        <f>VLOOKUP(E130,'ESTRUTURA_MODULO(hide)'!$A$2:$D$95,4,FALSE)</f>
        <v>Tasy Web Suite</v>
      </c>
      <c r="I130" s="20">
        <v>0</v>
      </c>
      <c r="J130" s="17" t="s">
        <v>2890</v>
      </c>
      <c r="K130" s="17" t="s">
        <v>2890</v>
      </c>
      <c r="L130" s="17" t="s">
        <v>2890</v>
      </c>
      <c r="M130" s="17" t="s">
        <v>2890</v>
      </c>
      <c r="N130" s="17" t="s">
        <v>2890</v>
      </c>
      <c r="O130" s="17" t="s">
        <v>2890</v>
      </c>
      <c r="P130" s="17" t="s">
        <v>2890</v>
      </c>
      <c r="T130" s="17" t="s">
        <v>2889</v>
      </c>
      <c r="U130" s="17" t="s">
        <v>2890</v>
      </c>
      <c r="V130" s="21"/>
      <c r="W130" s="17"/>
      <c r="X130" s="20">
        <v>0</v>
      </c>
    </row>
    <row r="131" spans="1:24">
      <c r="A131" s="1">
        <v>45</v>
      </c>
      <c r="B131" s="426" t="s">
        <v>1315</v>
      </c>
      <c r="C131" s="1" t="s">
        <v>1316</v>
      </c>
      <c r="D131" s="1" t="s">
        <v>1317</v>
      </c>
      <c r="E131" s="1">
        <v>7</v>
      </c>
      <c r="F131" s="1" t="str">
        <f>VLOOKUP(E131,'ESTRUTURA_MODULO(hide)'!$A$2:$D$230,2,FALSE)</f>
        <v>Compras</v>
      </c>
      <c r="G131" s="1" t="str">
        <f>VLOOKUP(E131,'ESTRUTURA_MODULO(hide)'!$A$2:$D$95,3,FALSE)</f>
        <v>Purchases</v>
      </c>
      <c r="H131" s="1" t="str">
        <f>VLOOKUP(E131,'ESTRUTURA_MODULO(hide)'!$A$2:$D$95,4,FALSE)</f>
        <v>Compras</v>
      </c>
      <c r="I131" s="20">
        <v>0</v>
      </c>
      <c r="J131" s="17" t="s">
        <v>2890</v>
      </c>
      <c r="K131" s="17" t="s">
        <v>2890</v>
      </c>
      <c r="L131" s="17" t="s">
        <v>2890</v>
      </c>
      <c r="M131" s="17" t="s">
        <v>2890</v>
      </c>
      <c r="N131" s="17" t="s">
        <v>2890</v>
      </c>
      <c r="O131" s="17" t="s">
        <v>2890</v>
      </c>
      <c r="P131" s="17" t="s">
        <v>2890</v>
      </c>
      <c r="T131" s="17" t="s">
        <v>2889</v>
      </c>
      <c r="U131" s="17" t="s">
        <v>2890</v>
      </c>
      <c r="V131" s="21" t="s">
        <v>15</v>
      </c>
      <c r="W131" s="17"/>
      <c r="X131" s="20">
        <v>0</v>
      </c>
    </row>
    <row r="132" spans="1:24">
      <c r="A132" s="1">
        <v>331</v>
      </c>
      <c r="B132" s="426" t="s">
        <v>1731</v>
      </c>
      <c r="C132" s="1" t="s">
        <v>1732</v>
      </c>
      <c r="D132" s="1" t="s">
        <v>1733</v>
      </c>
      <c r="E132" s="1">
        <v>283</v>
      </c>
      <c r="F132" s="1" t="str">
        <f>VLOOKUP(E132,'ESTRUTURA_MODULO(hide)'!$A$2:$D$230,2,FALSE)</f>
        <v>Tasy Web Suite</v>
      </c>
      <c r="G132" s="1" t="str">
        <f>VLOOKUP(E132,'ESTRUTURA_MODULO(hide)'!$A$2:$D$95,3,FALSE)</f>
        <v>Tasy Web Suite</v>
      </c>
      <c r="H132" s="1" t="str">
        <f>VLOOKUP(E132,'ESTRUTURA_MODULO(hide)'!$A$2:$D$95,4,FALSE)</f>
        <v>Tasy Web Suite</v>
      </c>
      <c r="I132" s="20">
        <v>0</v>
      </c>
      <c r="J132" s="17" t="s">
        <v>2890</v>
      </c>
      <c r="K132" s="17" t="s">
        <v>2890</v>
      </c>
      <c r="L132" s="17" t="s">
        <v>2890</v>
      </c>
      <c r="M132" s="17" t="s">
        <v>2890</v>
      </c>
      <c r="N132" s="17" t="s">
        <v>2890</v>
      </c>
      <c r="O132" s="17" t="s">
        <v>2890</v>
      </c>
      <c r="P132" s="17" t="s">
        <v>2890</v>
      </c>
      <c r="T132" s="17" t="s">
        <v>2889</v>
      </c>
      <c r="U132" s="17" t="s">
        <v>2890</v>
      </c>
      <c r="V132" s="21"/>
      <c r="W132" s="17"/>
      <c r="X132" s="20">
        <v>0</v>
      </c>
    </row>
    <row r="133" spans="1:24">
      <c r="A133" s="1">
        <v>816</v>
      </c>
      <c r="B133" s="1" t="s">
        <v>1230</v>
      </c>
      <c r="C133" s="1" t="s">
        <v>1231</v>
      </c>
      <c r="D133" s="1" t="s">
        <v>1232</v>
      </c>
      <c r="E133" s="1">
        <v>283</v>
      </c>
      <c r="F133" s="1" t="str">
        <f>VLOOKUP(E133,'ESTRUTURA_MODULO(hide)'!$A$2:$D$230,2,FALSE)</f>
        <v>Tasy Web Suite</v>
      </c>
      <c r="G133" s="1" t="str">
        <f>VLOOKUP(E133,'ESTRUTURA_MODULO(hide)'!$A$2:$D$95,3,FALSE)</f>
        <v>Tasy Web Suite</v>
      </c>
      <c r="H133" s="1" t="str">
        <f>VLOOKUP(E133,'ESTRUTURA_MODULO(hide)'!$A$2:$D$95,4,FALSE)</f>
        <v>Tasy Web Suite</v>
      </c>
      <c r="I133" s="20">
        <v>0</v>
      </c>
      <c r="J133" s="17" t="s">
        <v>2890</v>
      </c>
      <c r="K133" s="17" t="s">
        <v>2890</v>
      </c>
      <c r="L133" s="17" t="s">
        <v>2890</v>
      </c>
      <c r="M133" s="17" t="s">
        <v>2890</v>
      </c>
      <c r="N133" s="17" t="s">
        <v>2890</v>
      </c>
      <c r="O133" s="17" t="s">
        <v>2890</v>
      </c>
      <c r="P133" s="17" t="s">
        <v>2890</v>
      </c>
      <c r="T133" s="17" t="s">
        <v>2889</v>
      </c>
      <c r="U133" s="17" t="s">
        <v>2890</v>
      </c>
      <c r="V133" s="21"/>
      <c r="W133" s="17"/>
      <c r="X133" s="20">
        <v>0</v>
      </c>
    </row>
    <row r="134" spans="1:24">
      <c r="A134" s="1">
        <v>9920</v>
      </c>
      <c r="B134" s="35" t="s">
        <v>394</v>
      </c>
      <c r="C134" s="1" t="s">
        <v>1331</v>
      </c>
      <c r="D134" s="1" t="s">
        <v>1332</v>
      </c>
      <c r="E134" s="35">
        <v>104</v>
      </c>
      <c r="F134" s="1" t="str">
        <f>VLOOKUP(E134,'ESTRUTURA_MODULO(hide)'!$A$2:$D$230,2,FALSE)</f>
        <v>Repasse a Terceiros</v>
      </c>
      <c r="G134" s="1" t="str">
        <f>VLOOKUP(E134,'ESTRUTURA_MODULO(hide)'!$A$2:$D$95,3,FALSE)</f>
        <v>Transfer to third parties</v>
      </c>
      <c r="H134" s="1" t="str">
        <f>VLOOKUP(E134,'ESTRUTURA_MODULO(hide)'!$A$2:$D$95,4,FALSE)</f>
        <v>Traspaso a la terceros</v>
      </c>
      <c r="I134" s="37">
        <v>6</v>
      </c>
      <c r="J134" s="17" t="s">
        <v>2890</v>
      </c>
      <c r="K134" s="17" t="s">
        <v>2889</v>
      </c>
      <c r="L134" s="17" t="s">
        <v>2889</v>
      </c>
      <c r="M134" s="17" t="s">
        <v>2890</v>
      </c>
      <c r="N134" s="38" t="s">
        <v>2889</v>
      </c>
      <c r="O134" s="17" t="s">
        <v>2890</v>
      </c>
      <c r="P134" s="17" t="s">
        <v>2890</v>
      </c>
      <c r="T134" s="17" t="s">
        <v>2889</v>
      </c>
      <c r="U134" s="17" t="s">
        <v>2890</v>
      </c>
      <c r="V134" s="36" t="s">
        <v>23</v>
      </c>
      <c r="W134" s="17"/>
      <c r="X134" s="20">
        <v>6</v>
      </c>
    </row>
    <row r="135" spans="1:24">
      <c r="A135" s="1">
        <v>10080</v>
      </c>
      <c r="B135" s="1" t="s">
        <v>391</v>
      </c>
      <c r="C135" s="1" t="s">
        <v>1329</v>
      </c>
      <c r="D135" s="1" t="s">
        <v>1330</v>
      </c>
      <c r="E135" s="1">
        <v>283</v>
      </c>
      <c r="F135" s="1" t="str">
        <f>VLOOKUP(E135,'ESTRUTURA_MODULO(hide)'!$A$2:$D$230,2,FALSE)</f>
        <v>Tasy Web Suite</v>
      </c>
      <c r="G135" s="1" t="str">
        <f>VLOOKUP(E135,'ESTRUTURA_MODULO(hide)'!$A$2:$D$95,3,FALSE)</f>
        <v>Tasy Web Suite</v>
      </c>
      <c r="H135" s="1" t="str">
        <f>VLOOKUP(E135,'ESTRUTURA_MODULO(hide)'!$A$2:$D$95,4,FALSE)</f>
        <v>Tasy Web Suite</v>
      </c>
      <c r="I135" s="20">
        <v>0</v>
      </c>
      <c r="J135" s="17" t="s">
        <v>2890</v>
      </c>
      <c r="K135" s="17" t="s">
        <v>2890</v>
      </c>
      <c r="L135" s="17" t="s">
        <v>2890</v>
      </c>
      <c r="M135" s="17" t="s">
        <v>2890</v>
      </c>
      <c r="N135" s="17" t="s">
        <v>2890</v>
      </c>
      <c r="O135" s="17" t="s">
        <v>2890</v>
      </c>
      <c r="P135" s="17" t="s">
        <v>2890</v>
      </c>
      <c r="T135" s="17" t="s">
        <v>2889</v>
      </c>
      <c r="U135" s="17" t="s">
        <v>2890</v>
      </c>
      <c r="V135" s="21"/>
      <c r="W135" s="17"/>
      <c r="X135" s="20">
        <v>0</v>
      </c>
    </row>
    <row r="136" spans="1:24">
      <c r="A136" s="1">
        <v>2685</v>
      </c>
      <c r="B136" s="427" t="s">
        <v>1341</v>
      </c>
      <c r="C136" s="1" t="s">
        <v>1342</v>
      </c>
      <c r="D136" s="1" t="s">
        <v>1343</v>
      </c>
      <c r="E136" s="35">
        <v>944</v>
      </c>
      <c r="F136" s="1" t="str">
        <f>VLOOKUP(E136,'ESTRUTURA_MODULO(hide)'!$A$2:$D$230,2,FALSE)</f>
        <v>Aplicação Tasy iOS</v>
      </c>
      <c r="G136" s="1" t="str">
        <f>VLOOKUP(E136,'ESTRUTURA_MODULO(hide)'!$A$2:$D$95,3,FALSE)</f>
        <v>Tasy iOS Aplication</v>
      </c>
      <c r="H136" s="1" t="str">
        <f>VLOOKUP(E136,'ESTRUTURA_MODULO(hide)'!$A$2:$D$95,4,FALSE)</f>
        <v>Aplicación iOS Tasy</v>
      </c>
      <c r="I136" s="37">
        <v>4</v>
      </c>
      <c r="J136" s="17" t="s">
        <v>2890</v>
      </c>
      <c r="K136" s="17" t="s">
        <v>2890</v>
      </c>
      <c r="L136" s="17" t="s">
        <v>2890</v>
      </c>
      <c r="M136" s="17" t="s">
        <v>2890</v>
      </c>
      <c r="N136" s="38" t="s">
        <v>2889</v>
      </c>
      <c r="O136" s="17" t="s">
        <v>2890</v>
      </c>
      <c r="P136" s="17" t="s">
        <v>2890</v>
      </c>
      <c r="T136" s="17" t="s">
        <v>2889</v>
      </c>
      <c r="U136" s="17" t="s">
        <v>2890</v>
      </c>
      <c r="V136" s="36" t="s">
        <v>2034</v>
      </c>
      <c r="W136" s="17"/>
      <c r="X136" s="20">
        <v>4</v>
      </c>
    </row>
    <row r="137" spans="1:24">
      <c r="A137" s="1">
        <v>10060</v>
      </c>
      <c r="B137" s="1" t="s">
        <v>373</v>
      </c>
      <c r="C137" s="1" t="s">
        <v>1339</v>
      </c>
      <c r="D137" s="1" t="s">
        <v>1340</v>
      </c>
      <c r="E137" s="1">
        <v>283</v>
      </c>
      <c r="F137" s="1" t="str">
        <f>VLOOKUP(E137,'ESTRUTURA_MODULO(hide)'!$A$2:$D$230,2,FALSE)</f>
        <v>Tasy Web Suite</v>
      </c>
      <c r="G137" s="1" t="str">
        <f>VLOOKUP(E137,'ESTRUTURA_MODULO(hide)'!$A$2:$D$95,3,FALSE)</f>
        <v>Tasy Web Suite</v>
      </c>
      <c r="H137" s="1" t="str">
        <f>VLOOKUP(E137,'ESTRUTURA_MODULO(hide)'!$A$2:$D$95,4,FALSE)</f>
        <v>Tasy Web Suite</v>
      </c>
      <c r="I137" s="20">
        <v>0</v>
      </c>
      <c r="J137" s="17" t="s">
        <v>2890</v>
      </c>
      <c r="K137" s="17" t="s">
        <v>2890</v>
      </c>
      <c r="L137" s="17" t="s">
        <v>2890</v>
      </c>
      <c r="M137" s="17" t="s">
        <v>2890</v>
      </c>
      <c r="N137" s="17" t="s">
        <v>2890</v>
      </c>
      <c r="O137" s="17" t="s">
        <v>2890</v>
      </c>
      <c r="P137" s="17" t="s">
        <v>2890</v>
      </c>
      <c r="T137" s="17" t="s">
        <v>2889</v>
      </c>
      <c r="U137" s="17" t="s">
        <v>2890</v>
      </c>
      <c r="V137" s="21"/>
      <c r="W137" s="17"/>
      <c r="X137" s="20">
        <v>0</v>
      </c>
    </row>
    <row r="138" spans="1:24">
      <c r="A138" s="1">
        <v>-2110</v>
      </c>
      <c r="B138" s="426" t="s">
        <v>1326</v>
      </c>
      <c r="C138" s="1" t="s">
        <v>1327</v>
      </c>
      <c r="D138" s="1" t="s">
        <v>1328</v>
      </c>
      <c r="E138" s="1">
        <v>283</v>
      </c>
      <c r="F138" s="1" t="str">
        <f>VLOOKUP(E138,'ESTRUTURA_MODULO(hide)'!$A$2:$D$230,2,FALSE)</f>
        <v>Tasy Web Suite</v>
      </c>
      <c r="G138" s="1" t="str">
        <f>VLOOKUP(E138,'ESTRUTURA_MODULO(hide)'!$A$2:$D$95,3,FALSE)</f>
        <v>Tasy Web Suite</v>
      </c>
      <c r="H138" s="1" t="str">
        <f>VLOOKUP(E138,'ESTRUTURA_MODULO(hide)'!$A$2:$D$95,4,FALSE)</f>
        <v>Tasy Web Suite</v>
      </c>
      <c r="I138" s="20">
        <v>0</v>
      </c>
      <c r="J138" s="17" t="s">
        <v>2890</v>
      </c>
      <c r="K138" s="17" t="s">
        <v>2890</v>
      </c>
      <c r="L138" s="17" t="s">
        <v>2890</v>
      </c>
      <c r="M138" s="17" t="s">
        <v>2890</v>
      </c>
      <c r="N138" s="17" t="s">
        <v>2890</v>
      </c>
      <c r="O138" s="17" t="s">
        <v>2890</v>
      </c>
      <c r="P138" s="17" t="s">
        <v>2890</v>
      </c>
      <c r="T138" s="17" t="s">
        <v>2889</v>
      </c>
      <c r="U138" s="17" t="s">
        <v>2890</v>
      </c>
      <c r="V138" s="21"/>
      <c r="W138" s="17"/>
      <c r="X138" s="20">
        <v>0</v>
      </c>
    </row>
    <row r="139" spans="1:24">
      <c r="A139" s="1">
        <v>119</v>
      </c>
      <c r="B139" s="1" t="s">
        <v>353</v>
      </c>
      <c r="C139" s="1" t="s">
        <v>1255</v>
      </c>
      <c r="D139" s="1" t="s">
        <v>1256</v>
      </c>
      <c r="E139" s="1">
        <v>283</v>
      </c>
      <c r="F139" s="1" t="str">
        <f>VLOOKUP(E139,'ESTRUTURA_MODULO(hide)'!$A$2:$D$230,2,FALSE)</f>
        <v>Tasy Web Suite</v>
      </c>
      <c r="G139" s="1" t="str">
        <f>VLOOKUP(E139,'ESTRUTURA_MODULO(hide)'!$A$2:$D$95,3,FALSE)</f>
        <v>Tasy Web Suite</v>
      </c>
      <c r="H139" s="1" t="str">
        <f>VLOOKUP(E139,'ESTRUTURA_MODULO(hide)'!$A$2:$D$95,4,FALSE)</f>
        <v>Tasy Web Suite</v>
      </c>
      <c r="I139" s="20">
        <v>0</v>
      </c>
      <c r="J139" s="17" t="s">
        <v>2890</v>
      </c>
      <c r="K139" s="17" t="s">
        <v>2890</v>
      </c>
      <c r="L139" s="17" t="s">
        <v>2890</v>
      </c>
      <c r="M139" s="17" t="s">
        <v>2890</v>
      </c>
      <c r="N139" s="17" t="s">
        <v>2890</v>
      </c>
      <c r="O139" s="17" t="s">
        <v>2890</v>
      </c>
      <c r="P139" s="17" t="s">
        <v>2890</v>
      </c>
      <c r="T139" s="17" t="s">
        <v>2889</v>
      </c>
      <c r="U139" s="17" t="s">
        <v>2890</v>
      </c>
      <c r="V139" s="21"/>
      <c r="W139" s="17"/>
      <c r="X139" s="20">
        <v>0</v>
      </c>
    </row>
    <row r="140" spans="1:24">
      <c r="A140" s="1">
        <v>9900</v>
      </c>
      <c r="B140" s="1" t="s">
        <v>372</v>
      </c>
      <c r="C140" s="1" t="s">
        <v>1264</v>
      </c>
      <c r="D140" s="1" t="s">
        <v>1265</v>
      </c>
      <c r="E140" s="1">
        <v>283</v>
      </c>
      <c r="F140" s="1" t="str">
        <f>VLOOKUP(E140,'ESTRUTURA_MODULO(hide)'!$A$2:$D$230,2,FALSE)</f>
        <v>Tasy Web Suite</v>
      </c>
      <c r="G140" s="1" t="str">
        <f>VLOOKUP(E140,'ESTRUTURA_MODULO(hide)'!$A$2:$D$95,3,FALSE)</f>
        <v>Tasy Web Suite</v>
      </c>
      <c r="H140" s="1" t="str">
        <f>VLOOKUP(E140,'ESTRUTURA_MODULO(hide)'!$A$2:$D$95,4,FALSE)</f>
        <v>Tasy Web Suite</v>
      </c>
      <c r="I140" s="20">
        <v>0</v>
      </c>
      <c r="J140" s="17" t="s">
        <v>2890</v>
      </c>
      <c r="K140" s="17" t="s">
        <v>2890</v>
      </c>
      <c r="L140" s="17" t="s">
        <v>2890</v>
      </c>
      <c r="M140" s="17" t="s">
        <v>2890</v>
      </c>
      <c r="N140" s="17" t="s">
        <v>2890</v>
      </c>
      <c r="O140" s="17" t="s">
        <v>2890</v>
      </c>
      <c r="P140" s="17" t="s">
        <v>2890</v>
      </c>
      <c r="T140" s="17" t="s">
        <v>2889</v>
      </c>
      <c r="U140" s="17" t="s">
        <v>2890</v>
      </c>
      <c r="V140" s="21"/>
      <c r="W140" s="17"/>
      <c r="X140" s="20">
        <v>0</v>
      </c>
    </row>
    <row r="141" spans="1:24">
      <c r="A141" s="1">
        <v>440</v>
      </c>
      <c r="B141" s="35" t="s">
        <v>352</v>
      </c>
      <c r="C141" s="1" t="s">
        <v>1233</v>
      </c>
      <c r="D141" s="1" t="s">
        <v>1234</v>
      </c>
      <c r="E141" s="35">
        <v>89</v>
      </c>
      <c r="F141" s="1" t="str">
        <f>VLOOKUP(E141,'ESTRUTURA_MODULO(hide)'!$A$2:$D$230,2,FALSE)</f>
        <v>Pronto Atendimento</v>
      </c>
      <c r="G141" s="1" t="str">
        <f>VLOOKUP(E141,'ESTRUTURA_MODULO(hide)'!$A$2:$D$95,3,FALSE)</f>
        <v>Emergency Department</v>
      </c>
      <c r="H141" s="1" t="str">
        <f>VLOOKUP(E141,'ESTRUTURA_MODULO(hide)'!$A$2:$D$95,4,FALSE)</f>
        <v>Urgencias</v>
      </c>
      <c r="I141" s="37">
        <v>6</v>
      </c>
      <c r="J141" s="17" t="s">
        <v>2890</v>
      </c>
      <c r="K141" s="17" t="s">
        <v>2890</v>
      </c>
      <c r="L141" s="17" t="s">
        <v>2890</v>
      </c>
      <c r="M141" s="17" t="s">
        <v>2890</v>
      </c>
      <c r="N141" s="38" t="s">
        <v>2889</v>
      </c>
      <c r="O141" s="17" t="s">
        <v>2889</v>
      </c>
      <c r="P141" s="17" t="s">
        <v>2889</v>
      </c>
      <c r="T141" s="17" t="s">
        <v>2889</v>
      </c>
      <c r="U141" s="17" t="s">
        <v>2890</v>
      </c>
      <c r="V141" s="36"/>
      <c r="W141" s="17"/>
      <c r="X141" s="20">
        <v>20</v>
      </c>
    </row>
    <row r="142" spans="1:24">
      <c r="A142" s="1">
        <v>-4</v>
      </c>
      <c r="B142" s="426" t="s">
        <v>1238</v>
      </c>
      <c r="C142" s="1" t="s">
        <v>1239</v>
      </c>
      <c r="D142" s="1" t="s">
        <v>1240</v>
      </c>
      <c r="E142" s="1">
        <v>283</v>
      </c>
      <c r="F142" s="1" t="str">
        <f>VLOOKUP(E142,'ESTRUTURA_MODULO(hide)'!$A$2:$D$230,2,FALSE)</f>
        <v>Tasy Web Suite</v>
      </c>
      <c r="G142" s="1" t="str">
        <f>VLOOKUP(E142,'ESTRUTURA_MODULO(hide)'!$A$2:$D$95,3,FALSE)</f>
        <v>Tasy Web Suite</v>
      </c>
      <c r="H142" s="1" t="str">
        <f>VLOOKUP(E142,'ESTRUTURA_MODULO(hide)'!$A$2:$D$95,4,FALSE)</f>
        <v>Tasy Web Suite</v>
      </c>
      <c r="I142" s="20">
        <v>0</v>
      </c>
      <c r="J142" s="17" t="s">
        <v>2890</v>
      </c>
      <c r="K142" s="17" t="s">
        <v>2890</v>
      </c>
      <c r="L142" s="17" t="s">
        <v>2890</v>
      </c>
      <c r="M142" s="17" t="s">
        <v>2890</v>
      </c>
      <c r="N142" s="17" t="s">
        <v>2890</v>
      </c>
      <c r="O142" s="17" t="s">
        <v>2890</v>
      </c>
      <c r="P142" s="17" t="s">
        <v>2890</v>
      </c>
      <c r="T142" s="17" t="s">
        <v>2889</v>
      </c>
      <c r="U142" s="17" t="s">
        <v>2890</v>
      </c>
      <c r="V142" s="21"/>
      <c r="W142" s="17"/>
      <c r="X142" s="20">
        <v>0</v>
      </c>
    </row>
    <row r="143" spans="1:24">
      <c r="A143" s="1">
        <v>-12</v>
      </c>
      <c r="B143" s="426" t="s">
        <v>1250</v>
      </c>
      <c r="C143" s="1" t="s">
        <v>1251</v>
      </c>
      <c r="D143" s="1" t="s">
        <v>1252</v>
      </c>
      <c r="E143" s="1">
        <v>283</v>
      </c>
      <c r="F143" s="1" t="str">
        <f>VLOOKUP(E143,'ESTRUTURA_MODULO(hide)'!$A$2:$D$230,2,FALSE)</f>
        <v>Tasy Web Suite</v>
      </c>
      <c r="G143" s="1" t="str">
        <f>VLOOKUP(E143,'ESTRUTURA_MODULO(hide)'!$A$2:$D$95,3,FALSE)</f>
        <v>Tasy Web Suite</v>
      </c>
      <c r="H143" s="1" t="str">
        <f>VLOOKUP(E143,'ESTRUTURA_MODULO(hide)'!$A$2:$D$95,4,FALSE)</f>
        <v>Tasy Web Suite</v>
      </c>
      <c r="I143" s="20">
        <v>0</v>
      </c>
      <c r="J143" s="17" t="s">
        <v>2890</v>
      </c>
      <c r="K143" s="17" t="s">
        <v>2890</v>
      </c>
      <c r="L143" s="17" t="s">
        <v>2890</v>
      </c>
      <c r="M143" s="17" t="s">
        <v>2890</v>
      </c>
      <c r="N143" s="17" t="s">
        <v>2890</v>
      </c>
      <c r="O143" s="17" t="s">
        <v>2890</v>
      </c>
      <c r="P143" s="17" t="s">
        <v>2890</v>
      </c>
      <c r="T143" s="17" t="s">
        <v>2889</v>
      </c>
      <c r="U143" s="17" t="s">
        <v>2890</v>
      </c>
      <c r="V143" s="21"/>
      <c r="W143" s="17"/>
      <c r="X143" s="20">
        <v>0</v>
      </c>
    </row>
    <row r="144" spans="1:24">
      <c r="A144" s="1">
        <v>-147</v>
      </c>
      <c r="B144" s="426" t="s">
        <v>378</v>
      </c>
      <c r="C144" s="1" t="s">
        <v>1248</v>
      </c>
      <c r="D144" s="1" t="s">
        <v>1249</v>
      </c>
      <c r="E144" s="1">
        <v>283</v>
      </c>
      <c r="F144" s="1" t="str">
        <f>VLOOKUP(E144,'ESTRUTURA_MODULO(hide)'!$A$2:$D$230,2,FALSE)</f>
        <v>Tasy Web Suite</v>
      </c>
      <c r="G144" s="1" t="str">
        <f>VLOOKUP(E144,'ESTRUTURA_MODULO(hide)'!$A$2:$D$95,3,FALSE)</f>
        <v>Tasy Web Suite</v>
      </c>
      <c r="H144" s="1" t="str">
        <f>VLOOKUP(E144,'ESTRUTURA_MODULO(hide)'!$A$2:$D$95,4,FALSE)</f>
        <v>Tasy Web Suite</v>
      </c>
      <c r="I144" s="20">
        <v>0</v>
      </c>
      <c r="J144" s="17" t="s">
        <v>2890</v>
      </c>
      <c r="K144" s="17" t="s">
        <v>2890</v>
      </c>
      <c r="L144" s="17" t="s">
        <v>2890</v>
      </c>
      <c r="M144" s="17" t="s">
        <v>2890</v>
      </c>
      <c r="N144" s="17" t="s">
        <v>2890</v>
      </c>
      <c r="O144" s="17" t="s">
        <v>2890</v>
      </c>
      <c r="P144" s="17" t="s">
        <v>2890</v>
      </c>
      <c r="T144" s="17" t="s">
        <v>2889</v>
      </c>
      <c r="U144" s="17" t="s">
        <v>2890</v>
      </c>
      <c r="V144" s="21"/>
      <c r="W144" s="17"/>
      <c r="X144" s="20">
        <v>0</v>
      </c>
    </row>
    <row r="145" spans="1:24">
      <c r="A145" s="1">
        <v>-296</v>
      </c>
      <c r="B145" s="426" t="s">
        <v>1241</v>
      </c>
      <c r="C145" s="1" t="s">
        <v>1242</v>
      </c>
      <c r="D145" s="1" t="s">
        <v>1243</v>
      </c>
      <c r="E145" s="1">
        <v>283</v>
      </c>
      <c r="F145" s="1" t="str">
        <f>VLOOKUP(E145,'ESTRUTURA_MODULO(hide)'!$A$2:$D$230,2,FALSE)</f>
        <v>Tasy Web Suite</v>
      </c>
      <c r="G145" s="1" t="str">
        <f>VLOOKUP(E145,'ESTRUTURA_MODULO(hide)'!$A$2:$D$95,3,FALSE)</f>
        <v>Tasy Web Suite</v>
      </c>
      <c r="H145" s="1" t="str">
        <f>VLOOKUP(E145,'ESTRUTURA_MODULO(hide)'!$A$2:$D$95,4,FALSE)</f>
        <v>Tasy Web Suite</v>
      </c>
      <c r="I145" s="20">
        <v>0</v>
      </c>
      <c r="J145" s="17" t="s">
        <v>2890</v>
      </c>
      <c r="K145" s="17" t="s">
        <v>2890</v>
      </c>
      <c r="L145" s="17" t="s">
        <v>2890</v>
      </c>
      <c r="M145" s="17" t="s">
        <v>2890</v>
      </c>
      <c r="N145" s="17" t="s">
        <v>2890</v>
      </c>
      <c r="O145" s="17" t="s">
        <v>2890</v>
      </c>
      <c r="P145" s="17" t="s">
        <v>2890</v>
      </c>
      <c r="T145" s="17" t="s">
        <v>2889</v>
      </c>
      <c r="U145" s="17" t="s">
        <v>2890</v>
      </c>
      <c r="V145" s="21"/>
      <c r="W145" s="17"/>
      <c r="X145" s="20">
        <v>0</v>
      </c>
    </row>
    <row r="146" spans="1:24">
      <c r="A146" s="1">
        <v>-317</v>
      </c>
      <c r="B146" s="1" t="s">
        <v>1235</v>
      </c>
      <c r="C146" s="1" t="s">
        <v>1236</v>
      </c>
      <c r="D146" s="1" t="s">
        <v>1237</v>
      </c>
      <c r="E146" s="1">
        <v>283</v>
      </c>
      <c r="F146" s="1" t="str">
        <f>VLOOKUP(E146,'ESTRUTURA_MODULO(hide)'!$A$2:$D$230,2,FALSE)</f>
        <v>Tasy Web Suite</v>
      </c>
      <c r="G146" s="1" t="str">
        <f>VLOOKUP(E146,'ESTRUTURA_MODULO(hide)'!$A$2:$D$95,3,FALSE)</f>
        <v>Tasy Web Suite</v>
      </c>
      <c r="H146" s="1" t="str">
        <f>VLOOKUP(E146,'ESTRUTURA_MODULO(hide)'!$A$2:$D$95,4,FALSE)</f>
        <v>Tasy Web Suite</v>
      </c>
      <c r="I146" s="20">
        <v>0</v>
      </c>
      <c r="J146" s="17" t="s">
        <v>2890</v>
      </c>
      <c r="K146" s="17" t="s">
        <v>2890</v>
      </c>
      <c r="L146" s="17" t="s">
        <v>2890</v>
      </c>
      <c r="M146" s="17" t="s">
        <v>2890</v>
      </c>
      <c r="N146" s="17" t="s">
        <v>2890</v>
      </c>
      <c r="O146" s="17" t="s">
        <v>2890</v>
      </c>
      <c r="P146" s="17" t="s">
        <v>2890</v>
      </c>
      <c r="T146" s="17" t="s">
        <v>2889</v>
      </c>
      <c r="U146" s="17" t="s">
        <v>2890</v>
      </c>
      <c r="V146" s="21"/>
      <c r="W146" s="17"/>
      <c r="X146" s="20">
        <v>0</v>
      </c>
    </row>
    <row r="147" spans="1:24">
      <c r="A147" s="1">
        <v>-993</v>
      </c>
      <c r="B147" s="426" t="s">
        <v>395</v>
      </c>
      <c r="C147" s="1" t="s">
        <v>1273</v>
      </c>
      <c r="D147" s="1" t="s">
        <v>1274</v>
      </c>
      <c r="E147" s="1">
        <v>283</v>
      </c>
      <c r="F147" s="1" t="str">
        <f>VLOOKUP(E147,'ESTRUTURA_MODULO(hide)'!$A$2:$D$230,2,FALSE)</f>
        <v>Tasy Web Suite</v>
      </c>
      <c r="G147" s="1" t="str">
        <f>VLOOKUP(E147,'ESTRUTURA_MODULO(hide)'!$A$2:$D$95,3,FALSE)</f>
        <v>Tasy Web Suite</v>
      </c>
      <c r="H147" s="1" t="str">
        <f>VLOOKUP(E147,'ESTRUTURA_MODULO(hide)'!$A$2:$D$95,4,FALSE)</f>
        <v>Tasy Web Suite</v>
      </c>
      <c r="I147" s="20">
        <v>0</v>
      </c>
      <c r="J147" s="17" t="s">
        <v>2890</v>
      </c>
      <c r="K147" s="17" t="s">
        <v>2890</v>
      </c>
      <c r="L147" s="17" t="s">
        <v>2890</v>
      </c>
      <c r="M147" s="17" t="s">
        <v>2890</v>
      </c>
      <c r="N147" s="17" t="s">
        <v>2890</v>
      </c>
      <c r="O147" s="17" t="s">
        <v>2890</v>
      </c>
      <c r="P147" s="17" t="s">
        <v>2890</v>
      </c>
      <c r="T147" s="17" t="s">
        <v>2889</v>
      </c>
      <c r="U147" s="17" t="s">
        <v>2890</v>
      </c>
      <c r="V147" s="21"/>
      <c r="W147" s="17"/>
      <c r="X147" s="20">
        <v>0</v>
      </c>
    </row>
    <row r="148" spans="1:24">
      <c r="A148" s="1">
        <v>221</v>
      </c>
      <c r="B148" s="35" t="s">
        <v>407</v>
      </c>
      <c r="C148" s="1" t="s">
        <v>1277</v>
      </c>
      <c r="D148" s="1" t="s">
        <v>1278</v>
      </c>
      <c r="E148" s="35">
        <v>90</v>
      </c>
      <c r="F148" s="1" t="str">
        <f>VLOOKUP(E148,'ESTRUTURA_MODULO(hide)'!$A$2:$D$230,2,FALSE)</f>
        <v>Quimioterapia</v>
      </c>
      <c r="G148" s="1" t="str">
        <f>VLOOKUP(E148,'ESTRUTURA_MODULO(hide)'!$A$2:$D$95,3,FALSE)</f>
        <v>Chemotherapy</v>
      </c>
      <c r="H148" s="1" t="str">
        <f>VLOOKUP(E148,'ESTRUTURA_MODULO(hide)'!$A$2:$D$95,4,FALSE)</f>
        <v>Quimioterapia</v>
      </c>
      <c r="I148" s="37">
        <v>8</v>
      </c>
      <c r="J148" s="17" t="s">
        <v>2890</v>
      </c>
      <c r="K148" s="17" t="s">
        <v>2890</v>
      </c>
      <c r="L148" s="17" t="s">
        <v>2890</v>
      </c>
      <c r="M148" s="17" t="s">
        <v>2890</v>
      </c>
      <c r="N148" s="38" t="s">
        <v>2889</v>
      </c>
      <c r="O148" s="17" t="s">
        <v>2890</v>
      </c>
      <c r="P148" s="17" t="s">
        <v>2890</v>
      </c>
      <c r="T148" s="17" t="s">
        <v>2889</v>
      </c>
      <c r="U148" s="17" t="s">
        <v>2890</v>
      </c>
      <c r="V148" s="36" t="s">
        <v>287</v>
      </c>
      <c r="W148" s="17"/>
      <c r="X148" s="20">
        <v>16</v>
      </c>
    </row>
    <row r="149" spans="1:24">
      <c r="A149" s="1">
        <v>220</v>
      </c>
      <c r="B149" s="35" t="s">
        <v>403</v>
      </c>
      <c r="C149" s="1" t="s">
        <v>1275</v>
      </c>
      <c r="D149" s="1" t="s">
        <v>1276</v>
      </c>
      <c r="E149" s="35">
        <v>90</v>
      </c>
      <c r="F149" s="1" t="str">
        <f>VLOOKUP(E149,'ESTRUTURA_MODULO(hide)'!$A$2:$D$230,2,FALSE)</f>
        <v>Quimioterapia</v>
      </c>
      <c r="G149" s="1" t="str">
        <f>VLOOKUP(E149,'ESTRUTURA_MODULO(hide)'!$A$2:$D$95,3,FALSE)</f>
        <v>Chemotherapy</v>
      </c>
      <c r="H149" s="1" t="str">
        <f>VLOOKUP(E149,'ESTRUTURA_MODULO(hide)'!$A$2:$D$95,4,FALSE)</f>
        <v>Quimioterapia</v>
      </c>
      <c r="I149" s="37">
        <v>8</v>
      </c>
      <c r="J149" s="17" t="s">
        <v>2890</v>
      </c>
      <c r="K149" s="17" t="s">
        <v>2889</v>
      </c>
      <c r="L149" s="17" t="s">
        <v>2889</v>
      </c>
      <c r="M149" s="17" t="s">
        <v>2890</v>
      </c>
      <c r="N149" s="38" t="s">
        <v>2889</v>
      </c>
      <c r="O149" s="17" t="s">
        <v>2889</v>
      </c>
      <c r="P149" s="17" t="s">
        <v>2889</v>
      </c>
      <c r="T149" s="17" t="s">
        <v>2889</v>
      </c>
      <c r="U149" s="17" t="s">
        <v>2890</v>
      </c>
      <c r="V149" s="36" t="s">
        <v>287</v>
      </c>
      <c r="W149" s="17"/>
      <c r="X149" s="20">
        <v>20</v>
      </c>
    </row>
    <row r="150" spans="1:24">
      <c r="A150" s="1">
        <v>9053</v>
      </c>
      <c r="B150" s="35" t="s">
        <v>400</v>
      </c>
      <c r="C150" s="1" t="s">
        <v>1271</v>
      </c>
      <c r="D150" s="1" t="s">
        <v>1272</v>
      </c>
      <c r="E150" s="35">
        <v>28</v>
      </c>
      <c r="F150" s="1" t="str">
        <f>VLOOKUP(E150,'ESTRUTURA_MODULO(hide)'!$A$2:$D$230,2,FALSE)</f>
        <v>Contas a Receber</v>
      </c>
      <c r="G150" s="1" t="str">
        <f>VLOOKUP(E150,'ESTRUTURA_MODULO(hide)'!$A$2:$D$95,3,FALSE)</f>
        <v xml:space="preserve">Accounts receivable </v>
      </c>
      <c r="H150" s="1" t="str">
        <f>VLOOKUP(E150,'ESTRUTURA_MODULO(hide)'!$A$2:$D$95,4,FALSE)</f>
        <v>Cuentas por Cobrar</v>
      </c>
      <c r="I150" s="37">
        <v>4</v>
      </c>
      <c r="J150" s="17" t="s">
        <v>2890</v>
      </c>
      <c r="K150" s="17" t="s">
        <v>2890</v>
      </c>
      <c r="L150" s="17" t="s">
        <v>2889</v>
      </c>
      <c r="M150" s="17" t="s">
        <v>2890</v>
      </c>
      <c r="N150" s="38" t="s">
        <v>2889</v>
      </c>
      <c r="O150" s="17" t="s">
        <v>2890</v>
      </c>
      <c r="P150" s="17" t="s">
        <v>2890</v>
      </c>
      <c r="T150" s="17" t="s">
        <v>2889</v>
      </c>
      <c r="U150" s="17" t="s">
        <v>2890</v>
      </c>
      <c r="V150" s="36" t="s">
        <v>9</v>
      </c>
      <c r="W150" s="17"/>
      <c r="X150" s="20">
        <v>4</v>
      </c>
    </row>
    <row r="151" spans="1:24">
      <c r="A151" s="1">
        <v>23451</v>
      </c>
      <c r="B151" s="426" t="s">
        <v>392</v>
      </c>
      <c r="C151" s="1" t="s">
        <v>1279</v>
      </c>
      <c r="D151" s="1" t="s">
        <v>1280</v>
      </c>
      <c r="E151" s="1">
        <v>283</v>
      </c>
      <c r="F151" s="1" t="str">
        <f>VLOOKUP(E151,'ESTRUTURA_MODULO(hide)'!$A$2:$D$230,2,FALSE)</f>
        <v>Tasy Web Suite</v>
      </c>
      <c r="G151" s="1" t="str">
        <f>VLOOKUP(E151,'ESTRUTURA_MODULO(hide)'!$A$2:$D$95,3,FALSE)</f>
        <v>Tasy Web Suite</v>
      </c>
      <c r="H151" s="1" t="str">
        <f>VLOOKUP(E151,'ESTRUTURA_MODULO(hide)'!$A$2:$D$95,4,FALSE)</f>
        <v>Tasy Web Suite</v>
      </c>
      <c r="I151" s="20">
        <v>0</v>
      </c>
      <c r="J151" s="17" t="s">
        <v>2890</v>
      </c>
      <c r="K151" s="17" t="s">
        <v>2890</v>
      </c>
      <c r="L151" s="17" t="s">
        <v>2890</v>
      </c>
      <c r="M151" s="17" t="s">
        <v>2890</v>
      </c>
      <c r="N151" s="17" t="s">
        <v>2890</v>
      </c>
      <c r="O151" s="17" t="s">
        <v>2890</v>
      </c>
      <c r="P151" s="17" t="s">
        <v>2890</v>
      </c>
      <c r="T151" s="17" t="s">
        <v>2889</v>
      </c>
      <c r="U151" s="17" t="s">
        <v>2890</v>
      </c>
      <c r="V151" s="21"/>
      <c r="W151" s="17"/>
      <c r="X151" s="20">
        <v>0</v>
      </c>
    </row>
    <row r="152" spans="1:24">
      <c r="A152" s="1">
        <v>4001</v>
      </c>
      <c r="B152" s="426" t="s">
        <v>361</v>
      </c>
      <c r="C152" s="1" t="s">
        <v>1266</v>
      </c>
      <c r="D152" s="1" t="s">
        <v>1267</v>
      </c>
      <c r="E152" s="1">
        <v>283</v>
      </c>
      <c r="F152" s="1" t="str">
        <f>VLOOKUP(E152,'ESTRUTURA_MODULO(hide)'!$A$2:$D$230,2,FALSE)</f>
        <v>Tasy Web Suite</v>
      </c>
      <c r="G152" s="1" t="str">
        <f>VLOOKUP(E152,'ESTRUTURA_MODULO(hide)'!$A$2:$D$95,3,FALSE)</f>
        <v>Tasy Web Suite</v>
      </c>
      <c r="H152" s="1" t="str">
        <f>VLOOKUP(E152,'ESTRUTURA_MODULO(hide)'!$A$2:$D$95,4,FALSE)</f>
        <v>Tasy Web Suite</v>
      </c>
      <c r="I152" s="20">
        <v>0</v>
      </c>
      <c r="J152" s="17" t="s">
        <v>2890</v>
      </c>
      <c r="K152" s="17" t="s">
        <v>2890</v>
      </c>
      <c r="L152" s="17" t="s">
        <v>2890</v>
      </c>
      <c r="M152" s="17" t="s">
        <v>2890</v>
      </c>
      <c r="N152" s="17" t="s">
        <v>2890</v>
      </c>
      <c r="O152" s="17" t="s">
        <v>2890</v>
      </c>
      <c r="P152" s="17" t="s">
        <v>2890</v>
      </c>
      <c r="T152" s="17" t="s">
        <v>2889</v>
      </c>
      <c r="U152" s="17" t="s">
        <v>2890</v>
      </c>
      <c r="V152" s="21"/>
      <c r="W152" s="17"/>
      <c r="X152" s="20">
        <v>0</v>
      </c>
    </row>
    <row r="153" spans="1:24">
      <c r="A153" s="1">
        <v>9061</v>
      </c>
      <c r="B153" s="35" t="s">
        <v>379</v>
      </c>
      <c r="C153" s="1" t="s">
        <v>1253</v>
      </c>
      <c r="D153" s="1" t="s">
        <v>1254</v>
      </c>
      <c r="E153" s="35">
        <v>331</v>
      </c>
      <c r="F153" s="1" t="str">
        <f>VLOOKUP(E153,'ESTRUTURA_MODULO(hide)'!$A$2:$D$230,2,FALSE)</f>
        <v>Aplicação Tasy WEB</v>
      </c>
      <c r="G153" s="1" t="str">
        <f>VLOOKUP(E153,'ESTRUTURA_MODULO(hide)'!$A$2:$D$95,3,FALSE)</f>
        <v>Tasy WEB Aplication</v>
      </c>
      <c r="H153" s="1" t="str">
        <f>VLOOKUP(E153,'ESTRUTURA_MODULO(hide)'!$A$2:$D$95,4,FALSE)</f>
        <v>Aplicación WEB Tasy</v>
      </c>
      <c r="I153" s="37">
        <v>8</v>
      </c>
      <c r="J153" s="17" t="s">
        <v>2890</v>
      </c>
      <c r="K153" s="17" t="s">
        <v>2890</v>
      </c>
      <c r="L153" s="17" t="s">
        <v>2890</v>
      </c>
      <c r="M153" s="17" t="s">
        <v>2890</v>
      </c>
      <c r="N153" s="38" t="s">
        <v>2889</v>
      </c>
      <c r="O153" s="17" t="s">
        <v>2890</v>
      </c>
      <c r="P153" s="17" t="s">
        <v>2890</v>
      </c>
      <c r="T153" s="17" t="s">
        <v>2889</v>
      </c>
      <c r="U153" s="17" t="s">
        <v>2890</v>
      </c>
      <c r="V153" s="36" t="s">
        <v>1502</v>
      </c>
      <c r="W153" s="17"/>
      <c r="X153" s="20">
        <v>32</v>
      </c>
    </row>
    <row r="154" spans="1:24">
      <c r="A154" s="1">
        <v>-2240</v>
      </c>
      <c r="B154" s="1" t="s">
        <v>376</v>
      </c>
      <c r="C154" s="1" t="s">
        <v>1295</v>
      </c>
      <c r="D154" s="1" t="s">
        <v>1296</v>
      </c>
      <c r="E154" s="1">
        <v>283</v>
      </c>
      <c r="F154" s="1" t="str">
        <f>VLOOKUP(E154,'ESTRUTURA_MODULO(hide)'!$A$2:$D$230,2,FALSE)</f>
        <v>Tasy Web Suite</v>
      </c>
      <c r="G154" s="1" t="str">
        <f>VLOOKUP(E154,'ESTRUTURA_MODULO(hide)'!$A$2:$D$95,3,FALSE)</f>
        <v>Tasy Web Suite</v>
      </c>
      <c r="H154" s="1" t="str">
        <f>VLOOKUP(E154,'ESTRUTURA_MODULO(hide)'!$A$2:$D$95,4,FALSE)</f>
        <v>Tasy Web Suite</v>
      </c>
      <c r="I154" s="20">
        <v>0</v>
      </c>
      <c r="J154" s="17" t="s">
        <v>2890</v>
      </c>
      <c r="K154" s="17" t="s">
        <v>2890</v>
      </c>
      <c r="L154" s="17" t="s">
        <v>2890</v>
      </c>
      <c r="M154" s="17" t="s">
        <v>2890</v>
      </c>
      <c r="N154" s="17" t="s">
        <v>2890</v>
      </c>
      <c r="O154" s="17" t="s">
        <v>2890</v>
      </c>
      <c r="P154" s="17" t="s">
        <v>2890</v>
      </c>
      <c r="T154" s="17" t="s">
        <v>2889</v>
      </c>
      <c r="U154" s="17" t="s">
        <v>2890</v>
      </c>
      <c r="V154" s="21"/>
      <c r="W154" s="17"/>
      <c r="X154" s="20">
        <v>0</v>
      </c>
    </row>
    <row r="155" spans="1:24">
      <c r="A155" s="1">
        <v>10018</v>
      </c>
      <c r="B155" s="426" t="s">
        <v>345</v>
      </c>
      <c r="C155" s="1" t="s">
        <v>1246</v>
      </c>
      <c r="D155" s="1" t="s">
        <v>1247</v>
      </c>
      <c r="E155" s="1">
        <v>283</v>
      </c>
      <c r="F155" s="1" t="str">
        <f>VLOOKUP(E155,'ESTRUTURA_MODULO(hide)'!$A$2:$D$230,2,FALSE)</f>
        <v>Tasy Web Suite</v>
      </c>
      <c r="G155" s="1" t="str">
        <f>VLOOKUP(E155,'ESTRUTURA_MODULO(hide)'!$A$2:$D$95,3,FALSE)</f>
        <v>Tasy Web Suite</v>
      </c>
      <c r="H155" s="1" t="str">
        <f>VLOOKUP(E155,'ESTRUTURA_MODULO(hide)'!$A$2:$D$95,4,FALSE)</f>
        <v>Tasy Web Suite</v>
      </c>
      <c r="I155" s="20">
        <v>0</v>
      </c>
      <c r="J155" s="17" t="s">
        <v>2890</v>
      </c>
      <c r="K155" s="17" t="s">
        <v>2890</v>
      </c>
      <c r="L155" s="17" t="s">
        <v>2890</v>
      </c>
      <c r="M155" s="17" t="s">
        <v>2890</v>
      </c>
      <c r="N155" s="17" t="s">
        <v>2890</v>
      </c>
      <c r="O155" s="17" t="s">
        <v>2890</v>
      </c>
      <c r="P155" s="17" t="s">
        <v>2890</v>
      </c>
      <c r="T155" s="17" t="s">
        <v>2889</v>
      </c>
      <c r="U155" s="17" t="s">
        <v>2890</v>
      </c>
      <c r="V155" s="21"/>
      <c r="W155" s="17"/>
      <c r="X155" s="20">
        <v>0</v>
      </c>
    </row>
    <row r="156" spans="1:24">
      <c r="A156" s="1">
        <v>10017</v>
      </c>
      <c r="B156" s="1" t="s">
        <v>1292</v>
      </c>
      <c r="C156" s="1" t="s">
        <v>1293</v>
      </c>
      <c r="D156" s="1" t="s">
        <v>1294</v>
      </c>
      <c r="E156" s="1">
        <v>283</v>
      </c>
      <c r="F156" s="1" t="str">
        <f>VLOOKUP(E156,'ESTRUTURA_MODULO(hide)'!$A$2:$D$230,2,FALSE)</f>
        <v>Tasy Web Suite</v>
      </c>
      <c r="G156" s="1" t="str">
        <f>VLOOKUP(E156,'ESTRUTURA_MODULO(hide)'!$A$2:$D$95,3,FALSE)</f>
        <v>Tasy Web Suite</v>
      </c>
      <c r="H156" s="1" t="str">
        <f>VLOOKUP(E156,'ESTRUTURA_MODULO(hide)'!$A$2:$D$95,4,FALSE)</f>
        <v>Tasy Web Suite</v>
      </c>
      <c r="I156" s="20">
        <v>0</v>
      </c>
      <c r="J156" s="17" t="s">
        <v>2890</v>
      </c>
      <c r="K156" s="17" t="s">
        <v>2890</v>
      </c>
      <c r="L156" s="17" t="s">
        <v>2890</v>
      </c>
      <c r="M156" s="17" t="s">
        <v>2890</v>
      </c>
      <c r="N156" s="17" t="s">
        <v>2890</v>
      </c>
      <c r="O156" s="17" t="s">
        <v>2890</v>
      </c>
      <c r="P156" s="17" t="s">
        <v>2890</v>
      </c>
      <c r="T156" s="17" t="s">
        <v>2889</v>
      </c>
      <c r="U156" s="17" t="s">
        <v>2890</v>
      </c>
      <c r="V156" s="21"/>
      <c r="W156" s="17"/>
      <c r="X156" s="20">
        <v>0</v>
      </c>
    </row>
    <row r="157" spans="1:24">
      <c r="A157" s="1">
        <v>294</v>
      </c>
      <c r="B157" s="35" t="s">
        <v>45</v>
      </c>
      <c r="C157" s="1" t="s">
        <v>1734</v>
      </c>
      <c r="D157" s="1" t="s">
        <v>1735</v>
      </c>
      <c r="E157" s="35">
        <v>18</v>
      </c>
      <c r="F157" s="1" t="str">
        <f>VLOOKUP(E157,'ESTRUTURA_MODULO(hide)'!$A$2:$D$230,2,FALSE)</f>
        <v>Manutenção</v>
      </c>
      <c r="G157" s="1" t="str">
        <f>VLOOKUP(E157,'ESTRUTURA_MODULO(hide)'!$A$2:$D$95,3,FALSE)</f>
        <v>Maintenance</v>
      </c>
      <c r="H157" s="1" t="str">
        <f>VLOOKUP(E157,'ESTRUTURA_MODULO(hide)'!$A$2:$D$95,4,FALSE)</f>
        <v>Mantenimiento</v>
      </c>
      <c r="I157" s="37">
        <v>16</v>
      </c>
      <c r="J157" s="17" t="s">
        <v>2890</v>
      </c>
      <c r="K157" s="17" t="s">
        <v>2890</v>
      </c>
      <c r="L157" s="17" t="s">
        <v>2889</v>
      </c>
      <c r="M157" s="17" t="s">
        <v>2890</v>
      </c>
      <c r="N157" s="38" t="s">
        <v>2889</v>
      </c>
      <c r="O157" s="17" t="s">
        <v>2890</v>
      </c>
      <c r="P157" s="17" t="s">
        <v>2890</v>
      </c>
      <c r="T157" s="17" t="s">
        <v>2889</v>
      </c>
      <c r="U157" s="17" t="s">
        <v>2890</v>
      </c>
      <c r="V157" s="36" t="s">
        <v>13</v>
      </c>
      <c r="W157" s="17"/>
      <c r="X157" s="20">
        <v>32</v>
      </c>
    </row>
    <row r="158" spans="1:24">
      <c r="A158" s="1">
        <v>101</v>
      </c>
      <c r="B158" s="1" t="s">
        <v>369</v>
      </c>
      <c r="C158" s="1" t="s">
        <v>1219</v>
      </c>
      <c r="D158" s="1" t="s">
        <v>1220</v>
      </c>
      <c r="E158" s="1">
        <v>283</v>
      </c>
      <c r="F158" s="1" t="str">
        <f>VLOOKUP(E158,'ESTRUTURA_MODULO(hide)'!$A$2:$D$230,2,FALSE)</f>
        <v>Tasy Web Suite</v>
      </c>
      <c r="G158" s="1" t="str">
        <f>VLOOKUP(E158,'ESTRUTURA_MODULO(hide)'!$A$2:$D$95,3,FALSE)</f>
        <v>Tasy Web Suite</v>
      </c>
      <c r="H158" s="1" t="str">
        <f>VLOOKUP(E158,'ESTRUTURA_MODULO(hide)'!$A$2:$D$95,4,FALSE)</f>
        <v>Tasy Web Suite</v>
      </c>
      <c r="I158" s="20">
        <v>0</v>
      </c>
      <c r="J158" s="17" t="s">
        <v>2890</v>
      </c>
      <c r="K158" s="17" t="s">
        <v>2890</v>
      </c>
      <c r="L158" s="17" t="s">
        <v>2890</v>
      </c>
      <c r="M158" s="17" t="s">
        <v>2890</v>
      </c>
      <c r="N158" s="17" t="s">
        <v>2890</v>
      </c>
      <c r="O158" s="17" t="s">
        <v>2890</v>
      </c>
      <c r="P158" s="17" t="s">
        <v>2890</v>
      </c>
      <c r="T158" s="17" t="s">
        <v>2889</v>
      </c>
      <c r="U158" s="17" t="s">
        <v>2890</v>
      </c>
      <c r="V158" s="21"/>
      <c r="W158" s="17"/>
      <c r="X158" s="20">
        <v>0</v>
      </c>
    </row>
    <row r="159" spans="1:24">
      <c r="A159" s="1">
        <v>401</v>
      </c>
      <c r="B159" s="426" t="s">
        <v>377</v>
      </c>
      <c r="C159" s="1" t="s">
        <v>1217</v>
      </c>
      <c r="D159" s="1" t="s">
        <v>1218</v>
      </c>
      <c r="E159" s="1">
        <v>283</v>
      </c>
      <c r="F159" s="1" t="str">
        <f>VLOOKUP(E159,'ESTRUTURA_MODULO(hide)'!$A$2:$D$230,2,FALSE)</f>
        <v>Tasy Web Suite</v>
      </c>
      <c r="G159" s="1" t="str">
        <f>VLOOKUP(E159,'ESTRUTURA_MODULO(hide)'!$A$2:$D$95,3,FALSE)</f>
        <v>Tasy Web Suite</v>
      </c>
      <c r="H159" s="1" t="str">
        <f>VLOOKUP(E159,'ESTRUTURA_MODULO(hide)'!$A$2:$D$95,4,FALSE)</f>
        <v>Tasy Web Suite</v>
      </c>
      <c r="I159" s="20">
        <v>0</v>
      </c>
      <c r="J159" s="17" t="s">
        <v>2890</v>
      </c>
      <c r="K159" s="17" t="s">
        <v>2890</v>
      </c>
      <c r="L159" s="17" t="s">
        <v>2890</v>
      </c>
      <c r="M159" s="17" t="s">
        <v>2890</v>
      </c>
      <c r="N159" s="17" t="s">
        <v>2890</v>
      </c>
      <c r="O159" s="17" t="s">
        <v>2890</v>
      </c>
      <c r="P159" s="17" t="s">
        <v>2890</v>
      </c>
      <c r="T159" s="17" t="s">
        <v>2889</v>
      </c>
      <c r="U159" s="17" t="s">
        <v>2890</v>
      </c>
      <c r="V159" s="21"/>
      <c r="W159" s="17"/>
      <c r="X159" s="20">
        <v>0</v>
      </c>
    </row>
    <row r="160" spans="1:24">
      <c r="A160" s="1">
        <v>7036</v>
      </c>
      <c r="B160" s="426" t="s">
        <v>347</v>
      </c>
      <c r="C160" s="1" t="s">
        <v>1285</v>
      </c>
      <c r="D160" s="1" t="s">
        <v>1286</v>
      </c>
      <c r="E160" s="1">
        <v>283</v>
      </c>
      <c r="F160" s="1" t="str">
        <f>VLOOKUP(E160,'ESTRUTURA_MODULO(hide)'!$A$2:$D$230,2,FALSE)</f>
        <v>Tasy Web Suite</v>
      </c>
      <c r="G160" s="1" t="str">
        <f>VLOOKUP(E160,'ESTRUTURA_MODULO(hide)'!$A$2:$D$95,3,FALSE)</f>
        <v>Tasy Web Suite</v>
      </c>
      <c r="H160" s="1" t="str">
        <f>VLOOKUP(E160,'ESTRUTURA_MODULO(hide)'!$A$2:$D$95,4,FALSE)</f>
        <v>Tasy Web Suite</v>
      </c>
      <c r="I160" s="20">
        <v>0</v>
      </c>
      <c r="J160" s="17" t="s">
        <v>2890</v>
      </c>
      <c r="K160" s="17" t="s">
        <v>2890</v>
      </c>
      <c r="L160" s="17" t="s">
        <v>2890</v>
      </c>
      <c r="M160" s="17" t="s">
        <v>2890</v>
      </c>
      <c r="N160" s="17" t="s">
        <v>2890</v>
      </c>
      <c r="O160" s="17" t="s">
        <v>2890</v>
      </c>
      <c r="P160" s="17" t="s">
        <v>2890</v>
      </c>
      <c r="T160" s="17" t="s">
        <v>2889</v>
      </c>
      <c r="U160" s="17" t="s">
        <v>2890</v>
      </c>
      <c r="V160" s="21"/>
      <c r="W160" s="17"/>
      <c r="X160" s="20">
        <v>0</v>
      </c>
    </row>
    <row r="161" spans="1:24">
      <c r="A161" s="1">
        <v>305</v>
      </c>
      <c r="B161" s="1" t="s">
        <v>375</v>
      </c>
      <c r="C161" s="1" t="s">
        <v>1262</v>
      </c>
      <c r="D161" s="1" t="s">
        <v>1263</v>
      </c>
      <c r="E161" s="1">
        <v>283</v>
      </c>
      <c r="F161" s="1" t="str">
        <f>VLOOKUP(E161,'ESTRUTURA_MODULO(hide)'!$A$2:$D$230,2,FALSE)</f>
        <v>Tasy Web Suite</v>
      </c>
      <c r="G161" s="1" t="str">
        <f>VLOOKUP(E161,'ESTRUTURA_MODULO(hide)'!$A$2:$D$95,3,FALSE)</f>
        <v>Tasy Web Suite</v>
      </c>
      <c r="H161" s="1" t="str">
        <f>VLOOKUP(E161,'ESTRUTURA_MODULO(hide)'!$A$2:$D$95,4,FALSE)</f>
        <v>Tasy Web Suite</v>
      </c>
      <c r="I161" s="20">
        <v>0</v>
      </c>
      <c r="J161" s="17" t="s">
        <v>2890</v>
      </c>
      <c r="K161" s="17" t="s">
        <v>2890</v>
      </c>
      <c r="L161" s="17" t="s">
        <v>2890</v>
      </c>
      <c r="M161" s="17" t="s">
        <v>2890</v>
      </c>
      <c r="N161" s="17" t="s">
        <v>2890</v>
      </c>
      <c r="O161" s="17" t="s">
        <v>2890</v>
      </c>
      <c r="P161" s="17" t="s">
        <v>2890</v>
      </c>
      <c r="T161" s="17" t="s">
        <v>2889</v>
      </c>
      <c r="U161" s="17" t="s">
        <v>2890</v>
      </c>
      <c r="V161" s="21"/>
      <c r="W161" s="17"/>
      <c r="X161" s="20">
        <v>0</v>
      </c>
    </row>
    <row r="162" spans="1:24">
      <c r="A162" s="1">
        <v>1751</v>
      </c>
      <c r="B162" s="1" t="s">
        <v>1259</v>
      </c>
      <c r="C162" s="1" t="s">
        <v>1260</v>
      </c>
      <c r="D162" s="1" t="s">
        <v>1261</v>
      </c>
      <c r="E162" s="1">
        <v>283</v>
      </c>
      <c r="F162" s="1" t="str">
        <f>VLOOKUP(E162,'ESTRUTURA_MODULO(hide)'!$A$2:$D$230,2,FALSE)</f>
        <v>Tasy Web Suite</v>
      </c>
      <c r="G162" s="1" t="str">
        <f>VLOOKUP(E162,'ESTRUTURA_MODULO(hide)'!$A$2:$D$95,3,FALSE)</f>
        <v>Tasy Web Suite</v>
      </c>
      <c r="H162" s="1" t="str">
        <f>VLOOKUP(E162,'ESTRUTURA_MODULO(hide)'!$A$2:$D$95,4,FALSE)</f>
        <v>Tasy Web Suite</v>
      </c>
      <c r="I162" s="20">
        <v>0</v>
      </c>
      <c r="J162" s="17" t="s">
        <v>2890</v>
      </c>
      <c r="K162" s="17" t="s">
        <v>2890</v>
      </c>
      <c r="L162" s="17" t="s">
        <v>2890</v>
      </c>
      <c r="M162" s="17" t="s">
        <v>2890</v>
      </c>
      <c r="N162" s="17" t="s">
        <v>2890</v>
      </c>
      <c r="O162" s="17" t="s">
        <v>2890</v>
      </c>
      <c r="P162" s="17" t="s">
        <v>2890</v>
      </c>
      <c r="T162" s="17" t="s">
        <v>2889</v>
      </c>
      <c r="U162" s="17" t="s">
        <v>2890</v>
      </c>
      <c r="V162" s="21"/>
      <c r="W162" s="17"/>
      <c r="X162" s="20">
        <v>0</v>
      </c>
    </row>
    <row r="163" spans="1:24">
      <c r="A163" s="1">
        <v>-996</v>
      </c>
      <c r="B163" s="426" t="s">
        <v>1221</v>
      </c>
      <c r="C163" s="1" t="s">
        <v>1222</v>
      </c>
      <c r="D163" s="1" t="s">
        <v>1223</v>
      </c>
      <c r="E163" s="1">
        <v>283</v>
      </c>
      <c r="F163" s="1" t="str">
        <f>VLOOKUP(E163,'ESTRUTURA_MODULO(hide)'!$A$2:$D$230,2,FALSE)</f>
        <v>Tasy Web Suite</v>
      </c>
      <c r="G163" s="1" t="str">
        <f>VLOOKUP(E163,'ESTRUTURA_MODULO(hide)'!$A$2:$D$95,3,FALSE)</f>
        <v>Tasy Web Suite</v>
      </c>
      <c r="H163" s="1" t="str">
        <f>VLOOKUP(E163,'ESTRUTURA_MODULO(hide)'!$A$2:$D$95,4,FALSE)</f>
        <v>Tasy Web Suite</v>
      </c>
      <c r="I163" s="20">
        <v>0</v>
      </c>
      <c r="J163" s="17" t="s">
        <v>2890</v>
      </c>
      <c r="K163" s="17" t="s">
        <v>2890</v>
      </c>
      <c r="L163" s="17" t="s">
        <v>2890</v>
      </c>
      <c r="M163" s="17" t="s">
        <v>2890</v>
      </c>
      <c r="N163" s="17" t="s">
        <v>2890</v>
      </c>
      <c r="O163" s="17" t="s">
        <v>2890</v>
      </c>
      <c r="P163" s="17" t="s">
        <v>2890</v>
      </c>
      <c r="T163" s="17" t="s">
        <v>2889</v>
      </c>
      <c r="U163" s="17" t="s">
        <v>2890</v>
      </c>
      <c r="V163" s="21"/>
      <c r="W163" s="17"/>
      <c r="X163" s="20">
        <v>0</v>
      </c>
    </row>
    <row r="164" spans="1:24">
      <c r="A164" s="1">
        <v>296</v>
      </c>
      <c r="B164" s="35" t="s">
        <v>368</v>
      </c>
      <c r="C164" s="1" t="s">
        <v>1199</v>
      </c>
      <c r="D164" s="1" t="s">
        <v>1200</v>
      </c>
      <c r="E164" s="35">
        <v>18</v>
      </c>
      <c r="F164" s="1" t="str">
        <f>VLOOKUP(E164,'ESTRUTURA_MODULO(hide)'!$A$2:$D$230,2,FALSE)</f>
        <v>Manutenção</v>
      </c>
      <c r="G164" s="1" t="str">
        <f>VLOOKUP(E164,'ESTRUTURA_MODULO(hide)'!$A$2:$D$95,3,FALSE)</f>
        <v>Maintenance</v>
      </c>
      <c r="H164" s="1" t="str">
        <f>VLOOKUP(E164,'ESTRUTURA_MODULO(hide)'!$A$2:$D$95,4,FALSE)</f>
        <v>Mantenimiento</v>
      </c>
      <c r="I164" s="37">
        <v>4</v>
      </c>
      <c r="J164" s="17" t="s">
        <v>2889</v>
      </c>
      <c r="K164" s="17" t="s">
        <v>2889</v>
      </c>
      <c r="L164" s="17" t="s">
        <v>2889</v>
      </c>
      <c r="M164" s="17" t="s">
        <v>2890</v>
      </c>
      <c r="N164" s="38" t="s">
        <v>2889</v>
      </c>
      <c r="O164" s="17" t="s">
        <v>2889</v>
      </c>
      <c r="P164" s="17" t="s">
        <v>2889</v>
      </c>
      <c r="T164" s="17" t="s">
        <v>2889</v>
      </c>
      <c r="U164" s="17" t="s">
        <v>2890</v>
      </c>
      <c r="V164" s="36" t="s">
        <v>13</v>
      </c>
      <c r="W164" s="17"/>
      <c r="X164" s="20">
        <v>32</v>
      </c>
    </row>
    <row r="165" spans="1:24">
      <c r="A165" s="1">
        <v>5514</v>
      </c>
      <c r="B165" s="35" t="s">
        <v>382</v>
      </c>
      <c r="C165" s="1" t="s">
        <v>1197</v>
      </c>
      <c r="D165" s="1" t="s">
        <v>1198</v>
      </c>
      <c r="E165" s="35">
        <v>28</v>
      </c>
      <c r="F165" s="1" t="str">
        <f>VLOOKUP(E165,'ESTRUTURA_MODULO(hide)'!$A$2:$D$230,2,FALSE)</f>
        <v>Contas a Receber</v>
      </c>
      <c r="G165" s="1" t="str">
        <f>VLOOKUP(E165,'ESTRUTURA_MODULO(hide)'!$A$2:$D$95,3,FALSE)</f>
        <v xml:space="preserve">Accounts receivable </v>
      </c>
      <c r="H165" s="1" t="str">
        <f>VLOOKUP(E165,'ESTRUTURA_MODULO(hide)'!$A$2:$D$95,4,FALSE)</f>
        <v>Cuentas por Cobrar</v>
      </c>
      <c r="I165" s="37">
        <v>4</v>
      </c>
      <c r="J165" s="17" t="s">
        <v>2890</v>
      </c>
      <c r="K165" s="17" t="s">
        <v>2890</v>
      </c>
      <c r="L165" s="17" t="s">
        <v>2889</v>
      </c>
      <c r="M165" s="17" t="s">
        <v>2890</v>
      </c>
      <c r="N165" s="38" t="s">
        <v>2889</v>
      </c>
      <c r="O165" s="17" t="s">
        <v>2890</v>
      </c>
      <c r="P165" s="17" t="s">
        <v>2890</v>
      </c>
      <c r="T165" s="17" t="s">
        <v>2889</v>
      </c>
      <c r="U165" s="17" t="s">
        <v>2890</v>
      </c>
      <c r="V165" s="36"/>
      <c r="W165" s="17"/>
      <c r="X165" s="20">
        <v>4</v>
      </c>
    </row>
    <row r="166" spans="1:24">
      <c r="A166" s="1">
        <v>10016</v>
      </c>
      <c r="B166" s="1" t="s">
        <v>354</v>
      </c>
      <c r="C166" s="1" t="s">
        <v>1244</v>
      </c>
      <c r="D166" s="1" t="s">
        <v>1245</v>
      </c>
      <c r="E166" s="1">
        <v>283</v>
      </c>
      <c r="F166" s="1" t="str">
        <f>VLOOKUP(E166,'ESTRUTURA_MODULO(hide)'!$A$2:$D$230,2,FALSE)</f>
        <v>Tasy Web Suite</v>
      </c>
      <c r="G166" s="1" t="str">
        <f>VLOOKUP(E166,'ESTRUTURA_MODULO(hide)'!$A$2:$D$95,3,FALSE)</f>
        <v>Tasy Web Suite</v>
      </c>
      <c r="H166" s="1" t="str">
        <f>VLOOKUP(E166,'ESTRUTURA_MODULO(hide)'!$A$2:$D$95,4,FALSE)</f>
        <v>Tasy Web Suite</v>
      </c>
      <c r="I166" s="20">
        <v>0</v>
      </c>
      <c r="J166" s="17" t="s">
        <v>2890</v>
      </c>
      <c r="K166" s="17" t="s">
        <v>2890</v>
      </c>
      <c r="L166" s="17" t="s">
        <v>2890</v>
      </c>
      <c r="M166" s="17" t="s">
        <v>2890</v>
      </c>
      <c r="N166" s="17" t="s">
        <v>2890</v>
      </c>
      <c r="O166" s="17" t="s">
        <v>2890</v>
      </c>
      <c r="P166" s="17" t="s">
        <v>2890</v>
      </c>
      <c r="T166" s="17" t="s">
        <v>2889</v>
      </c>
      <c r="U166" s="17" t="s">
        <v>2890</v>
      </c>
      <c r="V166" s="21"/>
      <c r="W166" s="17"/>
      <c r="X166" s="20">
        <v>0</v>
      </c>
    </row>
    <row r="167" spans="1:24">
      <c r="A167" s="1">
        <v>10040</v>
      </c>
      <c r="B167" s="1" t="s">
        <v>1287</v>
      </c>
      <c r="C167" s="1" t="s">
        <v>1288</v>
      </c>
      <c r="D167" s="1" t="s">
        <v>1289</v>
      </c>
      <c r="E167" s="1">
        <v>283</v>
      </c>
      <c r="F167" s="1" t="str">
        <f>VLOOKUP(E167,'ESTRUTURA_MODULO(hide)'!$A$2:$D$230,2,FALSE)</f>
        <v>Tasy Web Suite</v>
      </c>
      <c r="G167" s="1" t="str">
        <f>VLOOKUP(E167,'ESTRUTURA_MODULO(hide)'!$A$2:$D$95,3,FALSE)</f>
        <v>Tasy Web Suite</v>
      </c>
      <c r="H167" s="1" t="str">
        <f>VLOOKUP(E167,'ESTRUTURA_MODULO(hide)'!$A$2:$D$95,4,FALSE)</f>
        <v>Tasy Web Suite</v>
      </c>
      <c r="I167" s="20">
        <v>0</v>
      </c>
      <c r="J167" s="17" t="s">
        <v>2890</v>
      </c>
      <c r="K167" s="17" t="s">
        <v>2890</v>
      </c>
      <c r="L167" s="17" t="s">
        <v>2890</v>
      </c>
      <c r="M167" s="17" t="s">
        <v>2890</v>
      </c>
      <c r="N167" s="17" t="s">
        <v>2890</v>
      </c>
      <c r="O167" s="17" t="s">
        <v>2890</v>
      </c>
      <c r="P167" s="17" t="s">
        <v>2890</v>
      </c>
      <c r="T167" s="17" t="s">
        <v>2889</v>
      </c>
      <c r="U167" s="17" t="s">
        <v>2890</v>
      </c>
      <c r="V167" s="21"/>
      <c r="W167" s="17"/>
      <c r="X167" s="20">
        <v>0</v>
      </c>
    </row>
    <row r="168" spans="1:24">
      <c r="A168" s="1">
        <v>10032</v>
      </c>
      <c r="B168" s="1" t="s">
        <v>358</v>
      </c>
      <c r="C168" s="1" t="s">
        <v>1283</v>
      </c>
      <c r="D168" s="1" t="s">
        <v>1284</v>
      </c>
      <c r="E168" s="1">
        <v>283</v>
      </c>
      <c r="F168" s="1" t="str">
        <f>VLOOKUP(E168,'ESTRUTURA_MODULO(hide)'!$A$2:$D$230,2,FALSE)</f>
        <v>Tasy Web Suite</v>
      </c>
      <c r="G168" s="1" t="str">
        <f>VLOOKUP(E168,'ESTRUTURA_MODULO(hide)'!$A$2:$D$95,3,FALSE)</f>
        <v>Tasy Web Suite</v>
      </c>
      <c r="H168" s="1" t="str">
        <f>VLOOKUP(E168,'ESTRUTURA_MODULO(hide)'!$A$2:$D$95,4,FALSE)</f>
        <v>Tasy Web Suite</v>
      </c>
      <c r="I168" s="20">
        <v>0</v>
      </c>
      <c r="J168" s="17" t="s">
        <v>2890</v>
      </c>
      <c r="K168" s="17" t="s">
        <v>2890</v>
      </c>
      <c r="L168" s="17" t="s">
        <v>2890</v>
      </c>
      <c r="M168" s="17" t="s">
        <v>2890</v>
      </c>
      <c r="N168" s="17" t="s">
        <v>2890</v>
      </c>
      <c r="O168" s="17" t="s">
        <v>2890</v>
      </c>
      <c r="P168" s="17" t="s">
        <v>2890</v>
      </c>
      <c r="T168" s="17" t="s">
        <v>2889</v>
      </c>
      <c r="U168" s="17" t="s">
        <v>2890</v>
      </c>
      <c r="V168" s="21"/>
      <c r="W168" s="17"/>
      <c r="X168" s="20">
        <v>0</v>
      </c>
    </row>
    <row r="169" spans="1:24">
      <c r="A169" s="1">
        <v>10031</v>
      </c>
      <c r="B169" s="1" t="s">
        <v>356</v>
      </c>
      <c r="C169" s="1" t="s">
        <v>1269</v>
      </c>
      <c r="D169" s="1" t="s">
        <v>1270</v>
      </c>
      <c r="E169" s="1">
        <v>283</v>
      </c>
      <c r="F169" s="1" t="str">
        <f>VLOOKUP(E169,'ESTRUTURA_MODULO(hide)'!$A$2:$D$230,2,FALSE)</f>
        <v>Tasy Web Suite</v>
      </c>
      <c r="G169" s="1" t="str">
        <f>VLOOKUP(E169,'ESTRUTURA_MODULO(hide)'!$A$2:$D$95,3,FALSE)</f>
        <v>Tasy Web Suite</v>
      </c>
      <c r="H169" s="1" t="str">
        <f>VLOOKUP(E169,'ESTRUTURA_MODULO(hide)'!$A$2:$D$95,4,FALSE)</f>
        <v>Tasy Web Suite</v>
      </c>
      <c r="I169" s="20">
        <v>0</v>
      </c>
      <c r="J169" s="17" t="s">
        <v>2890</v>
      </c>
      <c r="K169" s="17" t="s">
        <v>2890</v>
      </c>
      <c r="L169" s="17" t="s">
        <v>2890</v>
      </c>
      <c r="M169" s="17" t="s">
        <v>2890</v>
      </c>
      <c r="N169" s="17" t="s">
        <v>2890</v>
      </c>
      <c r="O169" s="17" t="s">
        <v>2890</v>
      </c>
      <c r="P169" s="17" t="s">
        <v>2890</v>
      </c>
      <c r="T169" s="17" t="s">
        <v>2889</v>
      </c>
      <c r="U169" s="17" t="s">
        <v>2890</v>
      </c>
      <c r="V169" s="21"/>
      <c r="W169" s="17"/>
      <c r="X169" s="20">
        <v>0</v>
      </c>
    </row>
    <row r="170" spans="1:24">
      <c r="A170" s="1">
        <v>-2250</v>
      </c>
      <c r="B170" s="426" t="s">
        <v>381</v>
      </c>
      <c r="C170" s="1" t="s">
        <v>1281</v>
      </c>
      <c r="D170" s="1" t="s">
        <v>1282</v>
      </c>
      <c r="E170" s="1">
        <v>283</v>
      </c>
      <c r="F170" s="1" t="str">
        <f>VLOOKUP(E170,'ESTRUTURA_MODULO(hide)'!$A$2:$D$230,2,FALSE)</f>
        <v>Tasy Web Suite</v>
      </c>
      <c r="G170" s="1" t="str">
        <f>VLOOKUP(E170,'ESTRUTURA_MODULO(hide)'!$A$2:$D$95,3,FALSE)</f>
        <v>Tasy Web Suite</v>
      </c>
      <c r="H170" s="1" t="str">
        <f>VLOOKUP(E170,'ESTRUTURA_MODULO(hide)'!$A$2:$D$95,4,FALSE)</f>
        <v>Tasy Web Suite</v>
      </c>
      <c r="I170" s="20">
        <v>0</v>
      </c>
      <c r="J170" s="17" t="s">
        <v>2890</v>
      </c>
      <c r="K170" s="17" t="s">
        <v>2890</v>
      </c>
      <c r="L170" s="17" t="s">
        <v>2890</v>
      </c>
      <c r="M170" s="17" t="s">
        <v>2890</v>
      </c>
      <c r="N170" s="17" t="s">
        <v>2890</v>
      </c>
      <c r="O170" s="17" t="s">
        <v>2890</v>
      </c>
      <c r="P170" s="17" t="s">
        <v>2890</v>
      </c>
      <c r="T170" s="17" t="s">
        <v>2889</v>
      </c>
      <c r="U170" s="17" t="s">
        <v>2890</v>
      </c>
      <c r="V170" s="21"/>
      <c r="W170" s="17"/>
      <c r="X170" s="20">
        <v>0</v>
      </c>
    </row>
    <row r="171" spans="1:24">
      <c r="A171" s="1">
        <v>1771</v>
      </c>
      <c r="B171" s="426" t="s">
        <v>366</v>
      </c>
      <c r="C171" s="1" t="s">
        <v>1257</v>
      </c>
      <c r="D171" s="1" t="s">
        <v>1258</v>
      </c>
      <c r="E171" s="1">
        <v>283</v>
      </c>
      <c r="F171" s="1" t="str">
        <f>VLOOKUP(E171,'ESTRUTURA_MODULO(hide)'!$A$2:$D$230,2,FALSE)</f>
        <v>Tasy Web Suite</v>
      </c>
      <c r="G171" s="1" t="str">
        <f>VLOOKUP(E171,'ESTRUTURA_MODULO(hide)'!$A$2:$D$95,3,FALSE)</f>
        <v>Tasy Web Suite</v>
      </c>
      <c r="H171" s="1" t="str">
        <f>VLOOKUP(E171,'ESTRUTURA_MODULO(hide)'!$A$2:$D$95,4,FALSE)</f>
        <v>Tasy Web Suite</v>
      </c>
      <c r="I171" s="20">
        <v>0</v>
      </c>
      <c r="J171" s="17" t="s">
        <v>2890</v>
      </c>
      <c r="K171" s="17" t="s">
        <v>2890</v>
      </c>
      <c r="L171" s="17" t="s">
        <v>2890</v>
      </c>
      <c r="M171" s="17" t="s">
        <v>2890</v>
      </c>
      <c r="N171" s="17" t="s">
        <v>2890</v>
      </c>
      <c r="O171" s="17" t="s">
        <v>2890</v>
      </c>
      <c r="P171" s="17" t="s">
        <v>2890</v>
      </c>
      <c r="T171" s="17" t="s">
        <v>2889</v>
      </c>
      <c r="U171" s="17" t="s">
        <v>2890</v>
      </c>
      <c r="V171" s="21"/>
      <c r="W171" s="17"/>
      <c r="X171" s="20">
        <v>0</v>
      </c>
    </row>
    <row r="172" spans="1:24">
      <c r="A172" s="1">
        <v>-1012</v>
      </c>
      <c r="B172" s="426" t="s">
        <v>1299</v>
      </c>
      <c r="C172" s="1" t="s">
        <v>1300</v>
      </c>
      <c r="D172" s="1" t="s">
        <v>1301</v>
      </c>
      <c r="E172" s="1">
        <v>283</v>
      </c>
      <c r="F172" s="1" t="str">
        <f>VLOOKUP(E172,'ESTRUTURA_MODULO(hide)'!$A$2:$D$230,2,FALSE)</f>
        <v>Tasy Web Suite</v>
      </c>
      <c r="G172" s="1" t="str">
        <f>VLOOKUP(E172,'ESTRUTURA_MODULO(hide)'!$A$2:$D$95,3,FALSE)</f>
        <v>Tasy Web Suite</v>
      </c>
      <c r="H172" s="1" t="str">
        <f>VLOOKUP(E172,'ESTRUTURA_MODULO(hide)'!$A$2:$D$95,4,FALSE)</f>
        <v>Tasy Web Suite</v>
      </c>
      <c r="I172" s="20">
        <v>0</v>
      </c>
      <c r="J172" s="17" t="s">
        <v>2890</v>
      </c>
      <c r="K172" s="17" t="s">
        <v>2890</v>
      </c>
      <c r="L172" s="17" t="s">
        <v>2890</v>
      </c>
      <c r="M172" s="17" t="s">
        <v>2890</v>
      </c>
      <c r="N172" s="17" t="s">
        <v>2890</v>
      </c>
      <c r="O172" s="17" t="s">
        <v>2890</v>
      </c>
      <c r="P172" s="17" t="s">
        <v>2890</v>
      </c>
      <c r="T172" s="17" t="s">
        <v>2889</v>
      </c>
      <c r="U172" s="17" t="s">
        <v>2890</v>
      </c>
      <c r="V172" s="21"/>
      <c r="W172" s="17"/>
      <c r="X172" s="20">
        <v>0</v>
      </c>
    </row>
    <row r="173" spans="1:24">
      <c r="A173" s="1">
        <v>1770</v>
      </c>
      <c r="B173" s="1" t="s">
        <v>357</v>
      </c>
      <c r="C173" s="1" t="s">
        <v>1268</v>
      </c>
      <c r="D173" s="1" t="s">
        <v>1736</v>
      </c>
      <c r="E173" s="1">
        <v>283</v>
      </c>
      <c r="F173" s="1" t="str">
        <f>VLOOKUP(E173,'ESTRUTURA_MODULO(hide)'!$A$2:$D$230,2,FALSE)</f>
        <v>Tasy Web Suite</v>
      </c>
      <c r="G173" s="1" t="str">
        <f>VLOOKUP(E173,'ESTRUTURA_MODULO(hide)'!$A$2:$D$95,3,FALSE)</f>
        <v>Tasy Web Suite</v>
      </c>
      <c r="H173" s="1" t="str">
        <f>VLOOKUP(E173,'ESTRUTURA_MODULO(hide)'!$A$2:$D$95,4,FALSE)</f>
        <v>Tasy Web Suite</v>
      </c>
      <c r="I173" s="20">
        <v>0</v>
      </c>
      <c r="J173" s="17" t="s">
        <v>2890</v>
      </c>
      <c r="K173" s="17" t="s">
        <v>2890</v>
      </c>
      <c r="L173" s="17" t="s">
        <v>2890</v>
      </c>
      <c r="M173" s="17" t="s">
        <v>2890</v>
      </c>
      <c r="N173" s="17" t="s">
        <v>2890</v>
      </c>
      <c r="O173" s="17" t="s">
        <v>2890</v>
      </c>
      <c r="P173" s="17" t="s">
        <v>2890</v>
      </c>
      <c r="T173" s="17" t="s">
        <v>2889</v>
      </c>
      <c r="U173" s="17" t="s">
        <v>2890</v>
      </c>
      <c r="V173" s="21"/>
      <c r="W173" s="17"/>
      <c r="X173" s="20">
        <v>0</v>
      </c>
    </row>
    <row r="174" spans="1:24">
      <c r="A174" s="1">
        <v>1752</v>
      </c>
      <c r="B174" s="1" t="s">
        <v>359</v>
      </c>
      <c r="C174" s="1" t="s">
        <v>1297</v>
      </c>
      <c r="D174" s="1" t="s">
        <v>1298</v>
      </c>
      <c r="E174" s="1">
        <v>283</v>
      </c>
      <c r="F174" s="1" t="str">
        <f>VLOOKUP(E174,'ESTRUTURA_MODULO(hide)'!$A$2:$D$230,2,FALSE)</f>
        <v>Tasy Web Suite</v>
      </c>
      <c r="G174" s="1" t="str">
        <f>VLOOKUP(E174,'ESTRUTURA_MODULO(hide)'!$A$2:$D$95,3,FALSE)</f>
        <v>Tasy Web Suite</v>
      </c>
      <c r="H174" s="1" t="str">
        <f>VLOOKUP(E174,'ESTRUTURA_MODULO(hide)'!$A$2:$D$95,4,FALSE)</f>
        <v>Tasy Web Suite</v>
      </c>
      <c r="I174" s="20">
        <v>0</v>
      </c>
      <c r="J174" s="17" t="s">
        <v>2890</v>
      </c>
      <c r="K174" s="17" t="s">
        <v>2890</v>
      </c>
      <c r="L174" s="17" t="s">
        <v>2890</v>
      </c>
      <c r="M174" s="17" t="s">
        <v>2890</v>
      </c>
      <c r="N174" s="17" t="s">
        <v>2890</v>
      </c>
      <c r="O174" s="17" t="s">
        <v>2890</v>
      </c>
      <c r="P174" s="17" t="s">
        <v>2890</v>
      </c>
      <c r="T174" s="17" t="s">
        <v>2889</v>
      </c>
      <c r="U174" s="17" t="s">
        <v>2890</v>
      </c>
      <c r="V174" s="21"/>
      <c r="W174" s="17"/>
      <c r="X174" s="20">
        <v>0</v>
      </c>
    </row>
    <row r="175" spans="1:24">
      <c r="A175" s="1">
        <v>7044</v>
      </c>
      <c r="B175" s="1" t="s">
        <v>370</v>
      </c>
      <c r="C175" s="1" t="s">
        <v>1213</v>
      </c>
      <c r="D175" s="1" t="s">
        <v>1214</v>
      </c>
      <c r="E175" s="1">
        <v>283</v>
      </c>
      <c r="F175" s="1" t="str">
        <f>VLOOKUP(E175,'ESTRUTURA_MODULO(hide)'!$A$2:$D$230,2,FALSE)</f>
        <v>Tasy Web Suite</v>
      </c>
      <c r="G175" s="1" t="str">
        <f>VLOOKUP(E175,'ESTRUTURA_MODULO(hide)'!$A$2:$D$95,3,FALSE)</f>
        <v>Tasy Web Suite</v>
      </c>
      <c r="H175" s="1" t="str">
        <f>VLOOKUP(E175,'ESTRUTURA_MODULO(hide)'!$A$2:$D$95,4,FALSE)</f>
        <v>Tasy Web Suite</v>
      </c>
      <c r="I175" s="20">
        <v>0</v>
      </c>
      <c r="J175" s="17" t="s">
        <v>2890</v>
      </c>
      <c r="K175" s="17" t="s">
        <v>2890</v>
      </c>
      <c r="L175" s="17" t="s">
        <v>2890</v>
      </c>
      <c r="M175" s="17" t="s">
        <v>2890</v>
      </c>
      <c r="N175" s="17" t="s">
        <v>2890</v>
      </c>
      <c r="O175" s="17" t="s">
        <v>2890</v>
      </c>
      <c r="P175" s="17" t="s">
        <v>2890</v>
      </c>
      <c r="T175" s="17" t="s">
        <v>2889</v>
      </c>
      <c r="U175" s="17" t="s">
        <v>2890</v>
      </c>
      <c r="V175" s="21"/>
      <c r="W175" s="17"/>
      <c r="X175" s="20">
        <v>0</v>
      </c>
    </row>
    <row r="176" spans="1:24">
      <c r="A176" s="1">
        <v>8020</v>
      </c>
      <c r="B176" s="426" t="s">
        <v>360</v>
      </c>
      <c r="C176" s="1" t="s">
        <v>1211</v>
      </c>
      <c r="D176" s="1" t="s">
        <v>1212</v>
      </c>
      <c r="E176" s="1">
        <v>283</v>
      </c>
      <c r="F176" s="1" t="str">
        <f>VLOOKUP(E176,'ESTRUTURA_MODULO(hide)'!$A$2:$D$230,2,FALSE)</f>
        <v>Tasy Web Suite</v>
      </c>
      <c r="G176" s="1" t="str">
        <f>VLOOKUP(E176,'ESTRUTURA_MODULO(hide)'!$A$2:$D$95,3,FALSE)</f>
        <v>Tasy Web Suite</v>
      </c>
      <c r="H176" s="1" t="str">
        <f>VLOOKUP(E176,'ESTRUTURA_MODULO(hide)'!$A$2:$D$95,4,FALSE)</f>
        <v>Tasy Web Suite</v>
      </c>
      <c r="I176" s="20">
        <v>0</v>
      </c>
      <c r="J176" s="17" t="s">
        <v>2890</v>
      </c>
      <c r="K176" s="17" t="s">
        <v>2890</v>
      </c>
      <c r="L176" s="17" t="s">
        <v>2890</v>
      </c>
      <c r="M176" s="17" t="s">
        <v>2890</v>
      </c>
      <c r="N176" s="17" t="s">
        <v>2890</v>
      </c>
      <c r="O176" s="17" t="s">
        <v>2890</v>
      </c>
      <c r="P176" s="17" t="s">
        <v>2890</v>
      </c>
      <c r="T176" s="17" t="s">
        <v>2889</v>
      </c>
      <c r="U176" s="17" t="s">
        <v>2890</v>
      </c>
      <c r="V176" s="21"/>
      <c r="W176" s="17"/>
      <c r="X176" s="20">
        <v>0</v>
      </c>
    </row>
    <row r="177" spans="1:24">
      <c r="A177" s="1">
        <v>8051</v>
      </c>
      <c r="B177" s="426" t="s">
        <v>355</v>
      </c>
      <c r="C177" s="1" t="s">
        <v>1215</v>
      </c>
      <c r="D177" s="1" t="s">
        <v>1216</v>
      </c>
      <c r="E177" s="1">
        <v>283</v>
      </c>
      <c r="F177" s="1" t="str">
        <f>VLOOKUP(E177,'ESTRUTURA_MODULO(hide)'!$A$2:$D$230,2,FALSE)</f>
        <v>Tasy Web Suite</v>
      </c>
      <c r="G177" s="1" t="str">
        <f>VLOOKUP(E177,'ESTRUTURA_MODULO(hide)'!$A$2:$D$95,3,FALSE)</f>
        <v>Tasy Web Suite</v>
      </c>
      <c r="H177" s="1" t="str">
        <f>VLOOKUP(E177,'ESTRUTURA_MODULO(hide)'!$A$2:$D$95,4,FALSE)</f>
        <v>Tasy Web Suite</v>
      </c>
      <c r="I177" s="20">
        <v>0</v>
      </c>
      <c r="J177" s="17" t="s">
        <v>2890</v>
      </c>
      <c r="K177" s="17" t="s">
        <v>2890</v>
      </c>
      <c r="L177" s="17" t="s">
        <v>2890</v>
      </c>
      <c r="M177" s="17" t="s">
        <v>2890</v>
      </c>
      <c r="N177" s="17" t="s">
        <v>2890</v>
      </c>
      <c r="O177" s="17" t="s">
        <v>2890</v>
      </c>
      <c r="P177" s="17" t="s">
        <v>2890</v>
      </c>
      <c r="T177" s="17" t="s">
        <v>2889</v>
      </c>
      <c r="U177" s="17" t="s">
        <v>2890</v>
      </c>
      <c r="V177" s="21"/>
      <c r="W177" s="17"/>
      <c r="X177" s="20">
        <v>0</v>
      </c>
    </row>
    <row r="178" spans="1:24">
      <c r="A178" s="1">
        <v>-2070</v>
      </c>
      <c r="B178" s="426" t="s">
        <v>1194</v>
      </c>
      <c r="C178" s="1" t="s">
        <v>1195</v>
      </c>
      <c r="D178" s="1" t="s">
        <v>1196</v>
      </c>
      <c r="E178" s="1">
        <v>283</v>
      </c>
      <c r="F178" s="1" t="str">
        <f>VLOOKUP(E178,'ESTRUTURA_MODULO(hide)'!$A$2:$D$230,2,FALSE)</f>
        <v>Tasy Web Suite</v>
      </c>
      <c r="G178" s="1" t="str">
        <f>VLOOKUP(E178,'ESTRUTURA_MODULO(hide)'!$A$2:$D$95,3,FALSE)</f>
        <v>Tasy Web Suite</v>
      </c>
      <c r="H178" s="1" t="str">
        <f>VLOOKUP(E178,'ESTRUTURA_MODULO(hide)'!$A$2:$D$95,4,FALSE)</f>
        <v>Tasy Web Suite</v>
      </c>
      <c r="I178" s="20">
        <v>0</v>
      </c>
      <c r="J178" s="17" t="s">
        <v>2890</v>
      </c>
      <c r="K178" s="17" t="s">
        <v>2890</v>
      </c>
      <c r="L178" s="17" t="s">
        <v>2890</v>
      </c>
      <c r="M178" s="17" t="s">
        <v>2890</v>
      </c>
      <c r="N178" s="17" t="s">
        <v>2890</v>
      </c>
      <c r="O178" s="17" t="s">
        <v>2890</v>
      </c>
      <c r="P178" s="17" t="s">
        <v>2890</v>
      </c>
      <c r="T178" s="17" t="s">
        <v>2889</v>
      </c>
      <c r="U178" s="17" t="s">
        <v>2890</v>
      </c>
      <c r="V178" s="21"/>
      <c r="W178" s="17"/>
      <c r="X178" s="20">
        <v>0</v>
      </c>
    </row>
    <row r="179" spans="1:24">
      <c r="A179" s="1">
        <v>-2225</v>
      </c>
      <c r="B179" s="1" t="s">
        <v>1189</v>
      </c>
      <c r="C179" s="1" t="s">
        <v>1190</v>
      </c>
      <c r="D179" s="1" t="s">
        <v>1191</v>
      </c>
      <c r="E179" s="1">
        <v>283</v>
      </c>
      <c r="F179" s="1" t="str">
        <f>VLOOKUP(E179,'ESTRUTURA_MODULO(hide)'!$A$2:$D$230,2,FALSE)</f>
        <v>Tasy Web Suite</v>
      </c>
      <c r="G179" s="1" t="str">
        <f>VLOOKUP(E179,'ESTRUTURA_MODULO(hide)'!$A$2:$D$95,3,FALSE)</f>
        <v>Tasy Web Suite</v>
      </c>
      <c r="H179" s="1" t="str">
        <f>VLOOKUP(E179,'ESTRUTURA_MODULO(hide)'!$A$2:$D$95,4,FALSE)</f>
        <v>Tasy Web Suite</v>
      </c>
      <c r="I179" s="20">
        <v>0</v>
      </c>
      <c r="J179" s="17" t="s">
        <v>2890</v>
      </c>
      <c r="K179" s="17" t="s">
        <v>2890</v>
      </c>
      <c r="L179" s="17" t="s">
        <v>2890</v>
      </c>
      <c r="M179" s="17" t="s">
        <v>2890</v>
      </c>
      <c r="N179" s="17" t="s">
        <v>2890</v>
      </c>
      <c r="O179" s="17" t="s">
        <v>2890</v>
      </c>
      <c r="P179" s="17" t="s">
        <v>2890</v>
      </c>
      <c r="T179" s="17" t="s">
        <v>2889</v>
      </c>
      <c r="U179" s="17" t="s">
        <v>2890</v>
      </c>
      <c r="V179" s="21"/>
      <c r="W179" s="17"/>
      <c r="X179" s="20">
        <v>0</v>
      </c>
    </row>
    <row r="180" spans="1:24">
      <c r="A180" s="1">
        <v>9041</v>
      </c>
      <c r="B180" s="1" t="s">
        <v>445</v>
      </c>
      <c r="C180" s="1" t="s">
        <v>1192</v>
      </c>
      <c r="D180" s="1" t="s">
        <v>1193</v>
      </c>
      <c r="E180" s="1">
        <v>283</v>
      </c>
      <c r="F180" s="1" t="str">
        <f>VLOOKUP(E180,'ESTRUTURA_MODULO(hide)'!$A$2:$D$230,2,FALSE)</f>
        <v>Tasy Web Suite</v>
      </c>
      <c r="G180" s="1" t="str">
        <f>VLOOKUP(E180,'ESTRUTURA_MODULO(hide)'!$A$2:$D$95,3,FALSE)</f>
        <v>Tasy Web Suite</v>
      </c>
      <c r="H180" s="1" t="str">
        <f>VLOOKUP(E180,'ESTRUTURA_MODULO(hide)'!$A$2:$D$95,4,FALSE)</f>
        <v>Tasy Web Suite</v>
      </c>
      <c r="I180" s="20">
        <v>0</v>
      </c>
      <c r="J180" s="17" t="s">
        <v>2890</v>
      </c>
      <c r="K180" s="17" t="s">
        <v>2890</v>
      </c>
      <c r="L180" s="17" t="s">
        <v>2890</v>
      </c>
      <c r="M180" s="17" t="s">
        <v>2890</v>
      </c>
      <c r="N180" s="17" t="s">
        <v>2890</v>
      </c>
      <c r="O180" s="17" t="s">
        <v>2890</v>
      </c>
      <c r="P180" s="17" t="s">
        <v>2890</v>
      </c>
      <c r="T180" s="17" t="s">
        <v>2889</v>
      </c>
      <c r="U180" s="17" t="s">
        <v>2890</v>
      </c>
      <c r="V180" s="21"/>
      <c r="W180" s="17"/>
      <c r="X180" s="20">
        <v>0</v>
      </c>
    </row>
    <row r="181" spans="1:24">
      <c r="A181" s="1">
        <v>9044</v>
      </c>
      <c r="B181" s="35" t="s">
        <v>393</v>
      </c>
      <c r="C181" s="1" t="s">
        <v>1187</v>
      </c>
      <c r="D181" s="1" t="s">
        <v>1188</v>
      </c>
      <c r="E181" s="35">
        <v>8</v>
      </c>
      <c r="F181" s="1" t="str">
        <f>VLOOKUP(E181,'ESTRUTURA_MODULO(hide)'!$A$2:$D$230,2,FALSE)</f>
        <v>Farmácia</v>
      </c>
      <c r="G181" s="1" t="str">
        <f>VLOOKUP(E181,'ESTRUTURA_MODULO(hide)'!$A$2:$D$95,3,FALSE)</f>
        <v>Pharmacy</v>
      </c>
      <c r="H181" s="1" t="str">
        <f>VLOOKUP(E181,'ESTRUTURA_MODULO(hide)'!$A$2:$D$95,4,FALSE)</f>
        <v>Farmacia</v>
      </c>
      <c r="I181" s="37">
        <v>4</v>
      </c>
      <c r="J181" s="17" t="s">
        <v>2890</v>
      </c>
      <c r="K181" s="17" t="s">
        <v>2889</v>
      </c>
      <c r="L181" s="17" t="s">
        <v>2889</v>
      </c>
      <c r="M181" s="17" t="s">
        <v>2890</v>
      </c>
      <c r="N181" s="38" t="s">
        <v>2889</v>
      </c>
      <c r="O181" s="17" t="s">
        <v>2890</v>
      </c>
      <c r="P181" s="17" t="s">
        <v>2890</v>
      </c>
      <c r="T181" s="17" t="s">
        <v>2889</v>
      </c>
      <c r="U181" s="17" t="s">
        <v>2890</v>
      </c>
      <c r="V181" s="36" t="s">
        <v>188</v>
      </c>
      <c r="W181" s="17"/>
      <c r="X181" s="20">
        <v>16</v>
      </c>
    </row>
    <row r="182" spans="1:24">
      <c r="A182" s="1">
        <v>1111</v>
      </c>
      <c r="B182" s="1" t="s">
        <v>1201</v>
      </c>
      <c r="C182" s="1" t="s">
        <v>1202</v>
      </c>
      <c r="D182" s="1" t="s">
        <v>1203</v>
      </c>
      <c r="E182" s="1">
        <v>283</v>
      </c>
      <c r="F182" s="1" t="str">
        <f>VLOOKUP(E182,'ESTRUTURA_MODULO(hide)'!$A$2:$D$230,2,FALSE)</f>
        <v>Tasy Web Suite</v>
      </c>
      <c r="G182" s="1" t="str">
        <f>VLOOKUP(E182,'ESTRUTURA_MODULO(hide)'!$A$2:$D$95,3,FALSE)</f>
        <v>Tasy Web Suite</v>
      </c>
      <c r="H182" s="1" t="str">
        <f>VLOOKUP(E182,'ESTRUTURA_MODULO(hide)'!$A$2:$D$95,4,FALSE)</f>
        <v>Tasy Web Suite</v>
      </c>
      <c r="I182" s="20">
        <v>0</v>
      </c>
      <c r="J182" s="17" t="s">
        <v>2890</v>
      </c>
      <c r="K182" s="17" t="s">
        <v>2890</v>
      </c>
      <c r="L182" s="17" t="s">
        <v>2890</v>
      </c>
      <c r="M182" s="17" t="s">
        <v>2890</v>
      </c>
      <c r="N182" s="17" t="s">
        <v>2890</v>
      </c>
      <c r="O182" s="17" t="s">
        <v>2890</v>
      </c>
      <c r="P182" s="17" t="s">
        <v>2890</v>
      </c>
      <c r="T182" s="17" t="s">
        <v>2889</v>
      </c>
      <c r="U182" s="17" t="s">
        <v>2890</v>
      </c>
      <c r="V182" s="21"/>
      <c r="W182" s="17"/>
      <c r="X182" s="20">
        <v>0</v>
      </c>
    </row>
    <row r="183" spans="1:24">
      <c r="A183" s="1">
        <v>868</v>
      </c>
      <c r="B183" s="1" t="s">
        <v>1204</v>
      </c>
      <c r="C183" s="1" t="s">
        <v>1204</v>
      </c>
      <c r="D183" s="1" t="s">
        <v>1204</v>
      </c>
      <c r="E183" s="1">
        <v>283</v>
      </c>
      <c r="F183" s="1" t="str">
        <f>VLOOKUP(E183,'ESTRUTURA_MODULO(hide)'!$A$2:$D$230,2,FALSE)</f>
        <v>Tasy Web Suite</v>
      </c>
      <c r="G183" s="1" t="str">
        <f>VLOOKUP(E183,'ESTRUTURA_MODULO(hide)'!$A$2:$D$95,3,FALSE)</f>
        <v>Tasy Web Suite</v>
      </c>
      <c r="H183" s="1" t="str">
        <f>VLOOKUP(E183,'ESTRUTURA_MODULO(hide)'!$A$2:$D$95,4,FALSE)</f>
        <v>Tasy Web Suite</v>
      </c>
      <c r="I183" s="20">
        <v>0</v>
      </c>
      <c r="J183" s="17" t="s">
        <v>2890</v>
      </c>
      <c r="K183" s="17" t="s">
        <v>2890</v>
      </c>
      <c r="L183" s="17" t="s">
        <v>2890</v>
      </c>
      <c r="M183" s="17" t="s">
        <v>2890</v>
      </c>
      <c r="N183" s="17" t="s">
        <v>2890</v>
      </c>
      <c r="O183" s="17" t="s">
        <v>2890</v>
      </c>
      <c r="P183" s="17" t="s">
        <v>2890</v>
      </c>
      <c r="T183" s="17" t="s">
        <v>2889</v>
      </c>
      <c r="U183" s="17" t="s">
        <v>2890</v>
      </c>
      <c r="V183" s="21"/>
      <c r="W183" s="17"/>
      <c r="X183" s="20">
        <v>0</v>
      </c>
    </row>
    <row r="184" spans="1:24">
      <c r="A184" s="1">
        <v>3001</v>
      </c>
      <c r="B184" s="1" t="s">
        <v>1205</v>
      </c>
      <c r="C184" s="1" t="s">
        <v>1206</v>
      </c>
      <c r="D184" s="1" t="s">
        <v>1207</v>
      </c>
      <c r="E184" s="1">
        <v>283</v>
      </c>
      <c r="F184" s="1" t="str">
        <f>VLOOKUP(E184,'ESTRUTURA_MODULO(hide)'!$A$2:$D$230,2,FALSE)</f>
        <v>Tasy Web Suite</v>
      </c>
      <c r="G184" s="1" t="str">
        <f>VLOOKUP(E184,'ESTRUTURA_MODULO(hide)'!$A$2:$D$95,3,FALSE)</f>
        <v>Tasy Web Suite</v>
      </c>
      <c r="H184" s="1" t="str">
        <f>VLOOKUP(E184,'ESTRUTURA_MODULO(hide)'!$A$2:$D$95,4,FALSE)</f>
        <v>Tasy Web Suite</v>
      </c>
      <c r="I184" s="20">
        <v>0</v>
      </c>
      <c r="J184" s="17" t="s">
        <v>2890</v>
      </c>
      <c r="K184" s="17" t="s">
        <v>2890</v>
      </c>
      <c r="L184" s="17" t="s">
        <v>2890</v>
      </c>
      <c r="M184" s="17" t="s">
        <v>2890</v>
      </c>
      <c r="N184" s="17" t="s">
        <v>2890</v>
      </c>
      <c r="O184" s="17" t="s">
        <v>2890</v>
      </c>
      <c r="P184" s="17" t="s">
        <v>2890</v>
      </c>
      <c r="T184" s="17" t="s">
        <v>2889</v>
      </c>
      <c r="U184" s="17" t="s">
        <v>2890</v>
      </c>
      <c r="V184" s="21"/>
      <c r="W184" s="17"/>
      <c r="X184" s="20">
        <v>0</v>
      </c>
    </row>
    <row r="185" spans="1:24">
      <c r="A185" s="1">
        <v>1351</v>
      </c>
      <c r="B185" s="248" t="s">
        <v>343</v>
      </c>
      <c r="C185" s="1" t="s">
        <v>1473</v>
      </c>
      <c r="D185" s="1" t="s">
        <v>1474</v>
      </c>
      <c r="E185" s="1">
        <v>302</v>
      </c>
      <c r="F185" s="1" t="str">
        <f>VLOOKUP(E185,'ESTRUTURA_MODULO(hide)'!$A$2:$D$230,2,FALSE)</f>
        <v>Funções/Tabelas sem neces. de vínculo</v>
      </c>
      <c r="G185" s="1" t="str">
        <f>VLOOKUP(E185,'ESTRUTURA_MODULO(hide)'!$A$2:$D$95,3,FALSE)</f>
        <v>Functions/tables without link</v>
      </c>
      <c r="H185" s="1" t="str">
        <f>VLOOKUP(E185,'ESTRUTURA_MODULO(hide)'!$A$2:$D$95,4,FALSE)</f>
        <v>Funciones/Tablas sin necesidad de vinculo</v>
      </c>
      <c r="I185" s="20">
        <v>0</v>
      </c>
      <c r="J185" s="17" t="s">
        <v>2890</v>
      </c>
      <c r="K185" s="17" t="s">
        <v>2890</v>
      </c>
      <c r="L185" s="17" t="s">
        <v>2890</v>
      </c>
      <c r="M185" s="17" t="s">
        <v>2890</v>
      </c>
      <c r="N185" s="17" t="s">
        <v>2890</v>
      </c>
      <c r="O185" s="17" t="s">
        <v>2890</v>
      </c>
      <c r="P185" s="17" t="s">
        <v>2890</v>
      </c>
      <c r="T185" s="17" t="s">
        <v>2889</v>
      </c>
      <c r="U185" s="17" t="s">
        <v>2890</v>
      </c>
      <c r="V185" s="21"/>
      <c r="W185" s="17"/>
      <c r="X185" s="20">
        <v>0</v>
      </c>
    </row>
    <row r="186" spans="1:24">
      <c r="A186" s="1">
        <v>3120</v>
      </c>
      <c r="B186" s="248" t="s">
        <v>411</v>
      </c>
      <c r="C186" s="1" t="s">
        <v>1466</v>
      </c>
      <c r="D186" s="1" t="s">
        <v>1468</v>
      </c>
      <c r="E186" s="1">
        <v>302</v>
      </c>
      <c r="F186" s="1" t="str">
        <f>VLOOKUP(E186,'ESTRUTURA_MODULO(hide)'!$A$2:$D$230,2,FALSE)</f>
        <v>Funções/Tabelas sem neces. de vínculo</v>
      </c>
      <c r="G186" s="1" t="str">
        <f>VLOOKUP(E186,'ESTRUTURA_MODULO(hide)'!$A$2:$D$95,3,FALSE)</f>
        <v>Functions/tables without link</v>
      </c>
      <c r="H186" s="1" t="str">
        <f>VLOOKUP(E186,'ESTRUTURA_MODULO(hide)'!$A$2:$D$95,4,FALSE)</f>
        <v>Funciones/Tablas sin necesidad de vinculo</v>
      </c>
      <c r="I186" s="20">
        <v>0</v>
      </c>
      <c r="J186" s="17" t="s">
        <v>2890</v>
      </c>
      <c r="K186" s="17" t="s">
        <v>2890</v>
      </c>
      <c r="L186" s="17" t="s">
        <v>2890</v>
      </c>
      <c r="M186" s="17" t="s">
        <v>2890</v>
      </c>
      <c r="N186" s="17" t="s">
        <v>2890</v>
      </c>
      <c r="O186" s="17" t="s">
        <v>2890</v>
      </c>
      <c r="P186" s="17" t="s">
        <v>2890</v>
      </c>
      <c r="T186" s="17" t="s">
        <v>2889</v>
      </c>
      <c r="U186" s="17" t="s">
        <v>2890</v>
      </c>
      <c r="V186" s="21"/>
      <c r="W186" s="17"/>
      <c r="X186" s="20">
        <v>0</v>
      </c>
    </row>
    <row r="187" spans="1:24">
      <c r="A187" s="1">
        <v>-261</v>
      </c>
      <c r="B187" s="426" t="s">
        <v>413</v>
      </c>
      <c r="C187" s="1" t="s">
        <v>1471</v>
      </c>
      <c r="D187" s="1" t="s">
        <v>1472</v>
      </c>
      <c r="E187" s="1">
        <v>302</v>
      </c>
      <c r="F187" s="1" t="str">
        <f>VLOOKUP(E187,'ESTRUTURA_MODULO(hide)'!$A$2:$D$230,2,FALSE)</f>
        <v>Funções/Tabelas sem neces. de vínculo</v>
      </c>
      <c r="G187" s="1" t="str">
        <f>VLOOKUP(E187,'ESTRUTURA_MODULO(hide)'!$A$2:$D$95,3,FALSE)</f>
        <v>Functions/tables without link</v>
      </c>
      <c r="H187" s="1" t="str">
        <f>VLOOKUP(E187,'ESTRUTURA_MODULO(hide)'!$A$2:$D$95,4,FALSE)</f>
        <v>Funciones/Tablas sin necesidad de vinculo</v>
      </c>
      <c r="I187" s="20">
        <v>0</v>
      </c>
      <c r="J187" s="17" t="s">
        <v>2890</v>
      </c>
      <c r="K187" s="17" t="s">
        <v>2890</v>
      </c>
      <c r="L187" s="17" t="s">
        <v>2890</v>
      </c>
      <c r="M187" s="17" t="s">
        <v>2890</v>
      </c>
      <c r="N187" s="17" t="s">
        <v>2890</v>
      </c>
      <c r="O187" s="17" t="s">
        <v>2890</v>
      </c>
      <c r="P187" s="17" t="s">
        <v>2890</v>
      </c>
      <c r="T187" s="17" t="s">
        <v>2889</v>
      </c>
      <c r="U187" s="17" t="s">
        <v>2890</v>
      </c>
      <c r="V187" s="21"/>
      <c r="W187" s="17"/>
      <c r="X187" s="20">
        <v>0</v>
      </c>
    </row>
    <row r="188" spans="1:24">
      <c r="A188" s="1">
        <v>-25</v>
      </c>
      <c r="B188" s="426" t="s">
        <v>410</v>
      </c>
      <c r="C188" s="1" t="s">
        <v>1470</v>
      </c>
      <c r="D188" s="1" t="s">
        <v>410</v>
      </c>
      <c r="E188" s="1">
        <v>302</v>
      </c>
      <c r="F188" s="1" t="str">
        <f>VLOOKUP(E188,'ESTRUTURA_MODULO(hide)'!$A$2:$D$230,2,FALSE)</f>
        <v>Funções/Tabelas sem neces. de vínculo</v>
      </c>
      <c r="G188" s="1" t="str">
        <f>VLOOKUP(E188,'ESTRUTURA_MODULO(hide)'!$A$2:$D$95,3,FALSE)</f>
        <v>Functions/tables without link</v>
      </c>
      <c r="H188" s="1" t="str">
        <f>VLOOKUP(E188,'ESTRUTURA_MODULO(hide)'!$A$2:$D$95,4,FALSE)</f>
        <v>Funciones/Tablas sin necesidad de vinculo</v>
      </c>
      <c r="I188" s="20">
        <v>0</v>
      </c>
      <c r="J188" s="17" t="s">
        <v>2890</v>
      </c>
      <c r="K188" s="17" t="s">
        <v>2890</v>
      </c>
      <c r="L188" s="17" t="s">
        <v>2890</v>
      </c>
      <c r="M188" s="17" t="s">
        <v>2890</v>
      </c>
      <c r="N188" s="17" t="s">
        <v>2890</v>
      </c>
      <c r="O188" s="17" t="s">
        <v>2890</v>
      </c>
      <c r="P188" s="17" t="s">
        <v>2890</v>
      </c>
      <c r="T188" s="17" t="s">
        <v>2889</v>
      </c>
      <c r="U188" s="17" t="s">
        <v>2890</v>
      </c>
      <c r="V188" s="21"/>
      <c r="W188" s="17"/>
      <c r="X188" s="20">
        <v>0</v>
      </c>
    </row>
    <row r="189" spans="1:24">
      <c r="A189" s="1">
        <v>0</v>
      </c>
      <c r="B189" s="426" t="s">
        <v>412</v>
      </c>
      <c r="C189" s="1" t="s">
        <v>1475</v>
      </c>
      <c r="D189" s="1" t="s">
        <v>1476</v>
      </c>
      <c r="E189" s="1">
        <v>302</v>
      </c>
      <c r="F189" s="1" t="str">
        <f>VLOOKUP(E189,'ESTRUTURA_MODULO(hide)'!$A$2:$D$230,2,FALSE)</f>
        <v>Funções/Tabelas sem neces. de vínculo</v>
      </c>
      <c r="G189" s="1" t="str">
        <f>VLOOKUP(E189,'ESTRUTURA_MODULO(hide)'!$A$2:$D$95,3,FALSE)</f>
        <v>Functions/tables without link</v>
      </c>
      <c r="H189" s="1" t="str">
        <f>VLOOKUP(E189,'ESTRUTURA_MODULO(hide)'!$A$2:$D$95,4,FALSE)</f>
        <v>Funciones/Tablas sin necesidad de vinculo</v>
      </c>
      <c r="I189" s="20">
        <v>0</v>
      </c>
      <c r="J189" s="17" t="s">
        <v>2890</v>
      </c>
      <c r="K189" s="17" t="s">
        <v>2890</v>
      </c>
      <c r="L189" s="17" t="s">
        <v>2890</v>
      </c>
      <c r="M189" s="17" t="s">
        <v>2890</v>
      </c>
      <c r="N189" s="17" t="s">
        <v>2890</v>
      </c>
      <c r="O189" s="17" t="s">
        <v>2890</v>
      </c>
      <c r="P189" s="17" t="s">
        <v>2890</v>
      </c>
      <c r="T189" s="17" t="s">
        <v>2889</v>
      </c>
      <c r="U189" s="17" t="s">
        <v>2890</v>
      </c>
      <c r="V189" s="21"/>
      <c r="W189" s="17"/>
      <c r="X189" s="20">
        <v>0</v>
      </c>
    </row>
    <row r="190" spans="1:24">
      <c r="A190" s="1">
        <v>7041</v>
      </c>
      <c r="B190" s="35" t="s">
        <v>416</v>
      </c>
      <c r="C190" s="1" t="s">
        <v>1499</v>
      </c>
      <c r="D190" s="1" t="s">
        <v>1500</v>
      </c>
      <c r="E190" s="35">
        <v>322</v>
      </c>
      <c r="F190" s="1" t="str">
        <f>VLOOKUP(E190,'ESTRUTURA_MODULO(hide)'!$A$2:$D$230,2,FALSE)</f>
        <v>Treinamentos</v>
      </c>
      <c r="G190" s="1" t="str">
        <f>VLOOKUP(E190,'ESTRUTURA_MODULO(hide)'!$A$2:$D$95,3,FALSE)</f>
        <v>Trainings</v>
      </c>
      <c r="H190" s="1" t="str">
        <f>VLOOKUP(E190,'ESTRUTURA_MODULO(hide)'!$A$2:$D$95,4,FALSE)</f>
        <v>Entrenamientos</v>
      </c>
      <c r="I190" s="37">
        <v>12</v>
      </c>
      <c r="J190" s="17" t="s">
        <v>2890</v>
      </c>
      <c r="K190" s="17" t="s">
        <v>2889</v>
      </c>
      <c r="L190" s="17" t="s">
        <v>2889</v>
      </c>
      <c r="M190" s="17" t="s">
        <v>2890</v>
      </c>
      <c r="N190" s="38" t="s">
        <v>2889</v>
      </c>
      <c r="O190" s="17" t="s">
        <v>2889</v>
      </c>
      <c r="P190" s="17" t="s">
        <v>2889</v>
      </c>
      <c r="T190" s="17" t="s">
        <v>2889</v>
      </c>
      <c r="U190" s="17" t="s">
        <v>2890</v>
      </c>
      <c r="V190" s="36"/>
      <c r="W190" s="17"/>
      <c r="X190" s="20">
        <v>24</v>
      </c>
    </row>
    <row r="191" spans="1:24">
      <c r="A191" s="1">
        <v>7004</v>
      </c>
      <c r="B191" s="35" t="s">
        <v>417</v>
      </c>
      <c r="C191" s="1" t="s">
        <v>1497</v>
      </c>
      <c r="D191" s="1" t="s">
        <v>1498</v>
      </c>
      <c r="E191" s="35">
        <v>322</v>
      </c>
      <c r="F191" s="1" t="str">
        <f>VLOOKUP(E191,'ESTRUTURA_MODULO(hide)'!$A$2:$D$230,2,FALSE)</f>
        <v>Treinamentos</v>
      </c>
      <c r="G191" s="1" t="str">
        <f>VLOOKUP(E191,'ESTRUTURA_MODULO(hide)'!$A$2:$D$95,3,FALSE)</f>
        <v>Trainings</v>
      </c>
      <c r="H191" s="1" t="str">
        <f>VLOOKUP(E191,'ESTRUTURA_MODULO(hide)'!$A$2:$D$95,4,FALSE)</f>
        <v>Entrenamientos</v>
      </c>
      <c r="I191" s="37">
        <v>12</v>
      </c>
      <c r="J191" s="17" t="s">
        <v>2890</v>
      </c>
      <c r="K191" s="17" t="s">
        <v>2890</v>
      </c>
      <c r="L191" s="17" t="s">
        <v>2890</v>
      </c>
      <c r="M191" s="17" t="s">
        <v>2890</v>
      </c>
      <c r="N191" s="38" t="s">
        <v>2889</v>
      </c>
      <c r="O191" s="17" t="s">
        <v>2890</v>
      </c>
      <c r="P191" s="17" t="s">
        <v>2890</v>
      </c>
      <c r="T191" s="17" t="s">
        <v>2889</v>
      </c>
      <c r="U191" s="17" t="s">
        <v>2890</v>
      </c>
      <c r="V191" s="36"/>
      <c r="W191" s="17"/>
      <c r="X191" s="20">
        <v>24</v>
      </c>
    </row>
    <row r="192" spans="1:24">
      <c r="A192" s="1">
        <v>9060</v>
      </c>
      <c r="B192" s="1" t="s">
        <v>333</v>
      </c>
      <c r="C192" s="1" t="s">
        <v>1511</v>
      </c>
      <c r="D192" s="1" t="s">
        <v>1512</v>
      </c>
      <c r="E192" s="1">
        <v>331</v>
      </c>
      <c r="F192" s="1" t="str">
        <f>VLOOKUP(E192,'ESTRUTURA_MODULO(hide)'!$A$2:$D$230,2,FALSE)</f>
        <v>Aplicação Tasy WEB</v>
      </c>
      <c r="G192" s="1" t="str">
        <f>VLOOKUP(E192,'ESTRUTURA_MODULO(hide)'!$A$2:$D$95,3,FALSE)</f>
        <v>Tasy WEB Aplication</v>
      </c>
      <c r="H192" s="1" t="str">
        <f>VLOOKUP(E192,'ESTRUTURA_MODULO(hide)'!$A$2:$D$95,4,FALSE)</f>
        <v>Aplicación WEB Tasy</v>
      </c>
      <c r="I192" s="20">
        <v>0</v>
      </c>
      <c r="J192" s="17" t="s">
        <v>2890</v>
      </c>
      <c r="K192" s="17" t="s">
        <v>2890</v>
      </c>
      <c r="L192" s="17" t="s">
        <v>2890</v>
      </c>
      <c r="M192" s="17" t="s">
        <v>2890</v>
      </c>
      <c r="N192" s="17" t="s">
        <v>2890</v>
      </c>
      <c r="O192" s="17" t="s">
        <v>2890</v>
      </c>
      <c r="P192" s="17" t="s">
        <v>2890</v>
      </c>
      <c r="T192" s="17" t="s">
        <v>2889</v>
      </c>
      <c r="U192" s="17" t="s">
        <v>2890</v>
      </c>
      <c r="V192" s="21"/>
      <c r="W192" s="17"/>
      <c r="X192" s="20">
        <v>0</v>
      </c>
    </row>
    <row r="193" spans="1:24">
      <c r="A193" s="1">
        <v>121</v>
      </c>
      <c r="B193" s="35" t="s">
        <v>419</v>
      </c>
      <c r="C193" s="1" t="s">
        <v>1510</v>
      </c>
      <c r="D193" s="1" t="s">
        <v>419</v>
      </c>
      <c r="E193" s="35">
        <v>331</v>
      </c>
      <c r="F193" s="1" t="str">
        <f>VLOOKUP(E193,'ESTRUTURA_MODULO(hide)'!$A$2:$D$230,2,FALSE)</f>
        <v>Aplicação Tasy WEB</v>
      </c>
      <c r="G193" s="1" t="str">
        <f>VLOOKUP(E193,'ESTRUTURA_MODULO(hide)'!$A$2:$D$95,3,FALSE)</f>
        <v>Tasy WEB Aplication</v>
      </c>
      <c r="H193" s="1" t="str">
        <f>VLOOKUP(E193,'ESTRUTURA_MODULO(hide)'!$A$2:$D$95,4,FALSE)</f>
        <v>Aplicación WEB Tasy</v>
      </c>
      <c r="I193" s="37">
        <v>12</v>
      </c>
      <c r="J193" s="17" t="s">
        <v>2890</v>
      </c>
      <c r="K193" s="17" t="s">
        <v>2890</v>
      </c>
      <c r="L193" s="17" t="s">
        <v>2890</v>
      </c>
      <c r="M193" s="17" t="s">
        <v>2890</v>
      </c>
      <c r="N193" s="38" t="s">
        <v>2889</v>
      </c>
      <c r="O193" s="17" t="s">
        <v>2889</v>
      </c>
      <c r="P193" s="17" t="s">
        <v>2890</v>
      </c>
      <c r="T193" s="17" t="s">
        <v>2889</v>
      </c>
      <c r="U193" s="17" t="s">
        <v>2890</v>
      </c>
      <c r="V193" s="36"/>
      <c r="W193" s="17"/>
      <c r="X193" s="20">
        <v>48</v>
      </c>
    </row>
    <row r="194" spans="1:24">
      <c r="A194" s="1">
        <v>80</v>
      </c>
      <c r="B194" s="35" t="s">
        <v>1507</v>
      </c>
      <c r="C194" s="1" t="s">
        <v>1508</v>
      </c>
      <c r="D194" s="1" t="s">
        <v>1509</v>
      </c>
      <c r="E194" s="35">
        <v>331</v>
      </c>
      <c r="F194" s="1" t="str">
        <f>VLOOKUP(E194,'ESTRUTURA_MODULO(hide)'!$A$2:$D$230,2,FALSE)</f>
        <v>Aplicação Tasy WEB</v>
      </c>
      <c r="G194" s="1" t="str">
        <f>VLOOKUP(E194,'ESTRUTURA_MODULO(hide)'!$A$2:$D$95,3,FALSE)</f>
        <v>Tasy WEB Aplication</v>
      </c>
      <c r="H194" s="1" t="str">
        <f>VLOOKUP(E194,'ESTRUTURA_MODULO(hide)'!$A$2:$D$95,4,FALSE)</f>
        <v>Aplicación WEB Tasy</v>
      </c>
      <c r="I194" s="37">
        <v>12</v>
      </c>
      <c r="J194" s="17" t="s">
        <v>2890</v>
      </c>
      <c r="K194" s="17" t="s">
        <v>2889</v>
      </c>
      <c r="L194" s="17" t="s">
        <v>2889</v>
      </c>
      <c r="M194" s="17" t="s">
        <v>2890</v>
      </c>
      <c r="N194" s="38" t="s">
        <v>2889</v>
      </c>
      <c r="O194" s="17" t="s">
        <v>2889</v>
      </c>
      <c r="P194" s="17" t="s">
        <v>2889</v>
      </c>
      <c r="T194" s="17" t="s">
        <v>2889</v>
      </c>
      <c r="U194" s="17" t="s">
        <v>2890</v>
      </c>
      <c r="V194" s="36"/>
      <c r="W194" s="17"/>
      <c r="X194" s="20">
        <v>32</v>
      </c>
    </row>
    <row r="195" spans="1:24">
      <c r="A195" s="1">
        <v>88</v>
      </c>
      <c r="B195" s="35" t="s">
        <v>1504</v>
      </c>
      <c r="C195" s="1" t="s">
        <v>1504</v>
      </c>
      <c r="D195" s="1" t="s">
        <v>1504</v>
      </c>
      <c r="E195" s="35">
        <v>935</v>
      </c>
      <c r="F195" s="1" t="str">
        <f>VLOOKUP(E195,'ESTRUTURA_MODULO(hide)'!$A$2:$D$230,2,FALSE)</f>
        <v>Aplicação Tasy Palm</v>
      </c>
      <c r="G195" s="1" t="str">
        <f>VLOOKUP(E195,'ESTRUTURA_MODULO(hide)'!$A$2:$D$95,3,FALSE)</f>
        <v>Tasy Palm Aplication</v>
      </c>
      <c r="H195" s="1" t="str">
        <f>VLOOKUP(E195,'ESTRUTURA_MODULO(hide)'!$A$2:$D$95,4,FALSE)</f>
        <v>Aplicación Palm Tasy</v>
      </c>
      <c r="I195" s="37">
        <v>12</v>
      </c>
      <c r="J195" s="17" t="s">
        <v>2890</v>
      </c>
      <c r="K195" s="17" t="s">
        <v>2889</v>
      </c>
      <c r="L195" s="17" t="s">
        <v>2889</v>
      </c>
      <c r="M195" s="17" t="s">
        <v>2890</v>
      </c>
      <c r="N195" s="38" t="s">
        <v>2889</v>
      </c>
      <c r="O195" s="17" t="s">
        <v>2889</v>
      </c>
      <c r="P195" s="17" t="s">
        <v>2889</v>
      </c>
      <c r="T195" s="17" t="s">
        <v>2889</v>
      </c>
      <c r="U195" s="17" t="s">
        <v>2890</v>
      </c>
      <c r="V195" s="36" t="s">
        <v>418</v>
      </c>
      <c r="W195" s="17"/>
      <c r="X195" s="20">
        <v>32</v>
      </c>
    </row>
    <row r="196" spans="1:24">
      <c r="A196" s="1">
        <v>9046</v>
      </c>
      <c r="B196" s="35" t="s">
        <v>326</v>
      </c>
      <c r="C196" s="1" t="s">
        <v>1505</v>
      </c>
      <c r="D196" s="1" t="s">
        <v>1506</v>
      </c>
      <c r="E196" s="35">
        <v>331</v>
      </c>
      <c r="F196" s="1" t="str">
        <f>VLOOKUP(E196,'ESTRUTURA_MODULO(hide)'!$A$2:$D$230,2,FALSE)</f>
        <v>Aplicação Tasy WEB</v>
      </c>
      <c r="G196" s="1" t="str">
        <f>VLOOKUP(E196,'ESTRUTURA_MODULO(hide)'!$A$2:$D$95,3,FALSE)</f>
        <v>Tasy WEB Aplication</v>
      </c>
      <c r="H196" s="1" t="str">
        <f>VLOOKUP(E196,'ESTRUTURA_MODULO(hide)'!$A$2:$D$95,4,FALSE)</f>
        <v>Aplicación WEB Tasy</v>
      </c>
      <c r="I196" s="37">
        <v>12</v>
      </c>
      <c r="J196" s="17" t="s">
        <v>2890</v>
      </c>
      <c r="K196" s="17" t="s">
        <v>2889</v>
      </c>
      <c r="L196" s="17" t="s">
        <v>2889</v>
      </c>
      <c r="M196" s="17" t="s">
        <v>2890</v>
      </c>
      <c r="N196" s="38" t="s">
        <v>2889</v>
      </c>
      <c r="O196" s="17" t="s">
        <v>2889</v>
      </c>
      <c r="P196" s="17" t="s">
        <v>2889</v>
      </c>
      <c r="T196" s="17" t="s">
        <v>2889</v>
      </c>
      <c r="U196" s="17" t="s">
        <v>2890</v>
      </c>
      <c r="V196" s="36"/>
      <c r="W196" s="17"/>
      <c r="X196" s="20">
        <v>32</v>
      </c>
    </row>
    <row r="197" spans="1:24">
      <c r="A197" s="1">
        <v>9045</v>
      </c>
      <c r="B197" s="35" t="s">
        <v>325</v>
      </c>
      <c r="C197" s="1" t="s">
        <v>1501</v>
      </c>
      <c r="D197" s="1" t="s">
        <v>1503</v>
      </c>
      <c r="E197" s="35">
        <v>331</v>
      </c>
      <c r="F197" s="1" t="str">
        <f>VLOOKUP(E197,'ESTRUTURA_MODULO(hide)'!$A$2:$D$230,2,FALSE)</f>
        <v>Aplicação Tasy WEB</v>
      </c>
      <c r="G197" s="1" t="str">
        <f>VLOOKUP(E197,'ESTRUTURA_MODULO(hide)'!$A$2:$D$95,3,FALSE)</f>
        <v>Tasy WEB Aplication</v>
      </c>
      <c r="H197" s="1" t="str">
        <f>VLOOKUP(E197,'ESTRUTURA_MODULO(hide)'!$A$2:$D$95,4,FALSE)</f>
        <v>Aplicación WEB Tasy</v>
      </c>
      <c r="I197" s="37">
        <v>12</v>
      </c>
      <c r="J197" s="17" t="s">
        <v>2890</v>
      </c>
      <c r="K197" s="17" t="s">
        <v>2889</v>
      </c>
      <c r="L197" s="17" t="s">
        <v>2889</v>
      </c>
      <c r="M197" s="17" t="s">
        <v>2890</v>
      </c>
      <c r="N197" s="38" t="s">
        <v>2889</v>
      </c>
      <c r="O197" s="17" t="s">
        <v>2889</v>
      </c>
      <c r="P197" s="17" t="s">
        <v>2889</v>
      </c>
      <c r="T197" s="17" t="s">
        <v>2889</v>
      </c>
      <c r="U197" s="17" t="s">
        <v>2890</v>
      </c>
      <c r="V197" s="36"/>
      <c r="W197" s="17"/>
      <c r="X197" s="20">
        <v>32</v>
      </c>
    </row>
    <row r="198" spans="1:24">
      <c r="A198" s="1">
        <v>1301</v>
      </c>
      <c r="B198" s="35" t="s">
        <v>414</v>
      </c>
      <c r="C198" s="1" t="s">
        <v>1495</v>
      </c>
      <c r="D198" s="1" t="s">
        <v>1496</v>
      </c>
      <c r="E198" s="35">
        <v>312</v>
      </c>
      <c r="F198" s="1" t="str">
        <f>VLOOKUP(E198,'ESTRUTURA_MODULO(hide)'!$A$2:$D$230,2,FALSE)</f>
        <v>Rouparia</v>
      </c>
      <c r="G198" s="1" t="str">
        <f>VLOOKUP(E198,'ESTRUTURA_MODULO(hide)'!$A$2:$D$95,3,FALSE)</f>
        <v>Laundry</v>
      </c>
      <c r="H198" s="1" t="str">
        <f>VLOOKUP(E198,'ESTRUTURA_MODULO(hide)'!$A$2:$D$95,4,FALSE)</f>
        <v>Ropería</v>
      </c>
      <c r="I198" s="37">
        <v>24</v>
      </c>
      <c r="J198" s="17" t="s">
        <v>2890</v>
      </c>
      <c r="K198" s="17" t="s">
        <v>2889</v>
      </c>
      <c r="L198" s="17" t="s">
        <v>2889</v>
      </c>
      <c r="M198" s="17" t="s">
        <v>2889</v>
      </c>
      <c r="N198" s="38" t="s">
        <v>2889</v>
      </c>
      <c r="O198" s="38" t="s">
        <v>2889</v>
      </c>
      <c r="P198" s="38" t="s">
        <v>2889</v>
      </c>
      <c r="Q198" s="38"/>
      <c r="R198" s="38"/>
      <c r="S198" s="38"/>
      <c r="T198" s="17" t="s">
        <v>2889</v>
      </c>
      <c r="U198" s="17" t="s">
        <v>2890</v>
      </c>
      <c r="V198" s="36"/>
      <c r="W198" s="17"/>
      <c r="X198" s="20">
        <v>40</v>
      </c>
    </row>
    <row r="199" spans="1:24">
      <c r="A199" s="1">
        <v>992</v>
      </c>
      <c r="B199" s="426" t="s">
        <v>1477</v>
      </c>
      <c r="C199" s="1" t="s">
        <v>1479</v>
      </c>
      <c r="D199" s="1" t="s">
        <v>1481</v>
      </c>
      <c r="E199" s="1">
        <v>304</v>
      </c>
      <c r="F199" s="1" t="str">
        <f>VLOOKUP(E199,'ESTRUTURA_MODULO(hide)'!$A$2:$D$230,2,FALSE)</f>
        <v>Gestão Comercial - Philips</v>
      </c>
      <c r="G199" s="1" t="str">
        <f>VLOOKUP(E199,'ESTRUTURA_MODULO(hide)'!$A$2:$D$95,3,FALSE)</f>
        <v>Commercial management - Philips</v>
      </c>
      <c r="H199" s="1" t="str">
        <f>VLOOKUP(E199,'ESTRUTURA_MODULO(hide)'!$A$2:$D$95,4,FALSE)</f>
        <v>Gestión comercial - Philips</v>
      </c>
      <c r="I199" s="20">
        <v>0</v>
      </c>
      <c r="J199" s="17" t="s">
        <v>2890</v>
      </c>
      <c r="K199" s="17" t="s">
        <v>2890</v>
      </c>
      <c r="L199" s="17" t="s">
        <v>2890</v>
      </c>
      <c r="M199" s="17" t="s">
        <v>2890</v>
      </c>
      <c r="N199" s="17" t="s">
        <v>2890</v>
      </c>
      <c r="O199" s="17" t="s">
        <v>2890</v>
      </c>
      <c r="P199" s="17" t="s">
        <v>2890</v>
      </c>
      <c r="T199" s="17" t="s">
        <v>2889</v>
      </c>
      <c r="U199" s="17" t="s">
        <v>2890</v>
      </c>
      <c r="V199" s="21"/>
      <c r="W199" s="17"/>
      <c r="X199" s="20">
        <v>0</v>
      </c>
    </row>
    <row r="200" spans="1:24">
      <c r="A200" s="1">
        <v>215</v>
      </c>
      <c r="B200" s="426" t="s">
        <v>1483</v>
      </c>
      <c r="C200" s="1" t="s">
        <v>1484</v>
      </c>
      <c r="D200" s="1" t="s">
        <v>1485</v>
      </c>
      <c r="E200" s="1">
        <v>304</v>
      </c>
      <c r="F200" s="1" t="str">
        <f>VLOOKUP(E200,'ESTRUTURA_MODULO(hide)'!$A$2:$D$230,2,FALSE)</f>
        <v>Gestão Comercial - Philips</v>
      </c>
      <c r="G200" s="1" t="str">
        <f>VLOOKUP(E200,'ESTRUTURA_MODULO(hide)'!$A$2:$D$95,3,FALSE)</f>
        <v>Commercial management - Philips</v>
      </c>
      <c r="H200" s="1" t="str">
        <f>VLOOKUP(E200,'ESTRUTURA_MODULO(hide)'!$A$2:$D$95,4,FALSE)</f>
        <v>Gestión comercial - Philips</v>
      </c>
      <c r="I200" s="20">
        <v>0</v>
      </c>
      <c r="J200" s="17" t="s">
        <v>2890</v>
      </c>
      <c r="K200" s="17" t="s">
        <v>2890</v>
      </c>
      <c r="L200" s="17" t="s">
        <v>2890</v>
      </c>
      <c r="M200" s="17" t="s">
        <v>2890</v>
      </c>
      <c r="N200" s="17" t="s">
        <v>2890</v>
      </c>
      <c r="O200" s="17" t="s">
        <v>2890</v>
      </c>
      <c r="P200" s="17" t="s">
        <v>2890</v>
      </c>
      <c r="T200" s="17" t="s">
        <v>2889</v>
      </c>
      <c r="U200" s="17" t="s">
        <v>2890</v>
      </c>
      <c r="V200" s="21"/>
      <c r="W200" s="17"/>
      <c r="X200" s="20">
        <v>0</v>
      </c>
    </row>
    <row r="201" spans="1:24">
      <c r="A201" s="1">
        <v>1905</v>
      </c>
      <c r="B201" s="1" t="s">
        <v>1486</v>
      </c>
      <c r="C201" s="1" t="s">
        <v>1488</v>
      </c>
      <c r="D201" s="1" t="s">
        <v>1490</v>
      </c>
      <c r="E201" s="1">
        <v>305</v>
      </c>
      <c r="F201" s="1" t="str">
        <f>VLOOKUP(E201,'ESTRUTURA_MODULO(hide)'!$A$2:$D$230,2,FALSE)</f>
        <v>Gestão de Projetos - Philips</v>
      </c>
      <c r="G201" s="1" t="str">
        <f>VLOOKUP(E201,'ESTRUTURA_MODULO(hide)'!$A$2:$D$95,3,FALSE)</f>
        <v>Project management - Philips</v>
      </c>
      <c r="H201" s="1" t="str">
        <f>VLOOKUP(E201,'ESTRUTURA_MODULO(hide)'!$A$2:$D$95,4,FALSE)</f>
        <v>Gestión de proyectos - Philips</v>
      </c>
      <c r="I201" s="20">
        <v>0</v>
      </c>
      <c r="J201" s="17" t="s">
        <v>2890</v>
      </c>
      <c r="K201" s="17" t="s">
        <v>2890</v>
      </c>
      <c r="L201" s="17" t="s">
        <v>2890</v>
      </c>
      <c r="M201" s="17" t="s">
        <v>2890</v>
      </c>
      <c r="N201" s="17" t="s">
        <v>2890</v>
      </c>
      <c r="O201" s="17" t="s">
        <v>2890</v>
      </c>
      <c r="P201" s="17" t="s">
        <v>2890</v>
      </c>
      <c r="T201" s="17" t="s">
        <v>2889</v>
      </c>
      <c r="U201" s="17" t="s">
        <v>2890</v>
      </c>
      <c r="V201" s="21"/>
      <c r="W201" s="17"/>
      <c r="X201" s="20">
        <v>0</v>
      </c>
    </row>
    <row r="202" spans="1:24">
      <c r="A202" s="1">
        <v>7002</v>
      </c>
      <c r="B202" s="426" t="s">
        <v>1492</v>
      </c>
      <c r="C202" s="1" t="s">
        <v>1493</v>
      </c>
      <c r="D202" s="1" t="s">
        <v>1494</v>
      </c>
      <c r="E202" s="1">
        <v>305</v>
      </c>
      <c r="F202" s="1" t="str">
        <f>VLOOKUP(E202,'ESTRUTURA_MODULO(hide)'!$A$2:$D$230,2,FALSE)</f>
        <v>Gestão de Projetos - Philips</v>
      </c>
      <c r="G202" s="1" t="str">
        <f>VLOOKUP(E202,'ESTRUTURA_MODULO(hide)'!$A$2:$D$95,3,FALSE)</f>
        <v>Project management - Philips</v>
      </c>
      <c r="H202" s="1" t="str">
        <f>VLOOKUP(E202,'ESTRUTURA_MODULO(hide)'!$A$2:$D$95,4,FALSE)</f>
        <v>Gestión de proyectos - Philips</v>
      </c>
      <c r="I202" s="20">
        <v>0</v>
      </c>
      <c r="J202" s="17" t="s">
        <v>2890</v>
      </c>
      <c r="K202" s="17" t="s">
        <v>2890</v>
      </c>
      <c r="L202" s="17" t="s">
        <v>2890</v>
      </c>
      <c r="M202" s="17" t="s">
        <v>2890</v>
      </c>
      <c r="N202" s="17" t="s">
        <v>2890</v>
      </c>
      <c r="O202" s="17" t="s">
        <v>2890</v>
      </c>
      <c r="P202" s="17" t="s">
        <v>2890</v>
      </c>
      <c r="T202" s="17" t="s">
        <v>2889</v>
      </c>
      <c r="U202" s="17" t="s">
        <v>2890</v>
      </c>
      <c r="V202" s="21"/>
      <c r="W202" s="17"/>
      <c r="X202" s="20">
        <v>0</v>
      </c>
    </row>
    <row r="203" spans="1:24">
      <c r="A203" s="1">
        <v>87</v>
      </c>
      <c r="B203" s="35" t="s">
        <v>1737</v>
      </c>
      <c r="C203" s="1" t="s">
        <v>1181</v>
      </c>
      <c r="D203" s="1" t="s">
        <v>1182</v>
      </c>
      <c r="E203" s="35">
        <v>182</v>
      </c>
      <c r="F203" s="1" t="str">
        <f>VLOOKUP(E203,'ESTRUTURA_MODULO(hide)'!$A$2:$D$230,2,FALSE)</f>
        <v>Comunicação</v>
      </c>
      <c r="G203" s="1" t="str">
        <f>VLOOKUP(E203,'ESTRUTURA_MODULO(hide)'!$A$2:$D$95,3,FALSE)</f>
        <v xml:space="preserve">Communication </v>
      </c>
      <c r="H203" s="1" t="str">
        <f>VLOOKUP(E203,'ESTRUTURA_MODULO(hide)'!$A$2:$D$95,4,FALSE)</f>
        <v>Comunicación</v>
      </c>
      <c r="I203" s="37">
        <v>2</v>
      </c>
      <c r="J203" s="17" t="s">
        <v>2889</v>
      </c>
      <c r="K203" s="17" t="s">
        <v>2889</v>
      </c>
      <c r="L203" s="17" t="s">
        <v>2889</v>
      </c>
      <c r="M203" s="38" t="s">
        <v>2889</v>
      </c>
      <c r="N203" s="38" t="s">
        <v>2889</v>
      </c>
      <c r="O203" s="17" t="s">
        <v>2889</v>
      </c>
      <c r="P203" s="17" t="s">
        <v>2889</v>
      </c>
      <c r="T203" s="17" t="s">
        <v>2889</v>
      </c>
      <c r="U203" s="17" t="s">
        <v>2890</v>
      </c>
      <c r="V203" s="36"/>
      <c r="W203" s="17"/>
      <c r="X203" s="20">
        <v>8</v>
      </c>
    </row>
    <row r="204" spans="1:24">
      <c r="A204" s="1">
        <v>791</v>
      </c>
      <c r="B204" s="35" t="s">
        <v>322</v>
      </c>
      <c r="C204" s="1" t="s">
        <v>1180</v>
      </c>
      <c r="D204" s="1" t="s">
        <v>322</v>
      </c>
      <c r="E204" s="35">
        <v>182</v>
      </c>
      <c r="F204" s="1" t="str">
        <f>VLOOKUP(E204,'ESTRUTURA_MODULO(hide)'!$A$2:$D$230,2,FALSE)</f>
        <v>Comunicação</v>
      </c>
      <c r="G204" s="1" t="str">
        <f>VLOOKUP(E204,'ESTRUTURA_MODULO(hide)'!$A$2:$D$95,3,FALSE)</f>
        <v xml:space="preserve">Communication </v>
      </c>
      <c r="H204" s="1" t="str">
        <f>VLOOKUP(E204,'ESTRUTURA_MODULO(hide)'!$A$2:$D$95,4,FALSE)</f>
        <v>Comunicación</v>
      </c>
      <c r="I204" s="37">
        <v>4</v>
      </c>
      <c r="J204" s="17" t="s">
        <v>2890</v>
      </c>
      <c r="K204" s="17" t="s">
        <v>2890</v>
      </c>
      <c r="L204" s="17" t="s">
        <v>2890</v>
      </c>
      <c r="M204" s="38" t="s">
        <v>2889</v>
      </c>
      <c r="N204" s="38" t="s">
        <v>2889</v>
      </c>
      <c r="O204" s="17" t="s">
        <v>2890</v>
      </c>
      <c r="P204" s="17" t="s">
        <v>2890</v>
      </c>
      <c r="T204" s="17" t="s">
        <v>2889</v>
      </c>
      <c r="U204" s="17" t="s">
        <v>2890</v>
      </c>
      <c r="V204" s="36"/>
      <c r="W204" s="17"/>
      <c r="X204" s="20">
        <v>4</v>
      </c>
    </row>
    <row r="205" spans="1:24">
      <c r="A205" s="1">
        <v>5001</v>
      </c>
      <c r="B205" s="426" t="s">
        <v>321</v>
      </c>
      <c r="C205" s="1" t="s">
        <v>1179</v>
      </c>
      <c r="D205" s="1" t="s">
        <v>321</v>
      </c>
      <c r="E205" s="1">
        <v>182</v>
      </c>
      <c r="F205" s="1" t="str">
        <f>VLOOKUP(E205,'ESTRUTURA_MODULO(hide)'!$A$2:$D$230,2,FALSE)</f>
        <v>Comunicação</v>
      </c>
      <c r="G205" s="1" t="str">
        <f>VLOOKUP(E205,'ESTRUTURA_MODULO(hide)'!$A$2:$D$95,3,FALSE)</f>
        <v xml:space="preserve">Communication </v>
      </c>
      <c r="H205" s="1" t="str">
        <f>VLOOKUP(E205,'ESTRUTURA_MODULO(hide)'!$A$2:$D$95,4,FALSE)</f>
        <v>Comunicación</v>
      </c>
      <c r="I205" s="20">
        <v>0</v>
      </c>
      <c r="J205" s="17" t="s">
        <v>2890</v>
      </c>
      <c r="K205" s="17" t="s">
        <v>2890</v>
      </c>
      <c r="L205" s="17" t="s">
        <v>2890</v>
      </c>
      <c r="M205" s="17" t="s">
        <v>2890</v>
      </c>
      <c r="N205" s="17" t="s">
        <v>2890</v>
      </c>
      <c r="O205" s="17" t="s">
        <v>2890</v>
      </c>
      <c r="P205" s="17" t="s">
        <v>2890</v>
      </c>
      <c r="T205" s="17" t="s">
        <v>2889</v>
      </c>
      <c r="U205" s="17" t="s">
        <v>2890</v>
      </c>
      <c r="V205" s="21"/>
      <c r="W205" s="17"/>
      <c r="X205" s="20">
        <v>0</v>
      </c>
    </row>
    <row r="206" spans="1:24">
      <c r="A206" s="1">
        <v>995</v>
      </c>
      <c r="B206" s="1" t="s">
        <v>263</v>
      </c>
      <c r="C206" s="1" t="s">
        <v>1032</v>
      </c>
      <c r="D206" s="1" t="s">
        <v>1033</v>
      </c>
      <c r="E206" s="1">
        <v>82</v>
      </c>
      <c r="F206" s="1" t="str">
        <f>VLOOKUP(E206,'ESTRUTURA_MODULO(hide)'!$A$2:$D$230,2,FALSE)</f>
        <v>SUS APAC</v>
      </c>
      <c r="G206" s="1" t="str">
        <f>VLOOKUP(E206,'ESTRUTURA_MODULO(hide)'!$A$2:$D$95,3,FALSE)</f>
        <v>SUS APAC</v>
      </c>
      <c r="H206" s="1" t="str">
        <f>VLOOKUP(E206,'ESTRUTURA_MODULO(hide)'!$A$2:$D$95,4,FALSE)</f>
        <v>SUS APAC</v>
      </c>
      <c r="I206" s="20">
        <v>0</v>
      </c>
      <c r="J206" s="17" t="s">
        <v>2890</v>
      </c>
      <c r="K206" s="17" t="s">
        <v>2890</v>
      </c>
      <c r="L206" s="17" t="s">
        <v>2890</v>
      </c>
      <c r="M206" s="17" t="s">
        <v>2890</v>
      </c>
      <c r="N206" s="17" t="s">
        <v>2890</v>
      </c>
      <c r="O206" s="17" t="s">
        <v>2890</v>
      </c>
      <c r="P206" s="17" t="s">
        <v>2890</v>
      </c>
      <c r="T206" s="17" t="s">
        <v>2889</v>
      </c>
      <c r="U206" s="17" t="s">
        <v>2890</v>
      </c>
      <c r="V206" s="21"/>
      <c r="W206" s="17"/>
      <c r="X206" s="20">
        <v>0</v>
      </c>
    </row>
    <row r="207" spans="1:24">
      <c r="A207" s="1">
        <v>1124</v>
      </c>
      <c r="B207" s="35" t="s">
        <v>262</v>
      </c>
      <c r="C207" s="1" t="s">
        <v>1738</v>
      </c>
      <c r="D207" s="1" t="s">
        <v>262</v>
      </c>
      <c r="E207" s="35">
        <v>82</v>
      </c>
      <c r="F207" s="1" t="str">
        <f>VLOOKUP(E207,'ESTRUTURA_MODULO(hide)'!$A$2:$D$230,2,FALSE)</f>
        <v>SUS APAC</v>
      </c>
      <c r="G207" s="1" t="str">
        <f>VLOOKUP(E207,'ESTRUTURA_MODULO(hide)'!$A$2:$D$95,3,FALSE)</f>
        <v>SUS APAC</v>
      </c>
      <c r="H207" s="1" t="str">
        <f>VLOOKUP(E207,'ESTRUTURA_MODULO(hide)'!$A$2:$D$95,4,FALSE)</f>
        <v>SUS APAC</v>
      </c>
      <c r="I207" s="37">
        <v>24</v>
      </c>
      <c r="J207" s="17" t="s">
        <v>2889</v>
      </c>
      <c r="K207" s="17" t="s">
        <v>2889</v>
      </c>
      <c r="L207" s="17" t="s">
        <v>2889</v>
      </c>
      <c r="M207" s="38" t="s">
        <v>2889</v>
      </c>
      <c r="N207" s="38" t="s">
        <v>2889</v>
      </c>
      <c r="O207" s="17" t="s">
        <v>2889</v>
      </c>
      <c r="P207" s="17" t="s">
        <v>2889</v>
      </c>
      <c r="T207" s="17" t="s">
        <v>2889</v>
      </c>
      <c r="U207" s="17" t="s">
        <v>2890</v>
      </c>
      <c r="V207" s="36"/>
      <c r="W207" s="17"/>
      <c r="X207" s="20">
        <v>24</v>
      </c>
    </row>
    <row r="208" spans="1:24">
      <c r="A208" s="1">
        <v>925</v>
      </c>
      <c r="B208" s="35" t="s">
        <v>133</v>
      </c>
      <c r="C208" s="1" t="s">
        <v>1034</v>
      </c>
      <c r="D208" s="1" t="s">
        <v>1035</v>
      </c>
      <c r="E208" s="35">
        <v>84</v>
      </c>
      <c r="F208" s="1" t="str">
        <f>VLOOKUP(E208,'ESTRUTURA_MODULO(hide)'!$A$2:$D$230,2,FALSE)</f>
        <v>Orçamento Contábil</v>
      </c>
      <c r="G208" s="1" t="str">
        <f>VLOOKUP(E208,'ESTRUTURA_MODULO(hide)'!$A$2:$D$95,3,FALSE)</f>
        <v>Accounting Budget</v>
      </c>
      <c r="H208" s="1" t="str">
        <f>VLOOKUP(E208,'ESTRUTURA_MODULO(hide)'!$A$2:$D$95,4,FALSE)</f>
        <v>Presupuesto Contable</v>
      </c>
      <c r="I208" s="37">
        <v>40</v>
      </c>
      <c r="J208" s="17" t="s">
        <v>2889</v>
      </c>
      <c r="K208" s="17" t="s">
        <v>2889</v>
      </c>
      <c r="L208" s="17" t="s">
        <v>2889</v>
      </c>
      <c r="M208" s="38" t="s">
        <v>2889</v>
      </c>
      <c r="N208" s="38" t="s">
        <v>2889</v>
      </c>
      <c r="O208" s="17" t="s">
        <v>2889</v>
      </c>
      <c r="P208" s="17" t="s">
        <v>2889</v>
      </c>
      <c r="T208" s="17" t="s">
        <v>2889</v>
      </c>
      <c r="U208" s="17" t="s">
        <v>2890</v>
      </c>
      <c r="V208" s="36"/>
      <c r="W208" s="17"/>
      <c r="X208" s="20">
        <v>60</v>
      </c>
    </row>
    <row r="209" spans="1:24">
      <c r="A209" s="1">
        <v>937</v>
      </c>
      <c r="B209" s="35" t="s">
        <v>134</v>
      </c>
      <c r="C209" s="1" t="s">
        <v>1036</v>
      </c>
      <c r="D209" s="1" t="s">
        <v>1037</v>
      </c>
      <c r="E209" s="35">
        <v>85</v>
      </c>
      <c r="F209" s="1" t="str">
        <f>VLOOKUP(E209,'ESTRUTURA_MODULO(hide)'!$A$2:$D$230,2,FALSE)</f>
        <v>Patrimônio</v>
      </c>
      <c r="G209" s="1" t="str">
        <f>VLOOKUP(E209,'ESTRUTURA_MODULO(hide)'!$A$2:$D$95,3,FALSE)</f>
        <v>Asset</v>
      </c>
      <c r="H209" s="1" t="str">
        <f>VLOOKUP(E209,'ESTRUTURA_MODULO(hide)'!$A$2:$D$95,4,FALSE)</f>
        <v>Patrimonio</v>
      </c>
      <c r="I209" s="37">
        <v>40</v>
      </c>
      <c r="J209" s="17" t="s">
        <v>2889</v>
      </c>
      <c r="K209" s="17" t="s">
        <v>2889</v>
      </c>
      <c r="L209" s="17" t="s">
        <v>2889</v>
      </c>
      <c r="M209" s="38" t="s">
        <v>2889</v>
      </c>
      <c r="N209" s="38" t="s">
        <v>2889</v>
      </c>
      <c r="O209" s="17" t="s">
        <v>2889</v>
      </c>
      <c r="P209" s="17" t="s">
        <v>2889</v>
      </c>
      <c r="T209" s="17" t="s">
        <v>2889</v>
      </c>
      <c r="U209" s="17" t="s">
        <v>2890</v>
      </c>
      <c r="V209" s="36"/>
      <c r="W209" s="17"/>
      <c r="X209" s="20">
        <v>60</v>
      </c>
    </row>
    <row r="210" spans="1:24">
      <c r="A210" s="1">
        <v>9054</v>
      </c>
      <c r="B210" s="35" t="s">
        <v>1042</v>
      </c>
      <c r="C210" s="1" t="s">
        <v>1043</v>
      </c>
      <c r="D210" s="1" t="s">
        <v>1044</v>
      </c>
      <c r="E210" s="35">
        <v>86</v>
      </c>
      <c r="F210" s="1" t="str">
        <f>VLOOKUP(E210,'ESTRUTURA_MODULO(hide)'!$A$2:$D$230,2,FALSE)</f>
        <v>Controle Bancário</v>
      </c>
      <c r="G210" s="1" t="str">
        <f>VLOOKUP(E210,'ESTRUTURA_MODULO(hide)'!$A$2:$D$95,3,FALSE)</f>
        <v>Banking Management</v>
      </c>
      <c r="H210" s="1" t="str">
        <f>VLOOKUP(E210,'ESTRUTURA_MODULO(hide)'!$A$2:$D$95,4,FALSE)</f>
        <v>Control Bancario</v>
      </c>
      <c r="I210" s="37">
        <v>4</v>
      </c>
      <c r="J210" s="17" t="s">
        <v>2890</v>
      </c>
      <c r="K210" s="17" t="s">
        <v>2890</v>
      </c>
      <c r="L210" s="17" t="s">
        <v>2890</v>
      </c>
      <c r="M210" s="38" t="s">
        <v>2889</v>
      </c>
      <c r="N210" s="38" t="s">
        <v>2889</v>
      </c>
      <c r="O210" s="17" t="s">
        <v>2890</v>
      </c>
      <c r="P210" s="17" t="s">
        <v>2890</v>
      </c>
      <c r="T210" s="17" t="s">
        <v>2889</v>
      </c>
      <c r="U210" s="17" t="s">
        <v>2890</v>
      </c>
      <c r="V210" s="36"/>
      <c r="W210" s="17"/>
      <c r="X210" s="20">
        <v>8</v>
      </c>
    </row>
    <row r="211" spans="1:24">
      <c r="A211" s="1">
        <v>5515</v>
      </c>
      <c r="B211" s="35" t="s">
        <v>2897</v>
      </c>
      <c r="C211" s="1" t="s">
        <v>1038</v>
      </c>
      <c r="D211" s="1" t="s">
        <v>1040</v>
      </c>
      <c r="E211" s="35">
        <v>86</v>
      </c>
      <c r="F211" s="1" t="str">
        <f>VLOOKUP(E211,'ESTRUTURA_MODULO(hide)'!$A$2:$D$230,2,FALSE)</f>
        <v>Controle Bancário</v>
      </c>
      <c r="G211" s="1" t="str">
        <f>VLOOKUP(E211,'ESTRUTURA_MODULO(hide)'!$A$2:$D$95,3,FALSE)</f>
        <v>Banking Management</v>
      </c>
      <c r="H211" s="1" t="str">
        <f>VLOOKUP(E211,'ESTRUTURA_MODULO(hide)'!$A$2:$D$95,4,FALSE)</f>
        <v>Control Bancario</v>
      </c>
      <c r="I211" s="37">
        <v>4</v>
      </c>
      <c r="J211" s="17" t="s">
        <v>2889</v>
      </c>
      <c r="K211" s="17" t="s">
        <v>2889</v>
      </c>
      <c r="L211" s="17" t="s">
        <v>2889</v>
      </c>
      <c r="M211" s="38" t="s">
        <v>2889</v>
      </c>
      <c r="N211" s="38" t="s">
        <v>2889</v>
      </c>
      <c r="O211" s="17" t="s">
        <v>2889</v>
      </c>
      <c r="P211" s="17" t="s">
        <v>2889</v>
      </c>
      <c r="T211" s="17" t="s">
        <v>2889</v>
      </c>
      <c r="U211" s="17" t="s">
        <v>2890</v>
      </c>
      <c r="V211" s="36"/>
      <c r="W211" s="17"/>
      <c r="X211" s="20">
        <v>8</v>
      </c>
    </row>
    <row r="212" spans="1:24">
      <c r="A212" s="1">
        <v>814</v>
      </c>
      <c r="B212" s="35" t="s">
        <v>20</v>
      </c>
      <c r="C212" s="1" t="s">
        <v>1039</v>
      </c>
      <c r="D212" s="1" t="s">
        <v>1041</v>
      </c>
      <c r="E212" s="35">
        <v>86</v>
      </c>
      <c r="F212" s="1" t="str">
        <f>VLOOKUP(E212,'ESTRUTURA_MODULO(hide)'!$A$2:$D$230,2,FALSE)</f>
        <v>Controle Bancário</v>
      </c>
      <c r="G212" s="1" t="str">
        <f>VLOOKUP(E212,'ESTRUTURA_MODULO(hide)'!$A$2:$D$95,3,FALSE)</f>
        <v>Banking Management</v>
      </c>
      <c r="H212" s="1" t="str">
        <f>VLOOKUP(E212,'ESTRUTURA_MODULO(hide)'!$A$2:$D$95,4,FALSE)</f>
        <v>Control Bancario</v>
      </c>
      <c r="I212" s="37">
        <v>40</v>
      </c>
      <c r="J212" s="17" t="s">
        <v>2889</v>
      </c>
      <c r="K212" s="17" t="s">
        <v>2889</v>
      </c>
      <c r="L212" s="17" t="s">
        <v>2889</v>
      </c>
      <c r="M212" s="38" t="s">
        <v>2889</v>
      </c>
      <c r="N212" s="38" t="s">
        <v>2889</v>
      </c>
      <c r="O212" s="17" t="s">
        <v>2889</v>
      </c>
      <c r="P212" s="17" t="s">
        <v>2889</v>
      </c>
      <c r="T212" s="17" t="s">
        <v>2889</v>
      </c>
      <c r="U212" s="17" t="s">
        <v>2890</v>
      </c>
      <c r="V212" s="36"/>
      <c r="W212" s="17"/>
      <c r="X212" s="20">
        <v>40</v>
      </c>
    </row>
    <row r="213" spans="1:24">
      <c r="A213" s="1">
        <v>9091</v>
      </c>
      <c r="B213" s="1" t="s">
        <v>272</v>
      </c>
      <c r="C213" s="1" t="s">
        <v>1062</v>
      </c>
      <c r="D213" s="1" t="s">
        <v>1063</v>
      </c>
      <c r="E213" s="1">
        <v>87</v>
      </c>
      <c r="F213" s="1" t="str">
        <f>VLOOKUP(E213,'ESTRUTURA_MODULO(hide)'!$A$2:$D$230,2,FALSE)</f>
        <v>Agenda</v>
      </c>
      <c r="G213" s="1" t="str">
        <f>VLOOKUP(E213,'ESTRUTURA_MODULO(hide)'!$A$2:$D$95,3,FALSE)</f>
        <v>Schedule</v>
      </c>
      <c r="H213" s="1" t="str">
        <f>VLOOKUP(E213,'ESTRUTURA_MODULO(hide)'!$A$2:$D$95,4,FALSE)</f>
        <v>Agenda</v>
      </c>
      <c r="I213" s="20">
        <v>0</v>
      </c>
      <c r="J213" s="17" t="s">
        <v>2890</v>
      </c>
      <c r="K213" s="17" t="s">
        <v>2890</v>
      </c>
      <c r="L213" s="17" t="s">
        <v>2890</v>
      </c>
      <c r="M213" s="17" t="s">
        <v>2890</v>
      </c>
      <c r="N213" s="17" t="s">
        <v>2890</v>
      </c>
      <c r="O213" s="17" t="s">
        <v>2890</v>
      </c>
      <c r="P213" s="17" t="s">
        <v>2890</v>
      </c>
      <c r="T213" s="17" t="s">
        <v>2889</v>
      </c>
      <c r="U213" s="17" t="s">
        <v>2890</v>
      </c>
      <c r="V213" s="21"/>
      <c r="W213" s="17"/>
      <c r="X213" s="20">
        <v>0</v>
      </c>
    </row>
    <row r="214" spans="1:24">
      <c r="A214" s="1">
        <v>10000</v>
      </c>
      <c r="B214" s="35" t="s">
        <v>271</v>
      </c>
      <c r="C214" s="1" t="s">
        <v>1046</v>
      </c>
      <c r="D214" s="1" t="s">
        <v>1047</v>
      </c>
      <c r="E214" s="35">
        <v>87</v>
      </c>
      <c r="F214" s="1" t="str">
        <f>VLOOKUP(E214,'ESTRUTURA_MODULO(hide)'!$A$2:$D$230,2,FALSE)</f>
        <v>Agenda</v>
      </c>
      <c r="G214" s="1" t="str">
        <f>VLOOKUP(E214,'ESTRUTURA_MODULO(hide)'!$A$2:$D$95,3,FALSE)</f>
        <v>Schedule</v>
      </c>
      <c r="H214" s="1" t="str">
        <f>VLOOKUP(E214,'ESTRUTURA_MODULO(hide)'!$A$2:$D$95,4,FALSE)</f>
        <v>Agenda</v>
      </c>
      <c r="I214" s="37">
        <v>16</v>
      </c>
      <c r="J214" s="17" t="s">
        <v>2890</v>
      </c>
      <c r="K214" s="17" t="s">
        <v>2890</v>
      </c>
      <c r="L214" s="17" t="s">
        <v>2890</v>
      </c>
      <c r="M214" s="38" t="s">
        <v>2889</v>
      </c>
      <c r="N214" s="38" t="s">
        <v>2889</v>
      </c>
      <c r="O214" s="17" t="s">
        <v>2890</v>
      </c>
      <c r="P214" s="17" t="s">
        <v>2890</v>
      </c>
      <c r="T214" s="17" t="s">
        <v>2889</v>
      </c>
      <c r="U214" s="17" t="s">
        <v>2890</v>
      </c>
      <c r="V214" s="36"/>
      <c r="W214" s="17"/>
      <c r="X214" s="20">
        <v>24</v>
      </c>
    </row>
    <row r="215" spans="1:24">
      <c r="A215" s="1">
        <v>869</v>
      </c>
      <c r="B215" s="35" t="s">
        <v>26</v>
      </c>
      <c r="C215" s="1" t="s">
        <v>1059</v>
      </c>
      <c r="D215" s="1" t="s">
        <v>26</v>
      </c>
      <c r="E215" s="35">
        <v>87</v>
      </c>
      <c r="F215" s="1" t="str">
        <f>VLOOKUP(E215,'ESTRUTURA_MODULO(hide)'!$A$2:$D$230,2,FALSE)</f>
        <v>Agenda</v>
      </c>
      <c r="G215" s="1" t="str">
        <f>VLOOKUP(E215,'ESTRUTURA_MODULO(hide)'!$A$2:$D$95,3,FALSE)</f>
        <v>Schedule</v>
      </c>
      <c r="H215" s="1" t="str">
        <f>VLOOKUP(E215,'ESTRUTURA_MODULO(hide)'!$A$2:$D$95,4,FALSE)</f>
        <v>Agenda</v>
      </c>
      <c r="I215" s="37">
        <v>24</v>
      </c>
      <c r="J215" s="17" t="s">
        <v>2889</v>
      </c>
      <c r="K215" s="17" t="s">
        <v>2889</v>
      </c>
      <c r="L215" s="17" t="s">
        <v>2889</v>
      </c>
      <c r="M215" s="38" t="s">
        <v>2889</v>
      </c>
      <c r="N215" s="38" t="s">
        <v>2889</v>
      </c>
      <c r="O215" s="17" t="s">
        <v>2889</v>
      </c>
      <c r="P215" s="17" t="s">
        <v>2889</v>
      </c>
      <c r="T215" s="17" t="s">
        <v>2889</v>
      </c>
      <c r="U215" s="17" t="s">
        <v>2890</v>
      </c>
      <c r="V215" s="36"/>
      <c r="W215" s="17"/>
      <c r="X215" s="20">
        <v>40</v>
      </c>
    </row>
    <row r="216" spans="1:24">
      <c r="A216" s="1">
        <v>9021</v>
      </c>
      <c r="B216" s="35" t="s">
        <v>273</v>
      </c>
      <c r="C216" s="1" t="s">
        <v>1060</v>
      </c>
      <c r="D216" s="1" t="s">
        <v>1061</v>
      </c>
      <c r="E216" s="35">
        <v>87</v>
      </c>
      <c r="F216" s="1" t="str">
        <f>VLOOKUP(E216,'ESTRUTURA_MODULO(hide)'!$A$2:$D$230,2,FALSE)</f>
        <v>Agenda</v>
      </c>
      <c r="G216" s="1" t="str">
        <f>VLOOKUP(E216,'ESTRUTURA_MODULO(hide)'!$A$2:$D$95,3,FALSE)</f>
        <v>Schedule</v>
      </c>
      <c r="H216" s="1" t="str">
        <f>VLOOKUP(E216,'ESTRUTURA_MODULO(hide)'!$A$2:$D$95,4,FALSE)</f>
        <v>Agenda</v>
      </c>
      <c r="I216" s="37">
        <v>4</v>
      </c>
      <c r="J216" s="17" t="s">
        <v>2890</v>
      </c>
      <c r="K216" s="17" t="s">
        <v>2890</v>
      </c>
      <c r="L216" s="17" t="s">
        <v>2889</v>
      </c>
      <c r="M216" s="38" t="s">
        <v>2889</v>
      </c>
      <c r="N216" s="38" t="s">
        <v>2889</v>
      </c>
      <c r="O216" s="17" t="s">
        <v>2890</v>
      </c>
      <c r="P216" s="17" t="s">
        <v>2889</v>
      </c>
      <c r="T216" s="17" t="s">
        <v>2889</v>
      </c>
      <c r="U216" s="17" t="s">
        <v>2890</v>
      </c>
      <c r="V216" s="36"/>
      <c r="W216" s="17"/>
      <c r="X216" s="20">
        <v>8</v>
      </c>
    </row>
    <row r="217" spans="1:24">
      <c r="A217" s="1">
        <v>-1007</v>
      </c>
      <c r="B217" s="426" t="s">
        <v>268</v>
      </c>
      <c r="C217" s="1" t="s">
        <v>1045</v>
      </c>
      <c r="D217" s="1" t="s">
        <v>268</v>
      </c>
      <c r="E217" s="1">
        <v>87</v>
      </c>
      <c r="F217" s="1" t="str">
        <f>VLOOKUP(E217,'ESTRUTURA_MODULO(hide)'!$A$2:$D$230,2,FALSE)</f>
        <v>Agenda</v>
      </c>
      <c r="G217" s="1" t="str">
        <f>VLOOKUP(E217,'ESTRUTURA_MODULO(hide)'!$A$2:$D$95,3,FALSE)</f>
        <v>Schedule</v>
      </c>
      <c r="H217" s="1" t="str">
        <f>VLOOKUP(E217,'ESTRUTURA_MODULO(hide)'!$A$2:$D$95,4,FALSE)</f>
        <v>Agenda</v>
      </c>
      <c r="I217" s="20">
        <v>0</v>
      </c>
      <c r="J217" s="17" t="s">
        <v>2890</v>
      </c>
      <c r="K217" s="17" t="s">
        <v>2890</v>
      </c>
      <c r="L217" s="17" t="s">
        <v>2890</v>
      </c>
      <c r="M217" s="17" t="s">
        <v>2890</v>
      </c>
      <c r="N217" s="17" t="s">
        <v>2890</v>
      </c>
      <c r="O217" s="17" t="s">
        <v>2890</v>
      </c>
      <c r="P217" s="17" t="s">
        <v>2890</v>
      </c>
      <c r="T217" s="17" t="s">
        <v>2889</v>
      </c>
      <c r="U217" s="17" t="s">
        <v>2890</v>
      </c>
      <c r="V217" s="21"/>
      <c r="W217" s="17"/>
      <c r="X217" s="20">
        <v>0</v>
      </c>
    </row>
    <row r="218" spans="1:24">
      <c r="A218" s="1">
        <v>821</v>
      </c>
      <c r="B218" s="35" t="s">
        <v>264</v>
      </c>
      <c r="C218" s="1" t="s">
        <v>1050</v>
      </c>
      <c r="D218" s="1" t="s">
        <v>264</v>
      </c>
      <c r="E218" s="35">
        <v>87</v>
      </c>
      <c r="F218" s="1" t="str">
        <f>VLOOKUP(E218,'ESTRUTURA_MODULO(hide)'!$A$2:$D$230,2,FALSE)</f>
        <v>Agenda</v>
      </c>
      <c r="G218" s="1" t="str">
        <f>VLOOKUP(E218,'ESTRUTURA_MODULO(hide)'!$A$2:$D$95,3,FALSE)</f>
        <v>Schedule</v>
      </c>
      <c r="H218" s="1" t="str">
        <f>VLOOKUP(E218,'ESTRUTURA_MODULO(hide)'!$A$2:$D$95,4,FALSE)</f>
        <v>Agenda</v>
      </c>
      <c r="I218" s="37">
        <v>16</v>
      </c>
      <c r="J218" s="17" t="s">
        <v>2889</v>
      </c>
      <c r="K218" s="17" t="s">
        <v>2889</v>
      </c>
      <c r="L218" s="17" t="s">
        <v>2889</v>
      </c>
      <c r="M218" s="38" t="s">
        <v>2889</v>
      </c>
      <c r="N218" s="38" t="s">
        <v>2889</v>
      </c>
      <c r="O218" s="17" t="s">
        <v>2889</v>
      </c>
      <c r="P218" s="17" t="s">
        <v>2889</v>
      </c>
      <c r="T218" s="17" t="s">
        <v>2889</v>
      </c>
      <c r="U218" s="17" t="s">
        <v>2890</v>
      </c>
      <c r="V218" s="36"/>
      <c r="W218" s="17"/>
      <c r="X218" s="20">
        <v>32</v>
      </c>
    </row>
    <row r="219" spans="1:24">
      <c r="A219" s="1">
        <v>970</v>
      </c>
      <c r="B219" s="426" t="s">
        <v>269</v>
      </c>
      <c r="C219" s="1" t="s">
        <v>1048</v>
      </c>
      <c r="D219" s="1" t="s">
        <v>1049</v>
      </c>
      <c r="E219" s="1">
        <v>87</v>
      </c>
      <c r="F219" s="1" t="str">
        <f>VLOOKUP(E219,'ESTRUTURA_MODULO(hide)'!$A$2:$D$230,2,FALSE)</f>
        <v>Agenda</v>
      </c>
      <c r="G219" s="1" t="str">
        <f>VLOOKUP(E219,'ESTRUTURA_MODULO(hide)'!$A$2:$D$95,3,FALSE)</f>
        <v>Schedule</v>
      </c>
      <c r="H219" s="1" t="str">
        <f>VLOOKUP(E219,'ESTRUTURA_MODULO(hide)'!$A$2:$D$95,4,FALSE)</f>
        <v>Agenda</v>
      </c>
      <c r="I219" s="20">
        <v>0</v>
      </c>
      <c r="J219" s="17" t="s">
        <v>2890</v>
      </c>
      <c r="K219" s="17" t="s">
        <v>2890</v>
      </c>
      <c r="L219" s="17" t="s">
        <v>2890</v>
      </c>
      <c r="M219" s="17" t="s">
        <v>2890</v>
      </c>
      <c r="N219" s="17" t="s">
        <v>2890</v>
      </c>
      <c r="O219" s="17" t="s">
        <v>2890</v>
      </c>
      <c r="P219" s="17" t="s">
        <v>2890</v>
      </c>
      <c r="T219" s="17" t="s">
        <v>2889</v>
      </c>
      <c r="U219" s="17" t="s">
        <v>2890</v>
      </c>
      <c r="V219" s="21"/>
      <c r="W219" s="17"/>
      <c r="X219" s="20">
        <v>0</v>
      </c>
    </row>
    <row r="220" spans="1:24">
      <c r="A220" s="1">
        <v>820</v>
      </c>
      <c r="B220" s="35" t="s">
        <v>265</v>
      </c>
      <c r="C220" s="1" t="s">
        <v>1053</v>
      </c>
      <c r="D220" s="1" t="s">
        <v>1054</v>
      </c>
      <c r="E220" s="35">
        <v>87</v>
      </c>
      <c r="F220" s="1" t="str">
        <f>VLOOKUP(E220,'ESTRUTURA_MODULO(hide)'!$A$2:$D$230,2,FALSE)</f>
        <v>Agenda</v>
      </c>
      <c r="G220" s="1" t="str">
        <f>VLOOKUP(E220,'ESTRUTURA_MODULO(hide)'!$A$2:$D$95,3,FALSE)</f>
        <v>Schedule</v>
      </c>
      <c r="H220" s="1" t="str">
        <f>VLOOKUP(E220,'ESTRUTURA_MODULO(hide)'!$A$2:$D$95,4,FALSE)</f>
        <v>Agenda</v>
      </c>
      <c r="I220" s="37">
        <v>16</v>
      </c>
      <c r="J220" s="17" t="s">
        <v>2889</v>
      </c>
      <c r="K220" s="17" t="s">
        <v>2889</v>
      </c>
      <c r="L220" s="17" t="s">
        <v>2889</v>
      </c>
      <c r="M220" s="38" t="s">
        <v>2889</v>
      </c>
      <c r="N220" s="38" t="s">
        <v>2889</v>
      </c>
      <c r="O220" s="17" t="s">
        <v>2889</v>
      </c>
      <c r="P220" s="17" t="s">
        <v>2889</v>
      </c>
      <c r="T220" s="17" t="s">
        <v>2889</v>
      </c>
      <c r="U220" s="17" t="s">
        <v>2890</v>
      </c>
      <c r="V220" s="36"/>
      <c r="W220" s="17"/>
      <c r="X220" s="20">
        <v>32</v>
      </c>
    </row>
    <row r="221" spans="1:24">
      <c r="A221" s="1">
        <v>870</v>
      </c>
      <c r="B221" s="1" t="s">
        <v>267</v>
      </c>
      <c r="C221" s="1" t="s">
        <v>1051</v>
      </c>
      <c r="D221" s="1" t="s">
        <v>1052</v>
      </c>
      <c r="E221" s="1">
        <v>87</v>
      </c>
      <c r="F221" s="1" t="str">
        <f>VLOOKUP(E221,'ESTRUTURA_MODULO(hide)'!$A$2:$D$230,2,FALSE)</f>
        <v>Agenda</v>
      </c>
      <c r="G221" s="1" t="str">
        <f>VLOOKUP(E221,'ESTRUTURA_MODULO(hide)'!$A$2:$D$95,3,FALSE)</f>
        <v>Schedule</v>
      </c>
      <c r="H221" s="1" t="str">
        <f>VLOOKUP(E221,'ESTRUTURA_MODULO(hide)'!$A$2:$D$95,4,FALSE)</f>
        <v>Agenda</v>
      </c>
      <c r="I221" s="20">
        <v>0</v>
      </c>
      <c r="J221" s="17" t="s">
        <v>2890</v>
      </c>
      <c r="K221" s="17" t="s">
        <v>2890</v>
      </c>
      <c r="L221" s="17" t="s">
        <v>2890</v>
      </c>
      <c r="M221" s="17" t="s">
        <v>2890</v>
      </c>
      <c r="N221" s="17" t="s">
        <v>2890</v>
      </c>
      <c r="O221" s="17" t="s">
        <v>2890</v>
      </c>
      <c r="P221" s="17" t="s">
        <v>2890</v>
      </c>
      <c r="T221" s="17" t="s">
        <v>2889</v>
      </c>
      <c r="U221" s="17" t="s">
        <v>2890</v>
      </c>
      <c r="V221" s="21"/>
      <c r="W221" s="17"/>
      <c r="X221" s="20">
        <v>0</v>
      </c>
    </row>
    <row r="222" spans="1:24">
      <c r="A222" s="1">
        <v>871</v>
      </c>
      <c r="B222" s="35" t="s">
        <v>270</v>
      </c>
      <c r="C222" s="1" t="s">
        <v>1057</v>
      </c>
      <c r="D222" s="1" t="s">
        <v>1058</v>
      </c>
      <c r="E222" s="35">
        <v>87</v>
      </c>
      <c r="F222" s="1" t="str">
        <f>VLOOKUP(E222,'ESTRUTURA_MODULO(hide)'!$A$2:$D$230,2,FALSE)</f>
        <v>Agenda</v>
      </c>
      <c r="G222" s="1" t="str">
        <f>VLOOKUP(E222,'ESTRUTURA_MODULO(hide)'!$A$2:$D$95,3,FALSE)</f>
        <v>Schedule</v>
      </c>
      <c r="H222" s="1" t="str">
        <f>VLOOKUP(E222,'ESTRUTURA_MODULO(hide)'!$A$2:$D$95,4,FALSE)</f>
        <v>Agenda</v>
      </c>
      <c r="I222" s="37">
        <v>32</v>
      </c>
      <c r="J222" s="17" t="s">
        <v>2889</v>
      </c>
      <c r="K222" s="17" t="s">
        <v>2889</v>
      </c>
      <c r="L222" s="17" t="s">
        <v>2889</v>
      </c>
      <c r="M222" s="38" t="s">
        <v>2889</v>
      </c>
      <c r="N222" s="38" t="s">
        <v>2889</v>
      </c>
      <c r="O222" s="17" t="s">
        <v>2890</v>
      </c>
      <c r="P222" s="17" t="s">
        <v>2890</v>
      </c>
      <c r="T222" s="17" t="s">
        <v>2889</v>
      </c>
      <c r="U222" s="17" t="s">
        <v>2890</v>
      </c>
      <c r="V222" s="36"/>
      <c r="W222" s="17"/>
      <c r="X222" s="20">
        <v>40</v>
      </c>
    </row>
    <row r="223" spans="1:24">
      <c r="A223" s="1">
        <v>866</v>
      </c>
      <c r="B223" s="35" t="s">
        <v>266</v>
      </c>
      <c r="C223" s="1" t="s">
        <v>1055</v>
      </c>
      <c r="D223" s="1" t="s">
        <v>1056</v>
      </c>
      <c r="E223" s="35">
        <v>87</v>
      </c>
      <c r="F223" s="1" t="str">
        <f>VLOOKUP(E223,'ESTRUTURA_MODULO(hide)'!$A$2:$D$230,2,FALSE)</f>
        <v>Agenda</v>
      </c>
      <c r="G223" s="1" t="str">
        <f>VLOOKUP(E223,'ESTRUTURA_MODULO(hide)'!$A$2:$D$95,3,FALSE)</f>
        <v>Schedule</v>
      </c>
      <c r="H223" s="1" t="str">
        <f>VLOOKUP(E223,'ESTRUTURA_MODULO(hide)'!$A$2:$D$95,4,FALSE)</f>
        <v>Agenda</v>
      </c>
      <c r="I223" s="37">
        <v>16</v>
      </c>
      <c r="J223" s="17" t="s">
        <v>2889</v>
      </c>
      <c r="K223" s="17" t="s">
        <v>2889</v>
      </c>
      <c r="L223" s="17" t="s">
        <v>2889</v>
      </c>
      <c r="M223" s="38" t="s">
        <v>2889</v>
      </c>
      <c r="N223" s="38" t="s">
        <v>2889</v>
      </c>
      <c r="O223" s="17" t="s">
        <v>2889</v>
      </c>
      <c r="P223" s="17" t="s">
        <v>2889</v>
      </c>
      <c r="T223" s="17" t="s">
        <v>2889</v>
      </c>
      <c r="U223" s="17" t="s">
        <v>2890</v>
      </c>
      <c r="V223" s="36"/>
      <c r="W223" s="17"/>
      <c r="X223" s="20">
        <v>32</v>
      </c>
    </row>
    <row r="224" spans="1:24">
      <c r="A224" s="1">
        <v>2812</v>
      </c>
      <c r="B224" s="1" t="s">
        <v>338</v>
      </c>
      <c r="C224" s="1" t="s">
        <v>1083</v>
      </c>
      <c r="D224" s="1" t="s">
        <v>1084</v>
      </c>
      <c r="E224" s="1">
        <v>88</v>
      </c>
      <c r="F224" s="1" t="str">
        <f>VLOOKUP(E224,'ESTRUTURA_MODULO(hide)'!$A$2:$D$230,2,FALSE)</f>
        <v>Prontuário Eletrônico</v>
      </c>
      <c r="G224" s="1" t="str">
        <f>VLOOKUP(E224,'ESTRUTURA_MODULO(hide)'!$A$2:$D$95,3,FALSE)</f>
        <v>Electronic Medical Record</v>
      </c>
      <c r="H224" s="1" t="str">
        <f>VLOOKUP(E224,'ESTRUTURA_MODULO(hide)'!$A$2:$D$95,4,FALSE)</f>
        <v>Expediente electrónico</v>
      </c>
      <c r="I224" s="20">
        <v>0</v>
      </c>
      <c r="J224" s="17" t="s">
        <v>2890</v>
      </c>
      <c r="K224" s="17" t="s">
        <v>2890</v>
      </c>
      <c r="L224" s="17" t="s">
        <v>2890</v>
      </c>
      <c r="M224" s="17" t="s">
        <v>2890</v>
      </c>
      <c r="N224" s="17" t="s">
        <v>2890</v>
      </c>
      <c r="O224" s="17" t="s">
        <v>2890</v>
      </c>
      <c r="P224" s="17" t="s">
        <v>2890</v>
      </c>
      <c r="T224" s="17" t="s">
        <v>2889</v>
      </c>
      <c r="U224" s="17" t="s">
        <v>2890</v>
      </c>
      <c r="V224" s="21"/>
      <c r="W224" s="17"/>
      <c r="X224" s="20">
        <v>0</v>
      </c>
    </row>
    <row r="225" spans="1:24">
      <c r="A225" s="1">
        <v>10030</v>
      </c>
      <c r="B225" s="426" t="s">
        <v>275</v>
      </c>
      <c r="C225" s="1" t="s">
        <v>1088</v>
      </c>
      <c r="D225" s="1" t="s">
        <v>1089</v>
      </c>
      <c r="E225" s="1">
        <v>88</v>
      </c>
      <c r="F225" s="1" t="str">
        <f>VLOOKUP(E225,'ESTRUTURA_MODULO(hide)'!$A$2:$D$230,2,FALSE)</f>
        <v>Prontuário Eletrônico</v>
      </c>
      <c r="G225" s="1" t="str">
        <f>VLOOKUP(E225,'ESTRUTURA_MODULO(hide)'!$A$2:$D$95,3,FALSE)</f>
        <v>Electronic Medical Record</v>
      </c>
      <c r="H225" s="1" t="str">
        <f>VLOOKUP(E225,'ESTRUTURA_MODULO(hide)'!$A$2:$D$95,4,FALSE)</f>
        <v>Expediente electrónico</v>
      </c>
      <c r="I225" s="20">
        <v>0</v>
      </c>
      <c r="J225" s="17" t="s">
        <v>2890</v>
      </c>
      <c r="K225" s="17" t="s">
        <v>2890</v>
      </c>
      <c r="L225" s="17" t="s">
        <v>2890</v>
      </c>
      <c r="M225" s="17" t="s">
        <v>2890</v>
      </c>
      <c r="N225" s="17" t="s">
        <v>2890</v>
      </c>
      <c r="O225" s="17" t="s">
        <v>2890</v>
      </c>
      <c r="P225" s="17" t="s">
        <v>2890</v>
      </c>
      <c r="T225" s="17" t="s">
        <v>2889</v>
      </c>
      <c r="U225" s="17" t="s">
        <v>2890</v>
      </c>
      <c r="V225" s="21"/>
      <c r="W225" s="17"/>
      <c r="X225" s="20">
        <v>0</v>
      </c>
    </row>
    <row r="226" spans="1:24">
      <c r="A226" s="1">
        <v>9095</v>
      </c>
      <c r="B226" s="1" t="s">
        <v>1085</v>
      </c>
      <c r="C226" s="1" t="s">
        <v>1086</v>
      </c>
      <c r="D226" s="1" t="s">
        <v>1087</v>
      </c>
      <c r="E226" s="1">
        <v>88</v>
      </c>
      <c r="F226" s="1" t="str">
        <f>VLOOKUP(E226,'ESTRUTURA_MODULO(hide)'!$A$2:$D$230,2,FALSE)</f>
        <v>Prontuário Eletrônico</v>
      </c>
      <c r="G226" s="1" t="str">
        <f>VLOOKUP(E226,'ESTRUTURA_MODULO(hide)'!$A$2:$D$95,3,FALSE)</f>
        <v>Electronic Medical Record</v>
      </c>
      <c r="H226" s="1" t="str">
        <f>VLOOKUP(E226,'ESTRUTURA_MODULO(hide)'!$A$2:$D$95,4,FALSE)</f>
        <v>Expediente electrónico</v>
      </c>
      <c r="I226" s="20">
        <v>0</v>
      </c>
      <c r="J226" s="17" t="s">
        <v>2890</v>
      </c>
      <c r="K226" s="17" t="s">
        <v>2890</v>
      </c>
      <c r="L226" s="17" t="s">
        <v>2890</v>
      </c>
      <c r="M226" s="17" t="s">
        <v>2890</v>
      </c>
      <c r="N226" s="17" t="s">
        <v>2890</v>
      </c>
      <c r="O226" s="17" t="s">
        <v>2890</v>
      </c>
      <c r="P226" s="17" t="s">
        <v>2890</v>
      </c>
      <c r="T226" s="17" t="s">
        <v>2889</v>
      </c>
      <c r="U226" s="17" t="s">
        <v>2890</v>
      </c>
      <c r="V226" s="21"/>
      <c r="W226" s="17"/>
      <c r="X226" s="20">
        <v>0</v>
      </c>
    </row>
    <row r="227" spans="1:24">
      <c r="A227" s="1">
        <v>1801</v>
      </c>
      <c r="B227" s="1" t="s">
        <v>1064</v>
      </c>
      <c r="C227" s="1" t="s">
        <v>1065</v>
      </c>
      <c r="D227" s="1" t="s">
        <v>1067</v>
      </c>
      <c r="E227" s="1">
        <v>88</v>
      </c>
      <c r="F227" s="1" t="str">
        <f>VLOOKUP(E227,'ESTRUTURA_MODULO(hide)'!$A$2:$D$230,2,FALSE)</f>
        <v>Prontuário Eletrônico</v>
      </c>
      <c r="G227" s="1" t="str">
        <f>VLOOKUP(E227,'ESTRUTURA_MODULO(hide)'!$A$2:$D$95,3,FALSE)</f>
        <v>Electronic Medical Record</v>
      </c>
      <c r="H227" s="1" t="str">
        <f>VLOOKUP(E227,'ESTRUTURA_MODULO(hide)'!$A$2:$D$95,4,FALSE)</f>
        <v>Expediente electrónico</v>
      </c>
      <c r="I227" s="20">
        <v>0</v>
      </c>
      <c r="J227" s="17" t="s">
        <v>2890</v>
      </c>
      <c r="K227" s="17" t="s">
        <v>2890</v>
      </c>
      <c r="L227" s="17" t="s">
        <v>2890</v>
      </c>
      <c r="M227" s="17" t="s">
        <v>2890</v>
      </c>
      <c r="N227" s="17" t="s">
        <v>2890</v>
      </c>
      <c r="O227" s="17" t="s">
        <v>2890</v>
      </c>
      <c r="P227" s="17" t="s">
        <v>2890</v>
      </c>
      <c r="T227" s="17" t="s">
        <v>2889</v>
      </c>
      <c r="U227" s="17" t="s">
        <v>2890</v>
      </c>
      <c r="V227" s="21"/>
      <c r="W227" s="17"/>
      <c r="X227" s="20">
        <v>0</v>
      </c>
    </row>
    <row r="228" spans="1:24">
      <c r="A228" s="1">
        <v>1134</v>
      </c>
      <c r="B228" s="1" t="s">
        <v>1071</v>
      </c>
      <c r="C228" s="1" t="s">
        <v>1072</v>
      </c>
      <c r="D228" s="1" t="s">
        <v>1073</v>
      </c>
      <c r="E228" s="1">
        <v>88</v>
      </c>
      <c r="F228" s="1" t="str">
        <f>VLOOKUP(E228,'ESTRUTURA_MODULO(hide)'!$A$2:$D$230,2,FALSE)</f>
        <v>Prontuário Eletrônico</v>
      </c>
      <c r="G228" s="1" t="str">
        <f>VLOOKUP(E228,'ESTRUTURA_MODULO(hide)'!$A$2:$D$95,3,FALSE)</f>
        <v>Electronic Medical Record</v>
      </c>
      <c r="H228" s="1" t="str">
        <f>VLOOKUP(E228,'ESTRUTURA_MODULO(hide)'!$A$2:$D$95,4,FALSE)</f>
        <v>Expediente electrónico</v>
      </c>
      <c r="I228" s="20">
        <v>0</v>
      </c>
      <c r="J228" s="17" t="s">
        <v>2890</v>
      </c>
      <c r="K228" s="17" t="s">
        <v>2890</v>
      </c>
      <c r="L228" s="17" t="s">
        <v>2890</v>
      </c>
      <c r="M228" s="17" t="s">
        <v>2890</v>
      </c>
      <c r="N228" s="17" t="s">
        <v>2890</v>
      </c>
      <c r="O228" s="17" t="s">
        <v>2890</v>
      </c>
      <c r="P228" s="17" t="s">
        <v>2890</v>
      </c>
      <c r="T228" s="17" t="s">
        <v>2889</v>
      </c>
      <c r="U228" s="17" t="s">
        <v>2890</v>
      </c>
      <c r="V228" s="21"/>
      <c r="W228" s="17"/>
      <c r="X228" s="20">
        <v>0</v>
      </c>
    </row>
    <row r="229" spans="1:24">
      <c r="A229" s="1">
        <v>1355</v>
      </c>
      <c r="B229" s="35" t="s">
        <v>1076</v>
      </c>
      <c r="C229" s="1" t="s">
        <v>1077</v>
      </c>
      <c r="D229" s="1" t="s">
        <v>1078</v>
      </c>
      <c r="E229" s="35">
        <v>88</v>
      </c>
      <c r="F229" s="1" t="str">
        <f>VLOOKUP(E229,'ESTRUTURA_MODULO(hide)'!$A$2:$D$230,2,FALSE)</f>
        <v>Prontuário Eletrônico</v>
      </c>
      <c r="G229" s="1" t="str">
        <f>VLOOKUP(E229,'ESTRUTURA_MODULO(hide)'!$A$2:$D$95,3,FALSE)</f>
        <v>Electronic Medical Record</v>
      </c>
      <c r="H229" s="1" t="str">
        <f>VLOOKUP(E229,'ESTRUTURA_MODULO(hide)'!$A$2:$D$95,4,FALSE)</f>
        <v>Expediente electrónico</v>
      </c>
      <c r="I229" s="37">
        <v>8</v>
      </c>
      <c r="J229" s="17" t="s">
        <v>2890</v>
      </c>
      <c r="K229" s="17" t="s">
        <v>2889</v>
      </c>
      <c r="L229" s="17" t="s">
        <v>2889</v>
      </c>
      <c r="M229" s="38" t="s">
        <v>2889</v>
      </c>
      <c r="N229" s="38" t="s">
        <v>2889</v>
      </c>
      <c r="O229" s="17" t="s">
        <v>2890</v>
      </c>
      <c r="P229" s="17" t="s">
        <v>2890</v>
      </c>
      <c r="T229" s="17" t="s">
        <v>2889</v>
      </c>
      <c r="U229" s="17" t="s">
        <v>2890</v>
      </c>
      <c r="V229" s="36"/>
      <c r="W229" s="17"/>
      <c r="X229" s="20">
        <v>16</v>
      </c>
    </row>
    <row r="230" spans="1:24">
      <c r="A230" s="1">
        <v>4200</v>
      </c>
      <c r="B230" s="35" t="s">
        <v>276</v>
      </c>
      <c r="C230" s="1" t="s">
        <v>1074</v>
      </c>
      <c r="D230" s="1" t="s">
        <v>1075</v>
      </c>
      <c r="E230" s="35">
        <v>88</v>
      </c>
      <c r="F230" s="1" t="str">
        <f>VLOOKUP(E230,'ESTRUTURA_MODULO(hide)'!$A$2:$D$230,2,FALSE)</f>
        <v>Prontuário Eletrônico</v>
      </c>
      <c r="G230" s="1" t="str">
        <f>VLOOKUP(E230,'ESTRUTURA_MODULO(hide)'!$A$2:$D$95,3,FALSE)</f>
        <v>Electronic Medical Record</v>
      </c>
      <c r="H230" s="1" t="str">
        <f>VLOOKUP(E230,'ESTRUTURA_MODULO(hide)'!$A$2:$D$95,4,FALSE)</f>
        <v>Expediente electrónico</v>
      </c>
      <c r="I230" s="37">
        <v>1</v>
      </c>
      <c r="J230" s="17" t="s">
        <v>2890</v>
      </c>
      <c r="K230" s="17" t="s">
        <v>2890</v>
      </c>
      <c r="L230" s="17" t="s">
        <v>2890</v>
      </c>
      <c r="M230" s="38" t="s">
        <v>2889</v>
      </c>
      <c r="N230" s="38" t="s">
        <v>2889</v>
      </c>
      <c r="O230" s="17" t="s">
        <v>2890</v>
      </c>
      <c r="P230" s="17" t="s">
        <v>2890</v>
      </c>
      <c r="T230" s="17" t="s">
        <v>2889</v>
      </c>
      <c r="U230" s="17" t="s">
        <v>2890</v>
      </c>
      <c r="V230" s="36"/>
      <c r="W230" s="17"/>
      <c r="X230" s="20">
        <v>24</v>
      </c>
    </row>
    <row r="231" spans="1:24">
      <c r="A231" s="1">
        <v>275</v>
      </c>
      <c r="B231" s="35" t="s">
        <v>278</v>
      </c>
      <c r="C231" s="1" t="s">
        <v>1069</v>
      </c>
      <c r="D231" s="1" t="s">
        <v>1070</v>
      </c>
      <c r="E231" s="35">
        <v>88</v>
      </c>
      <c r="F231" s="1" t="str">
        <f>VLOOKUP(E231,'ESTRUTURA_MODULO(hide)'!$A$2:$D$230,2,FALSE)</f>
        <v>Prontuário Eletrônico</v>
      </c>
      <c r="G231" s="1" t="str">
        <f>VLOOKUP(E231,'ESTRUTURA_MODULO(hide)'!$A$2:$D$95,3,FALSE)</f>
        <v>Electronic Medical Record</v>
      </c>
      <c r="H231" s="1" t="str">
        <f>VLOOKUP(E231,'ESTRUTURA_MODULO(hide)'!$A$2:$D$95,4,FALSE)</f>
        <v>Expediente electrónico</v>
      </c>
      <c r="I231" s="37">
        <v>24</v>
      </c>
      <c r="J231" s="241" t="s">
        <v>2890</v>
      </c>
      <c r="K231" s="241" t="str">
        <f>IF(VLOOKUP($W$231,Questions!$B:$L,3,FALSE)="Yes","Yes","Yes")</f>
        <v>Yes</v>
      </c>
      <c r="L231" s="241" t="str">
        <f>IF(VLOOKUP($W$231,Questions!$B:$L,3,FALSE)="Yes","Yes","Yes")</f>
        <v>Yes</v>
      </c>
      <c r="M231" s="241" t="str">
        <f>IF(VLOOKUP($W$231,Questions!$B:$L,3,FALSE)="Yes","Yes","Yes")</f>
        <v>Yes</v>
      </c>
      <c r="N231" s="241" t="str">
        <f>IF(VLOOKUP($W$231,Questions!$B:$L,3,FALSE)="Yes","Yes","Yes")</f>
        <v>Yes</v>
      </c>
      <c r="O231" s="241" t="str">
        <f>IF(VLOOKUP($W$231,Questions!$B:$L,3,FALSE)="Yes","Yes","No")</f>
        <v>No</v>
      </c>
      <c r="P231" s="241" t="str">
        <f>IF(VLOOKUP($W$231,Questions!$B:$L,3,FALSE)="Yes","Yes","No")</f>
        <v>No</v>
      </c>
      <c r="Q231" s="241"/>
      <c r="R231" s="241"/>
      <c r="S231" s="241"/>
      <c r="T231" s="241" t="s">
        <v>2889</v>
      </c>
      <c r="U231" s="17" t="s">
        <v>2890</v>
      </c>
      <c r="V231" s="242"/>
      <c r="W231" s="241">
        <v>30</v>
      </c>
      <c r="X231" s="20">
        <v>40</v>
      </c>
    </row>
    <row r="232" spans="1:24">
      <c r="A232" s="1">
        <v>281</v>
      </c>
      <c r="B232" s="35" t="s">
        <v>280</v>
      </c>
      <c r="C232" s="1" t="s">
        <v>1091</v>
      </c>
      <c r="D232" s="1" t="s">
        <v>1092</v>
      </c>
      <c r="E232" s="35">
        <v>88</v>
      </c>
      <c r="F232" s="1" t="str">
        <f>VLOOKUP(E232,'ESTRUTURA_MODULO(hide)'!$A$2:$D$230,2,FALSE)</f>
        <v>Prontuário Eletrônico</v>
      </c>
      <c r="G232" s="1" t="str">
        <f>VLOOKUP(E232,'ESTRUTURA_MODULO(hide)'!$A$2:$D$95,3,FALSE)</f>
        <v>Electronic Medical Record</v>
      </c>
      <c r="H232" s="1" t="str">
        <f>VLOOKUP(E232,'ESTRUTURA_MODULO(hide)'!$A$2:$D$95,4,FALSE)</f>
        <v>Expediente electrónico</v>
      </c>
      <c r="I232" s="37">
        <v>120</v>
      </c>
      <c r="J232" s="17" t="s">
        <v>2889</v>
      </c>
      <c r="K232" s="17" t="s">
        <v>2889</v>
      </c>
      <c r="L232" s="17" t="s">
        <v>2889</v>
      </c>
      <c r="M232" s="38" t="s">
        <v>2889</v>
      </c>
      <c r="N232" s="38" t="s">
        <v>2889</v>
      </c>
      <c r="O232" s="17" t="s">
        <v>2889</v>
      </c>
      <c r="P232" s="17" t="s">
        <v>2889</v>
      </c>
      <c r="T232" s="17" t="s">
        <v>2890</v>
      </c>
      <c r="U232" s="17" t="s">
        <v>2890</v>
      </c>
      <c r="V232" s="36"/>
      <c r="W232" s="17"/>
      <c r="X232" s="20">
        <v>120</v>
      </c>
    </row>
    <row r="233" spans="1:24">
      <c r="A233" s="1">
        <v>34</v>
      </c>
      <c r="B233" s="35" t="s">
        <v>274</v>
      </c>
      <c r="C233" s="1" t="s">
        <v>1090</v>
      </c>
      <c r="D233" s="1" t="s">
        <v>274</v>
      </c>
      <c r="E233" s="35">
        <v>88</v>
      </c>
      <c r="F233" s="1" t="str">
        <f>VLOOKUP(E233,'ESTRUTURA_MODULO(hide)'!$A$2:$D$230,2,FALSE)</f>
        <v>Prontuário Eletrônico</v>
      </c>
      <c r="G233" s="1" t="str">
        <f>VLOOKUP(E233,'ESTRUTURA_MODULO(hide)'!$A$2:$D$95,3,FALSE)</f>
        <v>Electronic Medical Record</v>
      </c>
      <c r="H233" s="1" t="str">
        <f>VLOOKUP(E233,'ESTRUTURA_MODULO(hide)'!$A$2:$D$95,4,FALSE)</f>
        <v>Expediente electrónico</v>
      </c>
      <c r="I233" s="37">
        <v>1</v>
      </c>
      <c r="J233" s="17" t="s">
        <v>2889</v>
      </c>
      <c r="K233" s="17" t="s">
        <v>2889</v>
      </c>
      <c r="L233" s="17" t="s">
        <v>2889</v>
      </c>
      <c r="M233" s="38" t="s">
        <v>2889</v>
      </c>
      <c r="N233" s="38" t="s">
        <v>2889</v>
      </c>
      <c r="O233" s="17" t="s">
        <v>2889</v>
      </c>
      <c r="P233" s="17" t="s">
        <v>2889</v>
      </c>
      <c r="T233" s="17" t="s">
        <v>2889</v>
      </c>
      <c r="U233" s="17" t="s">
        <v>2890</v>
      </c>
      <c r="V233" s="36"/>
      <c r="W233" s="17"/>
      <c r="X233" s="20">
        <v>3</v>
      </c>
    </row>
    <row r="234" spans="1:24">
      <c r="A234" s="1">
        <v>3010</v>
      </c>
      <c r="B234" s="35" t="s">
        <v>279</v>
      </c>
      <c r="C234" s="1" t="s">
        <v>1079</v>
      </c>
      <c r="D234" s="1" t="s">
        <v>1080</v>
      </c>
      <c r="E234" s="35">
        <v>88</v>
      </c>
      <c r="F234" s="1" t="str">
        <f>VLOOKUP(E234,'ESTRUTURA_MODULO(hide)'!$A$2:$D$230,2,FALSE)</f>
        <v>Prontuário Eletrônico</v>
      </c>
      <c r="G234" s="1" t="str">
        <f>VLOOKUP(E234,'ESTRUTURA_MODULO(hide)'!$A$2:$D$95,3,FALSE)</f>
        <v>Electronic Medical Record</v>
      </c>
      <c r="H234" s="1" t="str">
        <f>VLOOKUP(E234,'ESTRUTURA_MODULO(hide)'!$A$2:$D$95,4,FALSE)</f>
        <v>Expediente electrónico</v>
      </c>
      <c r="I234" s="37">
        <v>40</v>
      </c>
      <c r="J234" s="17" t="s">
        <v>2890</v>
      </c>
      <c r="K234" s="17" t="s">
        <v>2890</v>
      </c>
      <c r="L234" s="17" t="s">
        <v>2890</v>
      </c>
      <c r="M234" s="38" t="s">
        <v>2889</v>
      </c>
      <c r="N234" s="38" t="s">
        <v>2889</v>
      </c>
      <c r="O234" s="17" t="s">
        <v>2890</v>
      </c>
      <c r="P234" s="17" t="s">
        <v>2890</v>
      </c>
      <c r="T234" s="17" t="s">
        <v>2889</v>
      </c>
      <c r="U234" s="17" t="s">
        <v>2890</v>
      </c>
      <c r="V234" s="36"/>
      <c r="W234" s="17"/>
      <c r="X234" s="20">
        <v>40</v>
      </c>
    </row>
    <row r="235" spans="1:24">
      <c r="A235" s="1">
        <v>1011</v>
      </c>
      <c r="B235" s="35" t="s">
        <v>277</v>
      </c>
      <c r="C235" s="1" t="s">
        <v>1081</v>
      </c>
      <c r="D235" s="1" t="s">
        <v>1082</v>
      </c>
      <c r="E235" s="35">
        <v>88</v>
      </c>
      <c r="F235" s="1" t="str">
        <f>VLOOKUP(E235,'ESTRUTURA_MODULO(hide)'!$A$2:$D$230,2,FALSE)</f>
        <v>Prontuário Eletrônico</v>
      </c>
      <c r="G235" s="1" t="str">
        <f>VLOOKUP(E235,'ESTRUTURA_MODULO(hide)'!$A$2:$D$95,3,FALSE)</f>
        <v>Electronic Medical Record</v>
      </c>
      <c r="H235" s="1" t="str">
        <f>VLOOKUP(E235,'ESTRUTURA_MODULO(hide)'!$A$2:$D$95,4,FALSE)</f>
        <v>Expediente electrónico</v>
      </c>
      <c r="I235" s="37">
        <v>6</v>
      </c>
      <c r="J235" s="17" t="s">
        <v>2890</v>
      </c>
      <c r="K235" s="17" t="s">
        <v>2889</v>
      </c>
      <c r="L235" s="17" t="s">
        <v>2889</v>
      </c>
      <c r="M235" s="38" t="s">
        <v>2889</v>
      </c>
      <c r="N235" s="38" t="s">
        <v>2889</v>
      </c>
      <c r="O235" s="17" t="s">
        <v>2890</v>
      </c>
      <c r="P235" s="17" t="s">
        <v>2890</v>
      </c>
      <c r="T235" s="17" t="s">
        <v>2889</v>
      </c>
      <c r="U235" s="17" t="s">
        <v>2890</v>
      </c>
      <c r="V235" s="36"/>
      <c r="W235" s="17"/>
      <c r="X235" s="20">
        <v>16</v>
      </c>
    </row>
    <row r="236" spans="1:24">
      <c r="A236" s="1">
        <v>935</v>
      </c>
      <c r="B236" s="35" t="s">
        <v>285</v>
      </c>
      <c r="C236" s="1" t="s">
        <v>1094</v>
      </c>
      <c r="D236" s="1" t="s">
        <v>1096</v>
      </c>
      <c r="E236" s="35">
        <v>89</v>
      </c>
      <c r="F236" s="1" t="str">
        <f>VLOOKUP(E236,'ESTRUTURA_MODULO(hide)'!$A$2:$D$230,2,FALSE)</f>
        <v>Pronto Atendimento</v>
      </c>
      <c r="G236" s="1" t="str">
        <f>VLOOKUP(E236,'ESTRUTURA_MODULO(hide)'!$A$2:$D$95,3,FALSE)</f>
        <v>Emergency Department</v>
      </c>
      <c r="H236" s="1" t="str">
        <f>VLOOKUP(E236,'ESTRUTURA_MODULO(hide)'!$A$2:$D$95,4,FALSE)</f>
        <v>Urgencias</v>
      </c>
      <c r="I236" s="37">
        <v>40</v>
      </c>
      <c r="J236" s="17" t="s">
        <v>2889</v>
      </c>
      <c r="K236" s="17" t="s">
        <v>2889</v>
      </c>
      <c r="L236" s="17" t="s">
        <v>2889</v>
      </c>
      <c r="M236" s="38" t="s">
        <v>2889</v>
      </c>
      <c r="N236" s="38" t="s">
        <v>2889</v>
      </c>
      <c r="O236" s="17" t="s">
        <v>2889</v>
      </c>
      <c r="P236" s="17" t="s">
        <v>2889</v>
      </c>
      <c r="T236" s="17" t="s">
        <v>2889</v>
      </c>
      <c r="U236" s="17" t="s">
        <v>2890</v>
      </c>
      <c r="V236" s="36"/>
      <c r="W236" s="17"/>
      <c r="X236" s="20">
        <v>60</v>
      </c>
    </row>
    <row r="237" spans="1:24">
      <c r="A237" s="1">
        <v>9030</v>
      </c>
      <c r="B237" s="35" t="s">
        <v>284</v>
      </c>
      <c r="C237" s="1" t="s">
        <v>1093</v>
      </c>
      <c r="D237" s="1" t="s">
        <v>1095</v>
      </c>
      <c r="E237" s="35">
        <v>89</v>
      </c>
      <c r="F237" s="1" t="str">
        <f>VLOOKUP(E237,'ESTRUTURA_MODULO(hide)'!$A$2:$D$230,2,FALSE)</f>
        <v>Pronto Atendimento</v>
      </c>
      <c r="G237" s="1" t="str">
        <f>VLOOKUP(E237,'ESTRUTURA_MODULO(hide)'!$A$2:$D$95,3,FALSE)</f>
        <v>Emergency Department</v>
      </c>
      <c r="H237" s="1" t="str">
        <f>VLOOKUP(E237,'ESTRUTURA_MODULO(hide)'!$A$2:$D$95,4,FALSE)</f>
        <v>Urgencias</v>
      </c>
      <c r="I237" s="37">
        <v>4</v>
      </c>
      <c r="J237" s="17" t="s">
        <v>2889</v>
      </c>
      <c r="K237" s="17" t="s">
        <v>2889</v>
      </c>
      <c r="L237" s="17" t="s">
        <v>2889</v>
      </c>
      <c r="M237" s="38" t="s">
        <v>2889</v>
      </c>
      <c r="N237" s="38" t="s">
        <v>2889</v>
      </c>
      <c r="O237" s="17" t="s">
        <v>2889</v>
      </c>
      <c r="P237" s="17" t="s">
        <v>2889</v>
      </c>
      <c r="T237" s="17" t="s">
        <v>2889</v>
      </c>
      <c r="U237" s="17" t="s">
        <v>2890</v>
      </c>
      <c r="V237" s="36"/>
      <c r="W237" s="17"/>
      <c r="X237" s="20">
        <v>12</v>
      </c>
    </row>
    <row r="238" spans="1:24">
      <c r="A238" s="1">
        <v>1132</v>
      </c>
      <c r="B238" s="1" t="s">
        <v>283</v>
      </c>
      <c r="C238" s="1" t="s">
        <v>1097</v>
      </c>
      <c r="D238" s="1" t="s">
        <v>1098</v>
      </c>
      <c r="E238" s="1">
        <v>89</v>
      </c>
      <c r="F238" s="1" t="str">
        <f>VLOOKUP(E238,'ESTRUTURA_MODULO(hide)'!$A$2:$D$230,2,FALSE)</f>
        <v>Pronto Atendimento</v>
      </c>
      <c r="G238" s="1" t="str">
        <f>VLOOKUP(E238,'ESTRUTURA_MODULO(hide)'!$A$2:$D$95,3,FALSE)</f>
        <v>Emergency Department</v>
      </c>
      <c r="H238" s="1" t="str">
        <f>VLOOKUP(E238,'ESTRUTURA_MODULO(hide)'!$A$2:$D$95,4,FALSE)</f>
        <v>Urgencias</v>
      </c>
      <c r="I238" s="20">
        <v>0</v>
      </c>
      <c r="J238" s="17" t="s">
        <v>2890</v>
      </c>
      <c r="K238" s="17" t="s">
        <v>2890</v>
      </c>
      <c r="L238" s="17" t="s">
        <v>2890</v>
      </c>
      <c r="M238" s="17" t="s">
        <v>2890</v>
      </c>
      <c r="N238" s="17" t="s">
        <v>2890</v>
      </c>
      <c r="O238" s="17" t="s">
        <v>2890</v>
      </c>
      <c r="P238" s="17" t="s">
        <v>2890</v>
      </c>
      <c r="T238" s="17" t="s">
        <v>2889</v>
      </c>
      <c r="U238" s="17" t="s">
        <v>2890</v>
      </c>
      <c r="V238" s="21"/>
      <c r="W238" s="17"/>
      <c r="X238" s="20">
        <v>0</v>
      </c>
    </row>
    <row r="239" spans="1:24">
      <c r="A239" s="1">
        <v>9037</v>
      </c>
      <c r="B239" s="1" t="s">
        <v>286</v>
      </c>
      <c r="C239" s="1" t="s">
        <v>1099</v>
      </c>
      <c r="D239" s="1" t="s">
        <v>1100</v>
      </c>
      <c r="E239" s="1">
        <v>89</v>
      </c>
      <c r="F239" s="1" t="str">
        <f>VLOOKUP(E239,'ESTRUTURA_MODULO(hide)'!$A$2:$D$230,2,FALSE)</f>
        <v>Pronto Atendimento</v>
      </c>
      <c r="G239" s="1" t="str">
        <f>VLOOKUP(E239,'ESTRUTURA_MODULO(hide)'!$A$2:$D$95,3,FALSE)</f>
        <v>Emergency Department</v>
      </c>
      <c r="H239" s="1" t="str">
        <f>VLOOKUP(E239,'ESTRUTURA_MODULO(hide)'!$A$2:$D$95,4,FALSE)</f>
        <v>Urgencias</v>
      </c>
      <c r="I239" s="20">
        <v>0</v>
      </c>
      <c r="J239" s="17" t="s">
        <v>2890</v>
      </c>
      <c r="K239" s="17" t="s">
        <v>2890</v>
      </c>
      <c r="L239" s="17" t="s">
        <v>2890</v>
      </c>
      <c r="M239" s="17" t="s">
        <v>2890</v>
      </c>
      <c r="N239" s="17" t="s">
        <v>2890</v>
      </c>
      <c r="O239" s="17" t="s">
        <v>2890</v>
      </c>
      <c r="P239" s="17" t="s">
        <v>2890</v>
      </c>
      <c r="T239" s="17" t="s">
        <v>2889</v>
      </c>
      <c r="U239" s="17" t="s">
        <v>2890</v>
      </c>
      <c r="V239" s="21"/>
      <c r="W239" s="17"/>
      <c r="X239" s="20">
        <v>0</v>
      </c>
    </row>
    <row r="240" spans="1:24">
      <c r="A240" s="1">
        <v>865</v>
      </c>
      <c r="B240" s="35" t="s">
        <v>288</v>
      </c>
      <c r="C240" s="1" t="s">
        <v>1101</v>
      </c>
      <c r="D240" s="1" t="s">
        <v>288</v>
      </c>
      <c r="E240" s="35">
        <v>90</v>
      </c>
      <c r="F240" s="1" t="str">
        <f>VLOOKUP(E240,'ESTRUTURA_MODULO(hide)'!$A$2:$D$230,2,FALSE)</f>
        <v>Quimioterapia</v>
      </c>
      <c r="G240" s="1" t="str">
        <f>VLOOKUP(E240,'ESTRUTURA_MODULO(hide)'!$A$2:$D$95,3,FALSE)</f>
        <v>Chemotherapy</v>
      </c>
      <c r="H240" s="1" t="str">
        <f>VLOOKUP(E240,'ESTRUTURA_MODULO(hide)'!$A$2:$D$95,4,FALSE)</f>
        <v>Quimioterapia</v>
      </c>
      <c r="I240" s="37">
        <v>24</v>
      </c>
      <c r="J240" s="17" t="s">
        <v>2889</v>
      </c>
      <c r="K240" s="17" t="s">
        <v>2889</v>
      </c>
      <c r="L240" s="17" t="s">
        <v>2889</v>
      </c>
      <c r="M240" s="38" t="s">
        <v>2889</v>
      </c>
      <c r="N240" s="38" t="s">
        <v>2889</v>
      </c>
      <c r="O240" s="17" t="s">
        <v>2889</v>
      </c>
      <c r="P240" s="17" t="s">
        <v>2889</v>
      </c>
      <c r="T240" s="17" t="s">
        <v>2889</v>
      </c>
      <c r="U240" s="17" t="s">
        <v>2890</v>
      </c>
      <c r="V240" s="36"/>
      <c r="W240" s="17"/>
      <c r="X240" s="20">
        <v>32</v>
      </c>
    </row>
    <row r="241" spans="1:24">
      <c r="A241" s="1">
        <v>3131</v>
      </c>
      <c r="B241" s="35" t="s">
        <v>289</v>
      </c>
      <c r="C241" s="1" t="s">
        <v>1103</v>
      </c>
      <c r="D241" s="1" t="s">
        <v>1104</v>
      </c>
      <c r="E241" s="35">
        <v>90</v>
      </c>
      <c r="F241" s="1" t="str">
        <f>VLOOKUP(E241,'ESTRUTURA_MODULO(hide)'!$A$2:$D$230,2,FALSE)</f>
        <v>Quimioterapia</v>
      </c>
      <c r="G241" s="1" t="str">
        <f>VLOOKUP(E241,'ESTRUTURA_MODULO(hide)'!$A$2:$D$95,3,FALSE)</f>
        <v>Chemotherapy</v>
      </c>
      <c r="H241" s="1" t="str">
        <f>VLOOKUP(E241,'ESTRUTURA_MODULO(hide)'!$A$2:$D$95,4,FALSE)</f>
        <v>Quimioterapia</v>
      </c>
      <c r="I241" s="37">
        <v>8</v>
      </c>
      <c r="J241" s="17" t="s">
        <v>2890</v>
      </c>
      <c r="K241" s="17" t="s">
        <v>2890</v>
      </c>
      <c r="L241" s="17" t="s">
        <v>2890</v>
      </c>
      <c r="M241" s="38" t="s">
        <v>2889</v>
      </c>
      <c r="N241" s="38" t="s">
        <v>2889</v>
      </c>
      <c r="O241" s="17" t="s">
        <v>2890</v>
      </c>
      <c r="P241" s="17" t="s">
        <v>2890</v>
      </c>
      <c r="T241" s="17" t="s">
        <v>2889</v>
      </c>
      <c r="U241" s="17" t="s">
        <v>2890</v>
      </c>
      <c r="V241" s="36"/>
      <c r="W241" s="17"/>
      <c r="X241" s="20">
        <v>8</v>
      </c>
    </row>
    <row r="242" spans="1:24">
      <c r="A242" s="1">
        <v>3130</v>
      </c>
      <c r="B242" s="35" t="s">
        <v>287</v>
      </c>
      <c r="C242" s="1" t="s">
        <v>1102</v>
      </c>
      <c r="D242" s="1" t="s">
        <v>287</v>
      </c>
      <c r="E242" s="35">
        <v>90</v>
      </c>
      <c r="F242" s="1" t="str">
        <f>VLOOKUP(E242,'ESTRUTURA_MODULO(hide)'!$A$2:$D$230,2,FALSE)</f>
        <v>Quimioterapia</v>
      </c>
      <c r="G242" s="1" t="str">
        <f>VLOOKUP(E242,'ESTRUTURA_MODULO(hide)'!$A$2:$D$95,3,FALSE)</f>
        <v>Chemotherapy</v>
      </c>
      <c r="H242" s="1" t="str">
        <f>VLOOKUP(E242,'ESTRUTURA_MODULO(hide)'!$A$2:$D$95,4,FALSE)</f>
        <v>Quimioterapia</v>
      </c>
      <c r="I242" s="37">
        <v>40</v>
      </c>
      <c r="J242" s="17" t="s">
        <v>2889</v>
      </c>
      <c r="K242" s="17" t="s">
        <v>2889</v>
      </c>
      <c r="L242" s="17" t="s">
        <v>2889</v>
      </c>
      <c r="M242" s="38" t="s">
        <v>2889</v>
      </c>
      <c r="N242" s="38" t="s">
        <v>2889</v>
      </c>
      <c r="O242" s="17" t="s">
        <v>2889</v>
      </c>
      <c r="P242" s="17" t="s">
        <v>2889</v>
      </c>
      <c r="T242" s="17" t="s">
        <v>2889</v>
      </c>
      <c r="U242" s="17" t="s">
        <v>2890</v>
      </c>
      <c r="V242" s="36"/>
      <c r="W242" s="17"/>
      <c r="X242" s="20">
        <v>80</v>
      </c>
    </row>
    <row r="243" spans="1:24">
      <c r="A243" s="1">
        <v>406</v>
      </c>
      <c r="B243" s="35" t="s">
        <v>292</v>
      </c>
      <c r="C243" s="1" t="s">
        <v>1109</v>
      </c>
      <c r="D243" s="1" t="s">
        <v>1110</v>
      </c>
      <c r="E243" s="35">
        <v>91</v>
      </c>
      <c r="F243" s="1" t="str">
        <f>VLOOKUP(E243,'ESTRUTURA_MODULO(hide)'!$A$2:$D$230,2,FALSE)</f>
        <v>CME - Central de Material Esterilizado</v>
      </c>
      <c r="G243" s="1" t="str">
        <f>VLOOKUP(E243,'ESTRUTURA_MODULO(hide)'!$A$2:$D$95,3,FALSE)</f>
        <v>SMC - Sterilized Material Center</v>
      </c>
      <c r="H243" s="1" t="str">
        <f>VLOOKUP(E243,'ESTRUTURA_MODULO(hide)'!$A$2:$D$95,4,FALSE)</f>
        <v>CME - Central de Material Esterilizado</v>
      </c>
      <c r="I243" s="37">
        <v>40</v>
      </c>
      <c r="J243" s="17" t="s">
        <v>2889</v>
      </c>
      <c r="K243" s="17" t="s">
        <v>2889</v>
      </c>
      <c r="L243" s="17" t="s">
        <v>2889</v>
      </c>
      <c r="M243" s="38" t="s">
        <v>2889</v>
      </c>
      <c r="N243" s="38" t="s">
        <v>2889</v>
      </c>
      <c r="O243" s="17" t="s">
        <v>2889</v>
      </c>
      <c r="P243" s="17" t="s">
        <v>2889</v>
      </c>
      <c r="T243" s="17" t="s">
        <v>2889</v>
      </c>
      <c r="U243" s="17" t="s">
        <v>2890</v>
      </c>
      <c r="V243" s="36"/>
      <c r="W243" s="17"/>
      <c r="X243" s="20">
        <v>60</v>
      </c>
    </row>
    <row r="244" spans="1:24">
      <c r="A244" s="1">
        <v>407</v>
      </c>
      <c r="B244" s="35" t="s">
        <v>291</v>
      </c>
      <c r="C244" s="1" t="s">
        <v>1107</v>
      </c>
      <c r="D244" s="1" t="s">
        <v>1108</v>
      </c>
      <c r="E244" s="35">
        <v>91</v>
      </c>
      <c r="F244" s="1" t="str">
        <f>VLOOKUP(E244,'ESTRUTURA_MODULO(hide)'!$A$2:$D$230,2,FALSE)</f>
        <v>CME - Central de Material Esterilizado</v>
      </c>
      <c r="G244" s="1" t="str">
        <f>VLOOKUP(E244,'ESTRUTURA_MODULO(hide)'!$A$2:$D$95,3,FALSE)</f>
        <v>SMC - Sterilized Material Center</v>
      </c>
      <c r="H244" s="1" t="str">
        <f>VLOOKUP(E244,'ESTRUTURA_MODULO(hide)'!$A$2:$D$95,4,FALSE)</f>
        <v>CME - Central de Material Esterilizado</v>
      </c>
      <c r="I244" s="37">
        <v>4</v>
      </c>
      <c r="J244" s="17" t="s">
        <v>2889</v>
      </c>
      <c r="K244" s="17" t="s">
        <v>2889</v>
      </c>
      <c r="L244" s="17" t="s">
        <v>2889</v>
      </c>
      <c r="M244" s="38" t="s">
        <v>2889</v>
      </c>
      <c r="N244" s="38" t="s">
        <v>2889</v>
      </c>
      <c r="O244" s="17" t="s">
        <v>2889</v>
      </c>
      <c r="P244" s="17" t="s">
        <v>2889</v>
      </c>
      <c r="T244" s="17" t="s">
        <v>2889</v>
      </c>
      <c r="U244" s="17" t="s">
        <v>2890</v>
      </c>
      <c r="V244" s="36"/>
      <c r="W244" s="17"/>
      <c r="X244" s="20">
        <v>40</v>
      </c>
    </row>
    <row r="245" spans="1:24">
      <c r="A245" s="1">
        <v>410</v>
      </c>
      <c r="B245" s="35" t="s">
        <v>293</v>
      </c>
      <c r="C245" s="1" t="s">
        <v>1105</v>
      </c>
      <c r="D245" s="1" t="s">
        <v>1106</v>
      </c>
      <c r="E245" s="35">
        <v>91</v>
      </c>
      <c r="F245" s="1" t="str">
        <f>VLOOKUP(E245,'ESTRUTURA_MODULO(hide)'!$A$2:$D$230,2,FALSE)</f>
        <v>CME - Central de Material Esterilizado</v>
      </c>
      <c r="G245" s="1" t="str">
        <f>VLOOKUP(E245,'ESTRUTURA_MODULO(hide)'!$A$2:$D$95,3,FALSE)</f>
        <v>SMC - Sterilized Material Center</v>
      </c>
      <c r="H245" s="1" t="str">
        <f>VLOOKUP(E245,'ESTRUTURA_MODULO(hide)'!$A$2:$D$95,4,FALSE)</f>
        <v>CME - Central de Material Esterilizado</v>
      </c>
      <c r="I245" s="37">
        <v>4</v>
      </c>
      <c r="J245" s="17" t="s">
        <v>2890</v>
      </c>
      <c r="K245" s="17" t="s">
        <v>2889</v>
      </c>
      <c r="L245" s="17" t="s">
        <v>2889</v>
      </c>
      <c r="M245" s="38" t="s">
        <v>2889</v>
      </c>
      <c r="N245" s="38" t="s">
        <v>2889</v>
      </c>
      <c r="O245" s="17" t="s">
        <v>2890</v>
      </c>
      <c r="P245" s="17" t="s">
        <v>2889</v>
      </c>
      <c r="T245" s="17" t="s">
        <v>2889</v>
      </c>
      <c r="U245" s="17" t="s">
        <v>2890</v>
      </c>
      <c r="V245" s="36"/>
      <c r="W245" s="17"/>
      <c r="X245" s="20">
        <v>12</v>
      </c>
    </row>
    <row r="246" spans="1:24">
      <c r="A246" s="1">
        <v>75</v>
      </c>
      <c r="B246" s="35" t="s">
        <v>296</v>
      </c>
      <c r="C246" s="1" t="s">
        <v>1113</v>
      </c>
      <c r="D246" s="1" t="s">
        <v>1114</v>
      </c>
      <c r="E246" s="35">
        <v>93</v>
      </c>
      <c r="F246" s="1" t="str">
        <f>VLOOKUP(E246,'ESTRUTURA_MODULO(hide)'!$A$2:$D$230,2,FALSE)</f>
        <v>Higienização</v>
      </c>
      <c r="G246" s="1" t="str">
        <f>VLOOKUP(E246,'ESTRUTURA_MODULO(hide)'!$A$2:$D$95,3,FALSE)</f>
        <v>Sanitization</v>
      </c>
      <c r="H246" s="1" t="str">
        <f>VLOOKUP(E246,'ESTRUTURA_MODULO(hide)'!$A$2:$D$95,4,FALSE)</f>
        <v>Higienización</v>
      </c>
      <c r="I246" s="37">
        <v>24</v>
      </c>
      <c r="J246" s="17" t="s">
        <v>2889</v>
      </c>
      <c r="K246" s="17" t="s">
        <v>2889</v>
      </c>
      <c r="L246" s="17" t="s">
        <v>2889</v>
      </c>
      <c r="M246" s="38" t="s">
        <v>2889</v>
      </c>
      <c r="N246" s="38" t="s">
        <v>2889</v>
      </c>
      <c r="O246" s="17" t="s">
        <v>2890</v>
      </c>
      <c r="P246" s="17" t="s">
        <v>2890</v>
      </c>
      <c r="T246" s="17" t="s">
        <v>2889</v>
      </c>
      <c r="U246" s="17" t="s">
        <v>2890</v>
      </c>
      <c r="V246" s="36"/>
      <c r="W246" s="17"/>
      <c r="X246" s="20">
        <v>40</v>
      </c>
    </row>
    <row r="247" spans="1:24">
      <c r="A247" s="1">
        <v>1350</v>
      </c>
      <c r="B247" s="35" t="s">
        <v>295</v>
      </c>
      <c r="C247" s="1" t="s">
        <v>1111</v>
      </c>
      <c r="D247" s="1" t="s">
        <v>1112</v>
      </c>
      <c r="E247" s="35">
        <v>93</v>
      </c>
      <c r="F247" s="1" t="str">
        <f>VLOOKUP(E247,'ESTRUTURA_MODULO(hide)'!$A$2:$D$230,2,FALSE)</f>
        <v>Higienização</v>
      </c>
      <c r="G247" s="1" t="str">
        <f>VLOOKUP(E247,'ESTRUTURA_MODULO(hide)'!$A$2:$D$95,3,FALSE)</f>
        <v>Sanitization</v>
      </c>
      <c r="H247" s="1" t="str">
        <f>VLOOKUP(E247,'ESTRUTURA_MODULO(hide)'!$A$2:$D$95,4,FALSE)</f>
        <v>Higienización</v>
      </c>
      <c r="I247" s="37">
        <v>8</v>
      </c>
      <c r="J247" s="17" t="s">
        <v>2890</v>
      </c>
      <c r="K247" s="17" t="s">
        <v>2890</v>
      </c>
      <c r="L247" s="17" t="s">
        <v>2889</v>
      </c>
      <c r="M247" s="38" t="s">
        <v>2889</v>
      </c>
      <c r="N247" s="38" t="s">
        <v>2889</v>
      </c>
      <c r="O247" s="17" t="s">
        <v>2890</v>
      </c>
      <c r="P247" s="17" t="s">
        <v>2890</v>
      </c>
      <c r="T247" s="17" t="s">
        <v>2889</v>
      </c>
      <c r="U247" s="17" t="s">
        <v>2890</v>
      </c>
      <c r="V247" s="36"/>
      <c r="W247" s="17"/>
      <c r="X247" s="20">
        <v>24</v>
      </c>
    </row>
    <row r="248" spans="1:24">
      <c r="A248" s="1">
        <v>989</v>
      </c>
      <c r="B248" s="1" t="s">
        <v>298</v>
      </c>
      <c r="C248" s="1" t="s">
        <v>1115</v>
      </c>
      <c r="D248" s="1" t="s">
        <v>1116</v>
      </c>
      <c r="E248" s="1">
        <v>94</v>
      </c>
      <c r="F248" s="1" t="str">
        <f>VLOOKUP(E248,'ESTRUTURA_MODULO(hide)'!$A$2:$D$230,2,FALSE)</f>
        <v>SOS</v>
      </c>
      <c r="G248" s="1" t="str">
        <f>VLOOKUP(E248,'ESTRUTURA_MODULO(hide)'!$A$2:$D$95,3,FALSE)</f>
        <v>SOS</v>
      </c>
      <c r="H248" s="1" t="str">
        <f>VLOOKUP(E248,'ESTRUTURA_MODULO(hide)'!$A$2:$D$95,4,FALSE)</f>
        <v>SOS</v>
      </c>
      <c r="I248" s="20">
        <v>0</v>
      </c>
      <c r="J248" s="17" t="s">
        <v>2890</v>
      </c>
      <c r="K248" s="17" t="s">
        <v>2890</v>
      </c>
      <c r="L248" s="17" t="s">
        <v>2890</v>
      </c>
      <c r="M248" s="17" t="s">
        <v>2890</v>
      </c>
      <c r="N248" s="17" t="s">
        <v>2890</v>
      </c>
      <c r="O248" s="17" t="s">
        <v>2890</v>
      </c>
      <c r="P248" s="17" t="s">
        <v>2890</v>
      </c>
      <c r="T248" s="17" t="s">
        <v>2889</v>
      </c>
      <c r="U248" s="17" t="s">
        <v>2890</v>
      </c>
      <c r="V248" s="21"/>
      <c r="W248" s="17"/>
      <c r="X248" s="20">
        <v>0</v>
      </c>
    </row>
    <row r="249" spans="1:24">
      <c r="A249" s="1">
        <v>929</v>
      </c>
      <c r="B249" s="35" t="s">
        <v>299</v>
      </c>
      <c r="C249" s="1" t="s">
        <v>1117</v>
      </c>
      <c r="D249" s="1" t="s">
        <v>1118</v>
      </c>
      <c r="E249" s="35">
        <v>94</v>
      </c>
      <c r="F249" s="1" t="str">
        <f>VLOOKUP(E249,'ESTRUTURA_MODULO(hide)'!$A$2:$D$230,2,FALSE)</f>
        <v>SOS</v>
      </c>
      <c r="G249" s="1" t="str">
        <f>VLOOKUP(E249,'ESTRUTURA_MODULO(hide)'!$A$2:$D$95,3,FALSE)</f>
        <v>SOS</v>
      </c>
      <c r="H249" s="1" t="str">
        <f>VLOOKUP(E249,'ESTRUTURA_MODULO(hide)'!$A$2:$D$95,4,FALSE)</f>
        <v>SOS</v>
      </c>
      <c r="I249" s="37">
        <v>40</v>
      </c>
      <c r="J249" s="17" t="s">
        <v>2890</v>
      </c>
      <c r="K249" s="17" t="s">
        <v>2889</v>
      </c>
      <c r="L249" s="17" t="s">
        <v>2889</v>
      </c>
      <c r="M249" s="38" t="s">
        <v>2889</v>
      </c>
      <c r="N249" s="38" t="s">
        <v>2889</v>
      </c>
      <c r="O249" s="17" t="s">
        <v>2889</v>
      </c>
      <c r="P249" s="17" t="s">
        <v>2889</v>
      </c>
      <c r="T249" s="17" t="s">
        <v>2889</v>
      </c>
      <c r="U249" s="17" t="s">
        <v>2890</v>
      </c>
      <c r="V249" s="36"/>
      <c r="W249" s="17"/>
      <c r="X249" s="20">
        <v>40</v>
      </c>
    </row>
    <row r="250" spans="1:24">
      <c r="A250" s="1">
        <v>996</v>
      </c>
      <c r="B250" s="35" t="s">
        <v>300</v>
      </c>
      <c r="C250" s="1" t="s">
        <v>300</v>
      </c>
      <c r="D250" s="1" t="s">
        <v>300</v>
      </c>
      <c r="E250" s="35">
        <v>95</v>
      </c>
      <c r="F250" s="1" t="str">
        <f>VLOOKUP(E250,'ESTRUTURA_MODULO(hide)'!$A$2:$D$230,2,FALSE)</f>
        <v>Check-up</v>
      </c>
      <c r="G250" s="1" t="str">
        <f>VLOOKUP(E250,'ESTRUTURA_MODULO(hide)'!$A$2:$D$95,3,FALSE)</f>
        <v>Check-up</v>
      </c>
      <c r="H250" s="1" t="str">
        <f>VLOOKUP(E250,'ESTRUTURA_MODULO(hide)'!$A$2:$D$95,4,FALSE)</f>
        <v>Check-up</v>
      </c>
      <c r="I250" s="37">
        <v>40</v>
      </c>
      <c r="J250" s="17" t="s">
        <v>2890</v>
      </c>
      <c r="K250" s="17" t="s">
        <v>2889</v>
      </c>
      <c r="L250" s="17" t="s">
        <v>2889</v>
      </c>
      <c r="M250" s="38" t="s">
        <v>2889</v>
      </c>
      <c r="N250" s="38" t="s">
        <v>2889</v>
      </c>
      <c r="O250" s="17" t="s">
        <v>2889</v>
      </c>
      <c r="P250" s="17" t="s">
        <v>2889</v>
      </c>
      <c r="T250" s="17" t="s">
        <v>2889</v>
      </c>
      <c r="U250" s="17" t="s">
        <v>2890</v>
      </c>
      <c r="V250" s="36"/>
      <c r="W250" s="17"/>
      <c r="X250" s="20">
        <v>60</v>
      </c>
    </row>
    <row r="251" spans="1:24">
      <c r="A251" s="1">
        <v>903</v>
      </c>
      <c r="B251" s="35" t="s">
        <v>302</v>
      </c>
      <c r="C251" s="1" t="s">
        <v>1119</v>
      </c>
      <c r="D251" s="1" t="s">
        <v>1120</v>
      </c>
      <c r="E251" s="35">
        <v>96</v>
      </c>
      <c r="F251" s="1" t="str">
        <f>VLOOKUP(E251,'ESTRUTURA_MODULO(hide)'!$A$2:$D$230,2,FALSE)</f>
        <v>Imunização</v>
      </c>
      <c r="G251" s="1" t="str">
        <f>VLOOKUP(E251,'ESTRUTURA_MODULO(hide)'!$A$2:$D$95,3,FALSE)</f>
        <v xml:space="preserve">Immunization </v>
      </c>
      <c r="H251" s="1" t="str">
        <f>VLOOKUP(E251,'ESTRUTURA_MODULO(hide)'!$A$2:$D$95,4,FALSE)</f>
        <v>Inmunización</v>
      </c>
      <c r="I251" s="37">
        <v>16</v>
      </c>
      <c r="J251" s="17" t="s">
        <v>2890</v>
      </c>
      <c r="K251" s="17" t="s">
        <v>2889</v>
      </c>
      <c r="L251" s="17" t="s">
        <v>2889</v>
      </c>
      <c r="M251" s="38" t="s">
        <v>2889</v>
      </c>
      <c r="N251" s="38" t="s">
        <v>2889</v>
      </c>
      <c r="O251" s="17" t="s">
        <v>2889</v>
      </c>
      <c r="P251" s="17" t="s">
        <v>2889</v>
      </c>
      <c r="T251" s="17" t="s">
        <v>2889</v>
      </c>
      <c r="U251" s="17" t="s">
        <v>2890</v>
      </c>
      <c r="V251" s="36"/>
      <c r="W251" s="17"/>
      <c r="X251" s="20">
        <v>40</v>
      </c>
    </row>
    <row r="252" spans="1:24">
      <c r="A252" s="1">
        <v>941</v>
      </c>
      <c r="B252" s="35" t="s">
        <v>307</v>
      </c>
      <c r="C252" s="1" t="s">
        <v>1123</v>
      </c>
      <c r="D252" s="1" t="s">
        <v>1124</v>
      </c>
      <c r="E252" s="35">
        <v>98</v>
      </c>
      <c r="F252" s="1" t="str">
        <f>VLOOKUP(E252,'ESTRUTURA_MODULO(hide)'!$A$2:$D$230,2,FALSE)</f>
        <v>SAME</v>
      </c>
      <c r="G252" s="1" t="str">
        <f>VLOOKUP(E252,'ESTRUTURA_MODULO(hide)'!$A$2:$D$95,3,FALSE)</f>
        <v>Conventional Medical Record Archive</v>
      </c>
      <c r="H252" s="1" t="str">
        <f>VLOOKUP(E252,'ESTRUTURA_MODULO(hide)'!$A$2:$D$95,4,FALSE)</f>
        <v>Archivo Clínico</v>
      </c>
      <c r="I252" s="37">
        <v>32</v>
      </c>
      <c r="J252" s="17" t="s">
        <v>2889</v>
      </c>
      <c r="K252" s="17" t="s">
        <v>2889</v>
      </c>
      <c r="L252" s="17" t="s">
        <v>2889</v>
      </c>
      <c r="M252" s="38" t="s">
        <v>2889</v>
      </c>
      <c r="N252" s="38" t="s">
        <v>2889</v>
      </c>
      <c r="O252" s="17" t="s">
        <v>2889</v>
      </c>
      <c r="P252" s="17" t="s">
        <v>2889</v>
      </c>
      <c r="T252" s="17" t="s">
        <v>2889</v>
      </c>
      <c r="U252" s="17" t="s">
        <v>2890</v>
      </c>
      <c r="V252" s="36"/>
      <c r="W252" s="17"/>
      <c r="X252" s="20">
        <v>40</v>
      </c>
    </row>
    <row r="253" spans="1:24">
      <c r="A253" s="1">
        <v>46</v>
      </c>
      <c r="B253" s="35" t="s">
        <v>304</v>
      </c>
      <c r="C253" s="1" t="s">
        <v>1127</v>
      </c>
      <c r="D253" s="1" t="s">
        <v>1128</v>
      </c>
      <c r="E253" s="35">
        <v>98</v>
      </c>
      <c r="F253" s="1" t="str">
        <f>VLOOKUP(E253,'ESTRUTURA_MODULO(hide)'!$A$2:$D$230,2,FALSE)</f>
        <v>SAME</v>
      </c>
      <c r="G253" s="1" t="str">
        <f>VLOOKUP(E253,'ESTRUTURA_MODULO(hide)'!$A$2:$D$95,3,FALSE)</f>
        <v>Conventional Medical Record Archive</v>
      </c>
      <c r="H253" s="1" t="str">
        <f>VLOOKUP(E253,'ESTRUTURA_MODULO(hide)'!$A$2:$D$95,4,FALSE)</f>
        <v>Archivo Clínico</v>
      </c>
      <c r="I253" s="37">
        <v>16</v>
      </c>
      <c r="J253" s="17" t="s">
        <v>2890</v>
      </c>
      <c r="K253" s="17" t="s">
        <v>2889</v>
      </c>
      <c r="L253" s="17" t="s">
        <v>2889</v>
      </c>
      <c r="M253" s="38" t="s">
        <v>2889</v>
      </c>
      <c r="N253" s="38" t="s">
        <v>2889</v>
      </c>
      <c r="O253" s="17" t="s">
        <v>2889</v>
      </c>
      <c r="P253" s="17" t="s">
        <v>2889</v>
      </c>
      <c r="T253" s="17" t="s">
        <v>2889</v>
      </c>
      <c r="U253" s="17" t="s">
        <v>2890</v>
      </c>
      <c r="V253" s="36"/>
      <c r="W253" s="17"/>
      <c r="X253" s="20">
        <v>24</v>
      </c>
    </row>
    <row r="254" spans="1:24">
      <c r="A254" s="1">
        <v>61</v>
      </c>
      <c r="B254" s="426" t="s">
        <v>305</v>
      </c>
      <c r="C254" s="1" t="s">
        <v>1121</v>
      </c>
      <c r="D254" s="1" t="s">
        <v>1122</v>
      </c>
      <c r="E254" s="1">
        <v>98</v>
      </c>
      <c r="F254" s="1" t="str">
        <f>VLOOKUP(E254,'ESTRUTURA_MODULO(hide)'!$A$2:$D$230,2,FALSE)</f>
        <v>SAME</v>
      </c>
      <c r="G254" s="1" t="str">
        <f>VLOOKUP(E254,'ESTRUTURA_MODULO(hide)'!$A$2:$D$95,3,FALSE)</f>
        <v>Conventional Medical Record Archive</v>
      </c>
      <c r="H254" s="1" t="str">
        <f>VLOOKUP(E254,'ESTRUTURA_MODULO(hide)'!$A$2:$D$95,4,FALSE)</f>
        <v>Archivo Clínico</v>
      </c>
      <c r="I254" s="20">
        <v>0</v>
      </c>
      <c r="J254" s="17" t="s">
        <v>2890</v>
      </c>
      <c r="K254" s="17" t="s">
        <v>2890</v>
      </c>
      <c r="L254" s="17" t="s">
        <v>2890</v>
      </c>
      <c r="M254" s="17" t="s">
        <v>2890</v>
      </c>
      <c r="N254" s="17" t="s">
        <v>2890</v>
      </c>
      <c r="O254" s="17" t="s">
        <v>2890</v>
      </c>
      <c r="P254" s="17" t="s">
        <v>2890</v>
      </c>
      <c r="T254" s="17" t="s">
        <v>2889</v>
      </c>
      <c r="U254" s="17" t="s">
        <v>2890</v>
      </c>
      <c r="V254" s="21"/>
      <c r="W254" s="17"/>
      <c r="X254" s="20">
        <v>0</v>
      </c>
    </row>
    <row r="255" spans="1:24">
      <c r="A255" s="1">
        <v>1007</v>
      </c>
      <c r="B255" s="426" t="s">
        <v>306</v>
      </c>
      <c r="C255" s="1" t="s">
        <v>1125</v>
      </c>
      <c r="D255" s="1" t="s">
        <v>1126</v>
      </c>
      <c r="E255" s="1">
        <v>98</v>
      </c>
      <c r="F255" s="1" t="str">
        <f>VLOOKUP(E255,'ESTRUTURA_MODULO(hide)'!$A$2:$D$230,2,FALSE)</f>
        <v>SAME</v>
      </c>
      <c r="G255" s="1" t="str">
        <f>VLOOKUP(E255,'ESTRUTURA_MODULO(hide)'!$A$2:$D$95,3,FALSE)</f>
        <v>Conventional Medical Record Archive</v>
      </c>
      <c r="H255" s="1" t="str">
        <f>VLOOKUP(E255,'ESTRUTURA_MODULO(hide)'!$A$2:$D$95,4,FALSE)</f>
        <v>Archivo Clínico</v>
      </c>
      <c r="I255" s="20">
        <v>0</v>
      </c>
      <c r="J255" s="17" t="s">
        <v>2890</v>
      </c>
      <c r="K255" s="17" t="s">
        <v>2890</v>
      </c>
      <c r="L255" s="17" t="s">
        <v>2890</v>
      </c>
      <c r="M255" s="17" t="s">
        <v>2890</v>
      </c>
      <c r="N255" s="17" t="s">
        <v>2890</v>
      </c>
      <c r="O255" s="17" t="s">
        <v>2890</v>
      </c>
      <c r="P255" s="17" t="s">
        <v>2890</v>
      </c>
      <c r="T255" s="17" t="s">
        <v>2889</v>
      </c>
      <c r="U255" s="17" t="s">
        <v>2890</v>
      </c>
      <c r="V255" s="21"/>
      <c r="W255" s="17"/>
      <c r="X255" s="20">
        <v>0</v>
      </c>
    </row>
    <row r="256" spans="1:24">
      <c r="A256" s="1">
        <v>919</v>
      </c>
      <c r="B256" s="35" t="s">
        <v>110</v>
      </c>
      <c r="C256" s="1" t="s">
        <v>1135</v>
      </c>
      <c r="D256" s="1" t="s">
        <v>1136</v>
      </c>
      <c r="E256" s="35">
        <v>99</v>
      </c>
      <c r="F256" s="1" t="str">
        <f>VLOOKUP(E256,'ESTRUTURA_MODULO(hide)'!$A$2:$D$230,2,FALSE)</f>
        <v>Almoxarifado</v>
      </c>
      <c r="G256" s="1" t="str">
        <f>VLOOKUP(E256,'ESTRUTURA_MODULO(hide)'!$A$2:$D$95,3,FALSE)</f>
        <v>Warehouse</v>
      </c>
      <c r="H256" s="1" t="str">
        <f>VLOOKUP(E256,'ESTRUTURA_MODULO(hide)'!$A$2:$D$95,4,FALSE)</f>
        <v>Ordenanza</v>
      </c>
      <c r="I256" s="37">
        <v>8</v>
      </c>
      <c r="J256" s="17" t="s">
        <v>2889</v>
      </c>
      <c r="K256" s="17" t="s">
        <v>2889</v>
      </c>
      <c r="L256" s="17" t="s">
        <v>2889</v>
      </c>
      <c r="M256" s="38" t="s">
        <v>2889</v>
      </c>
      <c r="N256" s="38" t="s">
        <v>2889</v>
      </c>
      <c r="O256" s="17" t="s">
        <v>2890</v>
      </c>
      <c r="P256" s="17" t="s">
        <v>2889</v>
      </c>
      <c r="T256" s="17" t="s">
        <v>2889</v>
      </c>
      <c r="U256" s="17" t="s">
        <v>2890</v>
      </c>
      <c r="V256" s="36"/>
      <c r="W256" s="17"/>
      <c r="X256" s="20">
        <v>12</v>
      </c>
    </row>
    <row r="257" spans="1:24">
      <c r="A257" s="1">
        <v>40</v>
      </c>
      <c r="B257" s="35" t="s">
        <v>1739</v>
      </c>
      <c r="C257" s="1" t="s">
        <v>1133</v>
      </c>
      <c r="D257" s="1" t="s">
        <v>1134</v>
      </c>
      <c r="E257" s="35">
        <v>99</v>
      </c>
      <c r="F257" s="1" t="str">
        <f>VLOOKUP(E257,'ESTRUTURA_MODULO(hide)'!$A$2:$D$230,2,FALSE)</f>
        <v>Almoxarifado</v>
      </c>
      <c r="G257" s="1" t="str">
        <f>VLOOKUP(E257,'ESTRUTURA_MODULO(hide)'!$A$2:$D$95,3,FALSE)</f>
        <v>Warehouse</v>
      </c>
      <c r="H257" s="1" t="str">
        <f>VLOOKUP(E257,'ESTRUTURA_MODULO(hide)'!$A$2:$D$95,4,FALSE)</f>
        <v>Ordenanza</v>
      </c>
      <c r="I257" s="37">
        <v>24</v>
      </c>
      <c r="J257" s="17" t="s">
        <v>2889</v>
      </c>
      <c r="K257" s="17" t="s">
        <v>2889</v>
      </c>
      <c r="L257" s="17" t="s">
        <v>2889</v>
      </c>
      <c r="M257" s="38" t="s">
        <v>2889</v>
      </c>
      <c r="N257" s="38" t="s">
        <v>2889</v>
      </c>
      <c r="O257" s="17" t="s">
        <v>2889</v>
      </c>
      <c r="P257" s="17" t="s">
        <v>2889</v>
      </c>
      <c r="T257" s="17" t="s">
        <v>2889</v>
      </c>
      <c r="U257" s="17" t="s">
        <v>2890</v>
      </c>
      <c r="V257" s="36"/>
      <c r="W257" s="17"/>
      <c r="X257" s="20">
        <v>32</v>
      </c>
    </row>
    <row r="258" spans="1:24">
      <c r="A258" s="1">
        <v>270</v>
      </c>
      <c r="B258" s="35" t="s">
        <v>109</v>
      </c>
      <c r="C258" s="1" t="s">
        <v>1131</v>
      </c>
      <c r="D258" s="1" t="s">
        <v>1132</v>
      </c>
      <c r="E258" s="35">
        <v>99</v>
      </c>
      <c r="F258" s="1" t="str">
        <f>VLOOKUP(E258,'ESTRUTURA_MODULO(hide)'!$A$2:$D$230,2,FALSE)</f>
        <v>Almoxarifado</v>
      </c>
      <c r="G258" s="1" t="str">
        <f>VLOOKUP(E258,'ESTRUTURA_MODULO(hide)'!$A$2:$D$95,3,FALSE)</f>
        <v>Warehouse</v>
      </c>
      <c r="H258" s="1" t="str">
        <f>VLOOKUP(E258,'ESTRUTURA_MODULO(hide)'!$A$2:$D$95,4,FALSE)</f>
        <v>Ordenanza</v>
      </c>
      <c r="I258" s="37">
        <v>8</v>
      </c>
      <c r="J258" s="17" t="s">
        <v>2890</v>
      </c>
      <c r="K258" s="17" t="s">
        <v>2889</v>
      </c>
      <c r="L258" s="17" t="s">
        <v>2889</v>
      </c>
      <c r="M258" s="38" t="s">
        <v>2889</v>
      </c>
      <c r="N258" s="38" t="s">
        <v>2889</v>
      </c>
      <c r="O258" s="17" t="s">
        <v>2890</v>
      </c>
      <c r="P258" s="17" t="s">
        <v>2890</v>
      </c>
      <c r="T258" s="17" t="s">
        <v>2889</v>
      </c>
      <c r="U258" s="17" t="s">
        <v>2890</v>
      </c>
      <c r="V258" s="36"/>
      <c r="W258" s="17"/>
      <c r="X258" s="20">
        <v>20</v>
      </c>
    </row>
    <row r="259" spans="1:24">
      <c r="A259" s="1">
        <v>185</v>
      </c>
      <c r="B259" s="426" t="s">
        <v>1703</v>
      </c>
      <c r="C259" s="1" t="s">
        <v>1704</v>
      </c>
      <c r="D259" s="1" t="s">
        <v>1705</v>
      </c>
      <c r="E259" s="1">
        <v>99</v>
      </c>
      <c r="F259" s="1" t="str">
        <f>VLOOKUP(E259,'ESTRUTURA_MODULO(hide)'!$A$2:$D$230,2,FALSE)</f>
        <v>Almoxarifado</v>
      </c>
      <c r="G259" s="1" t="str">
        <f>VLOOKUP(E259,'ESTRUTURA_MODULO(hide)'!$A$2:$D$95,3,FALSE)</f>
        <v>Warehouse</v>
      </c>
      <c r="H259" s="1" t="str">
        <f>VLOOKUP(E259,'ESTRUTURA_MODULO(hide)'!$A$2:$D$95,4,FALSE)</f>
        <v>Ordenanza</v>
      </c>
      <c r="I259" s="20">
        <v>0</v>
      </c>
      <c r="J259" s="17" t="s">
        <v>2890</v>
      </c>
      <c r="K259" s="17" t="s">
        <v>2890</v>
      </c>
      <c r="L259" s="17" t="s">
        <v>2890</v>
      </c>
      <c r="M259" s="17" t="s">
        <v>2890</v>
      </c>
      <c r="N259" s="17" t="s">
        <v>2890</v>
      </c>
      <c r="O259" s="17" t="s">
        <v>2890</v>
      </c>
      <c r="P259" s="17" t="s">
        <v>2890</v>
      </c>
      <c r="T259" s="17" t="s">
        <v>2889</v>
      </c>
      <c r="U259" s="17" t="s">
        <v>2890</v>
      </c>
      <c r="V259" s="21"/>
      <c r="W259" s="17"/>
      <c r="X259" s="20">
        <v>0</v>
      </c>
    </row>
    <row r="260" spans="1:24">
      <c r="A260" s="1">
        <v>109</v>
      </c>
      <c r="B260" s="35" t="s">
        <v>108</v>
      </c>
      <c r="C260" s="1" t="s">
        <v>1129</v>
      </c>
      <c r="D260" s="1" t="s">
        <v>1130</v>
      </c>
      <c r="E260" s="35">
        <v>99</v>
      </c>
      <c r="F260" s="1" t="str">
        <f>VLOOKUP(E260,'ESTRUTURA_MODULO(hide)'!$A$2:$D$230,2,FALSE)</f>
        <v>Almoxarifado</v>
      </c>
      <c r="G260" s="1" t="str">
        <f>VLOOKUP(E260,'ESTRUTURA_MODULO(hide)'!$A$2:$D$95,3,FALSE)</f>
        <v>Warehouse</v>
      </c>
      <c r="H260" s="1" t="str">
        <f>VLOOKUP(E260,'ESTRUTURA_MODULO(hide)'!$A$2:$D$95,4,FALSE)</f>
        <v>Ordenanza</v>
      </c>
      <c r="I260" s="37">
        <v>8</v>
      </c>
      <c r="J260" s="17" t="s">
        <v>2889</v>
      </c>
      <c r="K260" s="17" t="s">
        <v>2889</v>
      </c>
      <c r="L260" s="17" t="s">
        <v>2889</v>
      </c>
      <c r="M260" s="38" t="s">
        <v>2889</v>
      </c>
      <c r="N260" s="38" t="s">
        <v>2889</v>
      </c>
      <c r="O260" s="17" t="s">
        <v>2890</v>
      </c>
      <c r="P260" s="17" t="s">
        <v>2889</v>
      </c>
      <c r="T260" s="17" t="s">
        <v>2889</v>
      </c>
      <c r="U260" s="17" t="s">
        <v>2890</v>
      </c>
      <c r="V260" s="36"/>
      <c r="W260" s="17"/>
      <c r="X260" s="20">
        <v>12</v>
      </c>
    </row>
    <row r="261" spans="1:24">
      <c r="A261" s="1">
        <v>952</v>
      </c>
      <c r="B261" s="35" t="s">
        <v>309</v>
      </c>
      <c r="C261" s="1" t="s">
        <v>1137</v>
      </c>
      <c r="D261" s="1" t="s">
        <v>1139</v>
      </c>
      <c r="E261" s="35">
        <v>100</v>
      </c>
      <c r="F261" s="1" t="str">
        <f>VLOOKUP(E261,'ESTRUTURA_MODULO(hide)'!$A$2:$D$230,2,FALSE)</f>
        <v>Licitação</v>
      </c>
      <c r="G261" s="1" t="str">
        <f>VLOOKUP(E261,'ESTRUTURA_MODULO(hide)'!$A$2:$D$95,3,FALSE)</f>
        <v xml:space="preserve">Bidding </v>
      </c>
      <c r="H261" s="1" t="str">
        <f>VLOOKUP(E261,'ESTRUTURA_MODULO(hide)'!$A$2:$D$95,4,FALSE)</f>
        <v>Licitación</v>
      </c>
      <c r="I261" s="37">
        <v>40</v>
      </c>
      <c r="J261" s="17" t="s">
        <v>2890</v>
      </c>
      <c r="K261" s="17" t="s">
        <v>2889</v>
      </c>
      <c r="L261" s="17" t="s">
        <v>2889</v>
      </c>
      <c r="M261" s="38" t="s">
        <v>2889</v>
      </c>
      <c r="N261" s="38" t="s">
        <v>2889</v>
      </c>
      <c r="O261" s="17" t="s">
        <v>2889</v>
      </c>
      <c r="P261" s="17" t="s">
        <v>2889</v>
      </c>
      <c r="T261" s="17" t="s">
        <v>2889</v>
      </c>
      <c r="U261" s="17" t="s">
        <v>2890</v>
      </c>
      <c r="V261" s="36"/>
      <c r="W261" s="17"/>
      <c r="X261" s="20">
        <v>40</v>
      </c>
    </row>
    <row r="262" spans="1:24">
      <c r="A262" s="1">
        <v>953</v>
      </c>
      <c r="B262" s="1" t="s">
        <v>1141</v>
      </c>
      <c r="C262" s="1" t="s">
        <v>1142</v>
      </c>
      <c r="D262" s="1" t="s">
        <v>1141</v>
      </c>
      <c r="E262" s="1">
        <v>100</v>
      </c>
      <c r="F262" s="1" t="str">
        <f>VLOOKUP(E262,'ESTRUTURA_MODULO(hide)'!$A$2:$D$230,2,FALSE)</f>
        <v>Licitação</v>
      </c>
      <c r="G262" s="1" t="str">
        <f>VLOOKUP(E262,'ESTRUTURA_MODULO(hide)'!$A$2:$D$95,3,FALSE)</f>
        <v xml:space="preserve">Bidding </v>
      </c>
      <c r="H262" s="1" t="str">
        <f>VLOOKUP(E262,'ESTRUTURA_MODULO(hide)'!$A$2:$D$95,4,FALSE)</f>
        <v>Licitación</v>
      </c>
      <c r="I262" s="20">
        <v>0</v>
      </c>
      <c r="J262" s="17" t="s">
        <v>2890</v>
      </c>
      <c r="K262" s="17" t="s">
        <v>2890</v>
      </c>
      <c r="L262" s="17" t="s">
        <v>2890</v>
      </c>
      <c r="M262" s="17" t="s">
        <v>2890</v>
      </c>
      <c r="N262" s="17" t="s">
        <v>2890</v>
      </c>
      <c r="O262" s="17" t="s">
        <v>2890</v>
      </c>
      <c r="P262" s="17" t="s">
        <v>2890</v>
      </c>
      <c r="T262" s="17" t="s">
        <v>2889</v>
      </c>
      <c r="U262" s="17" t="s">
        <v>2890</v>
      </c>
      <c r="V262" s="21"/>
      <c r="W262" s="17"/>
      <c r="X262" s="20">
        <v>0</v>
      </c>
    </row>
    <row r="263" spans="1:24">
      <c r="A263" s="1">
        <v>918</v>
      </c>
      <c r="B263" s="1" t="s">
        <v>308</v>
      </c>
      <c r="C263" s="1" t="s">
        <v>1138</v>
      </c>
      <c r="D263" s="1" t="s">
        <v>1140</v>
      </c>
      <c r="E263" s="1">
        <v>100</v>
      </c>
      <c r="F263" s="1" t="str">
        <f>VLOOKUP(E263,'ESTRUTURA_MODULO(hide)'!$A$2:$D$230,2,FALSE)</f>
        <v>Licitação</v>
      </c>
      <c r="G263" s="1" t="str">
        <f>VLOOKUP(E263,'ESTRUTURA_MODULO(hide)'!$A$2:$D$95,3,FALSE)</f>
        <v xml:space="preserve">Bidding </v>
      </c>
      <c r="H263" s="1" t="str">
        <f>VLOOKUP(E263,'ESTRUTURA_MODULO(hide)'!$A$2:$D$95,4,FALSE)</f>
        <v>Licitación</v>
      </c>
      <c r="I263" s="20">
        <v>0</v>
      </c>
      <c r="J263" s="17" t="s">
        <v>2890</v>
      </c>
      <c r="K263" s="17" t="s">
        <v>2890</v>
      </c>
      <c r="L263" s="17" t="s">
        <v>2890</v>
      </c>
      <c r="M263" s="17" t="s">
        <v>2890</v>
      </c>
      <c r="N263" s="17" t="s">
        <v>2890</v>
      </c>
      <c r="O263" s="17" t="s">
        <v>2890</v>
      </c>
      <c r="P263" s="17" t="s">
        <v>2890</v>
      </c>
      <c r="T263" s="17" t="s">
        <v>2889</v>
      </c>
      <c r="U263" s="17" t="s">
        <v>2890</v>
      </c>
      <c r="V263" s="21"/>
      <c r="W263" s="17"/>
      <c r="X263" s="20">
        <v>0</v>
      </c>
    </row>
    <row r="264" spans="1:24">
      <c r="A264" s="1">
        <v>1116</v>
      </c>
      <c r="B264" s="35" t="s">
        <v>310</v>
      </c>
      <c r="C264" s="1" t="s">
        <v>1143</v>
      </c>
      <c r="D264" s="1" t="s">
        <v>1144</v>
      </c>
      <c r="E264" s="35">
        <v>101</v>
      </c>
      <c r="F264" s="1" t="str">
        <f>VLOOKUP(E264,'ESTRUTURA_MODULO(hide)'!$A$2:$D$230,2,FALSE)</f>
        <v>Auditoria</v>
      </c>
      <c r="G264" s="1" t="str">
        <f>VLOOKUP(E264,'ESTRUTURA_MODULO(hide)'!$A$2:$D$95,3,FALSE)</f>
        <v>Audit</v>
      </c>
      <c r="H264" s="1" t="str">
        <f>VLOOKUP(E264,'ESTRUTURA_MODULO(hide)'!$A$2:$D$95,4,FALSE)</f>
        <v>Auditoría</v>
      </c>
      <c r="I264" s="37">
        <v>32</v>
      </c>
      <c r="J264" s="17" t="s">
        <v>2889</v>
      </c>
      <c r="K264" s="17" t="s">
        <v>2889</v>
      </c>
      <c r="L264" s="17" t="s">
        <v>2889</v>
      </c>
      <c r="M264" s="38" t="s">
        <v>2889</v>
      </c>
      <c r="N264" s="38" t="s">
        <v>2889</v>
      </c>
      <c r="O264" s="17" t="s">
        <v>2889</v>
      </c>
      <c r="P264" s="17" t="s">
        <v>2889</v>
      </c>
      <c r="T264" s="17" t="s">
        <v>2889</v>
      </c>
      <c r="U264" s="17" t="s">
        <v>2890</v>
      </c>
      <c r="V264" s="36"/>
      <c r="W264" s="17"/>
      <c r="X264" s="20">
        <v>40</v>
      </c>
    </row>
    <row r="265" spans="1:24">
      <c r="A265" s="1">
        <v>3006</v>
      </c>
      <c r="B265" s="35" t="s">
        <v>311</v>
      </c>
      <c r="C265" s="1" t="s">
        <v>1150</v>
      </c>
      <c r="D265" s="1" t="s">
        <v>1151</v>
      </c>
      <c r="E265" s="35">
        <v>102</v>
      </c>
      <c r="F265" s="1" t="str">
        <f>VLOOKUP(E265,'ESTRUTURA_MODULO(hide)'!$A$2:$D$230,2,FALSE)</f>
        <v>Gestão de Autorizações</v>
      </c>
      <c r="G265" s="1" t="str">
        <f>VLOOKUP(E265,'ESTRUTURA_MODULO(hide)'!$A$2:$D$95,3,FALSE)</f>
        <v>Authorization Management</v>
      </c>
      <c r="H265" s="1" t="str">
        <f>VLOOKUP(E265,'ESTRUTURA_MODULO(hide)'!$A$2:$D$95,4,FALSE)</f>
        <v>Gestión de autorizaciones</v>
      </c>
      <c r="I265" s="37">
        <v>16</v>
      </c>
      <c r="J265" s="17" t="s">
        <v>2889</v>
      </c>
      <c r="K265" s="17" t="s">
        <v>2889</v>
      </c>
      <c r="L265" s="17" t="s">
        <v>2889</v>
      </c>
      <c r="M265" s="38" t="s">
        <v>2889</v>
      </c>
      <c r="N265" s="38" t="s">
        <v>2889</v>
      </c>
      <c r="O265" s="17" t="s">
        <v>2890</v>
      </c>
      <c r="P265" s="17" t="s">
        <v>2890</v>
      </c>
      <c r="T265" s="17" t="s">
        <v>2889</v>
      </c>
      <c r="U265" s="17" t="s">
        <v>2890</v>
      </c>
      <c r="V265" s="36"/>
      <c r="W265" s="17"/>
      <c r="X265" s="20">
        <v>24</v>
      </c>
    </row>
    <row r="266" spans="1:24">
      <c r="A266" s="1">
        <v>3004</v>
      </c>
      <c r="B266" s="35" t="s">
        <v>76</v>
      </c>
      <c r="C266" s="1" t="s">
        <v>1148</v>
      </c>
      <c r="D266" s="1" t="s">
        <v>1149</v>
      </c>
      <c r="E266" s="35">
        <v>102</v>
      </c>
      <c r="F266" s="1" t="str">
        <f>VLOOKUP(E266,'ESTRUTURA_MODULO(hide)'!$A$2:$D$230,2,FALSE)</f>
        <v>Gestão de Autorizações</v>
      </c>
      <c r="G266" s="1" t="str">
        <f>VLOOKUP(E266,'ESTRUTURA_MODULO(hide)'!$A$2:$D$95,3,FALSE)</f>
        <v>Authorization Management</v>
      </c>
      <c r="H266" s="1" t="str">
        <f>VLOOKUP(E266,'ESTRUTURA_MODULO(hide)'!$A$2:$D$95,4,FALSE)</f>
        <v>Gestión de autorizaciones</v>
      </c>
      <c r="I266" s="37">
        <v>16</v>
      </c>
      <c r="J266" s="17" t="s">
        <v>2889</v>
      </c>
      <c r="K266" s="17" t="s">
        <v>2889</v>
      </c>
      <c r="L266" s="17" t="s">
        <v>2889</v>
      </c>
      <c r="M266" s="38" t="s">
        <v>2889</v>
      </c>
      <c r="N266" s="38" t="s">
        <v>2889</v>
      </c>
      <c r="O266" s="17" t="s">
        <v>2889</v>
      </c>
      <c r="P266" s="17" t="s">
        <v>2889</v>
      </c>
      <c r="T266" s="17" t="s">
        <v>2889</v>
      </c>
      <c r="U266" s="17" t="s">
        <v>2890</v>
      </c>
      <c r="V266" s="36"/>
      <c r="W266" s="17"/>
      <c r="X266" s="20">
        <v>24</v>
      </c>
    </row>
    <row r="267" spans="1:24">
      <c r="A267" s="1">
        <v>1006</v>
      </c>
      <c r="B267" s="35" t="s">
        <v>78</v>
      </c>
      <c r="C267" s="1" t="s">
        <v>1147</v>
      </c>
      <c r="D267" s="1" t="s">
        <v>2865</v>
      </c>
      <c r="E267" s="35">
        <v>102</v>
      </c>
      <c r="F267" s="1" t="str">
        <f>VLOOKUP(E267,'ESTRUTURA_MODULO(hide)'!$A$2:$D$230,2,FALSE)</f>
        <v>Gestão de Autorizações</v>
      </c>
      <c r="G267" s="1" t="str">
        <f>VLOOKUP(E267,'ESTRUTURA_MODULO(hide)'!$A$2:$D$95,3,FALSE)</f>
        <v>Authorization Management</v>
      </c>
      <c r="H267" s="1" t="str">
        <f>VLOOKUP(E267,'ESTRUTURA_MODULO(hide)'!$A$2:$D$95,4,FALSE)</f>
        <v>Gestión de autorizaciones</v>
      </c>
      <c r="I267" s="37">
        <v>8</v>
      </c>
      <c r="J267" s="17" t="s">
        <v>2890</v>
      </c>
      <c r="K267" s="17" t="s">
        <v>2890</v>
      </c>
      <c r="L267" s="17" t="s">
        <v>2889</v>
      </c>
      <c r="M267" s="38" t="s">
        <v>2889</v>
      </c>
      <c r="N267" s="38" t="s">
        <v>2889</v>
      </c>
      <c r="O267" s="17" t="s">
        <v>2890</v>
      </c>
      <c r="P267" s="17" t="s">
        <v>2890</v>
      </c>
      <c r="T267" s="17" t="s">
        <v>2889</v>
      </c>
      <c r="U267" s="17" t="s">
        <v>2890</v>
      </c>
      <c r="V267" s="36"/>
      <c r="W267" s="17"/>
      <c r="X267" s="20">
        <v>8</v>
      </c>
    </row>
    <row r="268" spans="1:24">
      <c r="A268" s="1">
        <v>988</v>
      </c>
      <c r="B268" s="35" t="s">
        <v>77</v>
      </c>
      <c r="C268" s="1" t="s">
        <v>1145</v>
      </c>
      <c r="D268" s="1" t="s">
        <v>1146</v>
      </c>
      <c r="E268" s="35">
        <v>102</v>
      </c>
      <c r="F268" s="1" t="str">
        <f>VLOOKUP(E268,'ESTRUTURA_MODULO(hide)'!$A$2:$D$230,2,FALSE)</f>
        <v>Gestão de Autorizações</v>
      </c>
      <c r="G268" s="1" t="str">
        <f>VLOOKUP(E268,'ESTRUTURA_MODULO(hide)'!$A$2:$D$95,3,FALSE)</f>
        <v>Authorization Management</v>
      </c>
      <c r="H268" s="1" t="str">
        <f>VLOOKUP(E268,'ESTRUTURA_MODULO(hide)'!$A$2:$D$95,4,FALSE)</f>
        <v>Gestión de autorizaciones</v>
      </c>
      <c r="I268" s="37">
        <v>8</v>
      </c>
      <c r="J268" s="17" t="s">
        <v>2889</v>
      </c>
      <c r="K268" s="17" t="s">
        <v>2889</v>
      </c>
      <c r="L268" s="17" t="s">
        <v>2889</v>
      </c>
      <c r="M268" s="38" t="s">
        <v>2889</v>
      </c>
      <c r="N268" s="38" t="s">
        <v>2889</v>
      </c>
      <c r="O268" s="17" t="s">
        <v>2889</v>
      </c>
      <c r="P268" s="17" t="s">
        <v>2889</v>
      </c>
      <c r="T268" s="17" t="s">
        <v>2889</v>
      </c>
      <c r="U268" s="17" t="s">
        <v>2890</v>
      </c>
      <c r="V268" s="36"/>
      <c r="W268" s="17"/>
      <c r="X268" s="20">
        <v>16</v>
      </c>
    </row>
    <row r="269" spans="1:24">
      <c r="A269" s="1">
        <v>69</v>
      </c>
      <c r="B269" s="35" t="s">
        <v>105</v>
      </c>
      <c r="C269" s="1" t="s">
        <v>1152</v>
      </c>
      <c r="D269" s="1" t="s">
        <v>1153</v>
      </c>
      <c r="E269" s="35">
        <v>103</v>
      </c>
      <c r="F269" s="1" t="str">
        <f>VLOOKUP(E269,'ESTRUTURA_MODULO(hide)'!$A$2:$D$230,2,FALSE)</f>
        <v>Retorno de Convênios</v>
      </c>
      <c r="G269" s="1" t="str">
        <f>VLOOKUP(E269,'ESTRUTURA_MODULO(hide)'!$A$2:$D$95,3,FALSE)</f>
        <v>Health Insurance Refund</v>
      </c>
      <c r="H269" s="1" t="str">
        <f>VLOOKUP(E269,'ESTRUTURA_MODULO(hide)'!$A$2:$D$95,4,FALSE)</f>
        <v>Pago de Convenios</v>
      </c>
      <c r="I269" s="37">
        <v>24</v>
      </c>
      <c r="J269" s="17" t="s">
        <v>2889</v>
      </c>
      <c r="K269" s="17" t="s">
        <v>2889</v>
      </c>
      <c r="L269" s="17" t="s">
        <v>2889</v>
      </c>
      <c r="M269" s="38" t="s">
        <v>2889</v>
      </c>
      <c r="N269" s="38" t="s">
        <v>2889</v>
      </c>
      <c r="O269" s="17" t="s">
        <v>2889</v>
      </c>
      <c r="P269" s="17" t="s">
        <v>2889</v>
      </c>
      <c r="T269" s="17" t="s">
        <v>2889</v>
      </c>
      <c r="U269" s="17" t="s">
        <v>2890</v>
      </c>
      <c r="V269" s="36"/>
      <c r="W269" s="17"/>
      <c r="X269" s="20">
        <v>24</v>
      </c>
    </row>
    <row r="270" spans="1:24">
      <c r="A270" s="1">
        <v>27</v>
      </c>
      <c r="B270" s="35" t="s">
        <v>106</v>
      </c>
      <c r="C270" s="1" t="s">
        <v>1154</v>
      </c>
      <c r="D270" s="1" t="s">
        <v>1155</v>
      </c>
      <c r="E270" s="35">
        <v>103</v>
      </c>
      <c r="F270" s="1" t="str">
        <f>VLOOKUP(E270,'ESTRUTURA_MODULO(hide)'!$A$2:$D$230,2,FALSE)</f>
        <v>Retorno de Convênios</v>
      </c>
      <c r="G270" s="1" t="str">
        <f>VLOOKUP(E270,'ESTRUTURA_MODULO(hide)'!$A$2:$D$95,3,FALSE)</f>
        <v>Health Insurance Refund</v>
      </c>
      <c r="H270" s="1" t="str">
        <f>VLOOKUP(E270,'ESTRUTURA_MODULO(hide)'!$A$2:$D$95,4,FALSE)</f>
        <v>Pago de Convenios</v>
      </c>
      <c r="I270" s="37">
        <v>24</v>
      </c>
      <c r="J270" s="17" t="s">
        <v>2889</v>
      </c>
      <c r="K270" s="17" t="s">
        <v>2889</v>
      </c>
      <c r="L270" s="17" t="s">
        <v>2889</v>
      </c>
      <c r="M270" s="38" t="s">
        <v>2889</v>
      </c>
      <c r="N270" s="38" t="s">
        <v>2889</v>
      </c>
      <c r="O270" s="17" t="s">
        <v>2889</v>
      </c>
      <c r="P270" s="17" t="s">
        <v>2889</v>
      </c>
      <c r="T270" s="17" t="s">
        <v>2889</v>
      </c>
      <c r="U270" s="17" t="s">
        <v>2890</v>
      </c>
      <c r="V270" s="36"/>
      <c r="W270" s="17"/>
      <c r="X270" s="20">
        <v>40</v>
      </c>
    </row>
    <row r="271" spans="1:24">
      <c r="A271" s="1">
        <v>92</v>
      </c>
      <c r="B271" s="35" t="s">
        <v>103</v>
      </c>
      <c r="C271" s="1" t="s">
        <v>1164</v>
      </c>
      <c r="D271" s="1" t="s">
        <v>1165</v>
      </c>
      <c r="E271" s="35">
        <v>104</v>
      </c>
      <c r="F271" s="1" t="str">
        <f>VLOOKUP(E271,'ESTRUTURA_MODULO(hide)'!$A$2:$D$230,2,FALSE)</f>
        <v>Repasse a Terceiros</v>
      </c>
      <c r="G271" s="1" t="str">
        <f>VLOOKUP(E271,'ESTRUTURA_MODULO(hide)'!$A$2:$D$95,3,FALSE)</f>
        <v>Transfer to third parties</v>
      </c>
      <c r="H271" s="1" t="str">
        <f>VLOOKUP(E271,'ESTRUTURA_MODULO(hide)'!$A$2:$D$95,4,FALSE)</f>
        <v>Traspaso a la terceros</v>
      </c>
      <c r="I271" s="37">
        <v>24</v>
      </c>
      <c r="J271" s="17" t="s">
        <v>2889</v>
      </c>
      <c r="K271" s="17" t="s">
        <v>2889</v>
      </c>
      <c r="L271" s="17" t="s">
        <v>2889</v>
      </c>
      <c r="M271" s="38" t="s">
        <v>2889</v>
      </c>
      <c r="N271" s="38" t="s">
        <v>2889</v>
      </c>
      <c r="O271" s="17" t="s">
        <v>2890</v>
      </c>
      <c r="P271" s="17" t="s">
        <v>2889</v>
      </c>
      <c r="T271" s="17" t="s">
        <v>2889</v>
      </c>
      <c r="U271" s="17" t="s">
        <v>2890</v>
      </c>
      <c r="V271" s="36"/>
      <c r="W271" s="17"/>
      <c r="X271" s="20">
        <v>32</v>
      </c>
    </row>
    <row r="272" spans="1:24">
      <c r="A272" s="1">
        <v>1008</v>
      </c>
      <c r="B272" s="35" t="s">
        <v>312</v>
      </c>
      <c r="C272" s="1" t="s">
        <v>1160</v>
      </c>
      <c r="D272" s="1" t="s">
        <v>1161</v>
      </c>
      <c r="E272" s="35">
        <v>104</v>
      </c>
      <c r="F272" s="1" t="str">
        <f>VLOOKUP(E272,'ESTRUTURA_MODULO(hide)'!$A$2:$D$230,2,FALSE)</f>
        <v>Repasse a Terceiros</v>
      </c>
      <c r="G272" s="1" t="str">
        <f>VLOOKUP(E272,'ESTRUTURA_MODULO(hide)'!$A$2:$D$95,3,FALSE)</f>
        <v>Transfer to third parties</v>
      </c>
      <c r="H272" s="1" t="str">
        <f>VLOOKUP(E272,'ESTRUTURA_MODULO(hide)'!$A$2:$D$95,4,FALSE)</f>
        <v>Traspaso a la terceros</v>
      </c>
      <c r="I272" s="37">
        <v>8</v>
      </c>
      <c r="J272" s="17" t="s">
        <v>2890</v>
      </c>
      <c r="K272" s="17" t="s">
        <v>2889</v>
      </c>
      <c r="L272" s="17" t="s">
        <v>2889</v>
      </c>
      <c r="M272" s="38" t="s">
        <v>2889</v>
      </c>
      <c r="N272" s="38" t="s">
        <v>2889</v>
      </c>
      <c r="O272" s="17" t="s">
        <v>2890</v>
      </c>
      <c r="P272" s="17" t="s">
        <v>2890</v>
      </c>
      <c r="T272" s="17" t="s">
        <v>2889</v>
      </c>
      <c r="U272" s="17" t="s">
        <v>2890</v>
      </c>
      <c r="V272" s="36"/>
      <c r="W272" s="17"/>
      <c r="X272" s="20">
        <v>16</v>
      </c>
    </row>
    <row r="273" spans="1:24">
      <c r="A273" s="1">
        <v>907</v>
      </c>
      <c r="B273" s="35" t="s">
        <v>102</v>
      </c>
      <c r="C273" s="1" t="s">
        <v>1162</v>
      </c>
      <c r="D273" s="1" t="s">
        <v>1163</v>
      </c>
      <c r="E273" s="35">
        <v>104</v>
      </c>
      <c r="F273" s="1" t="str">
        <f>VLOOKUP(E273,'ESTRUTURA_MODULO(hide)'!$A$2:$D$230,2,FALSE)</f>
        <v>Repasse a Terceiros</v>
      </c>
      <c r="G273" s="1" t="str">
        <f>VLOOKUP(E273,'ESTRUTURA_MODULO(hide)'!$A$2:$D$95,3,FALSE)</f>
        <v>Transfer to third parties</v>
      </c>
      <c r="H273" s="1" t="str">
        <f>VLOOKUP(E273,'ESTRUTURA_MODULO(hide)'!$A$2:$D$95,4,FALSE)</f>
        <v>Traspaso a la terceros</v>
      </c>
      <c r="I273" s="37">
        <v>8</v>
      </c>
      <c r="J273" s="17" t="s">
        <v>2890</v>
      </c>
      <c r="K273" s="17" t="s">
        <v>2890</v>
      </c>
      <c r="L273" s="17" t="s">
        <v>2889</v>
      </c>
      <c r="M273" s="38" t="s">
        <v>2889</v>
      </c>
      <c r="N273" s="38" t="s">
        <v>2889</v>
      </c>
      <c r="O273" s="17" t="s">
        <v>2890</v>
      </c>
      <c r="P273" s="17" t="s">
        <v>2890</v>
      </c>
      <c r="T273" s="17" t="s">
        <v>2889</v>
      </c>
      <c r="U273" s="17" t="s">
        <v>2890</v>
      </c>
      <c r="V273" s="36"/>
      <c r="W273" s="17"/>
      <c r="X273" s="20">
        <v>16</v>
      </c>
    </row>
    <row r="274" spans="1:24">
      <c r="A274" s="1">
        <v>89</v>
      </c>
      <c r="B274" s="35" t="s">
        <v>104</v>
      </c>
      <c r="C274" s="1" t="s">
        <v>1156</v>
      </c>
      <c r="D274" s="1" t="s">
        <v>1158</v>
      </c>
      <c r="E274" s="35">
        <v>104</v>
      </c>
      <c r="F274" s="1" t="str">
        <f>VLOOKUP(E274,'ESTRUTURA_MODULO(hide)'!$A$2:$D$230,2,FALSE)</f>
        <v>Repasse a Terceiros</v>
      </c>
      <c r="G274" s="1" t="str">
        <f>VLOOKUP(E274,'ESTRUTURA_MODULO(hide)'!$A$2:$D$95,3,FALSE)</f>
        <v>Transfer to third parties</v>
      </c>
      <c r="H274" s="1" t="str">
        <f>VLOOKUP(E274,'ESTRUTURA_MODULO(hide)'!$A$2:$D$95,4,FALSE)</f>
        <v>Traspaso a la terceros</v>
      </c>
      <c r="I274" s="37">
        <v>24</v>
      </c>
      <c r="J274" s="17" t="s">
        <v>2889</v>
      </c>
      <c r="K274" s="17" t="s">
        <v>2889</v>
      </c>
      <c r="L274" s="17" t="s">
        <v>2889</v>
      </c>
      <c r="M274" s="38" t="s">
        <v>2889</v>
      </c>
      <c r="N274" s="38" t="s">
        <v>2889</v>
      </c>
      <c r="O274" s="17" t="s">
        <v>2889</v>
      </c>
      <c r="P274" s="17" t="s">
        <v>2889</v>
      </c>
      <c r="T274" s="17" t="s">
        <v>2889</v>
      </c>
      <c r="U274" s="17" t="s">
        <v>2890</v>
      </c>
      <c r="V274" s="36"/>
      <c r="W274" s="17"/>
      <c r="X274" s="20">
        <v>32</v>
      </c>
    </row>
    <row r="275" spans="1:24">
      <c r="A275" s="1">
        <v>4000</v>
      </c>
      <c r="B275" s="35" t="s">
        <v>316</v>
      </c>
      <c r="C275" s="1" t="s">
        <v>1169</v>
      </c>
      <c r="D275" s="1" t="s">
        <v>1170</v>
      </c>
      <c r="E275" s="35">
        <v>105</v>
      </c>
      <c r="F275" s="1" t="str">
        <f>VLOOKUP(E275,'ESTRUTURA_MODULO(hide)'!$A$2:$D$230,2,FALSE)</f>
        <v>Qualidade</v>
      </c>
      <c r="G275" s="1" t="str">
        <f>VLOOKUP(E275,'ESTRUTURA_MODULO(hide)'!$A$2:$D$95,3,FALSE)</f>
        <v xml:space="preserve">Quality </v>
      </c>
      <c r="H275" s="1" t="str">
        <f>VLOOKUP(E275,'ESTRUTURA_MODULO(hide)'!$A$2:$D$95,4,FALSE)</f>
        <v>Calidad</v>
      </c>
      <c r="I275" s="37">
        <v>40</v>
      </c>
      <c r="J275" s="17" t="s">
        <v>2889</v>
      </c>
      <c r="K275" s="17" t="s">
        <v>2889</v>
      </c>
      <c r="L275" s="17" t="s">
        <v>2889</v>
      </c>
      <c r="M275" s="38" t="s">
        <v>2889</v>
      </c>
      <c r="N275" s="38" t="s">
        <v>2889</v>
      </c>
      <c r="O275" s="17" t="s">
        <v>2889</v>
      </c>
      <c r="P275" s="17" t="s">
        <v>2889</v>
      </c>
      <c r="T275" s="17" t="s">
        <v>2889</v>
      </c>
      <c r="U275" s="17" t="s">
        <v>2890</v>
      </c>
      <c r="V275" s="36"/>
      <c r="W275" s="17"/>
      <c r="X275" s="20">
        <v>60</v>
      </c>
    </row>
    <row r="276" spans="1:24">
      <c r="A276" s="1">
        <v>243</v>
      </c>
      <c r="B276" s="1" t="s">
        <v>319</v>
      </c>
      <c r="C276" s="1" t="s">
        <v>1168</v>
      </c>
      <c r="D276" s="1" t="s">
        <v>319</v>
      </c>
      <c r="E276" s="1">
        <v>105</v>
      </c>
      <c r="F276" s="1" t="str">
        <f>VLOOKUP(E276,'ESTRUTURA_MODULO(hide)'!$A$2:$D$230,2,FALSE)</f>
        <v>Qualidade</v>
      </c>
      <c r="G276" s="1" t="str">
        <f>VLOOKUP(E276,'ESTRUTURA_MODULO(hide)'!$A$2:$D$95,3,FALSE)</f>
        <v xml:space="preserve">Quality </v>
      </c>
      <c r="H276" s="1" t="str">
        <f>VLOOKUP(E276,'ESTRUTURA_MODULO(hide)'!$A$2:$D$95,4,FALSE)</f>
        <v>Calidad</v>
      </c>
      <c r="I276" s="20">
        <v>0</v>
      </c>
      <c r="J276" s="17" t="s">
        <v>2890</v>
      </c>
      <c r="K276" s="17" t="s">
        <v>2890</v>
      </c>
      <c r="L276" s="17" t="s">
        <v>2890</v>
      </c>
      <c r="M276" s="17" t="s">
        <v>2890</v>
      </c>
      <c r="N276" s="17" t="s">
        <v>2890</v>
      </c>
      <c r="O276" s="17" t="s">
        <v>2890</v>
      </c>
      <c r="P276" s="17" t="s">
        <v>2890</v>
      </c>
      <c r="T276" s="17" t="s">
        <v>2889</v>
      </c>
      <c r="U276" s="17" t="s">
        <v>2890</v>
      </c>
      <c r="V276" s="21"/>
      <c r="W276" s="17"/>
      <c r="X276" s="20">
        <v>0</v>
      </c>
    </row>
    <row r="277" spans="1:24">
      <c r="A277" s="1">
        <v>7032</v>
      </c>
      <c r="B277" s="35" t="s">
        <v>318</v>
      </c>
      <c r="C277" s="1" t="s">
        <v>1166</v>
      </c>
      <c r="D277" s="1" t="s">
        <v>1167</v>
      </c>
      <c r="E277" s="35">
        <v>105</v>
      </c>
      <c r="F277" s="1" t="str">
        <f>VLOOKUP(E277,'ESTRUTURA_MODULO(hide)'!$A$2:$D$230,2,FALSE)</f>
        <v>Qualidade</v>
      </c>
      <c r="G277" s="1" t="str">
        <f>VLOOKUP(E277,'ESTRUTURA_MODULO(hide)'!$A$2:$D$95,3,FALSE)</f>
        <v xml:space="preserve">Quality </v>
      </c>
      <c r="H277" s="1" t="str">
        <f>VLOOKUP(E277,'ESTRUTURA_MODULO(hide)'!$A$2:$D$95,4,FALSE)</f>
        <v>Calidad</v>
      </c>
      <c r="I277" s="37">
        <v>8</v>
      </c>
      <c r="J277" s="17" t="s">
        <v>2890</v>
      </c>
      <c r="K277" s="17" t="s">
        <v>2889</v>
      </c>
      <c r="L277" s="17" t="s">
        <v>2889</v>
      </c>
      <c r="M277" s="38" t="s">
        <v>2889</v>
      </c>
      <c r="N277" s="38" t="s">
        <v>2889</v>
      </c>
      <c r="O277" s="17" t="s">
        <v>2890</v>
      </c>
      <c r="P277" s="17" t="s">
        <v>2890</v>
      </c>
      <c r="T277" s="17" t="s">
        <v>2889</v>
      </c>
      <c r="U277" s="17" t="s">
        <v>2890</v>
      </c>
      <c r="V277" s="36"/>
      <c r="W277" s="17"/>
      <c r="X277" s="20">
        <v>24</v>
      </c>
    </row>
    <row r="278" spans="1:24">
      <c r="A278" s="1">
        <v>63</v>
      </c>
      <c r="B278" s="35" t="s">
        <v>317</v>
      </c>
      <c r="C278" s="1" t="s">
        <v>1171</v>
      </c>
      <c r="D278" s="1" t="s">
        <v>1172</v>
      </c>
      <c r="E278" s="35">
        <v>105</v>
      </c>
      <c r="F278" s="1" t="str">
        <f>VLOOKUP(E278,'ESTRUTURA_MODULO(hide)'!$A$2:$D$230,2,FALSE)</f>
        <v>Qualidade</v>
      </c>
      <c r="G278" s="1" t="str">
        <f>VLOOKUP(E278,'ESTRUTURA_MODULO(hide)'!$A$2:$D$95,3,FALSE)</f>
        <v xml:space="preserve">Quality </v>
      </c>
      <c r="H278" s="1" t="str">
        <f>VLOOKUP(E278,'ESTRUTURA_MODULO(hide)'!$A$2:$D$95,4,FALSE)</f>
        <v>Calidad</v>
      </c>
      <c r="I278" s="37">
        <v>32</v>
      </c>
      <c r="J278" s="17" t="s">
        <v>2890</v>
      </c>
      <c r="K278" s="17" t="s">
        <v>2889</v>
      </c>
      <c r="L278" s="17" t="s">
        <v>2889</v>
      </c>
      <c r="M278" s="38" t="s">
        <v>2889</v>
      </c>
      <c r="N278" s="38" t="s">
        <v>2889</v>
      </c>
      <c r="O278" s="17" t="s">
        <v>2890</v>
      </c>
      <c r="P278" s="17" t="s">
        <v>2890</v>
      </c>
      <c r="T278" s="17" t="s">
        <v>2889</v>
      </c>
      <c r="U278" s="17" t="s">
        <v>2890</v>
      </c>
      <c r="V278" s="36"/>
      <c r="W278" s="17"/>
      <c r="X278" s="20">
        <v>40</v>
      </c>
    </row>
    <row r="279" spans="1:24">
      <c r="A279" s="1">
        <v>7007</v>
      </c>
      <c r="B279" s="35" t="s">
        <v>314</v>
      </c>
      <c r="C279" s="1" t="s">
        <v>1175</v>
      </c>
      <c r="D279" s="1" t="s">
        <v>1176</v>
      </c>
      <c r="E279" s="35">
        <v>105</v>
      </c>
      <c r="F279" s="1" t="str">
        <f>VLOOKUP(E279,'ESTRUTURA_MODULO(hide)'!$A$2:$D$230,2,FALSE)</f>
        <v>Qualidade</v>
      </c>
      <c r="G279" s="1" t="str">
        <f>VLOOKUP(E279,'ESTRUTURA_MODULO(hide)'!$A$2:$D$95,3,FALSE)</f>
        <v xml:space="preserve">Quality </v>
      </c>
      <c r="H279" s="1" t="str">
        <f>VLOOKUP(E279,'ESTRUTURA_MODULO(hide)'!$A$2:$D$95,4,FALSE)</f>
        <v>Calidad</v>
      </c>
      <c r="I279" s="37">
        <v>8</v>
      </c>
      <c r="J279" s="17" t="s">
        <v>2890</v>
      </c>
      <c r="K279" s="17" t="s">
        <v>2889</v>
      </c>
      <c r="L279" s="17" t="s">
        <v>2889</v>
      </c>
      <c r="M279" s="38" t="s">
        <v>2889</v>
      </c>
      <c r="N279" s="38" t="s">
        <v>2889</v>
      </c>
      <c r="O279" s="17" t="s">
        <v>2890</v>
      </c>
      <c r="P279" s="17" t="s">
        <v>2890</v>
      </c>
      <c r="T279" s="17" t="s">
        <v>2889</v>
      </c>
      <c r="U279" s="17" t="s">
        <v>2890</v>
      </c>
      <c r="V279" s="36"/>
      <c r="W279" s="17"/>
      <c r="X279" s="20">
        <v>32</v>
      </c>
    </row>
    <row r="280" spans="1:24">
      <c r="A280" s="1">
        <v>17</v>
      </c>
      <c r="B280" s="426" t="s">
        <v>320</v>
      </c>
      <c r="C280" s="1" t="s">
        <v>1177</v>
      </c>
      <c r="D280" s="1" t="s">
        <v>1178</v>
      </c>
      <c r="E280" s="1">
        <v>105</v>
      </c>
      <c r="F280" s="1" t="str">
        <f>VLOOKUP(E280,'ESTRUTURA_MODULO(hide)'!$A$2:$D$230,2,FALSE)</f>
        <v>Qualidade</v>
      </c>
      <c r="G280" s="1" t="str">
        <f>VLOOKUP(E280,'ESTRUTURA_MODULO(hide)'!$A$2:$D$95,3,FALSE)</f>
        <v xml:space="preserve">Quality </v>
      </c>
      <c r="H280" s="1" t="str">
        <f>VLOOKUP(E280,'ESTRUTURA_MODULO(hide)'!$A$2:$D$95,4,FALSE)</f>
        <v>Calidad</v>
      </c>
      <c r="I280" s="20">
        <v>0</v>
      </c>
      <c r="J280" s="17" t="s">
        <v>2890</v>
      </c>
      <c r="K280" s="17" t="s">
        <v>2890</v>
      </c>
      <c r="L280" s="17" t="s">
        <v>2890</v>
      </c>
      <c r="M280" s="17" t="s">
        <v>2890</v>
      </c>
      <c r="N280" s="17" t="s">
        <v>2890</v>
      </c>
      <c r="O280" s="17" t="s">
        <v>2890</v>
      </c>
      <c r="P280" s="17" t="s">
        <v>2890</v>
      </c>
      <c r="T280" s="17" t="s">
        <v>2889</v>
      </c>
      <c r="U280" s="17" t="s">
        <v>2890</v>
      </c>
      <c r="V280" s="21"/>
      <c r="W280" s="17"/>
      <c r="X280" s="20">
        <v>0</v>
      </c>
    </row>
    <row r="281" spans="1:24">
      <c r="A281" s="1">
        <v>4003</v>
      </c>
      <c r="B281" s="1" t="s">
        <v>315</v>
      </c>
      <c r="C281" s="1" t="s">
        <v>1173</v>
      </c>
      <c r="D281" s="1" t="s">
        <v>1174</v>
      </c>
      <c r="E281" s="1">
        <v>105</v>
      </c>
      <c r="F281" s="1" t="str">
        <f>VLOOKUP(E281,'ESTRUTURA_MODULO(hide)'!$A$2:$D$230,2,FALSE)</f>
        <v>Qualidade</v>
      </c>
      <c r="G281" s="1" t="str">
        <f>VLOOKUP(E281,'ESTRUTURA_MODULO(hide)'!$A$2:$D$95,3,FALSE)</f>
        <v xml:space="preserve">Quality </v>
      </c>
      <c r="H281" s="1" t="str">
        <f>VLOOKUP(E281,'ESTRUTURA_MODULO(hide)'!$A$2:$D$95,4,FALSE)</f>
        <v>Calidad</v>
      </c>
      <c r="I281" s="20">
        <v>0</v>
      </c>
      <c r="J281" s="17" t="s">
        <v>2890</v>
      </c>
      <c r="K281" s="17" t="s">
        <v>2890</v>
      </c>
      <c r="L281" s="17" t="s">
        <v>2890</v>
      </c>
      <c r="M281" s="17" t="s">
        <v>2890</v>
      </c>
      <c r="N281" s="17" t="s">
        <v>2890</v>
      </c>
      <c r="O281" s="17" t="s">
        <v>2890</v>
      </c>
      <c r="P281" s="17" t="s">
        <v>2890</v>
      </c>
      <c r="T281" s="17" t="s">
        <v>2889</v>
      </c>
      <c r="U281" s="17" t="s">
        <v>2890</v>
      </c>
      <c r="V281" s="21"/>
      <c r="W281" s="17"/>
      <c r="X281" s="20">
        <v>0</v>
      </c>
    </row>
    <row r="282" spans="1:24">
      <c r="A282" s="1">
        <v>-757</v>
      </c>
      <c r="B282" s="426" t="s">
        <v>1740</v>
      </c>
      <c r="C282" s="1" t="s">
        <v>1741</v>
      </c>
      <c r="D282" s="1" t="s">
        <v>1742</v>
      </c>
      <c r="E282" s="1">
        <v>3</v>
      </c>
      <c r="F282" s="1" t="str">
        <f>VLOOKUP(E282,'ESTRUTURA_MODULO(hide)'!$A$2:$D$230,2,FALSE)</f>
        <v>Cadastros e Funções Gerais</v>
      </c>
      <c r="G282" s="1" t="str">
        <f>VLOOKUP(E282,'ESTRUTURA_MODULO(hide)'!$A$2:$D$95,3,FALSE)</f>
        <v>General Records and Functions</v>
      </c>
      <c r="H282" s="1" t="str">
        <f>VLOOKUP(E282,'ESTRUTURA_MODULO(hide)'!$A$2:$D$95,4,FALSE)</f>
        <v>Registros y Funciones Generales</v>
      </c>
      <c r="I282" s="20">
        <v>0</v>
      </c>
      <c r="J282" s="17" t="s">
        <v>2890</v>
      </c>
      <c r="K282" s="17" t="s">
        <v>2890</v>
      </c>
      <c r="L282" s="17" t="s">
        <v>2890</v>
      </c>
      <c r="M282" s="17" t="s">
        <v>2890</v>
      </c>
      <c r="N282" s="17" t="s">
        <v>2890</v>
      </c>
      <c r="O282" s="17" t="s">
        <v>2890</v>
      </c>
      <c r="P282" s="17" t="s">
        <v>2890</v>
      </c>
      <c r="T282" s="17" t="s">
        <v>2889</v>
      </c>
      <c r="U282" s="17" t="s">
        <v>2890</v>
      </c>
      <c r="V282" s="21"/>
      <c r="W282" s="17"/>
      <c r="X282" s="20">
        <v>0</v>
      </c>
    </row>
    <row r="283" spans="1:24">
      <c r="A283" s="1">
        <v>400</v>
      </c>
      <c r="B283" s="1" t="s">
        <v>328</v>
      </c>
      <c r="C283" s="1" t="s">
        <v>498</v>
      </c>
      <c r="D283" s="1" t="s">
        <v>499</v>
      </c>
      <c r="E283" s="1">
        <v>3</v>
      </c>
      <c r="F283" s="1" t="str">
        <f>VLOOKUP(E283,'ESTRUTURA_MODULO(hide)'!$A$2:$D$230,2,FALSE)</f>
        <v>Cadastros e Funções Gerais</v>
      </c>
      <c r="G283" s="1" t="str">
        <f>VLOOKUP(E283,'ESTRUTURA_MODULO(hide)'!$A$2:$D$95,3,FALSE)</f>
        <v>General Records and Functions</v>
      </c>
      <c r="H283" s="1" t="str">
        <f>VLOOKUP(E283,'ESTRUTURA_MODULO(hide)'!$A$2:$D$95,4,FALSE)</f>
        <v>Registros y Funciones Generales</v>
      </c>
      <c r="I283" s="20">
        <v>0</v>
      </c>
      <c r="J283" s="17" t="s">
        <v>2890</v>
      </c>
      <c r="K283" s="17" t="s">
        <v>2890</v>
      </c>
      <c r="L283" s="17" t="s">
        <v>2890</v>
      </c>
      <c r="M283" s="17" t="s">
        <v>2890</v>
      </c>
      <c r="N283" s="17" t="s">
        <v>2890</v>
      </c>
      <c r="O283" s="17" t="s">
        <v>2890</v>
      </c>
      <c r="P283" s="17" t="s">
        <v>2890</v>
      </c>
      <c r="T283" s="17" t="s">
        <v>2889</v>
      </c>
      <c r="U283" s="17" t="s">
        <v>2890</v>
      </c>
      <c r="V283" s="21"/>
      <c r="W283" s="17"/>
      <c r="X283" s="20">
        <v>0</v>
      </c>
    </row>
    <row r="284" spans="1:24">
      <c r="A284" s="1">
        <v>178</v>
      </c>
      <c r="B284" s="426" t="s">
        <v>164</v>
      </c>
      <c r="C284" s="1" t="s">
        <v>504</v>
      </c>
      <c r="D284" s="1" t="s">
        <v>505</v>
      </c>
      <c r="E284" s="1">
        <v>3</v>
      </c>
      <c r="F284" s="1" t="str">
        <f>VLOOKUP(E284,'ESTRUTURA_MODULO(hide)'!$A$2:$D$230,2,FALSE)</f>
        <v>Cadastros e Funções Gerais</v>
      </c>
      <c r="G284" s="1" t="str">
        <f>VLOOKUP(E284,'ESTRUTURA_MODULO(hide)'!$A$2:$D$95,3,FALSE)</f>
        <v>General Records and Functions</v>
      </c>
      <c r="H284" s="1" t="str">
        <f>VLOOKUP(E284,'ESTRUTURA_MODULO(hide)'!$A$2:$D$95,4,FALSE)</f>
        <v>Registros y Funciones Generales</v>
      </c>
      <c r="I284" s="20">
        <v>0</v>
      </c>
      <c r="J284" s="17" t="s">
        <v>2890</v>
      </c>
      <c r="K284" s="17" t="s">
        <v>2890</v>
      </c>
      <c r="L284" s="17" t="s">
        <v>2890</v>
      </c>
      <c r="M284" s="17" t="s">
        <v>2890</v>
      </c>
      <c r="N284" s="17" t="s">
        <v>2890</v>
      </c>
      <c r="O284" s="17" t="s">
        <v>2890</v>
      </c>
      <c r="P284" s="17" t="s">
        <v>2890</v>
      </c>
      <c r="T284" s="17" t="s">
        <v>2889</v>
      </c>
      <c r="U284" s="17" t="s">
        <v>2890</v>
      </c>
      <c r="V284" s="21"/>
      <c r="W284" s="17"/>
      <c r="X284" s="20">
        <v>0</v>
      </c>
    </row>
    <row r="285" spans="1:24">
      <c r="A285" s="1">
        <v>25</v>
      </c>
      <c r="B285" s="35" t="s">
        <v>47</v>
      </c>
      <c r="C285" s="1" t="s">
        <v>488</v>
      </c>
      <c r="D285" s="1" t="s">
        <v>489</v>
      </c>
      <c r="E285" s="35">
        <v>3</v>
      </c>
      <c r="F285" s="1" t="str">
        <f>VLOOKUP(E285,'ESTRUTURA_MODULO(hide)'!$A$2:$D$230,2,FALSE)</f>
        <v>Cadastros e Funções Gerais</v>
      </c>
      <c r="G285" s="1" t="str">
        <f>VLOOKUP(E285,'ESTRUTURA_MODULO(hide)'!$A$2:$D$95,3,FALSE)</f>
        <v>General Records and Functions</v>
      </c>
      <c r="H285" s="1" t="str">
        <f>VLOOKUP(E285,'ESTRUTURA_MODULO(hide)'!$A$2:$D$95,4,FALSE)</f>
        <v>Registros y Funciones Generales</v>
      </c>
      <c r="I285" s="37">
        <v>10</v>
      </c>
      <c r="J285" s="17" t="s">
        <v>2889</v>
      </c>
      <c r="K285" s="17" t="s">
        <v>2889</v>
      </c>
      <c r="L285" s="17" t="s">
        <v>2889</v>
      </c>
      <c r="M285" s="38" t="s">
        <v>2889</v>
      </c>
      <c r="N285" s="38" t="s">
        <v>2889</v>
      </c>
      <c r="O285" s="17" t="s">
        <v>2889</v>
      </c>
      <c r="P285" s="17" t="s">
        <v>2889</v>
      </c>
      <c r="T285" s="17" t="s">
        <v>2889</v>
      </c>
      <c r="U285" s="17" t="s">
        <v>2890</v>
      </c>
      <c r="V285" s="36"/>
      <c r="W285" s="17"/>
      <c r="X285" s="20">
        <v>20</v>
      </c>
    </row>
    <row r="286" spans="1:24">
      <c r="A286" s="1">
        <v>705</v>
      </c>
      <c r="B286" s="35" t="s">
        <v>159</v>
      </c>
      <c r="C286" s="1" t="s">
        <v>487</v>
      </c>
      <c r="D286" s="1" t="s">
        <v>159</v>
      </c>
      <c r="E286" s="35">
        <v>3</v>
      </c>
      <c r="F286" s="1" t="str">
        <f>VLOOKUP(E286,'ESTRUTURA_MODULO(hide)'!$A$2:$D$230,2,FALSE)</f>
        <v>Cadastros e Funções Gerais</v>
      </c>
      <c r="G286" s="1" t="str">
        <f>VLOOKUP(E286,'ESTRUTURA_MODULO(hide)'!$A$2:$D$95,3,FALSE)</f>
        <v>General Records and Functions</v>
      </c>
      <c r="H286" s="1" t="str">
        <f>VLOOKUP(E286,'ESTRUTURA_MODULO(hide)'!$A$2:$D$95,4,FALSE)</f>
        <v>Registros y Funciones Generales</v>
      </c>
      <c r="I286" s="37">
        <v>12</v>
      </c>
      <c r="J286" s="17" t="s">
        <v>2889</v>
      </c>
      <c r="K286" s="17" t="s">
        <v>2889</v>
      </c>
      <c r="L286" s="17" t="s">
        <v>2889</v>
      </c>
      <c r="M286" s="38" t="s">
        <v>2889</v>
      </c>
      <c r="N286" s="38" t="s">
        <v>2889</v>
      </c>
      <c r="O286" s="17" t="s">
        <v>2889</v>
      </c>
      <c r="P286" s="17" t="s">
        <v>2889</v>
      </c>
      <c r="T286" s="17" t="s">
        <v>2889</v>
      </c>
      <c r="U286" s="17" t="s">
        <v>2890</v>
      </c>
      <c r="V286" s="36"/>
      <c r="W286" s="17"/>
      <c r="X286" s="20">
        <v>24</v>
      </c>
    </row>
    <row r="287" spans="1:24">
      <c r="A287" s="1">
        <v>5513</v>
      </c>
      <c r="B287" s="35" t="s">
        <v>158</v>
      </c>
      <c r="C287" s="1" t="s">
        <v>494</v>
      </c>
      <c r="D287" s="1" t="s">
        <v>495</v>
      </c>
      <c r="E287" s="35">
        <v>3</v>
      </c>
      <c r="F287" s="1" t="str">
        <f>VLOOKUP(E287,'ESTRUTURA_MODULO(hide)'!$A$2:$D$230,2,FALSE)</f>
        <v>Cadastros e Funções Gerais</v>
      </c>
      <c r="G287" s="1" t="str">
        <f>VLOOKUP(E287,'ESTRUTURA_MODULO(hide)'!$A$2:$D$95,3,FALSE)</f>
        <v>General Records and Functions</v>
      </c>
      <c r="H287" s="1" t="str">
        <f>VLOOKUP(E287,'ESTRUTURA_MODULO(hide)'!$A$2:$D$95,4,FALSE)</f>
        <v>Registros y Funciones Generales</v>
      </c>
      <c r="I287" s="37">
        <v>4</v>
      </c>
      <c r="J287" s="17" t="s">
        <v>2889</v>
      </c>
      <c r="K287" s="17" t="s">
        <v>2889</v>
      </c>
      <c r="L287" s="17" t="s">
        <v>2889</v>
      </c>
      <c r="M287" s="38" t="s">
        <v>2889</v>
      </c>
      <c r="N287" s="38" t="s">
        <v>2889</v>
      </c>
      <c r="O287" s="17" t="s">
        <v>2889</v>
      </c>
      <c r="P287" s="17" t="s">
        <v>2889</v>
      </c>
      <c r="T287" s="17" t="s">
        <v>2889</v>
      </c>
      <c r="U287" s="17" t="s">
        <v>2890</v>
      </c>
      <c r="V287" s="36"/>
      <c r="W287" s="17"/>
      <c r="X287" s="20">
        <v>16</v>
      </c>
    </row>
    <row r="288" spans="1:24">
      <c r="A288" s="1">
        <v>7500</v>
      </c>
      <c r="B288" s="1" t="s">
        <v>467</v>
      </c>
      <c r="C288" s="1" t="s">
        <v>1743</v>
      </c>
      <c r="D288" s="1" t="s">
        <v>469</v>
      </c>
      <c r="E288" s="1">
        <v>3</v>
      </c>
      <c r="F288" s="1" t="str">
        <f>VLOOKUP(E288,'ESTRUTURA_MODULO(hide)'!$A$2:$D$230,2,FALSE)</f>
        <v>Cadastros e Funções Gerais</v>
      </c>
      <c r="G288" s="1" t="str">
        <f>VLOOKUP(E288,'ESTRUTURA_MODULO(hide)'!$A$2:$D$95,3,FALSE)</f>
        <v>General Records and Functions</v>
      </c>
      <c r="H288" s="1" t="str">
        <f>VLOOKUP(E288,'ESTRUTURA_MODULO(hide)'!$A$2:$D$95,4,FALSE)</f>
        <v>Registros y Funciones Generales</v>
      </c>
      <c r="I288" s="20">
        <v>0</v>
      </c>
      <c r="J288" s="17" t="s">
        <v>2890</v>
      </c>
      <c r="K288" s="17" t="s">
        <v>2890</v>
      </c>
      <c r="L288" s="17" t="s">
        <v>2890</v>
      </c>
      <c r="M288" s="17" t="s">
        <v>2890</v>
      </c>
      <c r="N288" s="17" t="s">
        <v>2890</v>
      </c>
      <c r="O288" s="17" t="s">
        <v>2890</v>
      </c>
      <c r="P288" s="17" t="s">
        <v>2890</v>
      </c>
      <c r="T288" s="17" t="s">
        <v>2889</v>
      </c>
      <c r="U288" s="17" t="s">
        <v>2890</v>
      </c>
      <c r="V288" s="21"/>
      <c r="W288" s="17"/>
      <c r="X288" s="20">
        <v>0</v>
      </c>
    </row>
    <row r="289" spans="1:24">
      <c r="A289" s="1">
        <v>123</v>
      </c>
      <c r="B289" s="1" t="s">
        <v>160</v>
      </c>
      <c r="C289" s="1" t="s">
        <v>520</v>
      </c>
      <c r="D289" s="1" t="s">
        <v>521</v>
      </c>
      <c r="E289" s="1">
        <v>3</v>
      </c>
      <c r="F289" s="1" t="str">
        <f>VLOOKUP(E289,'ESTRUTURA_MODULO(hide)'!$A$2:$D$230,2,FALSE)</f>
        <v>Cadastros e Funções Gerais</v>
      </c>
      <c r="G289" s="1" t="str">
        <f>VLOOKUP(E289,'ESTRUTURA_MODULO(hide)'!$A$2:$D$95,3,FALSE)</f>
        <v>General Records and Functions</v>
      </c>
      <c r="H289" s="1" t="str">
        <f>VLOOKUP(E289,'ESTRUTURA_MODULO(hide)'!$A$2:$D$95,4,FALSE)</f>
        <v>Registros y Funciones Generales</v>
      </c>
      <c r="I289" s="20">
        <v>0</v>
      </c>
      <c r="J289" s="17" t="s">
        <v>2890</v>
      </c>
      <c r="K289" s="17" t="s">
        <v>2890</v>
      </c>
      <c r="L289" s="17" t="s">
        <v>2890</v>
      </c>
      <c r="M289" s="17" t="s">
        <v>2890</v>
      </c>
      <c r="N289" s="17" t="s">
        <v>2890</v>
      </c>
      <c r="O289" s="17" t="s">
        <v>2890</v>
      </c>
      <c r="P289" s="17" t="s">
        <v>2890</v>
      </c>
      <c r="T289" s="17" t="s">
        <v>2889</v>
      </c>
      <c r="U289" s="17" t="s">
        <v>2890</v>
      </c>
      <c r="V289" s="21"/>
      <c r="W289" s="17"/>
      <c r="X289" s="20">
        <v>0</v>
      </c>
    </row>
    <row r="290" spans="1:24">
      <c r="A290" s="1">
        <v>3102</v>
      </c>
      <c r="B290" s="426" t="s">
        <v>169</v>
      </c>
      <c r="C290" s="1" t="s">
        <v>513</v>
      </c>
      <c r="D290" s="1" t="s">
        <v>169</v>
      </c>
      <c r="E290" s="1">
        <v>3</v>
      </c>
      <c r="F290" s="1" t="str">
        <f>VLOOKUP(E290,'ESTRUTURA_MODULO(hide)'!$A$2:$D$230,2,FALSE)</f>
        <v>Cadastros e Funções Gerais</v>
      </c>
      <c r="G290" s="1" t="str">
        <f>VLOOKUP(E290,'ESTRUTURA_MODULO(hide)'!$A$2:$D$95,3,FALSE)</f>
        <v>General Records and Functions</v>
      </c>
      <c r="H290" s="1" t="str">
        <f>VLOOKUP(E290,'ESTRUTURA_MODULO(hide)'!$A$2:$D$95,4,FALSE)</f>
        <v>Registros y Funciones Generales</v>
      </c>
      <c r="I290" s="20">
        <v>0</v>
      </c>
      <c r="J290" s="17" t="s">
        <v>2890</v>
      </c>
      <c r="K290" s="17" t="s">
        <v>2890</v>
      </c>
      <c r="L290" s="17" t="s">
        <v>2890</v>
      </c>
      <c r="M290" s="17" t="s">
        <v>2890</v>
      </c>
      <c r="N290" s="17" t="s">
        <v>2890</v>
      </c>
      <c r="O290" s="17" t="s">
        <v>2890</v>
      </c>
      <c r="P290" s="17" t="s">
        <v>2890</v>
      </c>
      <c r="T290" s="17" t="s">
        <v>2889</v>
      </c>
      <c r="U290" s="17" t="s">
        <v>2890</v>
      </c>
      <c r="V290" s="21"/>
      <c r="W290" s="17"/>
      <c r="X290" s="20">
        <v>0</v>
      </c>
    </row>
    <row r="291" spans="1:24">
      <c r="A291" s="1">
        <v>18</v>
      </c>
      <c r="B291" s="35" t="s">
        <v>152</v>
      </c>
      <c r="C291" s="1" t="s">
        <v>518</v>
      </c>
      <c r="D291" s="1" t="s">
        <v>519</v>
      </c>
      <c r="E291" s="35">
        <v>3</v>
      </c>
      <c r="F291" s="1" t="str">
        <f>VLOOKUP(E291,'ESTRUTURA_MODULO(hide)'!$A$2:$D$230,2,FALSE)</f>
        <v>Cadastros e Funções Gerais</v>
      </c>
      <c r="G291" s="1" t="str">
        <f>VLOOKUP(E291,'ESTRUTURA_MODULO(hide)'!$A$2:$D$95,3,FALSE)</f>
        <v>General Records and Functions</v>
      </c>
      <c r="H291" s="1" t="str">
        <f>VLOOKUP(E291,'ESTRUTURA_MODULO(hide)'!$A$2:$D$95,4,FALSE)</f>
        <v>Registros y Funciones Generales</v>
      </c>
      <c r="I291" s="37">
        <v>8</v>
      </c>
      <c r="J291" s="17" t="s">
        <v>2889</v>
      </c>
      <c r="K291" s="17" t="s">
        <v>2889</v>
      </c>
      <c r="L291" s="17" t="s">
        <v>2889</v>
      </c>
      <c r="M291" s="38" t="s">
        <v>2889</v>
      </c>
      <c r="N291" s="38" t="s">
        <v>2889</v>
      </c>
      <c r="O291" s="17" t="s">
        <v>2889</v>
      </c>
      <c r="P291" s="17" t="s">
        <v>2889</v>
      </c>
      <c r="T291" s="17" t="s">
        <v>2889</v>
      </c>
      <c r="U291" s="17" t="s">
        <v>2890</v>
      </c>
      <c r="V291" s="36"/>
      <c r="W291" s="17"/>
      <c r="X291" s="20">
        <v>16</v>
      </c>
    </row>
    <row r="292" spans="1:24">
      <c r="A292" s="1">
        <v>175</v>
      </c>
      <c r="B292" s="1" t="s">
        <v>161</v>
      </c>
      <c r="C292" s="1" t="s">
        <v>516</v>
      </c>
      <c r="D292" s="1" t="s">
        <v>517</v>
      </c>
      <c r="E292" s="1">
        <v>3</v>
      </c>
      <c r="F292" s="1" t="str">
        <f>VLOOKUP(E292,'ESTRUTURA_MODULO(hide)'!$A$2:$D$230,2,FALSE)</f>
        <v>Cadastros e Funções Gerais</v>
      </c>
      <c r="G292" s="1" t="str">
        <f>VLOOKUP(E292,'ESTRUTURA_MODULO(hide)'!$A$2:$D$95,3,FALSE)</f>
        <v>General Records and Functions</v>
      </c>
      <c r="H292" s="1" t="str">
        <f>VLOOKUP(E292,'ESTRUTURA_MODULO(hide)'!$A$2:$D$95,4,FALSE)</f>
        <v>Registros y Funciones Generales</v>
      </c>
      <c r="I292" s="20">
        <v>0</v>
      </c>
      <c r="J292" s="17" t="s">
        <v>2890</v>
      </c>
      <c r="K292" s="17" t="s">
        <v>2890</v>
      </c>
      <c r="L292" s="17" t="s">
        <v>2890</v>
      </c>
      <c r="M292" s="17" t="s">
        <v>2890</v>
      </c>
      <c r="N292" s="17" t="s">
        <v>2890</v>
      </c>
      <c r="O292" s="17" t="s">
        <v>2890</v>
      </c>
      <c r="P292" s="17" t="s">
        <v>2890</v>
      </c>
      <c r="T292" s="17" t="s">
        <v>2889</v>
      </c>
      <c r="U292" s="17" t="s">
        <v>2890</v>
      </c>
      <c r="V292" s="21"/>
      <c r="W292" s="17"/>
      <c r="X292" s="20">
        <v>0</v>
      </c>
    </row>
    <row r="293" spans="1:24">
      <c r="A293" s="1">
        <v>911</v>
      </c>
      <c r="B293" s="35" t="s">
        <v>162</v>
      </c>
      <c r="C293" s="1" t="s">
        <v>514</v>
      </c>
      <c r="D293" s="1" t="s">
        <v>515</v>
      </c>
      <c r="E293" s="35">
        <v>3</v>
      </c>
      <c r="F293" s="1" t="str">
        <f>VLOOKUP(E293,'ESTRUTURA_MODULO(hide)'!$A$2:$D$230,2,FALSE)</f>
        <v>Cadastros e Funções Gerais</v>
      </c>
      <c r="G293" s="1" t="str">
        <f>VLOOKUP(E293,'ESTRUTURA_MODULO(hide)'!$A$2:$D$95,3,FALSE)</f>
        <v>General Records and Functions</v>
      </c>
      <c r="H293" s="1" t="str">
        <f>VLOOKUP(E293,'ESTRUTURA_MODULO(hide)'!$A$2:$D$95,4,FALSE)</f>
        <v>Registros y Funciones Generales</v>
      </c>
      <c r="I293" s="37">
        <v>24</v>
      </c>
      <c r="J293" s="17" t="s">
        <v>2889</v>
      </c>
      <c r="K293" s="17" t="s">
        <v>2889</v>
      </c>
      <c r="L293" s="17" t="s">
        <v>2889</v>
      </c>
      <c r="M293" s="38" t="s">
        <v>2889</v>
      </c>
      <c r="N293" s="38" t="s">
        <v>2889</v>
      </c>
      <c r="O293" s="17" t="s">
        <v>2889</v>
      </c>
      <c r="P293" s="17" t="s">
        <v>2889</v>
      </c>
      <c r="T293" s="17" t="s">
        <v>2889</v>
      </c>
      <c r="U293" s="17" t="s">
        <v>2890</v>
      </c>
      <c r="V293" s="36"/>
      <c r="W293" s="17"/>
      <c r="X293" s="20">
        <v>40</v>
      </c>
    </row>
    <row r="294" spans="1:24">
      <c r="A294" s="1">
        <v>100</v>
      </c>
      <c r="B294" s="35" t="s">
        <v>172</v>
      </c>
      <c r="C294" s="1" t="s">
        <v>471</v>
      </c>
      <c r="D294" s="1" t="s">
        <v>472</v>
      </c>
      <c r="E294" s="35">
        <v>3</v>
      </c>
      <c r="F294" s="1" t="str">
        <f>VLOOKUP(E294,'ESTRUTURA_MODULO(hide)'!$A$2:$D$230,2,FALSE)</f>
        <v>Cadastros e Funções Gerais</v>
      </c>
      <c r="G294" s="1" t="str">
        <f>VLOOKUP(E294,'ESTRUTURA_MODULO(hide)'!$A$2:$D$95,3,FALSE)</f>
        <v>General Records and Functions</v>
      </c>
      <c r="H294" s="1" t="str">
        <f>VLOOKUP(E294,'ESTRUTURA_MODULO(hide)'!$A$2:$D$95,4,FALSE)</f>
        <v>Registros y Funciones Generales</v>
      </c>
      <c r="I294" s="37">
        <v>4</v>
      </c>
      <c r="J294" s="17" t="s">
        <v>2890</v>
      </c>
      <c r="K294" s="17" t="s">
        <v>2890</v>
      </c>
      <c r="L294" s="17" t="s">
        <v>2890</v>
      </c>
      <c r="M294" s="38" t="s">
        <v>2889</v>
      </c>
      <c r="N294" s="38" t="s">
        <v>2889</v>
      </c>
      <c r="O294" s="17" t="s">
        <v>2890</v>
      </c>
      <c r="P294" s="17" t="s">
        <v>2890</v>
      </c>
      <c r="T294" s="17" t="s">
        <v>2889</v>
      </c>
      <c r="U294" s="17" t="s">
        <v>2890</v>
      </c>
      <c r="V294" s="36"/>
      <c r="W294" s="17"/>
      <c r="X294" s="20">
        <v>8</v>
      </c>
    </row>
    <row r="295" spans="1:24">
      <c r="A295" s="1">
        <v>15</v>
      </c>
      <c r="B295" s="35" t="s">
        <v>173</v>
      </c>
      <c r="C295" s="1" t="s">
        <v>483</v>
      </c>
      <c r="D295" s="1" t="s">
        <v>484</v>
      </c>
      <c r="E295" s="35">
        <v>3</v>
      </c>
      <c r="F295" s="1" t="str">
        <f>VLOOKUP(E295,'ESTRUTURA_MODULO(hide)'!$A$2:$D$230,2,FALSE)</f>
        <v>Cadastros e Funções Gerais</v>
      </c>
      <c r="G295" s="1" t="str">
        <f>VLOOKUP(E295,'ESTRUTURA_MODULO(hide)'!$A$2:$D$95,3,FALSE)</f>
        <v>General Records and Functions</v>
      </c>
      <c r="H295" s="1" t="str">
        <f>VLOOKUP(E295,'ESTRUTURA_MODULO(hide)'!$A$2:$D$95,4,FALSE)</f>
        <v>Registros y Funciones Generales</v>
      </c>
      <c r="I295" s="37">
        <v>2</v>
      </c>
      <c r="J295" s="17" t="s">
        <v>2889</v>
      </c>
      <c r="K295" s="17" t="s">
        <v>2889</v>
      </c>
      <c r="L295" s="17" t="s">
        <v>2889</v>
      </c>
      <c r="M295" s="38" t="s">
        <v>2889</v>
      </c>
      <c r="N295" s="38" t="s">
        <v>2889</v>
      </c>
      <c r="O295" s="17" t="s">
        <v>2889</v>
      </c>
      <c r="P295" s="17" t="s">
        <v>2889</v>
      </c>
      <c r="T295" s="17" t="s">
        <v>2889</v>
      </c>
      <c r="U295" s="17" t="s">
        <v>2890</v>
      </c>
      <c r="V295" s="36"/>
      <c r="W295" s="17"/>
      <c r="X295" s="20">
        <v>8</v>
      </c>
    </row>
    <row r="296" spans="1:24">
      <c r="A296" s="1">
        <v>53</v>
      </c>
      <c r="B296" s="35" t="s">
        <v>151</v>
      </c>
      <c r="C296" s="1" t="s">
        <v>481</v>
      </c>
      <c r="D296" s="1" t="s">
        <v>482</v>
      </c>
      <c r="E296" s="35">
        <v>3</v>
      </c>
      <c r="F296" s="1" t="str">
        <f>VLOOKUP(E296,'ESTRUTURA_MODULO(hide)'!$A$2:$D$230,2,FALSE)</f>
        <v>Cadastros e Funções Gerais</v>
      </c>
      <c r="G296" s="1" t="str">
        <f>VLOOKUP(E296,'ESTRUTURA_MODULO(hide)'!$A$2:$D$95,3,FALSE)</f>
        <v>General Records and Functions</v>
      </c>
      <c r="H296" s="1" t="str">
        <f>VLOOKUP(E296,'ESTRUTURA_MODULO(hide)'!$A$2:$D$95,4,FALSE)</f>
        <v>Registros y Funciones Generales</v>
      </c>
      <c r="I296" s="37">
        <v>4</v>
      </c>
      <c r="J296" s="17" t="s">
        <v>2889</v>
      </c>
      <c r="K296" s="17" t="s">
        <v>2889</v>
      </c>
      <c r="L296" s="17" t="s">
        <v>2889</v>
      </c>
      <c r="M296" s="38" t="s">
        <v>2889</v>
      </c>
      <c r="N296" s="38" t="s">
        <v>2889</v>
      </c>
      <c r="O296" s="17" t="s">
        <v>2889</v>
      </c>
      <c r="P296" s="17" t="s">
        <v>2889</v>
      </c>
      <c r="T296" s="17" t="s">
        <v>2889</v>
      </c>
      <c r="U296" s="17" t="s">
        <v>2890</v>
      </c>
      <c r="V296" s="36"/>
      <c r="W296" s="17"/>
      <c r="X296" s="20">
        <v>4</v>
      </c>
    </row>
    <row r="297" spans="1:24">
      <c r="A297" s="1">
        <v>6</v>
      </c>
      <c r="B297" s="35" t="s">
        <v>170</v>
      </c>
      <c r="C297" s="1" t="s">
        <v>479</v>
      </c>
      <c r="D297" s="1" t="s">
        <v>480</v>
      </c>
      <c r="E297" s="35">
        <v>3</v>
      </c>
      <c r="F297" s="1" t="str">
        <f>VLOOKUP(E297,'ESTRUTURA_MODULO(hide)'!$A$2:$D$230,2,FALSE)</f>
        <v>Cadastros e Funções Gerais</v>
      </c>
      <c r="G297" s="1" t="str">
        <f>VLOOKUP(E297,'ESTRUTURA_MODULO(hide)'!$A$2:$D$95,3,FALSE)</f>
        <v>General Records and Functions</v>
      </c>
      <c r="H297" s="1" t="str">
        <f>VLOOKUP(E297,'ESTRUTURA_MODULO(hide)'!$A$2:$D$95,4,FALSE)</f>
        <v>Registros y Funciones Generales</v>
      </c>
      <c r="I297" s="37">
        <v>12</v>
      </c>
      <c r="J297" s="17" t="s">
        <v>2889</v>
      </c>
      <c r="K297" s="17" t="s">
        <v>2889</v>
      </c>
      <c r="L297" s="17" t="s">
        <v>2889</v>
      </c>
      <c r="M297" s="38" t="s">
        <v>2889</v>
      </c>
      <c r="N297" s="38" t="s">
        <v>2889</v>
      </c>
      <c r="O297" s="17" t="s">
        <v>2889</v>
      </c>
      <c r="P297" s="17" t="s">
        <v>2889</v>
      </c>
      <c r="T297" s="17" t="s">
        <v>2889</v>
      </c>
      <c r="U297" s="17" t="s">
        <v>2890</v>
      </c>
      <c r="V297" s="36"/>
      <c r="W297" s="17"/>
      <c r="X297" s="20">
        <v>20</v>
      </c>
    </row>
    <row r="298" spans="1:24">
      <c r="A298" s="1">
        <v>4</v>
      </c>
      <c r="B298" s="35" t="s">
        <v>157</v>
      </c>
      <c r="C298" s="1" t="s">
        <v>477</v>
      </c>
      <c r="D298" s="1" t="s">
        <v>478</v>
      </c>
      <c r="E298" s="35">
        <v>3</v>
      </c>
      <c r="F298" s="1" t="str">
        <f>VLOOKUP(E298,'ESTRUTURA_MODULO(hide)'!$A$2:$D$230,2,FALSE)</f>
        <v>Cadastros e Funções Gerais</v>
      </c>
      <c r="G298" s="1" t="str">
        <f>VLOOKUP(E298,'ESTRUTURA_MODULO(hide)'!$A$2:$D$95,3,FALSE)</f>
        <v>General Records and Functions</v>
      </c>
      <c r="H298" s="1" t="str">
        <f>VLOOKUP(E298,'ESTRUTURA_MODULO(hide)'!$A$2:$D$95,4,FALSE)</f>
        <v>Registros y Funciones Generales</v>
      </c>
      <c r="I298" s="37">
        <v>8</v>
      </c>
      <c r="J298" s="17" t="s">
        <v>2889</v>
      </c>
      <c r="K298" s="17" t="s">
        <v>2889</v>
      </c>
      <c r="L298" s="17" t="s">
        <v>2889</v>
      </c>
      <c r="M298" s="38" t="s">
        <v>2889</v>
      </c>
      <c r="N298" s="38" t="s">
        <v>2889</v>
      </c>
      <c r="O298" s="17" t="s">
        <v>2889</v>
      </c>
      <c r="P298" s="17" t="s">
        <v>2889</v>
      </c>
      <c r="T298" s="17" t="s">
        <v>2889</v>
      </c>
      <c r="U298" s="17" t="s">
        <v>2890</v>
      </c>
      <c r="V298" s="36"/>
      <c r="W298" s="17"/>
      <c r="X298" s="20">
        <v>8</v>
      </c>
    </row>
    <row r="299" spans="1:24">
      <c r="A299" s="1">
        <v>1</v>
      </c>
      <c r="B299" s="35" t="s">
        <v>163</v>
      </c>
      <c r="C299" s="1" t="s">
        <v>475</v>
      </c>
      <c r="D299" s="1" t="s">
        <v>476</v>
      </c>
      <c r="E299" s="35">
        <v>3</v>
      </c>
      <c r="F299" s="1" t="str">
        <f>VLOOKUP(E299,'ESTRUTURA_MODULO(hide)'!$A$2:$D$230,2,FALSE)</f>
        <v>Cadastros e Funções Gerais</v>
      </c>
      <c r="G299" s="1" t="str">
        <f>VLOOKUP(E299,'ESTRUTURA_MODULO(hide)'!$A$2:$D$95,3,FALSE)</f>
        <v>General Records and Functions</v>
      </c>
      <c r="H299" s="1" t="str">
        <f>VLOOKUP(E299,'ESTRUTURA_MODULO(hide)'!$A$2:$D$95,4,FALSE)</f>
        <v>Registros y Funciones Generales</v>
      </c>
      <c r="I299" s="37">
        <v>8</v>
      </c>
      <c r="J299" s="17" t="s">
        <v>2889</v>
      </c>
      <c r="K299" s="17" t="s">
        <v>2889</v>
      </c>
      <c r="L299" s="17" t="s">
        <v>2889</v>
      </c>
      <c r="M299" s="38" t="s">
        <v>2889</v>
      </c>
      <c r="N299" s="38" t="s">
        <v>2889</v>
      </c>
      <c r="O299" s="17" t="s">
        <v>2889</v>
      </c>
      <c r="P299" s="17" t="s">
        <v>2889</v>
      </c>
      <c r="T299" s="17" t="s">
        <v>2889</v>
      </c>
      <c r="U299" s="17" t="s">
        <v>2890</v>
      </c>
      <c r="V299" s="36"/>
      <c r="W299" s="17"/>
      <c r="X299" s="20">
        <v>16</v>
      </c>
    </row>
    <row r="300" spans="1:24">
      <c r="A300" s="1">
        <v>7023</v>
      </c>
      <c r="B300" s="35" t="s">
        <v>153</v>
      </c>
      <c r="C300" s="1" t="s">
        <v>500</v>
      </c>
      <c r="D300" s="1" t="s">
        <v>501</v>
      </c>
      <c r="E300" s="35">
        <v>3</v>
      </c>
      <c r="F300" s="1" t="str">
        <f>VLOOKUP(E300,'ESTRUTURA_MODULO(hide)'!$A$2:$D$230,2,FALSE)</f>
        <v>Cadastros e Funções Gerais</v>
      </c>
      <c r="G300" s="1" t="str">
        <f>VLOOKUP(E300,'ESTRUTURA_MODULO(hide)'!$A$2:$D$95,3,FALSE)</f>
        <v>General Records and Functions</v>
      </c>
      <c r="H300" s="1" t="str">
        <f>VLOOKUP(E300,'ESTRUTURA_MODULO(hide)'!$A$2:$D$95,4,FALSE)</f>
        <v>Registros y Funciones Generales</v>
      </c>
      <c r="I300" s="37">
        <v>2</v>
      </c>
      <c r="J300" s="17" t="s">
        <v>2890</v>
      </c>
      <c r="K300" s="17" t="s">
        <v>2889</v>
      </c>
      <c r="L300" s="17" t="s">
        <v>2889</v>
      </c>
      <c r="M300" s="38" t="s">
        <v>2889</v>
      </c>
      <c r="N300" s="38" t="s">
        <v>2889</v>
      </c>
      <c r="O300" s="17" t="s">
        <v>2890</v>
      </c>
      <c r="P300" s="17" t="s">
        <v>2890</v>
      </c>
      <c r="T300" s="17" t="s">
        <v>2889</v>
      </c>
      <c r="U300" s="17" t="s">
        <v>2890</v>
      </c>
      <c r="V300" s="36"/>
      <c r="W300" s="17"/>
      <c r="X300" s="20">
        <v>4</v>
      </c>
    </row>
    <row r="301" spans="1:24">
      <c r="A301" s="1">
        <v>256</v>
      </c>
      <c r="B301" s="426" t="s">
        <v>168</v>
      </c>
      <c r="C301" s="1" t="s">
        <v>473</v>
      </c>
      <c r="D301" s="1" t="s">
        <v>474</v>
      </c>
      <c r="E301" s="1">
        <v>3</v>
      </c>
      <c r="F301" s="1" t="str">
        <f>VLOOKUP(E301,'ESTRUTURA_MODULO(hide)'!$A$2:$D$230,2,FALSE)</f>
        <v>Cadastros e Funções Gerais</v>
      </c>
      <c r="G301" s="1" t="str">
        <f>VLOOKUP(E301,'ESTRUTURA_MODULO(hide)'!$A$2:$D$95,3,FALSE)</f>
        <v>General Records and Functions</v>
      </c>
      <c r="H301" s="1" t="str">
        <f>VLOOKUP(E301,'ESTRUTURA_MODULO(hide)'!$A$2:$D$95,4,FALSE)</f>
        <v>Registros y Funciones Generales</v>
      </c>
      <c r="I301" s="20">
        <v>0</v>
      </c>
      <c r="J301" s="17" t="s">
        <v>2890</v>
      </c>
      <c r="K301" s="17" t="s">
        <v>2890</v>
      </c>
      <c r="L301" s="17" t="s">
        <v>2890</v>
      </c>
      <c r="M301" s="17" t="s">
        <v>2890</v>
      </c>
      <c r="N301" s="17" t="s">
        <v>2890</v>
      </c>
      <c r="O301" s="17" t="s">
        <v>2890</v>
      </c>
      <c r="P301" s="17" t="s">
        <v>2890</v>
      </c>
      <c r="T301" s="17" t="s">
        <v>2889</v>
      </c>
      <c r="U301" s="17" t="s">
        <v>2890</v>
      </c>
      <c r="V301" s="21"/>
      <c r="W301" s="17"/>
      <c r="X301" s="20">
        <v>0</v>
      </c>
    </row>
    <row r="302" spans="1:24">
      <c r="A302" s="1">
        <v>909</v>
      </c>
      <c r="B302" s="35" t="s">
        <v>150</v>
      </c>
      <c r="C302" s="1" t="s">
        <v>511</v>
      </c>
      <c r="D302" s="1" t="s">
        <v>512</v>
      </c>
      <c r="E302" s="35">
        <v>3</v>
      </c>
      <c r="F302" s="1" t="str">
        <f>VLOOKUP(E302,'ESTRUTURA_MODULO(hide)'!$A$2:$D$230,2,FALSE)</f>
        <v>Cadastros e Funções Gerais</v>
      </c>
      <c r="G302" s="1" t="str">
        <f>VLOOKUP(E302,'ESTRUTURA_MODULO(hide)'!$A$2:$D$95,3,FALSE)</f>
        <v>General Records and Functions</v>
      </c>
      <c r="H302" s="1" t="str">
        <f>VLOOKUP(E302,'ESTRUTURA_MODULO(hide)'!$A$2:$D$95,4,FALSE)</f>
        <v>Registros y Funciones Generales</v>
      </c>
      <c r="I302" s="37">
        <v>8</v>
      </c>
      <c r="J302" s="17" t="s">
        <v>2889</v>
      </c>
      <c r="K302" s="17" t="s">
        <v>2889</v>
      </c>
      <c r="L302" s="17" t="s">
        <v>2889</v>
      </c>
      <c r="M302" s="38" t="s">
        <v>2889</v>
      </c>
      <c r="N302" s="38" t="s">
        <v>2889</v>
      </c>
      <c r="O302" s="17" t="s">
        <v>2889</v>
      </c>
      <c r="P302" s="17" t="s">
        <v>2889</v>
      </c>
      <c r="T302" s="17" t="s">
        <v>2889</v>
      </c>
      <c r="U302" s="17" t="s">
        <v>2890</v>
      </c>
      <c r="V302" s="36"/>
      <c r="W302" s="17"/>
      <c r="X302" s="20">
        <v>16</v>
      </c>
    </row>
    <row r="303" spans="1:24">
      <c r="A303" s="1">
        <v>290</v>
      </c>
      <c r="B303" s="35" t="s">
        <v>171</v>
      </c>
      <c r="C303" s="1" t="s">
        <v>510</v>
      </c>
      <c r="D303" s="1" t="s">
        <v>171</v>
      </c>
      <c r="E303" s="35">
        <v>3</v>
      </c>
      <c r="F303" s="1" t="str">
        <f>VLOOKUP(E303,'ESTRUTURA_MODULO(hide)'!$A$2:$D$230,2,FALSE)</f>
        <v>Cadastros e Funções Gerais</v>
      </c>
      <c r="G303" s="1" t="str">
        <f>VLOOKUP(E303,'ESTRUTURA_MODULO(hide)'!$A$2:$D$95,3,FALSE)</f>
        <v>General Records and Functions</v>
      </c>
      <c r="H303" s="1" t="str">
        <f>VLOOKUP(E303,'ESTRUTURA_MODULO(hide)'!$A$2:$D$95,4,FALSE)</f>
        <v>Registros y Funciones Generales</v>
      </c>
      <c r="I303" s="37">
        <v>4</v>
      </c>
      <c r="J303" s="17" t="s">
        <v>2889</v>
      </c>
      <c r="K303" s="17" t="s">
        <v>2889</v>
      </c>
      <c r="L303" s="17" t="s">
        <v>2889</v>
      </c>
      <c r="M303" s="38" t="s">
        <v>2889</v>
      </c>
      <c r="N303" s="38" t="s">
        <v>2889</v>
      </c>
      <c r="O303" s="17" t="s">
        <v>2889</v>
      </c>
      <c r="P303" s="17" t="s">
        <v>2889</v>
      </c>
      <c r="T303" s="17" t="s">
        <v>2889</v>
      </c>
      <c r="U303" s="17" t="s">
        <v>2890</v>
      </c>
      <c r="V303" s="36"/>
      <c r="W303" s="17"/>
      <c r="X303" s="20">
        <v>16</v>
      </c>
    </row>
    <row r="304" spans="1:24">
      <c r="A304" s="1">
        <v>132</v>
      </c>
      <c r="B304" s="35" t="s">
        <v>155</v>
      </c>
      <c r="C304" s="1" t="s">
        <v>508</v>
      </c>
      <c r="D304" s="1" t="s">
        <v>509</v>
      </c>
      <c r="E304" s="35">
        <v>3</v>
      </c>
      <c r="F304" s="1" t="str">
        <f>VLOOKUP(E304,'ESTRUTURA_MODULO(hide)'!$A$2:$D$230,2,FALSE)</f>
        <v>Cadastros e Funções Gerais</v>
      </c>
      <c r="G304" s="1" t="str">
        <f>VLOOKUP(E304,'ESTRUTURA_MODULO(hide)'!$A$2:$D$95,3,FALSE)</f>
        <v>General Records and Functions</v>
      </c>
      <c r="H304" s="1" t="str">
        <f>VLOOKUP(E304,'ESTRUTURA_MODULO(hide)'!$A$2:$D$95,4,FALSE)</f>
        <v>Registros y Funciones Generales</v>
      </c>
      <c r="I304" s="37">
        <v>32</v>
      </c>
      <c r="J304" s="17" t="s">
        <v>2889</v>
      </c>
      <c r="K304" s="17" t="s">
        <v>2889</v>
      </c>
      <c r="L304" s="17" t="s">
        <v>2889</v>
      </c>
      <c r="M304" s="38" t="s">
        <v>2889</v>
      </c>
      <c r="N304" s="38" t="s">
        <v>2889</v>
      </c>
      <c r="O304" s="17" t="s">
        <v>2889</v>
      </c>
      <c r="P304" s="17" t="s">
        <v>2889</v>
      </c>
      <c r="T304" s="17" t="s">
        <v>2889</v>
      </c>
      <c r="U304" s="17" t="s">
        <v>2890</v>
      </c>
      <c r="V304" s="36"/>
      <c r="W304" s="17"/>
      <c r="X304" s="20">
        <v>40</v>
      </c>
    </row>
    <row r="305" spans="1:24">
      <c r="A305" s="1">
        <v>944</v>
      </c>
      <c r="B305" s="35" t="s">
        <v>1744</v>
      </c>
      <c r="C305" s="1" t="s">
        <v>506</v>
      </c>
      <c r="D305" s="1" t="s">
        <v>507</v>
      </c>
      <c r="E305" s="35">
        <v>3</v>
      </c>
      <c r="F305" s="1" t="str">
        <f>VLOOKUP(E305,'ESTRUTURA_MODULO(hide)'!$A$2:$D$230,2,FALSE)</f>
        <v>Cadastros e Funções Gerais</v>
      </c>
      <c r="G305" s="1" t="str">
        <f>VLOOKUP(E305,'ESTRUTURA_MODULO(hide)'!$A$2:$D$95,3,FALSE)</f>
        <v>General Records and Functions</v>
      </c>
      <c r="H305" s="1" t="str">
        <f>VLOOKUP(E305,'ESTRUTURA_MODULO(hide)'!$A$2:$D$95,4,FALSE)</f>
        <v>Registros y Funciones Generales</v>
      </c>
      <c r="I305" s="37">
        <v>2</v>
      </c>
      <c r="J305" s="17" t="s">
        <v>2889</v>
      </c>
      <c r="K305" s="17" t="s">
        <v>2889</v>
      </c>
      <c r="L305" s="17" t="s">
        <v>2889</v>
      </c>
      <c r="M305" s="38" t="s">
        <v>2889</v>
      </c>
      <c r="N305" s="38" t="s">
        <v>2889</v>
      </c>
      <c r="O305" s="17" t="s">
        <v>2889</v>
      </c>
      <c r="P305" s="17" t="s">
        <v>2889</v>
      </c>
      <c r="T305" s="17" t="s">
        <v>2889</v>
      </c>
      <c r="U305" s="17" t="s">
        <v>2890</v>
      </c>
      <c r="V305" s="36"/>
      <c r="W305" s="17"/>
      <c r="X305" s="20">
        <v>16</v>
      </c>
    </row>
    <row r="306" spans="1:24">
      <c r="A306" s="1">
        <v>152</v>
      </c>
      <c r="B306" s="426" t="s">
        <v>1745</v>
      </c>
      <c r="C306" s="1" t="s">
        <v>1746</v>
      </c>
      <c r="D306" s="1" t="s">
        <v>1747</v>
      </c>
      <c r="E306" s="1">
        <v>3</v>
      </c>
      <c r="F306" s="1" t="str">
        <f>VLOOKUP(E306,'ESTRUTURA_MODULO(hide)'!$A$2:$D$230,2,FALSE)</f>
        <v>Cadastros e Funções Gerais</v>
      </c>
      <c r="G306" s="1" t="str">
        <f>VLOOKUP(E306,'ESTRUTURA_MODULO(hide)'!$A$2:$D$95,3,FALSE)</f>
        <v>General Records and Functions</v>
      </c>
      <c r="H306" s="1" t="str">
        <f>VLOOKUP(E306,'ESTRUTURA_MODULO(hide)'!$A$2:$D$95,4,FALSE)</f>
        <v>Registros y Funciones Generales</v>
      </c>
      <c r="I306" s="20">
        <v>0</v>
      </c>
      <c r="J306" s="17" t="s">
        <v>2890</v>
      </c>
      <c r="K306" s="17" t="s">
        <v>2890</v>
      </c>
      <c r="L306" s="17" t="s">
        <v>2890</v>
      </c>
      <c r="M306" s="17" t="s">
        <v>2890</v>
      </c>
      <c r="N306" s="17" t="s">
        <v>2890</v>
      </c>
      <c r="O306" s="17" t="s">
        <v>2890</v>
      </c>
      <c r="P306" s="17" t="s">
        <v>2890</v>
      </c>
      <c r="T306" s="17" t="s">
        <v>2889</v>
      </c>
      <c r="U306" s="17" t="s">
        <v>2890</v>
      </c>
      <c r="V306" s="21"/>
      <c r="W306" s="17"/>
      <c r="X306" s="20">
        <v>0</v>
      </c>
    </row>
    <row r="307" spans="1:24">
      <c r="A307" s="1">
        <v>999</v>
      </c>
      <c r="B307" s="1" t="s">
        <v>166</v>
      </c>
      <c r="C307" s="1" t="s">
        <v>490</v>
      </c>
      <c r="D307" s="1" t="s">
        <v>491</v>
      </c>
      <c r="E307" s="1">
        <v>3</v>
      </c>
      <c r="F307" s="1" t="str">
        <f>VLOOKUP(E307,'ESTRUTURA_MODULO(hide)'!$A$2:$D$230,2,FALSE)</f>
        <v>Cadastros e Funções Gerais</v>
      </c>
      <c r="G307" s="1" t="str">
        <f>VLOOKUP(E307,'ESTRUTURA_MODULO(hide)'!$A$2:$D$95,3,FALSE)</f>
        <v>General Records and Functions</v>
      </c>
      <c r="H307" s="1" t="str">
        <f>VLOOKUP(E307,'ESTRUTURA_MODULO(hide)'!$A$2:$D$95,4,FALSE)</f>
        <v>Registros y Funciones Generales</v>
      </c>
      <c r="I307" s="20">
        <v>0</v>
      </c>
      <c r="J307" s="17" t="s">
        <v>2890</v>
      </c>
      <c r="K307" s="17" t="s">
        <v>2890</v>
      </c>
      <c r="L307" s="17" t="s">
        <v>2890</v>
      </c>
      <c r="M307" s="17" t="s">
        <v>2890</v>
      </c>
      <c r="N307" s="17" t="s">
        <v>2890</v>
      </c>
      <c r="O307" s="17" t="s">
        <v>2890</v>
      </c>
      <c r="P307" s="17" t="s">
        <v>2890</v>
      </c>
      <c r="T307" s="17" t="s">
        <v>2889</v>
      </c>
      <c r="U307" s="17" t="s">
        <v>2890</v>
      </c>
      <c r="V307" s="21"/>
      <c r="W307" s="17"/>
      <c r="X307" s="20">
        <v>0</v>
      </c>
    </row>
    <row r="308" spans="1:24">
      <c r="A308" s="1">
        <v>947</v>
      </c>
      <c r="B308" s="35" t="s">
        <v>165</v>
      </c>
      <c r="C308" s="1" t="s">
        <v>496</v>
      </c>
      <c r="D308" s="1" t="s">
        <v>497</v>
      </c>
      <c r="E308" s="35">
        <v>3</v>
      </c>
      <c r="F308" s="1" t="str">
        <f>VLOOKUP(E308,'ESTRUTURA_MODULO(hide)'!$A$2:$D$230,2,FALSE)</f>
        <v>Cadastros e Funções Gerais</v>
      </c>
      <c r="G308" s="1" t="str">
        <f>VLOOKUP(E308,'ESTRUTURA_MODULO(hide)'!$A$2:$D$95,3,FALSE)</f>
        <v>General Records and Functions</v>
      </c>
      <c r="H308" s="1" t="str">
        <f>VLOOKUP(E308,'ESTRUTURA_MODULO(hide)'!$A$2:$D$95,4,FALSE)</f>
        <v>Registros y Funciones Generales</v>
      </c>
      <c r="I308" s="37">
        <v>16</v>
      </c>
      <c r="J308" s="17" t="s">
        <v>2889</v>
      </c>
      <c r="K308" s="17" t="s">
        <v>2889</v>
      </c>
      <c r="L308" s="17" t="s">
        <v>2889</v>
      </c>
      <c r="M308" s="38" t="s">
        <v>2889</v>
      </c>
      <c r="N308" s="38" t="s">
        <v>2889</v>
      </c>
      <c r="O308" s="17" t="s">
        <v>2889</v>
      </c>
      <c r="P308" s="17" t="s">
        <v>2889</v>
      </c>
      <c r="T308" s="17" t="s">
        <v>2889</v>
      </c>
      <c r="U308" s="17" t="s">
        <v>2890</v>
      </c>
      <c r="V308" s="36"/>
      <c r="W308" s="17"/>
      <c r="X308" s="20">
        <v>32</v>
      </c>
    </row>
    <row r="309" spans="1:24">
      <c r="A309" s="1">
        <v>230</v>
      </c>
      <c r="B309" s="35" t="s">
        <v>154</v>
      </c>
      <c r="C309" s="1" t="s">
        <v>502</v>
      </c>
      <c r="D309" s="1" t="s">
        <v>503</v>
      </c>
      <c r="E309" s="35">
        <v>3</v>
      </c>
      <c r="F309" s="1" t="str">
        <f>VLOOKUP(E309,'ESTRUTURA_MODULO(hide)'!$A$2:$D$230,2,FALSE)</f>
        <v>Cadastros e Funções Gerais</v>
      </c>
      <c r="G309" s="1" t="str">
        <f>VLOOKUP(E309,'ESTRUTURA_MODULO(hide)'!$A$2:$D$95,3,FALSE)</f>
        <v>General Records and Functions</v>
      </c>
      <c r="H309" s="1" t="str">
        <f>VLOOKUP(E309,'ESTRUTURA_MODULO(hide)'!$A$2:$D$95,4,FALSE)</f>
        <v>Registros y Funciones Generales</v>
      </c>
      <c r="I309" s="37">
        <v>4</v>
      </c>
      <c r="J309" s="17" t="s">
        <v>2890</v>
      </c>
      <c r="K309" s="17" t="s">
        <v>2890</v>
      </c>
      <c r="L309" s="17" t="s">
        <v>2889</v>
      </c>
      <c r="M309" s="38" t="s">
        <v>2889</v>
      </c>
      <c r="N309" s="38" t="s">
        <v>2889</v>
      </c>
      <c r="O309" s="17" t="s">
        <v>2890</v>
      </c>
      <c r="P309" s="17" t="s">
        <v>2890</v>
      </c>
      <c r="T309" s="17" t="s">
        <v>2889</v>
      </c>
      <c r="U309" s="17" t="s">
        <v>2890</v>
      </c>
      <c r="V309" s="36"/>
      <c r="W309" s="17"/>
      <c r="X309" s="20">
        <v>8</v>
      </c>
    </row>
    <row r="310" spans="1:24">
      <c r="A310" s="1">
        <v>1120</v>
      </c>
      <c r="B310" s="35" t="s">
        <v>156</v>
      </c>
      <c r="C310" s="1" t="s">
        <v>485</v>
      </c>
      <c r="D310" s="1" t="s">
        <v>486</v>
      </c>
      <c r="E310" s="35">
        <v>3</v>
      </c>
      <c r="F310" s="1" t="str">
        <f>VLOOKUP(E310,'ESTRUTURA_MODULO(hide)'!$A$2:$D$230,2,FALSE)</f>
        <v>Cadastros e Funções Gerais</v>
      </c>
      <c r="G310" s="1" t="str">
        <f>VLOOKUP(E310,'ESTRUTURA_MODULO(hide)'!$A$2:$D$95,3,FALSE)</f>
        <v>General Records and Functions</v>
      </c>
      <c r="H310" s="1" t="str">
        <f>VLOOKUP(E310,'ESTRUTURA_MODULO(hide)'!$A$2:$D$95,4,FALSE)</f>
        <v>Registros y Funciones Generales</v>
      </c>
      <c r="I310" s="37">
        <v>24</v>
      </c>
      <c r="J310" s="17" t="s">
        <v>2889</v>
      </c>
      <c r="K310" s="17" t="s">
        <v>2889</v>
      </c>
      <c r="L310" s="17" t="s">
        <v>2889</v>
      </c>
      <c r="M310" s="38" t="s">
        <v>2889</v>
      </c>
      <c r="N310" s="38" t="s">
        <v>2889</v>
      </c>
      <c r="O310" s="17" t="s">
        <v>2889</v>
      </c>
      <c r="P310" s="17" t="s">
        <v>2889</v>
      </c>
      <c r="T310" s="17" t="s">
        <v>2889</v>
      </c>
      <c r="U310" s="17" t="s">
        <v>2890</v>
      </c>
      <c r="V310" s="36"/>
      <c r="W310" s="17"/>
      <c r="X310" s="20">
        <v>40</v>
      </c>
    </row>
    <row r="311" spans="1:24">
      <c r="A311" s="1">
        <v>5000</v>
      </c>
      <c r="B311" s="1" t="s">
        <v>167</v>
      </c>
      <c r="C311" s="1" t="s">
        <v>492</v>
      </c>
      <c r="D311" s="1" t="s">
        <v>493</v>
      </c>
      <c r="E311" s="1">
        <v>3</v>
      </c>
      <c r="F311" s="1" t="str">
        <f>VLOOKUP(E311,'ESTRUTURA_MODULO(hide)'!$A$2:$D$230,2,FALSE)</f>
        <v>Cadastros e Funções Gerais</v>
      </c>
      <c r="G311" s="1" t="str">
        <f>VLOOKUP(E311,'ESTRUTURA_MODULO(hide)'!$A$2:$D$95,3,FALSE)</f>
        <v>General Records and Functions</v>
      </c>
      <c r="H311" s="1" t="str">
        <f>VLOOKUP(E311,'ESTRUTURA_MODULO(hide)'!$A$2:$D$95,4,FALSE)</f>
        <v>Registros y Funciones Generales</v>
      </c>
      <c r="I311" s="20">
        <v>0</v>
      </c>
      <c r="J311" s="17" t="s">
        <v>2890</v>
      </c>
      <c r="K311" s="17" t="s">
        <v>2890</v>
      </c>
      <c r="L311" s="17" t="s">
        <v>2890</v>
      </c>
      <c r="M311" s="17" t="s">
        <v>2890</v>
      </c>
      <c r="N311" s="17" t="s">
        <v>2890</v>
      </c>
      <c r="O311" s="17" t="s">
        <v>2890</v>
      </c>
      <c r="P311" s="17" t="s">
        <v>2890</v>
      </c>
      <c r="T311" s="17" t="s">
        <v>2889</v>
      </c>
      <c r="U311" s="17" t="s">
        <v>2890</v>
      </c>
      <c r="V311" s="21"/>
      <c r="W311" s="17"/>
      <c r="X311" s="20">
        <v>0</v>
      </c>
    </row>
    <row r="312" spans="1:24">
      <c r="A312" s="1">
        <v>10025</v>
      </c>
      <c r="B312" s="35" t="s">
        <v>176</v>
      </c>
      <c r="C312" s="1" t="s">
        <v>527</v>
      </c>
      <c r="D312" s="1" t="s">
        <v>528</v>
      </c>
      <c r="E312" s="35">
        <v>4</v>
      </c>
      <c r="F312" s="1" t="str">
        <f>VLOOKUP(E312,'ESTRUTURA_MODULO(hide)'!$A$2:$D$230,2,FALSE)</f>
        <v>Estoque</v>
      </c>
      <c r="G312" s="1" t="str">
        <f>VLOOKUP(E312,'ESTRUTURA_MODULO(hide)'!$A$2:$D$95,3,FALSE)</f>
        <v>Stock</v>
      </c>
      <c r="H312" s="1" t="str">
        <f>VLOOKUP(E312,'ESTRUTURA_MODULO(hide)'!$A$2:$D$95,4,FALSE)</f>
        <v>Stock</v>
      </c>
      <c r="I312" s="37">
        <v>40</v>
      </c>
      <c r="J312" s="17" t="s">
        <v>2890</v>
      </c>
      <c r="K312" s="17" t="s">
        <v>2890</v>
      </c>
      <c r="L312" s="17" t="s">
        <v>2889</v>
      </c>
      <c r="M312" s="38" t="s">
        <v>2889</v>
      </c>
      <c r="N312" s="38" t="s">
        <v>2889</v>
      </c>
      <c r="O312" s="17" t="s">
        <v>2890</v>
      </c>
      <c r="P312" s="17" t="s">
        <v>2890</v>
      </c>
      <c r="T312" s="17" t="s">
        <v>2889</v>
      </c>
      <c r="U312" s="17" t="s">
        <v>2890</v>
      </c>
      <c r="V312" s="36"/>
      <c r="W312" s="17"/>
      <c r="X312" s="20">
        <v>40</v>
      </c>
    </row>
    <row r="313" spans="1:24">
      <c r="A313" s="1">
        <v>199</v>
      </c>
      <c r="B313" s="426" t="s">
        <v>1679</v>
      </c>
      <c r="C313" s="1" t="s">
        <v>1680</v>
      </c>
      <c r="D313" s="1" t="s">
        <v>1681</v>
      </c>
      <c r="E313" s="1">
        <v>4</v>
      </c>
      <c r="F313" s="1" t="str">
        <f>VLOOKUP(E313,'ESTRUTURA_MODULO(hide)'!$A$2:$D$230,2,FALSE)</f>
        <v>Estoque</v>
      </c>
      <c r="G313" s="1" t="str">
        <f>VLOOKUP(E313,'ESTRUTURA_MODULO(hide)'!$A$2:$D$95,3,FALSE)</f>
        <v>Stock</v>
      </c>
      <c r="H313" s="1" t="str">
        <f>VLOOKUP(E313,'ESTRUTURA_MODULO(hide)'!$A$2:$D$95,4,FALSE)</f>
        <v>Stock</v>
      </c>
      <c r="I313" s="20">
        <v>0</v>
      </c>
      <c r="J313" s="17" t="s">
        <v>2890</v>
      </c>
      <c r="K313" s="17" t="s">
        <v>2890</v>
      </c>
      <c r="L313" s="17" t="s">
        <v>2890</v>
      </c>
      <c r="M313" s="17" t="s">
        <v>2890</v>
      </c>
      <c r="N313" s="17" t="s">
        <v>2890</v>
      </c>
      <c r="O313" s="17" t="s">
        <v>2890</v>
      </c>
      <c r="P313" s="17" t="s">
        <v>2890</v>
      </c>
      <c r="T313" s="17" t="s">
        <v>2889</v>
      </c>
      <c r="U313" s="17" t="s">
        <v>2890</v>
      </c>
      <c r="V313" s="21"/>
      <c r="W313" s="17"/>
      <c r="X313" s="20">
        <v>0</v>
      </c>
    </row>
    <row r="314" spans="1:24">
      <c r="A314" s="1">
        <v>146</v>
      </c>
      <c r="B314" s="35" t="s">
        <v>122</v>
      </c>
      <c r="C314" s="1" t="s">
        <v>525</v>
      </c>
      <c r="D314" s="1" t="s">
        <v>526</v>
      </c>
      <c r="E314" s="35">
        <v>4</v>
      </c>
      <c r="F314" s="1" t="str">
        <f>VLOOKUP(E314,'ESTRUTURA_MODULO(hide)'!$A$2:$D$230,2,FALSE)</f>
        <v>Estoque</v>
      </c>
      <c r="G314" s="1" t="str">
        <f>VLOOKUP(E314,'ESTRUTURA_MODULO(hide)'!$A$2:$D$95,3,FALSE)</f>
        <v>Stock</v>
      </c>
      <c r="H314" s="1" t="str">
        <f>VLOOKUP(E314,'ESTRUTURA_MODULO(hide)'!$A$2:$D$95,4,FALSE)</f>
        <v>Stock</v>
      </c>
      <c r="I314" s="37">
        <v>12</v>
      </c>
      <c r="J314" s="17" t="s">
        <v>2890</v>
      </c>
      <c r="K314" s="17" t="s">
        <v>2890</v>
      </c>
      <c r="L314" s="17" t="s">
        <v>2889</v>
      </c>
      <c r="M314" s="38" t="s">
        <v>2889</v>
      </c>
      <c r="N314" s="38" t="s">
        <v>2889</v>
      </c>
      <c r="O314" s="17" t="s">
        <v>2890</v>
      </c>
      <c r="P314" s="17" t="s">
        <v>2890</v>
      </c>
      <c r="T314" s="17" t="s">
        <v>2889</v>
      </c>
      <c r="U314" s="17" t="s">
        <v>2890</v>
      </c>
      <c r="V314" s="36"/>
      <c r="W314" s="17"/>
      <c r="X314" s="20">
        <v>24</v>
      </c>
    </row>
    <row r="315" spans="1:24">
      <c r="A315" s="1">
        <v>180</v>
      </c>
      <c r="B315" s="426" t="s">
        <v>1691</v>
      </c>
      <c r="C315" s="1" t="s">
        <v>1692</v>
      </c>
      <c r="D315" s="1" t="s">
        <v>1693</v>
      </c>
      <c r="E315" s="1">
        <v>4</v>
      </c>
      <c r="F315" s="1" t="str">
        <f>VLOOKUP(E315,'ESTRUTURA_MODULO(hide)'!$A$2:$D$230,2,FALSE)</f>
        <v>Estoque</v>
      </c>
      <c r="G315" s="1" t="str">
        <f>VLOOKUP(E315,'ESTRUTURA_MODULO(hide)'!$A$2:$D$95,3,FALSE)</f>
        <v>Stock</v>
      </c>
      <c r="H315" s="1" t="str">
        <f>VLOOKUP(E315,'ESTRUTURA_MODULO(hide)'!$A$2:$D$95,4,FALSE)</f>
        <v>Stock</v>
      </c>
      <c r="I315" s="20">
        <v>0</v>
      </c>
      <c r="J315" s="17" t="s">
        <v>2890</v>
      </c>
      <c r="K315" s="17" t="s">
        <v>2890</v>
      </c>
      <c r="L315" s="17" t="s">
        <v>2890</v>
      </c>
      <c r="M315" s="17" t="s">
        <v>2890</v>
      </c>
      <c r="N315" s="17" t="s">
        <v>2890</v>
      </c>
      <c r="O315" s="17" t="s">
        <v>2890</v>
      </c>
      <c r="P315" s="17" t="s">
        <v>2890</v>
      </c>
      <c r="T315" s="17" t="s">
        <v>2889</v>
      </c>
      <c r="U315" s="17" t="s">
        <v>2890</v>
      </c>
      <c r="V315" s="21"/>
      <c r="W315" s="17"/>
      <c r="X315" s="20">
        <v>0</v>
      </c>
    </row>
    <row r="316" spans="1:24">
      <c r="A316" s="1">
        <v>330</v>
      </c>
      <c r="B316" s="426" t="s">
        <v>1697</v>
      </c>
      <c r="C316" s="1" t="s">
        <v>1698</v>
      </c>
      <c r="D316" s="1" t="s">
        <v>1699</v>
      </c>
      <c r="E316" s="1">
        <v>4</v>
      </c>
      <c r="F316" s="1" t="str">
        <f>VLOOKUP(E316,'ESTRUTURA_MODULO(hide)'!$A$2:$D$230,2,FALSE)</f>
        <v>Estoque</v>
      </c>
      <c r="G316" s="1" t="str">
        <f>VLOOKUP(E316,'ESTRUTURA_MODULO(hide)'!$A$2:$D$95,3,FALSE)</f>
        <v>Stock</v>
      </c>
      <c r="H316" s="1" t="str">
        <f>VLOOKUP(E316,'ESTRUTURA_MODULO(hide)'!$A$2:$D$95,4,FALSE)</f>
        <v>Stock</v>
      </c>
      <c r="I316" s="20">
        <v>0</v>
      </c>
      <c r="J316" s="17" t="s">
        <v>2890</v>
      </c>
      <c r="K316" s="17" t="s">
        <v>2890</v>
      </c>
      <c r="L316" s="17" t="s">
        <v>2890</v>
      </c>
      <c r="M316" s="17" t="s">
        <v>2890</v>
      </c>
      <c r="N316" s="17" t="s">
        <v>2890</v>
      </c>
      <c r="O316" s="17" t="s">
        <v>2890</v>
      </c>
      <c r="P316" s="17" t="s">
        <v>2890</v>
      </c>
      <c r="T316" s="17" t="s">
        <v>2889</v>
      </c>
      <c r="U316" s="17" t="s">
        <v>2890</v>
      </c>
      <c r="V316" s="21"/>
      <c r="W316" s="17"/>
      <c r="X316" s="20">
        <v>0</v>
      </c>
    </row>
    <row r="317" spans="1:24">
      <c r="A317" s="1">
        <v>321</v>
      </c>
      <c r="B317" s="426" t="s">
        <v>1682</v>
      </c>
      <c r="C317" s="1" t="s">
        <v>1683</v>
      </c>
      <c r="D317" s="1" t="s">
        <v>1684</v>
      </c>
      <c r="E317" s="1">
        <v>4</v>
      </c>
      <c r="F317" s="1" t="str">
        <f>VLOOKUP(E317,'ESTRUTURA_MODULO(hide)'!$A$2:$D$230,2,FALSE)</f>
        <v>Estoque</v>
      </c>
      <c r="G317" s="1" t="str">
        <f>VLOOKUP(E317,'ESTRUTURA_MODULO(hide)'!$A$2:$D$95,3,FALSE)</f>
        <v>Stock</v>
      </c>
      <c r="H317" s="1" t="str">
        <f>VLOOKUP(E317,'ESTRUTURA_MODULO(hide)'!$A$2:$D$95,4,FALSE)</f>
        <v>Stock</v>
      </c>
      <c r="I317" s="20">
        <v>0</v>
      </c>
      <c r="J317" s="17" t="s">
        <v>2890</v>
      </c>
      <c r="K317" s="17" t="s">
        <v>2890</v>
      </c>
      <c r="L317" s="17" t="s">
        <v>2890</v>
      </c>
      <c r="M317" s="17" t="s">
        <v>2890</v>
      </c>
      <c r="N317" s="17" t="s">
        <v>2890</v>
      </c>
      <c r="O317" s="17" t="s">
        <v>2890</v>
      </c>
      <c r="P317" s="17" t="s">
        <v>2890</v>
      </c>
      <c r="T317" s="17" t="s">
        <v>2889</v>
      </c>
      <c r="U317" s="17" t="s">
        <v>2890</v>
      </c>
      <c r="V317" s="21"/>
      <c r="W317" s="17"/>
      <c r="X317" s="20">
        <v>0</v>
      </c>
    </row>
    <row r="318" spans="1:24">
      <c r="A318" s="1">
        <v>147</v>
      </c>
      <c r="B318" s="35" t="s">
        <v>174</v>
      </c>
      <c r="C318" s="1" t="s">
        <v>523</v>
      </c>
      <c r="D318" s="1" t="s">
        <v>524</v>
      </c>
      <c r="E318" s="35">
        <v>4</v>
      </c>
      <c r="F318" s="1" t="str">
        <f>VLOOKUP(E318,'ESTRUTURA_MODULO(hide)'!$A$2:$D$230,2,FALSE)</f>
        <v>Estoque</v>
      </c>
      <c r="G318" s="1" t="str">
        <f>VLOOKUP(E318,'ESTRUTURA_MODULO(hide)'!$A$2:$D$95,3,FALSE)</f>
        <v>Stock</v>
      </c>
      <c r="H318" s="1" t="str">
        <f>VLOOKUP(E318,'ESTRUTURA_MODULO(hide)'!$A$2:$D$95,4,FALSE)</f>
        <v>Stock</v>
      </c>
      <c r="I318" s="37">
        <v>16</v>
      </c>
      <c r="J318" s="17" t="s">
        <v>2890</v>
      </c>
      <c r="K318" s="17" t="s">
        <v>2890</v>
      </c>
      <c r="L318" s="17" t="s">
        <v>2889</v>
      </c>
      <c r="M318" s="38" t="s">
        <v>2889</v>
      </c>
      <c r="N318" s="38" t="s">
        <v>2889</v>
      </c>
      <c r="O318" s="17" t="s">
        <v>2890</v>
      </c>
      <c r="P318" s="17" t="s">
        <v>2890</v>
      </c>
      <c r="T318" s="17" t="s">
        <v>2889</v>
      </c>
      <c r="U318" s="17" t="s">
        <v>2890</v>
      </c>
      <c r="V318" s="36"/>
      <c r="W318" s="17"/>
      <c r="X318" s="20">
        <v>16</v>
      </c>
    </row>
    <row r="319" spans="1:24">
      <c r="A319" s="1">
        <v>143</v>
      </c>
      <c r="B319" s="35" t="s">
        <v>121</v>
      </c>
      <c r="C319" s="1" t="s">
        <v>531</v>
      </c>
      <c r="D319" s="1" t="s">
        <v>532</v>
      </c>
      <c r="E319" s="35">
        <v>4</v>
      </c>
      <c r="F319" s="1" t="str">
        <f>VLOOKUP(E319,'ESTRUTURA_MODULO(hide)'!$A$2:$D$230,2,FALSE)</f>
        <v>Estoque</v>
      </c>
      <c r="G319" s="1" t="str">
        <f>VLOOKUP(E319,'ESTRUTURA_MODULO(hide)'!$A$2:$D$95,3,FALSE)</f>
        <v>Stock</v>
      </c>
      <c r="H319" s="1" t="str">
        <f>VLOOKUP(E319,'ESTRUTURA_MODULO(hide)'!$A$2:$D$95,4,FALSE)</f>
        <v>Stock</v>
      </c>
      <c r="I319" s="37">
        <v>24</v>
      </c>
      <c r="J319" s="17" t="s">
        <v>2889</v>
      </c>
      <c r="K319" s="17" t="s">
        <v>2889</v>
      </c>
      <c r="L319" s="17" t="s">
        <v>2889</v>
      </c>
      <c r="M319" s="38" t="s">
        <v>2889</v>
      </c>
      <c r="N319" s="38" t="s">
        <v>2889</v>
      </c>
      <c r="O319" s="17" t="s">
        <v>2889</v>
      </c>
      <c r="P319" s="17" t="s">
        <v>2889</v>
      </c>
      <c r="T319" s="17" t="s">
        <v>2889</v>
      </c>
      <c r="U319" s="17" t="s">
        <v>2890</v>
      </c>
      <c r="V319" s="36"/>
      <c r="W319" s="17"/>
      <c r="X319" s="20">
        <v>32</v>
      </c>
    </row>
    <row r="320" spans="1:24">
      <c r="A320" s="1">
        <v>190</v>
      </c>
      <c r="B320" s="426" t="s">
        <v>1748</v>
      </c>
      <c r="C320" s="1" t="s">
        <v>1749</v>
      </c>
      <c r="D320" s="1" t="s">
        <v>1750</v>
      </c>
      <c r="E320" s="1">
        <v>4</v>
      </c>
      <c r="F320" s="1" t="str">
        <f>VLOOKUP(E320,'ESTRUTURA_MODULO(hide)'!$A$2:$D$230,2,FALSE)</f>
        <v>Estoque</v>
      </c>
      <c r="G320" s="1" t="str">
        <f>VLOOKUP(E320,'ESTRUTURA_MODULO(hide)'!$A$2:$D$95,3,FALSE)</f>
        <v>Stock</v>
      </c>
      <c r="H320" s="1" t="str">
        <f>VLOOKUP(E320,'ESTRUTURA_MODULO(hide)'!$A$2:$D$95,4,FALSE)</f>
        <v>Stock</v>
      </c>
      <c r="I320" s="20">
        <v>0</v>
      </c>
      <c r="J320" s="17" t="s">
        <v>2890</v>
      </c>
      <c r="K320" s="17" t="s">
        <v>2890</v>
      </c>
      <c r="L320" s="17" t="s">
        <v>2890</v>
      </c>
      <c r="M320" s="17" t="s">
        <v>2890</v>
      </c>
      <c r="N320" s="17" t="s">
        <v>2890</v>
      </c>
      <c r="O320" s="17" t="s">
        <v>2890</v>
      </c>
      <c r="P320" s="17" t="s">
        <v>2890</v>
      </c>
      <c r="T320" s="17" t="s">
        <v>2889</v>
      </c>
      <c r="U320" s="17" t="s">
        <v>2890</v>
      </c>
      <c r="V320" s="21"/>
      <c r="W320" s="17"/>
      <c r="X320" s="20">
        <v>0</v>
      </c>
    </row>
    <row r="321" spans="1:24">
      <c r="A321" s="1">
        <v>189</v>
      </c>
      <c r="B321" s="426" t="s">
        <v>1688</v>
      </c>
      <c r="C321" s="1" t="s">
        <v>1689</v>
      </c>
      <c r="D321" s="1" t="s">
        <v>1690</v>
      </c>
      <c r="E321" s="1">
        <v>4</v>
      </c>
      <c r="F321" s="1" t="str">
        <f>VLOOKUP(E321,'ESTRUTURA_MODULO(hide)'!$A$2:$D$230,2,FALSE)</f>
        <v>Estoque</v>
      </c>
      <c r="G321" s="1" t="str">
        <f>VLOOKUP(E321,'ESTRUTURA_MODULO(hide)'!$A$2:$D$95,3,FALSE)</f>
        <v>Stock</v>
      </c>
      <c r="H321" s="1" t="str">
        <f>VLOOKUP(E321,'ESTRUTURA_MODULO(hide)'!$A$2:$D$95,4,FALSE)</f>
        <v>Stock</v>
      </c>
      <c r="I321" s="20">
        <v>0</v>
      </c>
      <c r="J321" s="17" t="s">
        <v>2890</v>
      </c>
      <c r="K321" s="17" t="s">
        <v>2890</v>
      </c>
      <c r="L321" s="17" t="s">
        <v>2890</v>
      </c>
      <c r="M321" s="17" t="s">
        <v>2890</v>
      </c>
      <c r="N321" s="17" t="s">
        <v>2890</v>
      </c>
      <c r="O321" s="17" t="s">
        <v>2890</v>
      </c>
      <c r="P321" s="17" t="s">
        <v>2890</v>
      </c>
      <c r="T321" s="17" t="s">
        <v>2889</v>
      </c>
      <c r="U321" s="17" t="s">
        <v>2890</v>
      </c>
      <c r="V321" s="21"/>
      <c r="W321" s="17"/>
      <c r="X321" s="20">
        <v>0</v>
      </c>
    </row>
    <row r="322" spans="1:24">
      <c r="A322" s="1">
        <v>187</v>
      </c>
      <c r="B322" s="426" t="s">
        <v>1751</v>
      </c>
      <c r="C322" s="1" t="s">
        <v>1752</v>
      </c>
      <c r="D322" s="1" t="s">
        <v>1753</v>
      </c>
      <c r="E322" s="1">
        <v>4</v>
      </c>
      <c r="F322" s="1" t="str">
        <f>VLOOKUP(E322,'ESTRUTURA_MODULO(hide)'!$A$2:$D$230,2,FALSE)</f>
        <v>Estoque</v>
      </c>
      <c r="G322" s="1" t="str">
        <f>VLOOKUP(E322,'ESTRUTURA_MODULO(hide)'!$A$2:$D$95,3,FALSE)</f>
        <v>Stock</v>
      </c>
      <c r="H322" s="1" t="str">
        <f>VLOOKUP(E322,'ESTRUTURA_MODULO(hide)'!$A$2:$D$95,4,FALSE)</f>
        <v>Stock</v>
      </c>
      <c r="I322" s="20">
        <v>0</v>
      </c>
      <c r="J322" s="17" t="s">
        <v>2890</v>
      </c>
      <c r="K322" s="17" t="s">
        <v>2890</v>
      </c>
      <c r="L322" s="17" t="s">
        <v>2890</v>
      </c>
      <c r="M322" s="17" t="s">
        <v>2890</v>
      </c>
      <c r="N322" s="17" t="s">
        <v>2890</v>
      </c>
      <c r="O322" s="17" t="s">
        <v>2890</v>
      </c>
      <c r="P322" s="17" t="s">
        <v>2890</v>
      </c>
      <c r="T322" s="17" t="s">
        <v>2889</v>
      </c>
      <c r="U322" s="17" t="s">
        <v>2890</v>
      </c>
      <c r="V322" s="21"/>
      <c r="W322" s="17"/>
      <c r="X322" s="20">
        <v>0</v>
      </c>
    </row>
    <row r="323" spans="1:24">
      <c r="A323" s="1">
        <v>181</v>
      </c>
      <c r="B323" s="426" t="s">
        <v>1706</v>
      </c>
      <c r="C323" s="1" t="s">
        <v>1707</v>
      </c>
      <c r="D323" s="1" t="s">
        <v>1708</v>
      </c>
      <c r="E323" s="1">
        <v>4</v>
      </c>
      <c r="F323" s="1" t="str">
        <f>VLOOKUP(E323,'ESTRUTURA_MODULO(hide)'!$A$2:$D$230,2,FALSE)</f>
        <v>Estoque</v>
      </c>
      <c r="G323" s="1" t="str">
        <f>VLOOKUP(E323,'ESTRUTURA_MODULO(hide)'!$A$2:$D$95,3,FALSE)</f>
        <v>Stock</v>
      </c>
      <c r="H323" s="1" t="str">
        <f>VLOOKUP(E323,'ESTRUTURA_MODULO(hide)'!$A$2:$D$95,4,FALSE)</f>
        <v>Stock</v>
      </c>
      <c r="I323" s="20">
        <v>0</v>
      </c>
      <c r="J323" s="17" t="s">
        <v>2890</v>
      </c>
      <c r="K323" s="17" t="s">
        <v>2890</v>
      </c>
      <c r="L323" s="17" t="s">
        <v>2890</v>
      </c>
      <c r="M323" s="17" t="s">
        <v>2890</v>
      </c>
      <c r="N323" s="17" t="s">
        <v>2890</v>
      </c>
      <c r="O323" s="17" t="s">
        <v>2890</v>
      </c>
      <c r="P323" s="17" t="s">
        <v>2890</v>
      </c>
      <c r="T323" s="17" t="s">
        <v>2889</v>
      </c>
      <c r="U323" s="17" t="s">
        <v>2890</v>
      </c>
      <c r="V323" s="21"/>
      <c r="W323" s="17"/>
      <c r="X323" s="20">
        <v>0</v>
      </c>
    </row>
    <row r="324" spans="1:24">
      <c r="A324" s="1">
        <v>65</v>
      </c>
      <c r="B324" s="426" t="s">
        <v>1694</v>
      </c>
      <c r="C324" s="1" t="s">
        <v>1695</v>
      </c>
      <c r="D324" s="1" t="s">
        <v>1696</v>
      </c>
      <c r="E324" s="1">
        <v>4</v>
      </c>
      <c r="F324" s="1" t="str">
        <f>VLOOKUP(E324,'ESTRUTURA_MODULO(hide)'!$A$2:$D$230,2,FALSE)</f>
        <v>Estoque</v>
      </c>
      <c r="G324" s="1" t="str">
        <f>VLOOKUP(E324,'ESTRUTURA_MODULO(hide)'!$A$2:$D$95,3,FALSE)</f>
        <v>Stock</v>
      </c>
      <c r="H324" s="1" t="str">
        <f>VLOOKUP(E324,'ESTRUTURA_MODULO(hide)'!$A$2:$D$95,4,FALSE)</f>
        <v>Stock</v>
      </c>
      <c r="I324" s="20">
        <v>0</v>
      </c>
      <c r="J324" s="17" t="s">
        <v>2890</v>
      </c>
      <c r="K324" s="17" t="s">
        <v>2890</v>
      </c>
      <c r="L324" s="17" t="s">
        <v>2890</v>
      </c>
      <c r="M324" s="17" t="s">
        <v>2890</v>
      </c>
      <c r="N324" s="17" t="s">
        <v>2890</v>
      </c>
      <c r="O324" s="17" t="s">
        <v>2890</v>
      </c>
      <c r="P324" s="17" t="s">
        <v>2890</v>
      </c>
      <c r="T324" s="17" t="s">
        <v>2889</v>
      </c>
      <c r="U324" s="17" t="s">
        <v>2890</v>
      </c>
      <c r="V324" s="21"/>
      <c r="W324" s="17"/>
      <c r="X324" s="20">
        <v>0</v>
      </c>
    </row>
    <row r="325" spans="1:24">
      <c r="A325" s="1">
        <v>7005</v>
      </c>
      <c r="B325" s="35" t="s">
        <v>175</v>
      </c>
      <c r="C325" s="1" t="s">
        <v>529</v>
      </c>
      <c r="D325" s="1" t="s">
        <v>530</v>
      </c>
      <c r="E325" s="35">
        <v>4</v>
      </c>
      <c r="F325" s="1" t="str">
        <f>VLOOKUP(E325,'ESTRUTURA_MODULO(hide)'!$A$2:$D$230,2,FALSE)</f>
        <v>Estoque</v>
      </c>
      <c r="G325" s="1" t="str">
        <f>VLOOKUP(E325,'ESTRUTURA_MODULO(hide)'!$A$2:$D$95,3,FALSE)</f>
        <v>Stock</v>
      </c>
      <c r="H325" s="1" t="str">
        <f>VLOOKUP(E325,'ESTRUTURA_MODULO(hide)'!$A$2:$D$95,4,FALSE)</f>
        <v>Stock</v>
      </c>
      <c r="I325" s="37">
        <v>4</v>
      </c>
      <c r="J325" s="17" t="s">
        <v>2890</v>
      </c>
      <c r="K325" s="17" t="s">
        <v>2890</v>
      </c>
      <c r="L325" s="17" t="s">
        <v>2889</v>
      </c>
      <c r="M325" s="38" t="s">
        <v>2889</v>
      </c>
      <c r="N325" s="38" t="s">
        <v>2889</v>
      </c>
      <c r="O325" s="17" t="s">
        <v>2890</v>
      </c>
      <c r="P325" s="17" t="s">
        <v>2890</v>
      </c>
      <c r="T325" s="17" t="s">
        <v>2889</v>
      </c>
      <c r="U325" s="17" t="s">
        <v>2890</v>
      </c>
      <c r="V325" s="36"/>
      <c r="W325" s="17"/>
      <c r="X325" s="20">
        <v>4</v>
      </c>
    </row>
    <row r="326" spans="1:24">
      <c r="A326" s="1">
        <v>10021</v>
      </c>
      <c r="B326" s="35" t="s">
        <v>28</v>
      </c>
      <c r="C326" s="1" t="s">
        <v>548</v>
      </c>
      <c r="D326" s="1" t="s">
        <v>549</v>
      </c>
      <c r="E326" s="35">
        <v>5</v>
      </c>
      <c r="F326" s="1" t="str">
        <f>VLOOKUP(E326,'ESTRUTURA_MODULO(hide)'!$A$2:$D$230,2,FALSE)</f>
        <v>Recepção e Internação</v>
      </c>
      <c r="G326" s="1" t="str">
        <f>VLOOKUP(E326,'ESTRUTURA_MODULO(hide)'!$A$2:$D$95,3,FALSE)</f>
        <v>Reception and Admission</v>
      </c>
      <c r="H326" s="1" t="str">
        <f>VLOOKUP(E326,'ESTRUTURA_MODULO(hide)'!$A$2:$D$95,4,FALSE)</f>
        <v>Recepción e Hospitalización</v>
      </c>
      <c r="I326" s="37">
        <v>16</v>
      </c>
      <c r="J326" s="17" t="s">
        <v>2889</v>
      </c>
      <c r="K326" s="17" t="s">
        <v>2889</v>
      </c>
      <c r="L326" s="17" t="s">
        <v>2889</v>
      </c>
      <c r="M326" s="38" t="s">
        <v>2889</v>
      </c>
      <c r="N326" s="38" t="s">
        <v>2889</v>
      </c>
      <c r="O326" s="17" t="s">
        <v>2889</v>
      </c>
      <c r="P326" s="17" t="s">
        <v>2889</v>
      </c>
      <c r="T326" s="17" t="s">
        <v>2889</v>
      </c>
      <c r="U326" s="17" t="s">
        <v>2890</v>
      </c>
      <c r="V326" s="36"/>
      <c r="W326" s="17"/>
      <c r="X326" s="20">
        <v>32</v>
      </c>
    </row>
    <row r="327" spans="1:24">
      <c r="A327" s="1">
        <v>10020</v>
      </c>
      <c r="B327" s="35" t="s">
        <v>339</v>
      </c>
      <c r="C327" s="1" t="s">
        <v>546</v>
      </c>
      <c r="D327" s="1" t="s">
        <v>547</v>
      </c>
      <c r="E327" s="35">
        <v>5</v>
      </c>
      <c r="F327" s="1" t="str">
        <f>VLOOKUP(E327,'ESTRUTURA_MODULO(hide)'!$A$2:$D$230,2,FALSE)</f>
        <v>Recepção e Internação</v>
      </c>
      <c r="G327" s="1" t="str">
        <f>VLOOKUP(E327,'ESTRUTURA_MODULO(hide)'!$A$2:$D$95,3,FALSE)</f>
        <v>Reception and Admission</v>
      </c>
      <c r="H327" s="1" t="str">
        <f>VLOOKUP(E327,'ESTRUTURA_MODULO(hide)'!$A$2:$D$95,4,FALSE)</f>
        <v>Recepción e Hospitalización</v>
      </c>
      <c r="I327" s="37">
        <v>2</v>
      </c>
      <c r="J327" s="17" t="s">
        <v>2890</v>
      </c>
      <c r="K327" s="17" t="s">
        <v>2890</v>
      </c>
      <c r="L327" s="17" t="s">
        <v>2890</v>
      </c>
      <c r="M327" s="38" t="s">
        <v>2889</v>
      </c>
      <c r="N327" s="38" t="s">
        <v>2889</v>
      </c>
      <c r="O327" s="17" t="s">
        <v>2890</v>
      </c>
      <c r="P327" s="17" t="s">
        <v>2890</v>
      </c>
      <c r="T327" s="17" t="s">
        <v>2889</v>
      </c>
      <c r="U327" s="17" t="s">
        <v>2890</v>
      </c>
      <c r="V327" s="36"/>
      <c r="W327" s="17"/>
      <c r="X327" s="20">
        <v>6</v>
      </c>
    </row>
    <row r="328" spans="1:24">
      <c r="A328" s="1">
        <v>164</v>
      </c>
      <c r="B328" s="426" t="s">
        <v>1721</v>
      </c>
      <c r="C328" s="1" t="s">
        <v>1722</v>
      </c>
      <c r="D328" s="1" t="s">
        <v>1723</v>
      </c>
      <c r="E328" s="1">
        <v>5</v>
      </c>
      <c r="F328" s="1" t="str">
        <f>VLOOKUP(E328,'ESTRUTURA_MODULO(hide)'!$A$2:$D$230,2,FALSE)</f>
        <v>Recepção e Internação</v>
      </c>
      <c r="G328" s="1" t="str">
        <f>VLOOKUP(E328,'ESTRUTURA_MODULO(hide)'!$A$2:$D$95,3,FALSE)</f>
        <v>Reception and Admission</v>
      </c>
      <c r="H328" s="1" t="str">
        <f>VLOOKUP(E328,'ESTRUTURA_MODULO(hide)'!$A$2:$D$95,4,FALSE)</f>
        <v>Recepción e Hospitalización</v>
      </c>
      <c r="I328" s="20">
        <v>0</v>
      </c>
      <c r="J328" s="17" t="s">
        <v>2890</v>
      </c>
      <c r="K328" s="17" t="s">
        <v>2890</v>
      </c>
      <c r="L328" s="17" t="s">
        <v>2890</v>
      </c>
      <c r="M328" s="17" t="s">
        <v>2890</v>
      </c>
      <c r="N328" s="17" t="s">
        <v>2890</v>
      </c>
      <c r="O328" s="17" t="s">
        <v>2890</v>
      </c>
      <c r="P328" s="17" t="s">
        <v>2890</v>
      </c>
      <c r="T328" s="17" t="s">
        <v>2889</v>
      </c>
      <c r="U328" s="17" t="s">
        <v>2890</v>
      </c>
      <c r="V328" s="21"/>
      <c r="W328" s="17"/>
      <c r="X328" s="20">
        <v>0</v>
      </c>
    </row>
    <row r="329" spans="1:24">
      <c r="A329" s="1">
        <v>328</v>
      </c>
      <c r="B329" s="426" t="s">
        <v>1754</v>
      </c>
      <c r="C329" s="1" t="s">
        <v>1755</v>
      </c>
      <c r="D329" s="1" t="s">
        <v>1756</v>
      </c>
      <c r="E329" s="1">
        <v>5</v>
      </c>
      <c r="F329" s="1" t="str">
        <f>VLOOKUP(E329,'ESTRUTURA_MODULO(hide)'!$A$2:$D$230,2,FALSE)</f>
        <v>Recepção e Internação</v>
      </c>
      <c r="G329" s="1" t="str">
        <f>VLOOKUP(E329,'ESTRUTURA_MODULO(hide)'!$A$2:$D$95,3,FALSE)</f>
        <v>Reception and Admission</v>
      </c>
      <c r="H329" s="1" t="str">
        <f>VLOOKUP(E329,'ESTRUTURA_MODULO(hide)'!$A$2:$D$95,4,FALSE)</f>
        <v>Recepción e Hospitalización</v>
      </c>
      <c r="I329" s="20">
        <v>0</v>
      </c>
      <c r="J329" s="17" t="s">
        <v>2890</v>
      </c>
      <c r="K329" s="17" t="s">
        <v>2890</v>
      </c>
      <c r="L329" s="17" t="s">
        <v>2890</v>
      </c>
      <c r="M329" s="17" t="s">
        <v>2890</v>
      </c>
      <c r="N329" s="17" t="s">
        <v>2890</v>
      </c>
      <c r="O329" s="17" t="s">
        <v>2890</v>
      </c>
      <c r="P329" s="17" t="s">
        <v>2890</v>
      </c>
      <c r="T329" s="17" t="s">
        <v>2889</v>
      </c>
      <c r="U329" s="17" t="s">
        <v>2890</v>
      </c>
      <c r="V329" s="21"/>
      <c r="W329" s="17"/>
      <c r="X329" s="20">
        <v>0</v>
      </c>
    </row>
    <row r="330" spans="1:24">
      <c r="A330" s="1">
        <v>83</v>
      </c>
      <c r="B330" s="426" t="s">
        <v>1757</v>
      </c>
      <c r="C330" s="1" t="s">
        <v>1758</v>
      </c>
      <c r="D330" s="1" t="s">
        <v>1759</v>
      </c>
      <c r="E330" s="1">
        <v>5</v>
      </c>
      <c r="F330" s="1" t="str">
        <f>VLOOKUP(E330,'ESTRUTURA_MODULO(hide)'!$A$2:$D$230,2,FALSE)</f>
        <v>Recepção e Internação</v>
      </c>
      <c r="G330" s="1" t="str">
        <f>VLOOKUP(E330,'ESTRUTURA_MODULO(hide)'!$A$2:$D$95,3,FALSE)</f>
        <v>Reception and Admission</v>
      </c>
      <c r="H330" s="1" t="str">
        <f>VLOOKUP(E330,'ESTRUTURA_MODULO(hide)'!$A$2:$D$95,4,FALSE)</f>
        <v>Recepción e Hospitalización</v>
      </c>
      <c r="I330" s="20">
        <v>0</v>
      </c>
      <c r="J330" s="17" t="s">
        <v>2890</v>
      </c>
      <c r="K330" s="17" t="s">
        <v>2890</v>
      </c>
      <c r="L330" s="17" t="s">
        <v>2890</v>
      </c>
      <c r="M330" s="17" t="s">
        <v>2890</v>
      </c>
      <c r="N330" s="17" t="s">
        <v>2890</v>
      </c>
      <c r="O330" s="17" t="s">
        <v>2890</v>
      </c>
      <c r="P330" s="17" t="s">
        <v>2890</v>
      </c>
      <c r="T330" s="17" t="s">
        <v>2889</v>
      </c>
      <c r="U330" s="17" t="s">
        <v>2890</v>
      </c>
      <c r="V330" s="21"/>
      <c r="W330" s="17"/>
      <c r="X330" s="20">
        <v>0</v>
      </c>
    </row>
    <row r="331" spans="1:24">
      <c r="A331" s="1">
        <v>325</v>
      </c>
      <c r="B331" s="426" t="s">
        <v>1760</v>
      </c>
      <c r="C331" s="1" t="s">
        <v>1761</v>
      </c>
      <c r="D331" s="1" t="s">
        <v>1762</v>
      </c>
      <c r="E331" s="1">
        <v>5</v>
      </c>
      <c r="F331" s="1" t="str">
        <f>VLOOKUP(E331,'ESTRUTURA_MODULO(hide)'!$A$2:$D$230,2,FALSE)</f>
        <v>Recepção e Internação</v>
      </c>
      <c r="G331" s="1" t="str">
        <f>VLOOKUP(E331,'ESTRUTURA_MODULO(hide)'!$A$2:$D$95,3,FALSE)</f>
        <v>Reception and Admission</v>
      </c>
      <c r="H331" s="1" t="str">
        <f>VLOOKUP(E331,'ESTRUTURA_MODULO(hide)'!$A$2:$D$95,4,FALSE)</f>
        <v>Recepción e Hospitalización</v>
      </c>
      <c r="I331" s="20">
        <v>0</v>
      </c>
      <c r="J331" s="17" t="s">
        <v>2890</v>
      </c>
      <c r="K331" s="17" t="s">
        <v>2890</v>
      </c>
      <c r="L331" s="17" t="s">
        <v>2890</v>
      </c>
      <c r="M331" s="17" t="s">
        <v>2890</v>
      </c>
      <c r="N331" s="17" t="s">
        <v>2890</v>
      </c>
      <c r="O331" s="17" t="s">
        <v>2890</v>
      </c>
      <c r="P331" s="17" t="s">
        <v>2890</v>
      </c>
      <c r="T331" s="17" t="s">
        <v>2889</v>
      </c>
      <c r="U331" s="17" t="s">
        <v>2890</v>
      </c>
      <c r="V331" s="21"/>
      <c r="W331" s="17"/>
      <c r="X331" s="20">
        <v>0</v>
      </c>
    </row>
    <row r="332" spans="1:24">
      <c r="A332" s="1">
        <v>3009</v>
      </c>
      <c r="B332" s="35" t="s">
        <v>179</v>
      </c>
      <c r="C332" s="1" t="s">
        <v>537</v>
      </c>
      <c r="D332" s="1" t="s">
        <v>538</v>
      </c>
      <c r="E332" s="35">
        <v>5</v>
      </c>
      <c r="F332" s="1" t="str">
        <f>VLOOKUP(E332,'ESTRUTURA_MODULO(hide)'!$A$2:$D$230,2,FALSE)</f>
        <v>Recepção e Internação</v>
      </c>
      <c r="G332" s="1" t="str">
        <f>VLOOKUP(E332,'ESTRUTURA_MODULO(hide)'!$A$2:$D$95,3,FALSE)</f>
        <v>Reception and Admission</v>
      </c>
      <c r="H332" s="1" t="str">
        <f>VLOOKUP(E332,'ESTRUTURA_MODULO(hide)'!$A$2:$D$95,4,FALSE)</f>
        <v>Recepción e Hospitalización</v>
      </c>
      <c r="I332" s="37">
        <v>8</v>
      </c>
      <c r="J332" s="17" t="s">
        <v>2890</v>
      </c>
      <c r="K332" s="17" t="s">
        <v>2890</v>
      </c>
      <c r="L332" s="17" t="s">
        <v>2889</v>
      </c>
      <c r="M332" s="38" t="s">
        <v>2889</v>
      </c>
      <c r="N332" s="38" t="s">
        <v>2889</v>
      </c>
      <c r="O332" s="17" t="s">
        <v>2890</v>
      </c>
      <c r="P332" s="17" t="s">
        <v>2890</v>
      </c>
      <c r="T332" s="17" t="s">
        <v>2889</v>
      </c>
      <c r="U332" s="17" t="s">
        <v>2890</v>
      </c>
      <c r="V332" s="36"/>
      <c r="W332" s="17"/>
      <c r="X332" s="20">
        <v>16</v>
      </c>
    </row>
    <row r="333" spans="1:24">
      <c r="A333" s="1">
        <v>194</v>
      </c>
      <c r="B333" s="426" t="s">
        <v>1763</v>
      </c>
      <c r="C333" s="1" t="s">
        <v>1764</v>
      </c>
      <c r="D333" s="1" t="s">
        <v>1765</v>
      </c>
      <c r="E333" s="1">
        <v>5</v>
      </c>
      <c r="F333" s="1" t="str">
        <f>VLOOKUP(E333,'ESTRUTURA_MODULO(hide)'!$A$2:$D$230,2,FALSE)</f>
        <v>Recepção e Internação</v>
      </c>
      <c r="G333" s="1" t="str">
        <f>VLOOKUP(E333,'ESTRUTURA_MODULO(hide)'!$A$2:$D$95,3,FALSE)</f>
        <v>Reception and Admission</v>
      </c>
      <c r="H333" s="1" t="str">
        <f>VLOOKUP(E333,'ESTRUTURA_MODULO(hide)'!$A$2:$D$95,4,FALSE)</f>
        <v>Recepción e Hospitalización</v>
      </c>
      <c r="I333" s="20">
        <v>0</v>
      </c>
      <c r="J333" s="17" t="s">
        <v>2890</v>
      </c>
      <c r="K333" s="17" t="s">
        <v>2890</v>
      </c>
      <c r="L333" s="17" t="s">
        <v>2890</v>
      </c>
      <c r="M333" s="17" t="s">
        <v>2890</v>
      </c>
      <c r="N333" s="17" t="s">
        <v>2890</v>
      </c>
      <c r="O333" s="17" t="s">
        <v>2890</v>
      </c>
      <c r="P333" s="17" t="s">
        <v>2890</v>
      </c>
      <c r="T333" s="17" t="s">
        <v>2889</v>
      </c>
      <c r="U333" s="17" t="s">
        <v>2890</v>
      </c>
      <c r="V333" s="21"/>
      <c r="W333" s="17"/>
      <c r="X333" s="20">
        <v>0</v>
      </c>
    </row>
    <row r="334" spans="1:24">
      <c r="A334" s="1">
        <v>159</v>
      </c>
      <c r="B334" s="426" t="s">
        <v>1766</v>
      </c>
      <c r="C334" s="1" t="s">
        <v>1767</v>
      </c>
      <c r="D334" s="1" t="s">
        <v>1768</v>
      </c>
      <c r="E334" s="1">
        <v>5</v>
      </c>
      <c r="F334" s="1" t="str">
        <f>VLOOKUP(E334,'ESTRUTURA_MODULO(hide)'!$A$2:$D$230,2,FALSE)</f>
        <v>Recepção e Internação</v>
      </c>
      <c r="G334" s="1" t="str">
        <f>VLOOKUP(E334,'ESTRUTURA_MODULO(hide)'!$A$2:$D$95,3,FALSE)</f>
        <v>Reception and Admission</v>
      </c>
      <c r="H334" s="1" t="str">
        <f>VLOOKUP(E334,'ESTRUTURA_MODULO(hide)'!$A$2:$D$95,4,FALSE)</f>
        <v>Recepción e Hospitalización</v>
      </c>
      <c r="I334" s="20">
        <v>0</v>
      </c>
      <c r="J334" s="17" t="s">
        <v>2890</v>
      </c>
      <c r="K334" s="17" t="s">
        <v>2890</v>
      </c>
      <c r="L334" s="17" t="s">
        <v>2890</v>
      </c>
      <c r="M334" s="17" t="s">
        <v>2890</v>
      </c>
      <c r="N334" s="17" t="s">
        <v>2890</v>
      </c>
      <c r="O334" s="17" t="s">
        <v>2890</v>
      </c>
      <c r="P334" s="17" t="s">
        <v>2890</v>
      </c>
      <c r="T334" s="17" t="s">
        <v>2889</v>
      </c>
      <c r="U334" s="17" t="s">
        <v>2890</v>
      </c>
      <c r="V334" s="21"/>
      <c r="W334" s="17"/>
      <c r="X334" s="20">
        <v>0</v>
      </c>
    </row>
    <row r="335" spans="1:24">
      <c r="A335" s="1">
        <v>8009</v>
      </c>
      <c r="B335" s="35" t="s">
        <v>543</v>
      </c>
      <c r="C335" s="1" t="s">
        <v>544</v>
      </c>
      <c r="D335" s="1" t="s">
        <v>545</v>
      </c>
      <c r="E335" s="35">
        <v>5</v>
      </c>
      <c r="F335" s="1" t="str">
        <f>VLOOKUP(E335,'ESTRUTURA_MODULO(hide)'!$A$2:$D$230,2,FALSE)</f>
        <v>Recepção e Internação</v>
      </c>
      <c r="G335" s="1" t="str">
        <f>VLOOKUP(E335,'ESTRUTURA_MODULO(hide)'!$A$2:$D$95,3,FALSE)</f>
        <v>Reception and Admission</v>
      </c>
      <c r="H335" s="1" t="str">
        <f>VLOOKUP(E335,'ESTRUTURA_MODULO(hide)'!$A$2:$D$95,4,FALSE)</f>
        <v>Recepción e Hospitalización</v>
      </c>
      <c r="I335" s="37">
        <v>8</v>
      </c>
      <c r="J335" s="17" t="s">
        <v>2890</v>
      </c>
      <c r="K335" s="17" t="s">
        <v>2889</v>
      </c>
      <c r="L335" s="17" t="s">
        <v>2889</v>
      </c>
      <c r="M335" s="38" t="s">
        <v>2889</v>
      </c>
      <c r="N335" s="38" t="s">
        <v>2889</v>
      </c>
      <c r="O335" s="17" t="s">
        <v>2890</v>
      </c>
      <c r="P335" s="17" t="s">
        <v>2890</v>
      </c>
      <c r="T335" s="17" t="s">
        <v>2889</v>
      </c>
      <c r="U335" s="17" t="s">
        <v>2890</v>
      </c>
      <c r="V335" s="36"/>
      <c r="W335" s="17"/>
      <c r="X335" s="20">
        <v>8</v>
      </c>
    </row>
    <row r="336" spans="1:24">
      <c r="A336" s="1">
        <v>895</v>
      </c>
      <c r="B336" s="1" t="s">
        <v>184</v>
      </c>
      <c r="C336" s="1" t="s">
        <v>557</v>
      </c>
      <c r="D336" s="1" t="s">
        <v>558</v>
      </c>
      <c r="E336" s="1">
        <v>5</v>
      </c>
      <c r="F336" s="1" t="str">
        <f>VLOOKUP(E336,'ESTRUTURA_MODULO(hide)'!$A$2:$D$230,2,FALSE)</f>
        <v>Recepção e Internação</v>
      </c>
      <c r="G336" s="1" t="str">
        <f>VLOOKUP(E336,'ESTRUTURA_MODULO(hide)'!$A$2:$D$95,3,FALSE)</f>
        <v>Reception and Admission</v>
      </c>
      <c r="H336" s="1" t="str">
        <f>VLOOKUP(E336,'ESTRUTURA_MODULO(hide)'!$A$2:$D$95,4,FALSE)</f>
        <v>Recepción e Hospitalización</v>
      </c>
      <c r="I336" s="20">
        <v>0</v>
      </c>
      <c r="J336" s="17" t="s">
        <v>2890</v>
      </c>
      <c r="K336" s="17" t="s">
        <v>2890</v>
      </c>
      <c r="L336" s="17" t="s">
        <v>2890</v>
      </c>
      <c r="M336" s="17" t="s">
        <v>2890</v>
      </c>
      <c r="N336" s="17" t="s">
        <v>2890</v>
      </c>
      <c r="O336" s="17" t="s">
        <v>2890</v>
      </c>
      <c r="P336" s="17" t="s">
        <v>2890</v>
      </c>
      <c r="T336" s="17" t="s">
        <v>2889</v>
      </c>
      <c r="U336" s="17" t="s">
        <v>2890</v>
      </c>
      <c r="V336" s="21"/>
      <c r="W336" s="17"/>
      <c r="X336" s="20">
        <v>0</v>
      </c>
    </row>
    <row r="337" spans="1:24">
      <c r="A337" s="1">
        <v>916</v>
      </c>
      <c r="B337" s="35" t="s">
        <v>178</v>
      </c>
      <c r="C337" s="1" t="s">
        <v>556</v>
      </c>
      <c r="D337" s="1" t="s">
        <v>178</v>
      </c>
      <c r="E337" s="35">
        <v>5</v>
      </c>
      <c r="F337" s="1" t="str">
        <f>VLOOKUP(E337,'ESTRUTURA_MODULO(hide)'!$A$2:$D$230,2,FALSE)</f>
        <v>Recepção e Internação</v>
      </c>
      <c r="G337" s="1" t="str">
        <f>VLOOKUP(E337,'ESTRUTURA_MODULO(hide)'!$A$2:$D$95,3,FALSE)</f>
        <v>Reception and Admission</v>
      </c>
      <c r="H337" s="1" t="str">
        <f>VLOOKUP(E337,'ESTRUTURA_MODULO(hide)'!$A$2:$D$95,4,FALSE)</f>
        <v>Recepción e Hospitalización</v>
      </c>
      <c r="I337" s="37">
        <v>24</v>
      </c>
      <c r="J337" s="17" t="s">
        <v>2889</v>
      </c>
      <c r="K337" s="17" t="s">
        <v>2889</v>
      </c>
      <c r="L337" s="17" t="s">
        <v>2889</v>
      </c>
      <c r="M337" s="38" t="s">
        <v>2889</v>
      </c>
      <c r="N337" s="38" t="s">
        <v>2889</v>
      </c>
      <c r="O337" s="17" t="s">
        <v>2889</v>
      </c>
      <c r="P337" s="17" t="s">
        <v>2889</v>
      </c>
      <c r="T337" s="17" t="s">
        <v>2889</v>
      </c>
      <c r="U337" s="17" t="s">
        <v>2890</v>
      </c>
      <c r="V337" s="36"/>
      <c r="W337" s="17"/>
      <c r="X337" s="20">
        <v>40</v>
      </c>
    </row>
    <row r="338" spans="1:24">
      <c r="A338" s="1">
        <v>9042</v>
      </c>
      <c r="B338" s="35" t="s">
        <v>181</v>
      </c>
      <c r="C338" s="1" t="s">
        <v>533</v>
      </c>
      <c r="D338" s="1" t="s">
        <v>534</v>
      </c>
      <c r="E338" s="35">
        <v>5</v>
      </c>
      <c r="F338" s="1" t="str">
        <f>VLOOKUP(E338,'ESTRUTURA_MODULO(hide)'!$A$2:$D$230,2,FALSE)</f>
        <v>Recepção e Internação</v>
      </c>
      <c r="G338" s="1" t="str">
        <f>VLOOKUP(E338,'ESTRUTURA_MODULO(hide)'!$A$2:$D$95,3,FALSE)</f>
        <v>Reception and Admission</v>
      </c>
      <c r="H338" s="1" t="str">
        <f>VLOOKUP(E338,'ESTRUTURA_MODULO(hide)'!$A$2:$D$95,4,FALSE)</f>
        <v>Recepción e Hospitalización</v>
      </c>
      <c r="I338" s="37">
        <v>4</v>
      </c>
      <c r="J338" s="17" t="s">
        <v>2890</v>
      </c>
      <c r="K338" s="17" t="s">
        <v>2890</v>
      </c>
      <c r="L338" s="17" t="s">
        <v>2889</v>
      </c>
      <c r="M338" s="38" t="s">
        <v>2889</v>
      </c>
      <c r="N338" s="38" t="s">
        <v>2889</v>
      </c>
      <c r="O338" s="17" t="s">
        <v>2890</v>
      </c>
      <c r="P338" s="17" t="s">
        <v>2890</v>
      </c>
      <c r="T338" s="17" t="s">
        <v>2889</v>
      </c>
      <c r="U338" s="17" t="s">
        <v>2890</v>
      </c>
      <c r="V338" s="36"/>
      <c r="W338" s="17"/>
      <c r="X338" s="20">
        <v>6</v>
      </c>
    </row>
    <row r="339" spans="1:24">
      <c r="A339" s="1">
        <v>5</v>
      </c>
      <c r="B339" s="35" t="s">
        <v>27</v>
      </c>
      <c r="C339" s="1" t="s">
        <v>535</v>
      </c>
      <c r="D339" s="1" t="s">
        <v>536</v>
      </c>
      <c r="E339" s="35">
        <v>5</v>
      </c>
      <c r="F339" s="1" t="str">
        <f>VLOOKUP(E339,'ESTRUTURA_MODULO(hide)'!$A$2:$D$230,2,FALSE)</f>
        <v>Recepção e Internação</v>
      </c>
      <c r="G339" s="1" t="str">
        <f>VLOOKUP(E339,'ESTRUTURA_MODULO(hide)'!$A$2:$D$95,3,FALSE)</f>
        <v>Reception and Admission</v>
      </c>
      <c r="H339" s="1" t="str">
        <f>VLOOKUP(E339,'ESTRUTURA_MODULO(hide)'!$A$2:$D$95,4,FALSE)</f>
        <v>Recepción e Hospitalización</v>
      </c>
      <c r="I339" s="37">
        <v>4</v>
      </c>
      <c r="J339" s="17" t="s">
        <v>2889</v>
      </c>
      <c r="K339" s="17" t="s">
        <v>2889</v>
      </c>
      <c r="L339" s="17" t="s">
        <v>2889</v>
      </c>
      <c r="M339" s="38" t="s">
        <v>2889</v>
      </c>
      <c r="N339" s="38" t="s">
        <v>2889</v>
      </c>
      <c r="O339" s="17" t="s">
        <v>2889</v>
      </c>
      <c r="P339" s="17" t="s">
        <v>2889</v>
      </c>
      <c r="T339" s="17" t="s">
        <v>2889</v>
      </c>
      <c r="U339" s="17" t="s">
        <v>2890</v>
      </c>
      <c r="V339" s="36"/>
      <c r="W339" s="17"/>
      <c r="X339" s="20">
        <v>12</v>
      </c>
    </row>
    <row r="340" spans="1:24">
      <c r="A340" s="1">
        <v>3111</v>
      </c>
      <c r="B340" s="35" t="s">
        <v>182</v>
      </c>
      <c r="C340" s="1" t="s">
        <v>554</v>
      </c>
      <c r="D340" s="1" t="s">
        <v>555</v>
      </c>
      <c r="E340" s="35">
        <v>5</v>
      </c>
      <c r="F340" s="1" t="str">
        <f>VLOOKUP(E340,'ESTRUTURA_MODULO(hide)'!$A$2:$D$230,2,FALSE)</f>
        <v>Recepção e Internação</v>
      </c>
      <c r="G340" s="1" t="str">
        <f>VLOOKUP(E340,'ESTRUTURA_MODULO(hide)'!$A$2:$D$95,3,FALSE)</f>
        <v>Reception and Admission</v>
      </c>
      <c r="H340" s="1" t="str">
        <f>VLOOKUP(E340,'ESTRUTURA_MODULO(hide)'!$A$2:$D$95,4,FALSE)</f>
        <v>Recepción e Hospitalización</v>
      </c>
      <c r="I340" s="37">
        <v>8</v>
      </c>
      <c r="J340" s="17" t="s">
        <v>2889</v>
      </c>
      <c r="K340" s="17" t="s">
        <v>2889</v>
      </c>
      <c r="L340" s="17" t="s">
        <v>2889</v>
      </c>
      <c r="M340" s="38" t="s">
        <v>2889</v>
      </c>
      <c r="N340" s="38" t="s">
        <v>2889</v>
      </c>
      <c r="O340" s="17" t="s">
        <v>2889</v>
      </c>
      <c r="P340" s="17" t="s">
        <v>2889</v>
      </c>
      <c r="T340" s="17" t="s">
        <v>2889</v>
      </c>
      <c r="U340" s="17" t="s">
        <v>2890</v>
      </c>
      <c r="V340" s="36"/>
      <c r="W340" s="17"/>
      <c r="X340" s="20">
        <v>16</v>
      </c>
    </row>
    <row r="341" spans="1:24">
      <c r="A341" s="1">
        <v>324</v>
      </c>
      <c r="B341" s="426" t="s">
        <v>1769</v>
      </c>
      <c r="C341" s="1" t="s">
        <v>1770</v>
      </c>
      <c r="D341" s="1" t="s">
        <v>1771</v>
      </c>
      <c r="E341" s="1">
        <v>5</v>
      </c>
      <c r="F341" s="1" t="str">
        <f>VLOOKUP(E341,'ESTRUTURA_MODULO(hide)'!$A$2:$D$230,2,FALSE)</f>
        <v>Recepção e Internação</v>
      </c>
      <c r="G341" s="1" t="str">
        <f>VLOOKUP(E341,'ESTRUTURA_MODULO(hide)'!$A$2:$D$95,3,FALSE)</f>
        <v>Reception and Admission</v>
      </c>
      <c r="H341" s="1" t="str">
        <f>VLOOKUP(E341,'ESTRUTURA_MODULO(hide)'!$A$2:$D$95,4,FALSE)</f>
        <v>Recepción e Hospitalización</v>
      </c>
      <c r="I341" s="20">
        <v>0</v>
      </c>
      <c r="J341" s="17" t="s">
        <v>2890</v>
      </c>
      <c r="K341" s="17" t="s">
        <v>2890</v>
      </c>
      <c r="L341" s="17" t="s">
        <v>2890</v>
      </c>
      <c r="M341" s="17" t="s">
        <v>2890</v>
      </c>
      <c r="N341" s="17" t="s">
        <v>2890</v>
      </c>
      <c r="O341" s="17" t="s">
        <v>2890</v>
      </c>
      <c r="P341" s="17" t="s">
        <v>2890</v>
      </c>
      <c r="T341" s="17" t="s">
        <v>2889</v>
      </c>
      <c r="U341" s="17" t="s">
        <v>2890</v>
      </c>
      <c r="V341" s="21"/>
      <c r="W341" s="17"/>
      <c r="X341" s="20">
        <v>0</v>
      </c>
    </row>
    <row r="342" spans="1:24">
      <c r="A342" s="1">
        <v>44</v>
      </c>
      <c r="B342" s="35" t="s">
        <v>183</v>
      </c>
      <c r="C342" s="1" t="s">
        <v>552</v>
      </c>
      <c r="D342" s="1" t="s">
        <v>553</v>
      </c>
      <c r="E342" s="35">
        <v>5</v>
      </c>
      <c r="F342" s="1" t="str">
        <f>VLOOKUP(E342,'ESTRUTURA_MODULO(hide)'!$A$2:$D$230,2,FALSE)</f>
        <v>Recepção e Internação</v>
      </c>
      <c r="G342" s="1" t="str">
        <f>VLOOKUP(E342,'ESTRUTURA_MODULO(hide)'!$A$2:$D$95,3,FALSE)</f>
        <v>Reception and Admission</v>
      </c>
      <c r="H342" s="1" t="str">
        <f>VLOOKUP(E342,'ESTRUTURA_MODULO(hide)'!$A$2:$D$95,4,FALSE)</f>
        <v>Recepción e Hospitalización</v>
      </c>
      <c r="I342" s="37">
        <v>4</v>
      </c>
      <c r="J342" s="17" t="s">
        <v>2889</v>
      </c>
      <c r="K342" s="17" t="s">
        <v>2889</v>
      </c>
      <c r="L342" s="17" t="s">
        <v>2889</v>
      </c>
      <c r="M342" s="38" t="s">
        <v>2889</v>
      </c>
      <c r="N342" s="38" t="s">
        <v>2889</v>
      </c>
      <c r="O342" s="17" t="s">
        <v>2890</v>
      </c>
      <c r="P342" s="17" t="s">
        <v>2890</v>
      </c>
      <c r="T342" s="17" t="s">
        <v>2889</v>
      </c>
      <c r="U342" s="17" t="s">
        <v>2890</v>
      </c>
      <c r="V342" s="36"/>
      <c r="W342" s="17"/>
      <c r="X342" s="20">
        <v>16</v>
      </c>
    </row>
    <row r="343" spans="1:24">
      <c r="A343" s="1">
        <v>106</v>
      </c>
      <c r="B343" s="35" t="s">
        <v>29</v>
      </c>
      <c r="C343" s="1" t="s">
        <v>550</v>
      </c>
      <c r="D343" s="1" t="s">
        <v>551</v>
      </c>
      <c r="E343" s="35">
        <v>5</v>
      </c>
      <c r="F343" s="1" t="str">
        <f>VLOOKUP(E343,'ESTRUTURA_MODULO(hide)'!$A$2:$D$230,2,FALSE)</f>
        <v>Recepção e Internação</v>
      </c>
      <c r="G343" s="1" t="str">
        <f>VLOOKUP(E343,'ESTRUTURA_MODULO(hide)'!$A$2:$D$95,3,FALSE)</f>
        <v>Reception and Admission</v>
      </c>
      <c r="H343" s="1" t="str">
        <f>VLOOKUP(E343,'ESTRUTURA_MODULO(hide)'!$A$2:$D$95,4,FALSE)</f>
        <v>Recepción e Hospitalización</v>
      </c>
      <c r="I343" s="37">
        <v>8</v>
      </c>
      <c r="J343" s="17" t="s">
        <v>2890</v>
      </c>
      <c r="K343" s="17" t="s">
        <v>2889</v>
      </c>
      <c r="L343" s="17" t="s">
        <v>2889</v>
      </c>
      <c r="M343" s="38" t="s">
        <v>2889</v>
      </c>
      <c r="N343" s="38" t="s">
        <v>2889</v>
      </c>
      <c r="O343" s="17" t="s">
        <v>2890</v>
      </c>
      <c r="P343" s="17" t="s">
        <v>2889</v>
      </c>
      <c r="T343" s="17" t="s">
        <v>2889</v>
      </c>
      <c r="U343" s="17" t="s">
        <v>2890</v>
      </c>
      <c r="V343" s="36"/>
      <c r="W343" s="17"/>
      <c r="X343" s="20">
        <v>16</v>
      </c>
    </row>
    <row r="344" spans="1:24">
      <c r="A344" s="1">
        <v>32</v>
      </c>
      <c r="B344" s="35" t="s">
        <v>2952</v>
      </c>
      <c r="C344" s="1" t="s">
        <v>2953</v>
      </c>
      <c r="D344" s="1" t="s">
        <v>2954</v>
      </c>
      <c r="E344" s="35">
        <v>5</v>
      </c>
      <c r="F344" s="1" t="str">
        <f>VLOOKUP(E344,'ESTRUTURA_MODULO(hide)'!$A$2:$D$230,2,FALSE)</f>
        <v>Recepção e Internação</v>
      </c>
      <c r="G344" s="1" t="str">
        <f>VLOOKUP(E344,'ESTRUTURA_MODULO(hide)'!$A$2:$D$95,3,FALSE)</f>
        <v>Reception and Admission</v>
      </c>
      <c r="H344" s="1" t="str">
        <f>VLOOKUP(E344,'ESTRUTURA_MODULO(hide)'!$A$2:$D$95,4,FALSE)</f>
        <v>Recepción e Hospitalización</v>
      </c>
      <c r="I344" s="37">
        <v>2</v>
      </c>
      <c r="J344" s="17" t="s">
        <v>2889</v>
      </c>
      <c r="K344" s="17" t="s">
        <v>2889</v>
      </c>
      <c r="L344" s="17" t="s">
        <v>2889</v>
      </c>
      <c r="M344" s="38" t="s">
        <v>2889</v>
      </c>
      <c r="N344" s="38" t="s">
        <v>2889</v>
      </c>
      <c r="O344" s="17" t="s">
        <v>2889</v>
      </c>
      <c r="P344" s="17" t="s">
        <v>2889</v>
      </c>
      <c r="T344" s="17" t="s">
        <v>2889</v>
      </c>
      <c r="U344" s="17" t="s">
        <v>2890</v>
      </c>
      <c r="V344" s="36"/>
      <c r="W344" s="17"/>
      <c r="X344" s="20">
        <v>4</v>
      </c>
    </row>
    <row r="345" spans="1:24">
      <c r="A345" s="1">
        <v>156</v>
      </c>
      <c r="B345" s="426" t="s">
        <v>1718</v>
      </c>
      <c r="C345" s="1" t="s">
        <v>1719</v>
      </c>
      <c r="D345" s="1" t="s">
        <v>1720</v>
      </c>
      <c r="E345" s="1">
        <v>5</v>
      </c>
      <c r="F345" s="1" t="str">
        <f>VLOOKUP(E345,'ESTRUTURA_MODULO(hide)'!$A$2:$D$230,2,FALSE)</f>
        <v>Recepção e Internação</v>
      </c>
      <c r="G345" s="1" t="str">
        <f>VLOOKUP(E345,'ESTRUTURA_MODULO(hide)'!$A$2:$D$95,3,FALSE)</f>
        <v>Reception and Admission</v>
      </c>
      <c r="H345" s="1" t="str">
        <f>VLOOKUP(E345,'ESTRUTURA_MODULO(hide)'!$A$2:$D$95,4,FALSE)</f>
        <v>Recepción e Hospitalización</v>
      </c>
      <c r="I345" s="20">
        <v>0</v>
      </c>
      <c r="J345" s="17" t="s">
        <v>2890</v>
      </c>
      <c r="K345" s="17" t="s">
        <v>2890</v>
      </c>
      <c r="L345" s="17" t="s">
        <v>2890</v>
      </c>
      <c r="M345" s="17" t="s">
        <v>2890</v>
      </c>
      <c r="N345" s="17" t="s">
        <v>2890</v>
      </c>
      <c r="O345" s="17" t="s">
        <v>2890</v>
      </c>
      <c r="P345" s="17" t="s">
        <v>2890</v>
      </c>
      <c r="T345" s="17" t="s">
        <v>2889</v>
      </c>
      <c r="U345" s="17" t="s">
        <v>2890</v>
      </c>
      <c r="V345" s="21"/>
      <c r="W345" s="17"/>
      <c r="X345" s="20">
        <v>0</v>
      </c>
    </row>
    <row r="346" spans="1:24">
      <c r="A346" s="1">
        <v>151</v>
      </c>
      <c r="B346" s="426" t="s">
        <v>1772</v>
      </c>
      <c r="C346" s="1" t="s">
        <v>1773</v>
      </c>
      <c r="D346" s="1" t="s">
        <v>1774</v>
      </c>
      <c r="E346" s="1">
        <v>5</v>
      </c>
      <c r="F346" s="1" t="str">
        <f>VLOOKUP(E346,'ESTRUTURA_MODULO(hide)'!$A$2:$D$230,2,FALSE)</f>
        <v>Recepção e Internação</v>
      </c>
      <c r="G346" s="1" t="str">
        <f>VLOOKUP(E346,'ESTRUTURA_MODULO(hide)'!$A$2:$D$95,3,FALSE)</f>
        <v>Reception and Admission</v>
      </c>
      <c r="H346" s="1" t="str">
        <f>VLOOKUP(E346,'ESTRUTURA_MODULO(hide)'!$A$2:$D$95,4,FALSE)</f>
        <v>Recepción e Hospitalización</v>
      </c>
      <c r="I346" s="20">
        <v>0</v>
      </c>
      <c r="J346" s="17" t="s">
        <v>2890</v>
      </c>
      <c r="K346" s="17" t="s">
        <v>2890</v>
      </c>
      <c r="L346" s="17" t="s">
        <v>2890</v>
      </c>
      <c r="M346" s="17" t="s">
        <v>2890</v>
      </c>
      <c r="N346" s="17" t="s">
        <v>2890</v>
      </c>
      <c r="O346" s="17" t="s">
        <v>2890</v>
      </c>
      <c r="P346" s="17" t="s">
        <v>2890</v>
      </c>
      <c r="T346" s="17" t="s">
        <v>2889</v>
      </c>
      <c r="U346" s="17" t="s">
        <v>2890</v>
      </c>
      <c r="V346" s="21"/>
      <c r="W346" s="17"/>
      <c r="X346" s="20">
        <v>0</v>
      </c>
    </row>
    <row r="347" spans="1:24">
      <c r="A347" s="1">
        <v>1002</v>
      </c>
      <c r="B347" s="35" t="s">
        <v>180</v>
      </c>
      <c r="C347" s="1" t="s">
        <v>539</v>
      </c>
      <c r="D347" s="1" t="s">
        <v>540</v>
      </c>
      <c r="E347" s="35">
        <v>5</v>
      </c>
      <c r="F347" s="1" t="str">
        <f>VLOOKUP(E347,'ESTRUTURA_MODULO(hide)'!$A$2:$D$230,2,FALSE)</f>
        <v>Recepção e Internação</v>
      </c>
      <c r="G347" s="1" t="str">
        <f>VLOOKUP(E347,'ESTRUTURA_MODULO(hide)'!$A$2:$D$95,3,FALSE)</f>
        <v>Reception and Admission</v>
      </c>
      <c r="H347" s="1" t="str">
        <f>VLOOKUP(E347,'ESTRUTURA_MODULO(hide)'!$A$2:$D$95,4,FALSE)</f>
        <v>Recepción e Hospitalización</v>
      </c>
      <c r="I347" s="37">
        <v>8</v>
      </c>
      <c r="J347" s="17" t="s">
        <v>2889</v>
      </c>
      <c r="K347" s="17" t="s">
        <v>2889</v>
      </c>
      <c r="L347" s="17" t="s">
        <v>2889</v>
      </c>
      <c r="M347" s="38" t="s">
        <v>2889</v>
      </c>
      <c r="N347" s="38" t="s">
        <v>2889</v>
      </c>
      <c r="O347" s="17" t="s">
        <v>2890</v>
      </c>
      <c r="P347" s="17" t="s">
        <v>2890</v>
      </c>
      <c r="T347" s="17" t="s">
        <v>2889</v>
      </c>
      <c r="U347" s="17" t="s">
        <v>2890</v>
      </c>
      <c r="V347" s="36"/>
      <c r="W347" s="17"/>
      <c r="X347" s="20">
        <v>16</v>
      </c>
    </row>
    <row r="348" spans="1:24">
      <c r="A348" s="1">
        <v>145</v>
      </c>
      <c r="B348" s="1" t="s">
        <v>186</v>
      </c>
      <c r="C348" s="1" t="s">
        <v>559</v>
      </c>
      <c r="D348" s="1" t="s">
        <v>560</v>
      </c>
      <c r="E348" s="1">
        <v>5</v>
      </c>
      <c r="F348" s="1" t="str">
        <f>VLOOKUP(E348,'ESTRUTURA_MODULO(hide)'!$A$2:$D$230,2,FALSE)</f>
        <v>Recepção e Internação</v>
      </c>
      <c r="G348" s="1" t="str">
        <f>VLOOKUP(E348,'ESTRUTURA_MODULO(hide)'!$A$2:$D$95,3,FALSE)</f>
        <v>Reception and Admission</v>
      </c>
      <c r="H348" s="1" t="str">
        <f>VLOOKUP(E348,'ESTRUTURA_MODULO(hide)'!$A$2:$D$95,4,FALSE)</f>
        <v>Recepción e Hospitalización</v>
      </c>
      <c r="I348" s="20">
        <v>0</v>
      </c>
      <c r="J348" s="17" t="s">
        <v>2890</v>
      </c>
      <c r="K348" s="17" t="s">
        <v>2890</v>
      </c>
      <c r="L348" s="17" t="s">
        <v>2890</v>
      </c>
      <c r="M348" s="17" t="s">
        <v>2890</v>
      </c>
      <c r="N348" s="17" t="s">
        <v>2890</v>
      </c>
      <c r="O348" s="17" t="s">
        <v>2890</v>
      </c>
      <c r="P348" s="17" t="s">
        <v>2890</v>
      </c>
      <c r="T348" s="17" t="s">
        <v>2889</v>
      </c>
      <c r="U348" s="17" t="s">
        <v>2890</v>
      </c>
      <c r="V348" s="21"/>
      <c r="W348" s="17"/>
      <c r="X348" s="20">
        <v>0</v>
      </c>
    </row>
    <row r="349" spans="1:24">
      <c r="A349" s="1">
        <v>991</v>
      </c>
      <c r="B349" s="1" t="s">
        <v>185</v>
      </c>
      <c r="C349" s="1" t="s">
        <v>541</v>
      </c>
      <c r="D349" s="1" t="s">
        <v>542</v>
      </c>
      <c r="E349" s="1">
        <v>5</v>
      </c>
      <c r="F349" s="1" t="str">
        <f>VLOOKUP(E349,'ESTRUTURA_MODULO(hide)'!$A$2:$D$230,2,FALSE)</f>
        <v>Recepção e Internação</v>
      </c>
      <c r="G349" s="1" t="str">
        <f>VLOOKUP(E349,'ESTRUTURA_MODULO(hide)'!$A$2:$D$95,3,FALSE)</f>
        <v>Reception and Admission</v>
      </c>
      <c r="H349" s="1" t="str">
        <f>VLOOKUP(E349,'ESTRUTURA_MODULO(hide)'!$A$2:$D$95,4,FALSE)</f>
        <v>Recepción e Hospitalización</v>
      </c>
      <c r="I349" s="20">
        <v>0</v>
      </c>
      <c r="J349" s="17" t="s">
        <v>2890</v>
      </c>
      <c r="K349" s="17" t="s">
        <v>2890</v>
      </c>
      <c r="L349" s="17" t="s">
        <v>2890</v>
      </c>
      <c r="M349" s="17" t="s">
        <v>2890</v>
      </c>
      <c r="N349" s="17" t="s">
        <v>2890</v>
      </c>
      <c r="O349" s="17" t="s">
        <v>2890</v>
      </c>
      <c r="P349" s="17" t="s">
        <v>2890</v>
      </c>
      <c r="T349" s="17" t="s">
        <v>2889</v>
      </c>
      <c r="U349" s="17" t="s">
        <v>2890</v>
      </c>
      <c r="V349" s="21"/>
      <c r="W349" s="17"/>
      <c r="X349" s="20">
        <v>0</v>
      </c>
    </row>
    <row r="350" spans="1:24">
      <c r="A350" s="1">
        <v>8600</v>
      </c>
      <c r="B350" s="1" t="s">
        <v>336</v>
      </c>
      <c r="C350" s="1" t="s">
        <v>584</v>
      </c>
      <c r="D350" s="1" t="s">
        <v>585</v>
      </c>
      <c r="E350" s="1">
        <v>6</v>
      </c>
      <c r="F350" s="1" t="str">
        <f>VLOOKUP(E350,'ESTRUTURA_MODULO(hide)'!$A$2:$D$230,2,FALSE)</f>
        <v>Faturamento (Convênios e Particular)</v>
      </c>
      <c r="G350" s="1" t="str">
        <f>VLOOKUP(E350,'ESTRUTURA_MODULO(hide)'!$A$2:$D$95,3,FALSE)</f>
        <v>Billing (Insurance and Selfpayment)</v>
      </c>
      <c r="H350" s="1" t="str">
        <f>VLOOKUP(E350,'ESTRUTURA_MODULO(hide)'!$A$2:$D$95,4,FALSE)</f>
        <v>Facturación (Convenios y Particular)</v>
      </c>
      <c r="I350" s="20">
        <v>0</v>
      </c>
      <c r="J350" s="17" t="s">
        <v>2890</v>
      </c>
      <c r="K350" s="17" t="s">
        <v>2890</v>
      </c>
      <c r="L350" s="17" t="s">
        <v>2890</v>
      </c>
      <c r="M350" s="17" t="s">
        <v>2890</v>
      </c>
      <c r="N350" s="17" t="s">
        <v>2890</v>
      </c>
      <c r="O350" s="17" t="s">
        <v>2890</v>
      </c>
      <c r="P350" s="17" t="s">
        <v>2890</v>
      </c>
      <c r="T350" s="17" t="s">
        <v>2889</v>
      </c>
      <c r="U350" s="17" t="s">
        <v>2890</v>
      </c>
      <c r="V350" s="21"/>
      <c r="W350" s="17"/>
      <c r="X350" s="20">
        <v>0</v>
      </c>
    </row>
    <row r="351" spans="1:24">
      <c r="A351" s="1">
        <v>3013</v>
      </c>
      <c r="B351" s="35" t="s">
        <v>74</v>
      </c>
      <c r="C351" s="1" t="s">
        <v>581</v>
      </c>
      <c r="D351" s="1" t="s">
        <v>582</v>
      </c>
      <c r="E351" s="35">
        <v>6</v>
      </c>
      <c r="F351" s="1" t="str">
        <f>VLOOKUP(E351,'ESTRUTURA_MODULO(hide)'!$A$2:$D$230,2,FALSE)</f>
        <v>Faturamento (Convênios e Particular)</v>
      </c>
      <c r="G351" s="1" t="str">
        <f>VLOOKUP(E351,'ESTRUTURA_MODULO(hide)'!$A$2:$D$95,3,FALSE)</f>
        <v>Billing (Insurance and Selfpayment)</v>
      </c>
      <c r="H351" s="1" t="str">
        <f>VLOOKUP(E351,'ESTRUTURA_MODULO(hide)'!$A$2:$D$95,4,FALSE)</f>
        <v>Facturación (Convenios y Particular)</v>
      </c>
      <c r="I351" s="37">
        <v>18</v>
      </c>
      <c r="J351" s="17" t="s">
        <v>2890</v>
      </c>
      <c r="K351" s="17" t="s">
        <v>2890</v>
      </c>
      <c r="L351" s="17" t="s">
        <v>2890</v>
      </c>
      <c r="M351" s="38" t="s">
        <v>2889</v>
      </c>
      <c r="N351" s="38" t="s">
        <v>2889</v>
      </c>
      <c r="O351" s="17" t="s">
        <v>2890</v>
      </c>
      <c r="P351" s="17" t="s">
        <v>2890</v>
      </c>
      <c r="T351" s="17" t="s">
        <v>2889</v>
      </c>
      <c r="U351" s="17" t="s">
        <v>2890</v>
      </c>
      <c r="V351" s="36"/>
      <c r="W351" s="17"/>
      <c r="X351" s="20">
        <v>18</v>
      </c>
    </row>
    <row r="352" spans="1:24">
      <c r="A352" s="1">
        <v>3402</v>
      </c>
      <c r="B352" s="1" t="s">
        <v>583</v>
      </c>
      <c r="C352" s="1" t="s">
        <v>2872</v>
      </c>
      <c r="D352" s="1" t="s">
        <v>2869</v>
      </c>
      <c r="E352" s="1">
        <v>6</v>
      </c>
      <c r="F352" s="1" t="str">
        <f>VLOOKUP(E352,'ESTRUTURA_MODULO(hide)'!$A$2:$D$230,2,FALSE)</f>
        <v>Faturamento (Convênios e Particular)</v>
      </c>
      <c r="G352" s="1" t="str">
        <f>VLOOKUP(E352,'ESTRUTURA_MODULO(hide)'!$A$2:$D$95,3,FALSE)</f>
        <v>Billing (Insurance and Selfpayment)</v>
      </c>
      <c r="H352" s="1" t="str">
        <f>VLOOKUP(E352,'ESTRUTURA_MODULO(hide)'!$A$2:$D$95,4,FALSE)</f>
        <v>Facturación (Convenios y Particular)</v>
      </c>
      <c r="I352" s="20">
        <v>0</v>
      </c>
      <c r="J352" s="17" t="s">
        <v>2890</v>
      </c>
      <c r="K352" s="17" t="s">
        <v>2890</v>
      </c>
      <c r="L352" s="17" t="s">
        <v>2890</v>
      </c>
      <c r="M352" s="17" t="s">
        <v>2890</v>
      </c>
      <c r="N352" s="17" t="s">
        <v>2890</v>
      </c>
      <c r="O352" s="17" t="s">
        <v>2890</v>
      </c>
      <c r="P352" s="17" t="s">
        <v>2890</v>
      </c>
      <c r="T352" s="17" t="s">
        <v>2889</v>
      </c>
      <c r="U352" s="17" t="s">
        <v>2890</v>
      </c>
      <c r="V352" s="21"/>
      <c r="W352" s="17"/>
      <c r="X352" s="20">
        <v>0</v>
      </c>
    </row>
    <row r="353" spans="1:24">
      <c r="A353" s="1">
        <v>3401</v>
      </c>
      <c r="B353" s="1" t="s">
        <v>406</v>
      </c>
      <c r="C353" s="1" t="s">
        <v>2871</v>
      </c>
      <c r="D353" s="1" t="s">
        <v>2870</v>
      </c>
      <c r="E353" s="1">
        <v>6</v>
      </c>
      <c r="F353" s="1" t="str">
        <f>VLOOKUP(E353,'ESTRUTURA_MODULO(hide)'!$A$2:$D$230,2,FALSE)</f>
        <v>Faturamento (Convênios e Particular)</v>
      </c>
      <c r="G353" s="1" t="str">
        <f>VLOOKUP(E353,'ESTRUTURA_MODULO(hide)'!$A$2:$D$95,3,FALSE)</f>
        <v>Billing (Insurance and Selfpayment)</v>
      </c>
      <c r="H353" s="1" t="str">
        <f>VLOOKUP(E353,'ESTRUTURA_MODULO(hide)'!$A$2:$D$95,4,FALSE)</f>
        <v>Facturación (Convenios y Particular)</v>
      </c>
      <c r="I353" s="20">
        <v>0</v>
      </c>
      <c r="J353" s="17" t="s">
        <v>2890</v>
      </c>
      <c r="K353" s="17" t="s">
        <v>2890</v>
      </c>
      <c r="L353" s="17" t="s">
        <v>2890</v>
      </c>
      <c r="M353" s="17" t="s">
        <v>2890</v>
      </c>
      <c r="N353" s="17" t="s">
        <v>2890</v>
      </c>
      <c r="O353" s="17" t="s">
        <v>2890</v>
      </c>
      <c r="P353" s="17" t="s">
        <v>2890</v>
      </c>
      <c r="T353" s="17" t="s">
        <v>2889</v>
      </c>
      <c r="U353" s="17" t="s">
        <v>2890</v>
      </c>
      <c r="V353" s="21"/>
      <c r="W353" s="17"/>
      <c r="X353" s="20">
        <v>0</v>
      </c>
    </row>
    <row r="354" spans="1:24">
      <c r="A354" s="1">
        <v>7052</v>
      </c>
      <c r="B354" s="1" t="s">
        <v>344</v>
      </c>
      <c r="C354" s="1" t="s">
        <v>575</v>
      </c>
      <c r="D354" s="1" t="s">
        <v>576</v>
      </c>
      <c r="E354" s="1">
        <v>6</v>
      </c>
      <c r="F354" s="1" t="str">
        <f>VLOOKUP(E354,'ESTRUTURA_MODULO(hide)'!$A$2:$D$230,2,FALSE)</f>
        <v>Faturamento (Convênios e Particular)</v>
      </c>
      <c r="G354" s="1" t="str">
        <f>VLOOKUP(E354,'ESTRUTURA_MODULO(hide)'!$A$2:$D$95,3,FALSE)</f>
        <v>Billing (Insurance and Selfpayment)</v>
      </c>
      <c r="H354" s="1" t="str">
        <f>VLOOKUP(E354,'ESTRUTURA_MODULO(hide)'!$A$2:$D$95,4,FALSE)</f>
        <v>Facturación (Convenios y Particular)</v>
      </c>
      <c r="I354" s="20">
        <v>0</v>
      </c>
      <c r="J354" s="17" t="s">
        <v>2890</v>
      </c>
      <c r="K354" s="17" t="s">
        <v>2890</v>
      </c>
      <c r="L354" s="17" t="s">
        <v>2890</v>
      </c>
      <c r="M354" s="17" t="s">
        <v>2890</v>
      </c>
      <c r="N354" s="17" t="s">
        <v>2890</v>
      </c>
      <c r="O354" s="17" t="s">
        <v>2890</v>
      </c>
      <c r="P354" s="17" t="s">
        <v>2890</v>
      </c>
      <c r="T354" s="17" t="s">
        <v>2889</v>
      </c>
      <c r="U354" s="17" t="s">
        <v>2890</v>
      </c>
      <c r="V354" s="21"/>
      <c r="W354" s="17"/>
      <c r="X354" s="20">
        <v>0</v>
      </c>
    </row>
    <row r="355" spans="1:24">
      <c r="A355" s="1">
        <v>13</v>
      </c>
      <c r="B355" s="1" t="s">
        <v>327</v>
      </c>
      <c r="C355" s="1" t="s">
        <v>565</v>
      </c>
      <c r="D355" s="1" t="s">
        <v>566</v>
      </c>
      <c r="E355" s="1">
        <v>6</v>
      </c>
      <c r="F355" s="1" t="str">
        <f>VLOOKUP(E355,'ESTRUTURA_MODULO(hide)'!$A$2:$D$230,2,FALSE)</f>
        <v>Faturamento (Convênios e Particular)</v>
      </c>
      <c r="G355" s="1" t="str">
        <f>VLOOKUP(E355,'ESTRUTURA_MODULO(hide)'!$A$2:$D$95,3,FALSE)</f>
        <v>Billing (Insurance and Selfpayment)</v>
      </c>
      <c r="H355" s="1" t="str">
        <f>VLOOKUP(E355,'ESTRUTURA_MODULO(hide)'!$A$2:$D$95,4,FALSE)</f>
        <v>Facturación (Convenios y Particular)</v>
      </c>
      <c r="I355" s="20">
        <v>0</v>
      </c>
      <c r="J355" s="17" t="s">
        <v>2890</v>
      </c>
      <c r="K355" s="17" t="s">
        <v>2890</v>
      </c>
      <c r="L355" s="17" t="s">
        <v>2890</v>
      </c>
      <c r="M355" s="17" t="s">
        <v>2890</v>
      </c>
      <c r="N355" s="17" t="s">
        <v>2890</v>
      </c>
      <c r="O355" s="17" t="s">
        <v>2890</v>
      </c>
      <c r="P355" s="17" t="s">
        <v>2890</v>
      </c>
      <c r="T355" s="17" t="s">
        <v>2889</v>
      </c>
      <c r="U355" s="17" t="s">
        <v>2890</v>
      </c>
      <c r="V355" s="21"/>
      <c r="W355" s="17"/>
      <c r="X355" s="20">
        <v>0</v>
      </c>
    </row>
    <row r="356" spans="1:24">
      <c r="A356" s="1">
        <v>58</v>
      </c>
      <c r="B356" s="426" t="s">
        <v>1640</v>
      </c>
      <c r="C356" s="1" t="s">
        <v>1641</v>
      </c>
      <c r="D356" s="1" t="s">
        <v>1642</v>
      </c>
      <c r="E356" s="1">
        <v>6</v>
      </c>
      <c r="F356" s="1" t="str">
        <f>VLOOKUP(E356,'ESTRUTURA_MODULO(hide)'!$A$2:$D$230,2,FALSE)</f>
        <v>Faturamento (Convênios e Particular)</v>
      </c>
      <c r="G356" s="1" t="str">
        <f>VLOOKUP(E356,'ESTRUTURA_MODULO(hide)'!$A$2:$D$95,3,FALSE)</f>
        <v>Billing (Insurance and Selfpayment)</v>
      </c>
      <c r="H356" s="1" t="str">
        <f>VLOOKUP(E356,'ESTRUTURA_MODULO(hide)'!$A$2:$D$95,4,FALSE)</f>
        <v>Facturación (Convenios y Particular)</v>
      </c>
      <c r="I356" s="20">
        <v>0</v>
      </c>
      <c r="J356" s="17" t="s">
        <v>2890</v>
      </c>
      <c r="K356" s="17" t="s">
        <v>2890</v>
      </c>
      <c r="L356" s="17" t="s">
        <v>2890</v>
      </c>
      <c r="M356" s="17" t="s">
        <v>2890</v>
      </c>
      <c r="N356" s="17" t="s">
        <v>2890</v>
      </c>
      <c r="O356" s="17" t="s">
        <v>2890</v>
      </c>
      <c r="P356" s="17" t="s">
        <v>2890</v>
      </c>
      <c r="T356" s="17" t="s">
        <v>2889</v>
      </c>
      <c r="U356" s="17" t="s">
        <v>2890</v>
      </c>
      <c r="V356" s="21"/>
      <c r="W356" s="17"/>
      <c r="X356" s="20">
        <v>0</v>
      </c>
    </row>
    <row r="357" spans="1:24">
      <c r="A357" s="1">
        <v>216</v>
      </c>
      <c r="B357" s="426" t="s">
        <v>1664</v>
      </c>
      <c r="C357" s="1" t="s">
        <v>1665</v>
      </c>
      <c r="D357" s="1" t="s">
        <v>1666</v>
      </c>
      <c r="E357" s="1">
        <v>6</v>
      </c>
      <c r="F357" s="1" t="str">
        <f>VLOOKUP(E357,'ESTRUTURA_MODULO(hide)'!$A$2:$D$230,2,FALSE)</f>
        <v>Faturamento (Convênios e Particular)</v>
      </c>
      <c r="G357" s="1" t="str">
        <f>VLOOKUP(E357,'ESTRUTURA_MODULO(hide)'!$A$2:$D$95,3,FALSE)</f>
        <v>Billing (Insurance and Selfpayment)</v>
      </c>
      <c r="H357" s="1" t="str">
        <f>VLOOKUP(E357,'ESTRUTURA_MODULO(hide)'!$A$2:$D$95,4,FALSE)</f>
        <v>Facturación (Convenios y Particular)</v>
      </c>
      <c r="I357" s="20">
        <v>0</v>
      </c>
      <c r="J357" s="17" t="s">
        <v>2890</v>
      </c>
      <c r="K357" s="17" t="s">
        <v>2890</v>
      </c>
      <c r="L357" s="17" t="s">
        <v>2890</v>
      </c>
      <c r="M357" s="17" t="s">
        <v>2890</v>
      </c>
      <c r="N357" s="17" t="s">
        <v>2890</v>
      </c>
      <c r="O357" s="17" t="s">
        <v>2890</v>
      </c>
      <c r="P357" s="17" t="s">
        <v>2890</v>
      </c>
      <c r="T357" s="17" t="s">
        <v>2889</v>
      </c>
      <c r="U357" s="17" t="s">
        <v>2890</v>
      </c>
      <c r="V357" s="21"/>
      <c r="W357" s="17"/>
      <c r="X357" s="20">
        <v>0</v>
      </c>
    </row>
    <row r="358" spans="1:24">
      <c r="A358" s="1">
        <v>320</v>
      </c>
      <c r="B358" s="426" t="s">
        <v>1658</v>
      </c>
      <c r="C358" s="1" t="s">
        <v>1659</v>
      </c>
      <c r="D358" s="1" t="s">
        <v>1660</v>
      </c>
      <c r="E358" s="1">
        <v>6</v>
      </c>
      <c r="F358" s="1" t="str">
        <f>VLOOKUP(E358,'ESTRUTURA_MODULO(hide)'!$A$2:$D$230,2,FALSE)</f>
        <v>Faturamento (Convênios e Particular)</v>
      </c>
      <c r="G358" s="1" t="str">
        <f>VLOOKUP(E358,'ESTRUTURA_MODULO(hide)'!$A$2:$D$95,3,FALSE)</f>
        <v>Billing (Insurance and Selfpayment)</v>
      </c>
      <c r="H358" s="1" t="str">
        <f>VLOOKUP(E358,'ESTRUTURA_MODULO(hide)'!$A$2:$D$95,4,FALSE)</f>
        <v>Facturación (Convenios y Particular)</v>
      </c>
      <c r="I358" s="20">
        <v>0</v>
      </c>
      <c r="J358" s="17" t="s">
        <v>2890</v>
      </c>
      <c r="K358" s="17" t="s">
        <v>2890</v>
      </c>
      <c r="L358" s="17" t="s">
        <v>2890</v>
      </c>
      <c r="M358" s="17" t="s">
        <v>2890</v>
      </c>
      <c r="N358" s="17" t="s">
        <v>2890</v>
      </c>
      <c r="O358" s="17" t="s">
        <v>2890</v>
      </c>
      <c r="P358" s="17" t="s">
        <v>2890</v>
      </c>
      <c r="T358" s="17" t="s">
        <v>2889</v>
      </c>
      <c r="U358" s="17" t="s">
        <v>2890</v>
      </c>
      <c r="V358" s="21"/>
      <c r="W358" s="17"/>
      <c r="X358" s="20">
        <v>0</v>
      </c>
    </row>
    <row r="359" spans="1:24">
      <c r="A359" s="1">
        <v>7042</v>
      </c>
      <c r="B359" s="35" t="s">
        <v>148</v>
      </c>
      <c r="C359" s="1" t="s">
        <v>563</v>
      </c>
      <c r="D359" s="1" t="s">
        <v>564</v>
      </c>
      <c r="E359" s="35">
        <v>6</v>
      </c>
      <c r="F359" s="1" t="str">
        <f>VLOOKUP(E359,'ESTRUTURA_MODULO(hide)'!$A$2:$D$230,2,FALSE)</f>
        <v>Faturamento (Convênios e Particular)</v>
      </c>
      <c r="G359" s="1" t="str">
        <f>VLOOKUP(E359,'ESTRUTURA_MODULO(hide)'!$A$2:$D$95,3,FALSE)</f>
        <v>Billing (Insurance and Selfpayment)</v>
      </c>
      <c r="H359" s="1" t="str">
        <f>VLOOKUP(E359,'ESTRUTURA_MODULO(hide)'!$A$2:$D$95,4,FALSE)</f>
        <v>Facturación (Convenios y Particular)</v>
      </c>
      <c r="I359" s="37">
        <v>8</v>
      </c>
      <c r="J359" s="17" t="s">
        <v>2890</v>
      </c>
      <c r="K359" s="17" t="s">
        <v>2890</v>
      </c>
      <c r="L359" s="17" t="s">
        <v>2889</v>
      </c>
      <c r="M359" s="38" t="s">
        <v>2889</v>
      </c>
      <c r="N359" s="38" t="s">
        <v>2889</v>
      </c>
      <c r="O359" s="17" t="s">
        <v>2890</v>
      </c>
      <c r="P359" s="17" t="s">
        <v>2890</v>
      </c>
      <c r="T359" s="17" t="s">
        <v>2889</v>
      </c>
      <c r="U359" s="17" t="s">
        <v>2890</v>
      </c>
      <c r="V359" s="36"/>
      <c r="W359" s="17"/>
      <c r="X359" s="20">
        <v>12</v>
      </c>
    </row>
    <row r="360" spans="1:24">
      <c r="A360" s="1">
        <v>7048</v>
      </c>
      <c r="B360" s="1" t="s">
        <v>62</v>
      </c>
      <c r="C360" s="1" t="s">
        <v>573</v>
      </c>
      <c r="D360" s="1" t="s">
        <v>574</v>
      </c>
      <c r="E360" s="1">
        <v>6</v>
      </c>
      <c r="F360" s="1" t="str">
        <f>VLOOKUP(E360,'ESTRUTURA_MODULO(hide)'!$A$2:$D$230,2,FALSE)</f>
        <v>Faturamento (Convênios e Particular)</v>
      </c>
      <c r="G360" s="1" t="str">
        <f>VLOOKUP(E360,'ESTRUTURA_MODULO(hide)'!$A$2:$D$95,3,FALSE)</f>
        <v>Billing (Insurance and Selfpayment)</v>
      </c>
      <c r="H360" s="1" t="str">
        <f>VLOOKUP(E360,'ESTRUTURA_MODULO(hide)'!$A$2:$D$95,4,FALSE)</f>
        <v>Facturación (Convenios y Particular)</v>
      </c>
      <c r="I360" s="20">
        <v>0</v>
      </c>
      <c r="J360" s="17" t="s">
        <v>2890</v>
      </c>
      <c r="K360" s="17" t="s">
        <v>2890</v>
      </c>
      <c r="L360" s="17" t="s">
        <v>2890</v>
      </c>
      <c r="M360" s="17" t="s">
        <v>2890</v>
      </c>
      <c r="N360" s="17" t="s">
        <v>2890</v>
      </c>
      <c r="O360" s="17" t="s">
        <v>2890</v>
      </c>
      <c r="P360" s="17" t="s">
        <v>2890</v>
      </c>
      <c r="T360" s="17" t="s">
        <v>2889</v>
      </c>
      <c r="U360" s="17" t="s">
        <v>2890</v>
      </c>
      <c r="V360" s="21"/>
      <c r="W360" s="17"/>
      <c r="X360" s="20">
        <v>0</v>
      </c>
    </row>
    <row r="361" spans="1:24">
      <c r="A361" s="1">
        <v>84</v>
      </c>
      <c r="B361" s="426" t="s">
        <v>59</v>
      </c>
      <c r="C361" s="1" t="s">
        <v>602</v>
      </c>
      <c r="D361" s="1" t="s">
        <v>603</v>
      </c>
      <c r="E361" s="1">
        <v>6</v>
      </c>
      <c r="F361" s="1" t="str">
        <f>VLOOKUP(E361,'ESTRUTURA_MODULO(hide)'!$A$2:$D$230,2,FALSE)</f>
        <v>Faturamento (Convênios e Particular)</v>
      </c>
      <c r="G361" s="1" t="str">
        <f>VLOOKUP(E361,'ESTRUTURA_MODULO(hide)'!$A$2:$D$95,3,FALSE)</f>
        <v>Billing (Insurance and Selfpayment)</v>
      </c>
      <c r="H361" s="1" t="str">
        <f>VLOOKUP(E361,'ESTRUTURA_MODULO(hide)'!$A$2:$D$95,4,FALSE)</f>
        <v>Facturación (Convenios y Particular)</v>
      </c>
      <c r="I361" s="20">
        <v>0</v>
      </c>
      <c r="J361" s="17" t="s">
        <v>2890</v>
      </c>
      <c r="K361" s="17" t="s">
        <v>2890</v>
      </c>
      <c r="L361" s="17" t="s">
        <v>2890</v>
      </c>
      <c r="M361" s="17" t="s">
        <v>2890</v>
      </c>
      <c r="N361" s="17" t="s">
        <v>2890</v>
      </c>
      <c r="O361" s="17" t="s">
        <v>2890</v>
      </c>
      <c r="P361" s="17" t="s">
        <v>2890</v>
      </c>
      <c r="T361" s="17" t="s">
        <v>2889</v>
      </c>
      <c r="U361" s="17" t="s">
        <v>2890</v>
      </c>
      <c r="V361" s="21"/>
      <c r="W361" s="17"/>
      <c r="X361" s="20">
        <v>0</v>
      </c>
    </row>
    <row r="362" spans="1:24">
      <c r="A362" s="1">
        <v>48</v>
      </c>
      <c r="B362" s="35" t="s">
        <v>75</v>
      </c>
      <c r="C362" s="1" t="s">
        <v>600</v>
      </c>
      <c r="D362" s="1" t="s">
        <v>601</v>
      </c>
      <c r="E362" s="35">
        <v>6</v>
      </c>
      <c r="F362" s="1" t="str">
        <f>VLOOKUP(E362,'ESTRUTURA_MODULO(hide)'!$A$2:$D$230,2,FALSE)</f>
        <v>Faturamento (Convênios e Particular)</v>
      </c>
      <c r="G362" s="1" t="str">
        <f>VLOOKUP(E362,'ESTRUTURA_MODULO(hide)'!$A$2:$D$95,3,FALSE)</f>
        <v>Billing (Insurance and Selfpayment)</v>
      </c>
      <c r="H362" s="1" t="str">
        <f>VLOOKUP(E362,'ESTRUTURA_MODULO(hide)'!$A$2:$D$95,4,FALSE)</f>
        <v>Facturación (Convenios y Particular)</v>
      </c>
      <c r="I362" s="37">
        <v>2</v>
      </c>
      <c r="J362" s="17" t="s">
        <v>2890</v>
      </c>
      <c r="K362" s="17" t="s">
        <v>2889</v>
      </c>
      <c r="L362" s="17" t="s">
        <v>2889</v>
      </c>
      <c r="M362" s="38" t="s">
        <v>2889</v>
      </c>
      <c r="N362" s="38" t="s">
        <v>2889</v>
      </c>
      <c r="O362" s="17" t="s">
        <v>2890</v>
      </c>
      <c r="P362" s="17" t="s">
        <v>2890</v>
      </c>
      <c r="T362" s="17" t="s">
        <v>2889</v>
      </c>
      <c r="U362" s="17" t="s">
        <v>2890</v>
      </c>
      <c r="V362" s="36"/>
      <c r="W362" s="17"/>
      <c r="X362" s="20">
        <v>6</v>
      </c>
    </row>
    <row r="363" spans="1:24">
      <c r="A363" s="1">
        <v>304</v>
      </c>
      <c r="B363" s="426" t="s">
        <v>1667</v>
      </c>
      <c r="C363" s="1" t="s">
        <v>1668</v>
      </c>
      <c r="D363" s="1" t="s">
        <v>1669</v>
      </c>
      <c r="E363" s="1">
        <v>6</v>
      </c>
      <c r="F363" s="1" t="str">
        <f>VLOOKUP(E363,'ESTRUTURA_MODULO(hide)'!$A$2:$D$230,2,FALSE)</f>
        <v>Faturamento (Convênios e Particular)</v>
      </c>
      <c r="G363" s="1" t="str">
        <f>VLOOKUP(E363,'ESTRUTURA_MODULO(hide)'!$A$2:$D$95,3,FALSE)</f>
        <v>Billing (Insurance and Selfpayment)</v>
      </c>
      <c r="H363" s="1" t="str">
        <f>VLOOKUP(E363,'ESTRUTURA_MODULO(hide)'!$A$2:$D$95,4,FALSE)</f>
        <v>Facturación (Convenios y Particular)</v>
      </c>
      <c r="I363" s="20">
        <v>0</v>
      </c>
      <c r="J363" s="17" t="s">
        <v>2890</v>
      </c>
      <c r="K363" s="17" t="s">
        <v>2890</v>
      </c>
      <c r="L363" s="17" t="s">
        <v>2890</v>
      </c>
      <c r="M363" s="17" t="s">
        <v>2890</v>
      </c>
      <c r="N363" s="17" t="s">
        <v>2890</v>
      </c>
      <c r="O363" s="17" t="s">
        <v>2890</v>
      </c>
      <c r="P363" s="17" t="s">
        <v>2890</v>
      </c>
      <c r="T363" s="17" t="s">
        <v>2889</v>
      </c>
      <c r="U363" s="17" t="s">
        <v>2890</v>
      </c>
      <c r="V363" s="21"/>
      <c r="W363" s="17"/>
      <c r="X363" s="20">
        <v>0</v>
      </c>
    </row>
    <row r="364" spans="1:24">
      <c r="A364" s="1">
        <v>86</v>
      </c>
      <c r="B364" s="1" t="s">
        <v>60</v>
      </c>
      <c r="C364" s="1" t="s">
        <v>598</v>
      </c>
      <c r="D364" s="1" t="s">
        <v>599</v>
      </c>
      <c r="E364" s="1">
        <v>6</v>
      </c>
      <c r="F364" s="1" t="str">
        <f>VLOOKUP(E364,'ESTRUTURA_MODULO(hide)'!$A$2:$D$230,2,FALSE)</f>
        <v>Faturamento (Convênios e Particular)</v>
      </c>
      <c r="G364" s="1" t="str">
        <f>VLOOKUP(E364,'ESTRUTURA_MODULO(hide)'!$A$2:$D$95,3,FALSE)</f>
        <v>Billing (Insurance and Selfpayment)</v>
      </c>
      <c r="H364" s="1" t="str">
        <f>VLOOKUP(E364,'ESTRUTURA_MODULO(hide)'!$A$2:$D$95,4,FALSE)</f>
        <v>Facturación (Convenios y Particular)</v>
      </c>
      <c r="I364" s="20">
        <v>0</v>
      </c>
      <c r="J364" s="17" t="s">
        <v>2890</v>
      </c>
      <c r="K364" s="17" t="s">
        <v>2890</v>
      </c>
      <c r="L364" s="17" t="s">
        <v>2890</v>
      </c>
      <c r="M364" s="17" t="s">
        <v>2890</v>
      </c>
      <c r="N364" s="17" t="s">
        <v>2890</v>
      </c>
      <c r="O364" s="17" t="s">
        <v>2890</v>
      </c>
      <c r="P364" s="17" t="s">
        <v>2890</v>
      </c>
      <c r="T364" s="17" t="s">
        <v>2889</v>
      </c>
      <c r="U364" s="17" t="s">
        <v>2890</v>
      </c>
      <c r="V364" s="21"/>
      <c r="W364" s="17"/>
      <c r="X364" s="20">
        <v>0</v>
      </c>
    </row>
    <row r="365" spans="1:24">
      <c r="A365" s="1">
        <v>85</v>
      </c>
      <c r="B365" s="35" t="s">
        <v>71</v>
      </c>
      <c r="C365" s="1" t="s">
        <v>596</v>
      </c>
      <c r="D365" s="1" t="s">
        <v>597</v>
      </c>
      <c r="E365" s="35">
        <v>6</v>
      </c>
      <c r="F365" s="1" t="str">
        <f>VLOOKUP(E365,'ESTRUTURA_MODULO(hide)'!$A$2:$D$230,2,FALSE)</f>
        <v>Faturamento (Convênios e Particular)</v>
      </c>
      <c r="G365" s="1" t="str">
        <f>VLOOKUP(E365,'ESTRUTURA_MODULO(hide)'!$A$2:$D$95,3,FALSE)</f>
        <v>Billing (Insurance and Selfpayment)</v>
      </c>
      <c r="H365" s="1" t="str">
        <f>VLOOKUP(E365,'ESTRUTURA_MODULO(hide)'!$A$2:$D$95,4,FALSE)</f>
        <v>Facturación (Convenios y Particular)</v>
      </c>
      <c r="I365" s="37">
        <v>8</v>
      </c>
      <c r="J365" s="17" t="s">
        <v>2889</v>
      </c>
      <c r="K365" s="17" t="s">
        <v>2889</v>
      </c>
      <c r="L365" s="17" t="s">
        <v>2889</v>
      </c>
      <c r="M365" s="38" t="s">
        <v>2889</v>
      </c>
      <c r="N365" s="38" t="s">
        <v>2889</v>
      </c>
      <c r="O365" s="17" t="s">
        <v>2889</v>
      </c>
      <c r="P365" s="17" t="s">
        <v>2889</v>
      </c>
      <c r="T365" s="17" t="s">
        <v>2889</v>
      </c>
      <c r="U365" s="17" t="s">
        <v>2890</v>
      </c>
      <c r="V365" s="36"/>
      <c r="W365" s="17"/>
      <c r="X365" s="20">
        <v>8</v>
      </c>
    </row>
    <row r="366" spans="1:24">
      <c r="A366" s="1">
        <v>195</v>
      </c>
      <c r="B366" s="426" t="s">
        <v>1775</v>
      </c>
      <c r="C366" s="1" t="s">
        <v>1776</v>
      </c>
      <c r="D366" s="1" t="s">
        <v>1777</v>
      </c>
      <c r="E366" s="1">
        <v>6</v>
      </c>
      <c r="F366" s="1" t="str">
        <f>VLOOKUP(E366,'ESTRUTURA_MODULO(hide)'!$A$2:$D$230,2,FALSE)</f>
        <v>Faturamento (Convênios e Particular)</v>
      </c>
      <c r="G366" s="1" t="str">
        <f>VLOOKUP(E366,'ESTRUTURA_MODULO(hide)'!$A$2:$D$95,3,FALSE)</f>
        <v>Billing (Insurance and Selfpayment)</v>
      </c>
      <c r="H366" s="1" t="str">
        <f>VLOOKUP(E366,'ESTRUTURA_MODULO(hide)'!$A$2:$D$95,4,FALSE)</f>
        <v>Facturación (Convenios y Particular)</v>
      </c>
      <c r="I366" s="20">
        <v>0</v>
      </c>
      <c r="J366" s="17" t="s">
        <v>2890</v>
      </c>
      <c r="K366" s="17" t="s">
        <v>2890</v>
      </c>
      <c r="L366" s="17" t="s">
        <v>2890</v>
      </c>
      <c r="M366" s="17" t="s">
        <v>2890</v>
      </c>
      <c r="N366" s="17" t="s">
        <v>2890</v>
      </c>
      <c r="O366" s="17" t="s">
        <v>2890</v>
      </c>
      <c r="P366" s="17" t="s">
        <v>2890</v>
      </c>
      <c r="T366" s="17" t="s">
        <v>2889</v>
      </c>
      <c r="U366" s="17" t="s">
        <v>2890</v>
      </c>
      <c r="V366" s="21"/>
      <c r="W366" s="17"/>
      <c r="X366" s="20">
        <v>0</v>
      </c>
    </row>
    <row r="367" spans="1:24">
      <c r="A367" s="1">
        <v>315</v>
      </c>
      <c r="B367" s="426" t="s">
        <v>1628</v>
      </c>
      <c r="C367" s="1" t="s">
        <v>1629</v>
      </c>
      <c r="D367" s="1" t="s">
        <v>1630</v>
      </c>
      <c r="E367" s="1">
        <v>6</v>
      </c>
      <c r="F367" s="1" t="str">
        <f>VLOOKUP(E367,'ESTRUTURA_MODULO(hide)'!$A$2:$D$230,2,FALSE)</f>
        <v>Faturamento (Convênios e Particular)</v>
      </c>
      <c r="G367" s="1" t="str">
        <f>VLOOKUP(E367,'ESTRUTURA_MODULO(hide)'!$A$2:$D$95,3,FALSE)</f>
        <v>Billing (Insurance and Selfpayment)</v>
      </c>
      <c r="H367" s="1" t="str">
        <f>VLOOKUP(E367,'ESTRUTURA_MODULO(hide)'!$A$2:$D$95,4,FALSE)</f>
        <v>Facturación (Convenios y Particular)</v>
      </c>
      <c r="I367" s="20">
        <v>0</v>
      </c>
      <c r="J367" s="17" t="s">
        <v>2890</v>
      </c>
      <c r="K367" s="17" t="s">
        <v>2890</v>
      </c>
      <c r="L367" s="17" t="s">
        <v>2890</v>
      </c>
      <c r="M367" s="17" t="s">
        <v>2890</v>
      </c>
      <c r="N367" s="17" t="s">
        <v>2890</v>
      </c>
      <c r="O367" s="17" t="s">
        <v>2890</v>
      </c>
      <c r="P367" s="17" t="s">
        <v>2890</v>
      </c>
      <c r="T367" s="17" t="s">
        <v>2889</v>
      </c>
      <c r="U367" s="17" t="s">
        <v>2890</v>
      </c>
      <c r="V367" s="21"/>
      <c r="W367" s="17"/>
      <c r="X367" s="20">
        <v>0</v>
      </c>
    </row>
    <row r="368" spans="1:24">
      <c r="A368" s="1">
        <v>987</v>
      </c>
      <c r="B368" s="426" t="s">
        <v>65</v>
      </c>
      <c r="C368" s="1" t="s">
        <v>569</v>
      </c>
      <c r="D368" s="1" t="s">
        <v>570</v>
      </c>
      <c r="E368" s="1">
        <v>6</v>
      </c>
      <c r="F368" s="1" t="str">
        <f>VLOOKUP(E368,'ESTRUTURA_MODULO(hide)'!$A$2:$D$230,2,FALSE)</f>
        <v>Faturamento (Convênios e Particular)</v>
      </c>
      <c r="G368" s="1" t="str">
        <f>VLOOKUP(E368,'ESTRUTURA_MODULO(hide)'!$A$2:$D$95,3,FALSE)</f>
        <v>Billing (Insurance and Selfpayment)</v>
      </c>
      <c r="H368" s="1" t="str">
        <f>VLOOKUP(E368,'ESTRUTURA_MODULO(hide)'!$A$2:$D$95,4,FALSE)</f>
        <v>Facturación (Convenios y Particular)</v>
      </c>
      <c r="I368" s="20">
        <v>0</v>
      </c>
      <c r="J368" s="17" t="s">
        <v>2890</v>
      </c>
      <c r="K368" s="17" t="s">
        <v>2890</v>
      </c>
      <c r="L368" s="17" t="s">
        <v>2890</v>
      </c>
      <c r="M368" s="17" t="s">
        <v>2890</v>
      </c>
      <c r="N368" s="17" t="s">
        <v>2890</v>
      </c>
      <c r="O368" s="17" t="s">
        <v>2890</v>
      </c>
      <c r="P368" s="17" t="s">
        <v>2890</v>
      </c>
      <c r="T368" s="17" t="s">
        <v>2889</v>
      </c>
      <c r="U368" s="17" t="s">
        <v>2890</v>
      </c>
      <c r="V368" s="21"/>
      <c r="W368" s="17"/>
      <c r="X368" s="20">
        <v>0</v>
      </c>
    </row>
    <row r="369" spans="1:24">
      <c r="A369" s="1">
        <v>323</v>
      </c>
      <c r="B369" s="426" t="s">
        <v>2892</v>
      </c>
      <c r="C369" s="1" t="s">
        <v>2893</v>
      </c>
      <c r="D369" s="1" t="s">
        <v>2894</v>
      </c>
      <c r="E369" s="1">
        <v>6</v>
      </c>
      <c r="F369" s="1" t="str">
        <f>VLOOKUP(E369,'ESTRUTURA_MODULO(hide)'!$A$2:$D$230,2,FALSE)</f>
        <v>Faturamento (Convênios e Particular)</v>
      </c>
      <c r="G369" s="1" t="str">
        <f>VLOOKUP(E369,'ESTRUTURA_MODULO(hide)'!$A$2:$D$95,3,FALSE)</f>
        <v>Billing (Insurance and Selfpayment)</v>
      </c>
      <c r="H369" s="1" t="str">
        <f>VLOOKUP(E369,'ESTRUTURA_MODULO(hide)'!$A$2:$D$95,4,FALSE)</f>
        <v>Facturación (Convenios y Particular)</v>
      </c>
      <c r="I369" s="20">
        <v>0</v>
      </c>
      <c r="J369" s="17" t="s">
        <v>2890</v>
      </c>
      <c r="K369" s="17" t="s">
        <v>2890</v>
      </c>
      <c r="L369" s="17" t="s">
        <v>2890</v>
      </c>
      <c r="M369" s="17" t="s">
        <v>2890</v>
      </c>
      <c r="N369" s="17" t="s">
        <v>2890</v>
      </c>
      <c r="O369" s="17" t="s">
        <v>2890</v>
      </c>
      <c r="P369" s="17" t="s">
        <v>2890</v>
      </c>
      <c r="T369" s="17" t="s">
        <v>2889</v>
      </c>
      <c r="U369" s="17" t="s">
        <v>2890</v>
      </c>
      <c r="V369" s="21"/>
      <c r="W369" s="17"/>
      <c r="X369" s="20">
        <v>0</v>
      </c>
    </row>
    <row r="370" spans="1:24">
      <c r="A370" s="1">
        <v>319</v>
      </c>
      <c r="B370" s="426" t="s">
        <v>1661</v>
      </c>
      <c r="C370" s="1" t="s">
        <v>1662</v>
      </c>
      <c r="D370" s="1" t="s">
        <v>1663</v>
      </c>
      <c r="E370" s="1">
        <v>6</v>
      </c>
      <c r="F370" s="1" t="str">
        <f>VLOOKUP(E370,'ESTRUTURA_MODULO(hide)'!$A$2:$D$230,2,FALSE)</f>
        <v>Faturamento (Convênios e Particular)</v>
      </c>
      <c r="G370" s="1" t="str">
        <f>VLOOKUP(E370,'ESTRUTURA_MODULO(hide)'!$A$2:$D$95,3,FALSE)</f>
        <v>Billing (Insurance and Selfpayment)</v>
      </c>
      <c r="H370" s="1" t="str">
        <f>VLOOKUP(E370,'ESTRUTURA_MODULO(hide)'!$A$2:$D$95,4,FALSE)</f>
        <v>Facturación (Convenios y Particular)</v>
      </c>
      <c r="I370" s="20">
        <v>0</v>
      </c>
      <c r="J370" s="17" t="s">
        <v>2890</v>
      </c>
      <c r="K370" s="17" t="s">
        <v>2890</v>
      </c>
      <c r="L370" s="17" t="s">
        <v>2890</v>
      </c>
      <c r="M370" s="17" t="s">
        <v>2890</v>
      </c>
      <c r="N370" s="17" t="s">
        <v>2890</v>
      </c>
      <c r="O370" s="17" t="s">
        <v>2890</v>
      </c>
      <c r="P370" s="17" t="s">
        <v>2890</v>
      </c>
      <c r="T370" s="17" t="s">
        <v>2889</v>
      </c>
      <c r="U370" s="17" t="s">
        <v>2890</v>
      </c>
      <c r="V370" s="21"/>
      <c r="W370" s="17"/>
      <c r="X370" s="20">
        <v>0</v>
      </c>
    </row>
    <row r="371" spans="1:24">
      <c r="A371" s="1">
        <v>232</v>
      </c>
      <c r="B371" s="35" t="s">
        <v>61</v>
      </c>
      <c r="C371" s="1" t="s">
        <v>592</v>
      </c>
      <c r="D371" s="1" t="s">
        <v>593</v>
      </c>
      <c r="E371" s="35">
        <v>6</v>
      </c>
      <c r="F371" s="1" t="str">
        <f>VLOOKUP(E371,'ESTRUTURA_MODULO(hide)'!$A$2:$D$230,2,FALSE)</f>
        <v>Faturamento (Convênios e Particular)</v>
      </c>
      <c r="G371" s="1" t="str">
        <f>VLOOKUP(E371,'ESTRUTURA_MODULO(hide)'!$A$2:$D$95,3,FALSE)</f>
        <v>Billing (Insurance and Selfpayment)</v>
      </c>
      <c r="H371" s="1" t="str">
        <f>VLOOKUP(E371,'ESTRUTURA_MODULO(hide)'!$A$2:$D$95,4,FALSE)</f>
        <v>Facturación (Convenios y Particular)</v>
      </c>
      <c r="I371" s="37">
        <v>4</v>
      </c>
      <c r="J371" s="17" t="s">
        <v>2890</v>
      </c>
      <c r="K371" s="17" t="s">
        <v>2890</v>
      </c>
      <c r="L371" s="17" t="s">
        <v>2889</v>
      </c>
      <c r="M371" s="38" t="s">
        <v>2889</v>
      </c>
      <c r="N371" s="38" t="s">
        <v>2889</v>
      </c>
      <c r="O371" s="17" t="s">
        <v>2890</v>
      </c>
      <c r="P371" s="17" t="s">
        <v>2890</v>
      </c>
      <c r="T371" s="17" t="s">
        <v>2889</v>
      </c>
      <c r="U371" s="17" t="s">
        <v>2890</v>
      </c>
      <c r="V371" s="36"/>
      <c r="W371" s="17"/>
      <c r="X371" s="20">
        <v>12</v>
      </c>
    </row>
    <row r="372" spans="1:24">
      <c r="A372" s="1">
        <v>7021</v>
      </c>
      <c r="B372" s="35" t="s">
        <v>68</v>
      </c>
      <c r="C372" s="1" t="s">
        <v>571</v>
      </c>
      <c r="D372" s="1" t="s">
        <v>572</v>
      </c>
      <c r="E372" s="35">
        <v>6</v>
      </c>
      <c r="F372" s="1" t="str">
        <f>VLOOKUP(E372,'ESTRUTURA_MODULO(hide)'!$A$2:$D$230,2,FALSE)</f>
        <v>Faturamento (Convênios e Particular)</v>
      </c>
      <c r="G372" s="1" t="str">
        <f>VLOOKUP(E372,'ESTRUTURA_MODULO(hide)'!$A$2:$D$95,3,FALSE)</f>
        <v>Billing (Insurance and Selfpayment)</v>
      </c>
      <c r="H372" s="1" t="str">
        <f>VLOOKUP(E372,'ESTRUTURA_MODULO(hide)'!$A$2:$D$95,4,FALSE)</f>
        <v>Facturación (Convenios y Particular)</v>
      </c>
      <c r="I372" s="37">
        <v>8</v>
      </c>
      <c r="J372" s="17" t="s">
        <v>2890</v>
      </c>
      <c r="K372" s="17" t="s">
        <v>2889</v>
      </c>
      <c r="L372" s="17" t="s">
        <v>2889</v>
      </c>
      <c r="M372" s="38" t="s">
        <v>2889</v>
      </c>
      <c r="N372" s="38" t="s">
        <v>2889</v>
      </c>
      <c r="O372" s="17" t="s">
        <v>2890</v>
      </c>
      <c r="P372" s="17" t="s">
        <v>2890</v>
      </c>
      <c r="T372" s="17" t="s">
        <v>2889</v>
      </c>
      <c r="U372" s="17" t="s">
        <v>2890</v>
      </c>
      <c r="V372" s="36"/>
      <c r="W372" s="17"/>
      <c r="X372" s="20">
        <v>16</v>
      </c>
    </row>
    <row r="373" spans="1:24">
      <c r="A373" s="1">
        <v>313</v>
      </c>
      <c r="B373" s="426" t="s">
        <v>1631</v>
      </c>
      <c r="C373" s="1" t="s">
        <v>1632</v>
      </c>
      <c r="D373" s="1" t="s">
        <v>1633</v>
      </c>
      <c r="E373" s="1">
        <v>6</v>
      </c>
      <c r="F373" s="1" t="str">
        <f>VLOOKUP(E373,'ESTRUTURA_MODULO(hide)'!$A$2:$D$230,2,FALSE)</f>
        <v>Faturamento (Convênios e Particular)</v>
      </c>
      <c r="G373" s="1" t="str">
        <f>VLOOKUP(E373,'ESTRUTURA_MODULO(hide)'!$A$2:$D$95,3,FALSE)</f>
        <v>Billing (Insurance and Selfpayment)</v>
      </c>
      <c r="H373" s="1" t="str">
        <f>VLOOKUP(E373,'ESTRUTURA_MODULO(hide)'!$A$2:$D$95,4,FALSE)</f>
        <v>Facturación (Convenios y Particular)</v>
      </c>
      <c r="I373" s="20">
        <v>0</v>
      </c>
      <c r="J373" s="17" t="s">
        <v>2890</v>
      </c>
      <c r="K373" s="17" t="s">
        <v>2890</v>
      </c>
      <c r="L373" s="17" t="s">
        <v>2890</v>
      </c>
      <c r="M373" s="17" t="s">
        <v>2890</v>
      </c>
      <c r="N373" s="17" t="s">
        <v>2890</v>
      </c>
      <c r="O373" s="17" t="s">
        <v>2890</v>
      </c>
      <c r="P373" s="17" t="s">
        <v>2890</v>
      </c>
      <c r="T373" s="17" t="s">
        <v>2889</v>
      </c>
      <c r="U373" s="17" t="s">
        <v>2890</v>
      </c>
      <c r="V373" s="21"/>
      <c r="W373" s="17"/>
      <c r="X373" s="20">
        <v>0</v>
      </c>
    </row>
    <row r="374" spans="1:24">
      <c r="A374" s="1">
        <v>171</v>
      </c>
      <c r="B374" s="1" t="s">
        <v>66</v>
      </c>
      <c r="C374" s="1" t="s">
        <v>594</v>
      </c>
      <c r="D374" s="1" t="s">
        <v>595</v>
      </c>
      <c r="E374" s="1">
        <v>6</v>
      </c>
      <c r="F374" s="1" t="str">
        <f>VLOOKUP(E374,'ESTRUTURA_MODULO(hide)'!$A$2:$D$230,2,FALSE)</f>
        <v>Faturamento (Convênios e Particular)</v>
      </c>
      <c r="G374" s="1" t="str">
        <f>VLOOKUP(E374,'ESTRUTURA_MODULO(hide)'!$A$2:$D$95,3,FALSE)</f>
        <v>Billing (Insurance and Selfpayment)</v>
      </c>
      <c r="H374" s="1" t="str">
        <f>VLOOKUP(E374,'ESTRUTURA_MODULO(hide)'!$A$2:$D$95,4,FALSE)</f>
        <v>Facturación (Convenios y Particular)</v>
      </c>
      <c r="I374" s="20">
        <v>0</v>
      </c>
      <c r="J374" s="17" t="s">
        <v>2890</v>
      </c>
      <c r="K374" s="17" t="s">
        <v>2890</v>
      </c>
      <c r="L374" s="17" t="s">
        <v>2890</v>
      </c>
      <c r="M374" s="17" t="s">
        <v>2890</v>
      </c>
      <c r="N374" s="17" t="s">
        <v>2890</v>
      </c>
      <c r="O374" s="17" t="s">
        <v>2890</v>
      </c>
      <c r="P374" s="17" t="s">
        <v>2890</v>
      </c>
      <c r="T374" s="17" t="s">
        <v>2889</v>
      </c>
      <c r="U374" s="17" t="s">
        <v>2890</v>
      </c>
      <c r="V374" s="21"/>
      <c r="W374" s="17"/>
      <c r="X374" s="20">
        <v>0</v>
      </c>
    </row>
    <row r="375" spans="1:24">
      <c r="A375" s="1">
        <v>7051</v>
      </c>
      <c r="B375" s="426" t="s">
        <v>64</v>
      </c>
      <c r="C375" s="1" t="s">
        <v>561</v>
      </c>
      <c r="D375" s="1" t="s">
        <v>562</v>
      </c>
      <c r="E375" s="1">
        <v>6</v>
      </c>
      <c r="F375" s="1" t="str">
        <f>VLOOKUP(E375,'ESTRUTURA_MODULO(hide)'!$A$2:$D$230,2,FALSE)</f>
        <v>Faturamento (Convênios e Particular)</v>
      </c>
      <c r="G375" s="1" t="str">
        <f>VLOOKUP(E375,'ESTRUTURA_MODULO(hide)'!$A$2:$D$95,3,FALSE)</f>
        <v>Billing (Insurance and Selfpayment)</v>
      </c>
      <c r="H375" s="1" t="str">
        <f>VLOOKUP(E375,'ESTRUTURA_MODULO(hide)'!$A$2:$D$95,4,FALSE)</f>
        <v>Facturación (Convenios y Particular)</v>
      </c>
      <c r="I375" s="20">
        <v>0</v>
      </c>
      <c r="J375" s="17" t="s">
        <v>2890</v>
      </c>
      <c r="K375" s="17" t="s">
        <v>2890</v>
      </c>
      <c r="L375" s="17" t="s">
        <v>2890</v>
      </c>
      <c r="M375" s="17" t="s">
        <v>2890</v>
      </c>
      <c r="N375" s="17" t="s">
        <v>2890</v>
      </c>
      <c r="O375" s="17" t="s">
        <v>2890</v>
      </c>
      <c r="P375" s="17" t="s">
        <v>2890</v>
      </c>
      <c r="T375" s="17" t="s">
        <v>2889</v>
      </c>
      <c r="U375" s="17" t="s">
        <v>2890</v>
      </c>
      <c r="V375" s="21"/>
      <c r="W375" s="17"/>
      <c r="X375" s="20">
        <v>0</v>
      </c>
    </row>
    <row r="376" spans="1:24">
      <c r="A376" s="1">
        <v>1902</v>
      </c>
      <c r="B376" s="1" t="s">
        <v>69</v>
      </c>
      <c r="C376" s="1" t="s">
        <v>567</v>
      </c>
      <c r="D376" s="1" t="s">
        <v>568</v>
      </c>
      <c r="E376" s="1">
        <v>6</v>
      </c>
      <c r="F376" s="1" t="str">
        <f>VLOOKUP(E376,'ESTRUTURA_MODULO(hide)'!$A$2:$D$230,2,FALSE)</f>
        <v>Faturamento (Convênios e Particular)</v>
      </c>
      <c r="G376" s="1" t="str">
        <f>VLOOKUP(E376,'ESTRUTURA_MODULO(hide)'!$A$2:$D$95,3,FALSE)</f>
        <v>Billing (Insurance and Selfpayment)</v>
      </c>
      <c r="H376" s="1" t="str">
        <f>VLOOKUP(E376,'ESTRUTURA_MODULO(hide)'!$A$2:$D$95,4,FALSE)</f>
        <v>Facturación (Convenios y Particular)</v>
      </c>
      <c r="I376" s="20">
        <v>0</v>
      </c>
      <c r="J376" s="17" t="s">
        <v>2890</v>
      </c>
      <c r="K376" s="17" t="s">
        <v>2890</v>
      </c>
      <c r="L376" s="17" t="s">
        <v>2890</v>
      </c>
      <c r="M376" s="17" t="s">
        <v>2890</v>
      </c>
      <c r="N376" s="17" t="s">
        <v>2890</v>
      </c>
      <c r="O376" s="17" t="s">
        <v>2890</v>
      </c>
      <c r="P376" s="17" t="s">
        <v>2890</v>
      </c>
      <c r="T376" s="17" t="s">
        <v>2889</v>
      </c>
      <c r="U376" s="17" t="s">
        <v>2890</v>
      </c>
      <c r="V376" s="21"/>
      <c r="W376" s="17"/>
      <c r="X376" s="20">
        <v>0</v>
      </c>
    </row>
    <row r="377" spans="1:24">
      <c r="A377" s="1">
        <v>1901</v>
      </c>
      <c r="B377" s="1" t="s">
        <v>70</v>
      </c>
      <c r="C377" s="1" t="s">
        <v>1778</v>
      </c>
      <c r="D377" s="1" t="s">
        <v>2866</v>
      </c>
      <c r="E377" s="1">
        <v>6</v>
      </c>
      <c r="F377" s="1" t="str">
        <f>VLOOKUP(E377,'ESTRUTURA_MODULO(hide)'!$A$2:$D$230,2,FALSE)</f>
        <v>Faturamento (Convênios e Particular)</v>
      </c>
      <c r="G377" s="1" t="str">
        <f>VLOOKUP(E377,'ESTRUTURA_MODULO(hide)'!$A$2:$D$95,3,FALSE)</f>
        <v>Billing (Insurance and Selfpayment)</v>
      </c>
      <c r="H377" s="1" t="str">
        <f>VLOOKUP(E377,'ESTRUTURA_MODULO(hide)'!$A$2:$D$95,4,FALSE)</f>
        <v>Facturación (Convenios y Particular)</v>
      </c>
      <c r="I377" s="20">
        <v>0</v>
      </c>
      <c r="J377" s="17" t="s">
        <v>2890</v>
      </c>
      <c r="K377" s="17" t="s">
        <v>2890</v>
      </c>
      <c r="L377" s="17" t="s">
        <v>2890</v>
      </c>
      <c r="M377" s="17" t="s">
        <v>2890</v>
      </c>
      <c r="N377" s="17" t="s">
        <v>2890</v>
      </c>
      <c r="O377" s="17" t="s">
        <v>2890</v>
      </c>
      <c r="P377" s="17" t="s">
        <v>2890</v>
      </c>
      <c r="T377" s="17" t="s">
        <v>2889</v>
      </c>
      <c r="U377" s="17" t="s">
        <v>2890</v>
      </c>
      <c r="V377" s="21"/>
      <c r="W377" s="17"/>
      <c r="X377" s="20">
        <v>0</v>
      </c>
    </row>
    <row r="378" spans="1:24">
      <c r="A378" s="1">
        <v>3400</v>
      </c>
      <c r="B378" s="427" t="s">
        <v>72</v>
      </c>
      <c r="C378" s="1" t="s">
        <v>2868</v>
      </c>
      <c r="D378" s="1" t="s">
        <v>2867</v>
      </c>
      <c r="E378" s="35">
        <v>6</v>
      </c>
      <c r="F378" s="1" t="str">
        <f>VLOOKUP(E378,'ESTRUTURA_MODULO(hide)'!$A$2:$D$230,2,FALSE)</f>
        <v>Faturamento (Convênios e Particular)</v>
      </c>
      <c r="G378" s="1" t="str">
        <f>VLOOKUP(E378,'ESTRUTURA_MODULO(hide)'!$A$2:$D$95,3,FALSE)</f>
        <v>Billing (Insurance and Selfpayment)</v>
      </c>
      <c r="H378" s="1" t="str">
        <f>VLOOKUP(E378,'ESTRUTURA_MODULO(hide)'!$A$2:$D$95,4,FALSE)</f>
        <v>Facturación (Convenios y Particular)</v>
      </c>
      <c r="I378" s="37">
        <v>6</v>
      </c>
      <c r="J378" s="17" t="s">
        <v>2890</v>
      </c>
      <c r="K378" s="17" t="s">
        <v>2889</v>
      </c>
      <c r="L378" s="17" t="s">
        <v>2889</v>
      </c>
      <c r="M378" s="38" t="s">
        <v>2889</v>
      </c>
      <c r="N378" s="38" t="s">
        <v>2889</v>
      </c>
      <c r="O378" s="17" t="s">
        <v>2889</v>
      </c>
      <c r="P378" s="17" t="s">
        <v>2889</v>
      </c>
      <c r="T378" s="17" t="s">
        <v>2889</v>
      </c>
      <c r="U378" s="17" t="s">
        <v>2890</v>
      </c>
      <c r="V378" s="36"/>
      <c r="W378" s="17"/>
      <c r="X378" s="20">
        <v>6</v>
      </c>
    </row>
    <row r="379" spans="1:24">
      <c r="A379" s="1">
        <v>67</v>
      </c>
      <c r="B379" s="35" t="s">
        <v>147</v>
      </c>
      <c r="C379" s="1" t="s">
        <v>590</v>
      </c>
      <c r="D379" s="1" t="s">
        <v>591</v>
      </c>
      <c r="E379" s="35">
        <v>6</v>
      </c>
      <c r="F379" s="1" t="str">
        <f>VLOOKUP(E379,'ESTRUTURA_MODULO(hide)'!$A$2:$D$230,2,FALSE)</f>
        <v>Faturamento (Convênios e Particular)</v>
      </c>
      <c r="G379" s="1" t="str">
        <f>VLOOKUP(E379,'ESTRUTURA_MODULO(hide)'!$A$2:$D$95,3,FALSE)</f>
        <v>Billing (Insurance and Selfpayment)</v>
      </c>
      <c r="H379" s="1" t="str">
        <f>VLOOKUP(E379,'ESTRUTURA_MODULO(hide)'!$A$2:$D$95,4,FALSE)</f>
        <v>Facturación (Convenios y Particular)</v>
      </c>
      <c r="I379" s="37">
        <v>24</v>
      </c>
      <c r="J379" s="17" t="s">
        <v>2889</v>
      </c>
      <c r="K379" s="17" t="s">
        <v>2889</v>
      </c>
      <c r="L379" s="17" t="s">
        <v>2889</v>
      </c>
      <c r="M379" s="38" t="s">
        <v>2889</v>
      </c>
      <c r="N379" s="38" t="s">
        <v>2889</v>
      </c>
      <c r="O379" s="17" t="s">
        <v>2889</v>
      </c>
      <c r="P379" s="17" t="s">
        <v>2889</v>
      </c>
      <c r="T379" s="17" t="s">
        <v>2889</v>
      </c>
      <c r="U379" s="17" t="s">
        <v>2890</v>
      </c>
      <c r="V379" s="36"/>
      <c r="W379" s="17"/>
      <c r="X379" s="20">
        <v>40</v>
      </c>
    </row>
    <row r="380" spans="1:24">
      <c r="A380" s="1">
        <v>1199</v>
      </c>
      <c r="B380" s="1" t="s">
        <v>67</v>
      </c>
      <c r="C380" s="1" t="s">
        <v>588</v>
      </c>
      <c r="D380" s="1" t="s">
        <v>589</v>
      </c>
      <c r="E380" s="1">
        <v>6</v>
      </c>
      <c r="F380" s="1" t="str">
        <f>VLOOKUP(E380,'ESTRUTURA_MODULO(hide)'!$A$2:$D$230,2,FALSE)</f>
        <v>Faturamento (Convênios e Particular)</v>
      </c>
      <c r="G380" s="1" t="str">
        <f>VLOOKUP(E380,'ESTRUTURA_MODULO(hide)'!$A$2:$D$95,3,FALSE)</f>
        <v>Billing (Insurance and Selfpayment)</v>
      </c>
      <c r="H380" s="1" t="str">
        <f>VLOOKUP(E380,'ESTRUTURA_MODULO(hide)'!$A$2:$D$95,4,FALSE)</f>
        <v>Facturación (Convenios y Particular)</v>
      </c>
      <c r="I380" s="20">
        <v>0</v>
      </c>
      <c r="J380" s="17" t="s">
        <v>2890</v>
      </c>
      <c r="K380" s="17" t="s">
        <v>2890</v>
      </c>
      <c r="L380" s="17" t="s">
        <v>2890</v>
      </c>
      <c r="M380" s="17" t="s">
        <v>2890</v>
      </c>
      <c r="N380" s="17" t="s">
        <v>2890</v>
      </c>
      <c r="O380" s="17" t="s">
        <v>2890</v>
      </c>
      <c r="P380" s="17" t="s">
        <v>2890</v>
      </c>
      <c r="T380" s="17" t="s">
        <v>2889</v>
      </c>
      <c r="U380" s="17" t="s">
        <v>2890</v>
      </c>
      <c r="V380" s="21"/>
      <c r="W380" s="17"/>
      <c r="X380" s="20">
        <v>0</v>
      </c>
    </row>
    <row r="381" spans="1:24">
      <c r="A381" s="1">
        <v>302</v>
      </c>
      <c r="B381" s="426" t="s">
        <v>1670</v>
      </c>
      <c r="C381" s="1" t="s">
        <v>1671</v>
      </c>
      <c r="D381" s="1" t="s">
        <v>1672</v>
      </c>
      <c r="E381" s="1">
        <v>6</v>
      </c>
      <c r="F381" s="1" t="str">
        <f>VLOOKUP(E381,'ESTRUTURA_MODULO(hide)'!$A$2:$D$230,2,FALSE)</f>
        <v>Faturamento (Convênios e Particular)</v>
      </c>
      <c r="G381" s="1" t="str">
        <f>VLOOKUP(E381,'ESTRUTURA_MODULO(hide)'!$A$2:$D$95,3,FALSE)</f>
        <v>Billing (Insurance and Selfpayment)</v>
      </c>
      <c r="H381" s="1" t="str">
        <f>VLOOKUP(E381,'ESTRUTURA_MODULO(hide)'!$A$2:$D$95,4,FALSE)</f>
        <v>Facturación (Convenios y Particular)</v>
      </c>
      <c r="I381" s="20">
        <v>0</v>
      </c>
      <c r="J381" s="17" t="s">
        <v>2890</v>
      </c>
      <c r="K381" s="17" t="s">
        <v>2890</v>
      </c>
      <c r="L381" s="17" t="s">
        <v>2890</v>
      </c>
      <c r="M381" s="17" t="s">
        <v>2890</v>
      </c>
      <c r="N381" s="17" t="s">
        <v>2890</v>
      </c>
      <c r="O381" s="17" t="s">
        <v>2890</v>
      </c>
      <c r="P381" s="17" t="s">
        <v>2890</v>
      </c>
      <c r="T381" s="17" t="s">
        <v>2889</v>
      </c>
      <c r="U381" s="17" t="s">
        <v>2890</v>
      </c>
      <c r="V381" s="21"/>
      <c r="W381" s="17"/>
      <c r="X381" s="20">
        <v>0</v>
      </c>
    </row>
    <row r="382" spans="1:24">
      <c r="A382" s="1">
        <v>300</v>
      </c>
      <c r="B382" s="426" t="s">
        <v>1779</v>
      </c>
      <c r="C382" s="1" t="s">
        <v>1780</v>
      </c>
      <c r="D382" s="1" t="s">
        <v>1781</v>
      </c>
      <c r="E382" s="1">
        <v>6</v>
      </c>
      <c r="F382" s="1" t="str">
        <f>VLOOKUP(E382,'ESTRUTURA_MODULO(hide)'!$A$2:$D$230,2,FALSE)</f>
        <v>Faturamento (Convênios e Particular)</v>
      </c>
      <c r="G382" s="1" t="str">
        <f>VLOOKUP(E382,'ESTRUTURA_MODULO(hide)'!$A$2:$D$95,3,FALSE)</f>
        <v>Billing (Insurance and Selfpayment)</v>
      </c>
      <c r="H382" s="1" t="str">
        <f>VLOOKUP(E382,'ESTRUTURA_MODULO(hide)'!$A$2:$D$95,4,FALSE)</f>
        <v>Facturación (Convenios y Particular)</v>
      </c>
      <c r="I382" s="20">
        <v>0</v>
      </c>
      <c r="J382" s="17" t="s">
        <v>2890</v>
      </c>
      <c r="K382" s="17" t="s">
        <v>2890</v>
      </c>
      <c r="L382" s="17" t="s">
        <v>2890</v>
      </c>
      <c r="M382" s="17" t="s">
        <v>2890</v>
      </c>
      <c r="N382" s="17" t="s">
        <v>2890</v>
      </c>
      <c r="O382" s="17" t="s">
        <v>2890</v>
      </c>
      <c r="P382" s="17" t="s">
        <v>2890</v>
      </c>
      <c r="T382" s="17" t="s">
        <v>2889</v>
      </c>
      <c r="U382" s="17" t="s">
        <v>2890</v>
      </c>
      <c r="V382" s="21"/>
      <c r="W382" s="17"/>
      <c r="X382" s="20">
        <v>0</v>
      </c>
    </row>
    <row r="383" spans="1:24">
      <c r="A383" s="1">
        <v>79</v>
      </c>
      <c r="B383" s="1" t="s">
        <v>63</v>
      </c>
      <c r="C383" s="1" t="s">
        <v>586</v>
      </c>
      <c r="D383" s="1" t="s">
        <v>587</v>
      </c>
      <c r="E383" s="1">
        <v>6</v>
      </c>
      <c r="F383" s="1" t="str">
        <f>VLOOKUP(E383,'ESTRUTURA_MODULO(hide)'!$A$2:$D$230,2,FALSE)</f>
        <v>Faturamento (Convênios e Particular)</v>
      </c>
      <c r="G383" s="1" t="str">
        <f>VLOOKUP(E383,'ESTRUTURA_MODULO(hide)'!$A$2:$D$95,3,FALSE)</f>
        <v>Billing (Insurance and Selfpayment)</v>
      </c>
      <c r="H383" s="1" t="str">
        <f>VLOOKUP(E383,'ESTRUTURA_MODULO(hide)'!$A$2:$D$95,4,FALSE)</f>
        <v>Facturación (Convenios y Particular)</v>
      </c>
      <c r="I383" s="20">
        <v>0</v>
      </c>
      <c r="J383" s="17" t="s">
        <v>2890</v>
      </c>
      <c r="K383" s="17" t="s">
        <v>2890</v>
      </c>
      <c r="L383" s="17" t="s">
        <v>2890</v>
      </c>
      <c r="M383" s="17" t="s">
        <v>2890</v>
      </c>
      <c r="N383" s="17" t="s">
        <v>2890</v>
      </c>
      <c r="O383" s="17" t="s">
        <v>2890</v>
      </c>
      <c r="P383" s="17" t="s">
        <v>2890</v>
      </c>
      <c r="T383" s="17" t="s">
        <v>2889</v>
      </c>
      <c r="U383" s="17" t="s">
        <v>2890</v>
      </c>
      <c r="V383" s="21"/>
      <c r="W383" s="17"/>
      <c r="X383" s="20">
        <v>0</v>
      </c>
    </row>
    <row r="384" spans="1:24">
      <c r="A384" s="1">
        <v>306</v>
      </c>
      <c r="B384" s="426" t="s">
        <v>1782</v>
      </c>
      <c r="C384" s="1" t="s">
        <v>1783</v>
      </c>
      <c r="D384" s="1" t="s">
        <v>1784</v>
      </c>
      <c r="E384" s="1">
        <v>6</v>
      </c>
      <c r="F384" s="1" t="str">
        <f>VLOOKUP(E384,'ESTRUTURA_MODULO(hide)'!$A$2:$D$230,2,FALSE)</f>
        <v>Faturamento (Convênios e Particular)</v>
      </c>
      <c r="G384" s="1" t="str">
        <f>VLOOKUP(E384,'ESTRUTURA_MODULO(hide)'!$A$2:$D$95,3,FALSE)</f>
        <v>Billing (Insurance and Selfpayment)</v>
      </c>
      <c r="H384" s="1" t="str">
        <f>VLOOKUP(E384,'ESTRUTURA_MODULO(hide)'!$A$2:$D$95,4,FALSE)</f>
        <v>Facturación (Convenios y Particular)</v>
      </c>
      <c r="I384" s="20">
        <v>0</v>
      </c>
      <c r="J384" s="17" t="s">
        <v>2890</v>
      </c>
      <c r="K384" s="17" t="s">
        <v>2890</v>
      </c>
      <c r="L384" s="17" t="s">
        <v>2890</v>
      </c>
      <c r="M384" s="17" t="s">
        <v>2890</v>
      </c>
      <c r="N384" s="17" t="s">
        <v>2890</v>
      </c>
      <c r="O384" s="17" t="s">
        <v>2890</v>
      </c>
      <c r="P384" s="17" t="s">
        <v>2890</v>
      </c>
      <c r="T384" s="17" t="s">
        <v>2889</v>
      </c>
      <c r="U384" s="17" t="s">
        <v>2890</v>
      </c>
      <c r="V384" s="21"/>
      <c r="W384" s="17"/>
      <c r="X384" s="20">
        <v>0</v>
      </c>
    </row>
    <row r="385" spans="1:24">
      <c r="A385" s="1">
        <v>327</v>
      </c>
      <c r="B385" s="426" t="s">
        <v>1655</v>
      </c>
      <c r="C385" s="1" t="s">
        <v>1656</v>
      </c>
      <c r="D385" s="1" t="s">
        <v>1657</v>
      </c>
      <c r="E385" s="1">
        <v>6</v>
      </c>
      <c r="F385" s="1" t="str">
        <f>VLOOKUP(E385,'ESTRUTURA_MODULO(hide)'!$A$2:$D$230,2,FALSE)</f>
        <v>Faturamento (Convênios e Particular)</v>
      </c>
      <c r="G385" s="1" t="str">
        <f>VLOOKUP(E385,'ESTRUTURA_MODULO(hide)'!$A$2:$D$95,3,FALSE)</f>
        <v>Billing (Insurance and Selfpayment)</v>
      </c>
      <c r="H385" s="1" t="str">
        <f>VLOOKUP(E385,'ESTRUTURA_MODULO(hide)'!$A$2:$D$95,4,FALSE)</f>
        <v>Facturación (Convenios y Particular)</v>
      </c>
      <c r="I385" s="20">
        <v>0</v>
      </c>
      <c r="J385" s="17" t="s">
        <v>2890</v>
      </c>
      <c r="K385" s="17" t="s">
        <v>2890</v>
      </c>
      <c r="L385" s="17" t="s">
        <v>2890</v>
      </c>
      <c r="M385" s="17" t="s">
        <v>2890</v>
      </c>
      <c r="N385" s="17" t="s">
        <v>2890</v>
      </c>
      <c r="O385" s="17" t="s">
        <v>2890</v>
      </c>
      <c r="P385" s="17" t="s">
        <v>2890</v>
      </c>
      <c r="T385" s="17" t="s">
        <v>2889</v>
      </c>
      <c r="U385" s="17" t="s">
        <v>2890</v>
      </c>
      <c r="V385" s="21"/>
      <c r="W385" s="17"/>
      <c r="X385" s="20">
        <v>0</v>
      </c>
    </row>
    <row r="386" spans="1:24">
      <c r="A386" s="1">
        <v>-15</v>
      </c>
      <c r="B386" s="426" t="s">
        <v>73</v>
      </c>
      <c r="C386" s="1" t="s">
        <v>579</v>
      </c>
      <c r="D386" s="1" t="s">
        <v>580</v>
      </c>
      <c r="E386" s="1">
        <v>6</v>
      </c>
      <c r="F386" s="1" t="str">
        <f>VLOOKUP(E386,'ESTRUTURA_MODULO(hide)'!$A$2:$D$230,2,FALSE)</f>
        <v>Faturamento (Convênios e Particular)</v>
      </c>
      <c r="G386" s="1" t="str">
        <f>VLOOKUP(E386,'ESTRUTURA_MODULO(hide)'!$A$2:$D$95,3,FALSE)</f>
        <v>Billing (Insurance and Selfpayment)</v>
      </c>
      <c r="H386" s="1" t="str">
        <f>VLOOKUP(E386,'ESTRUTURA_MODULO(hide)'!$A$2:$D$95,4,FALSE)</f>
        <v>Facturación (Convenios y Particular)</v>
      </c>
      <c r="I386" s="20">
        <v>0</v>
      </c>
      <c r="J386" s="17" t="s">
        <v>2890</v>
      </c>
      <c r="K386" s="17" t="s">
        <v>2890</v>
      </c>
      <c r="L386" s="17" t="s">
        <v>2890</v>
      </c>
      <c r="M386" s="17" t="s">
        <v>2890</v>
      </c>
      <c r="N386" s="17" t="s">
        <v>2890</v>
      </c>
      <c r="O386" s="17" t="s">
        <v>2890</v>
      </c>
      <c r="P386" s="17" t="s">
        <v>2890</v>
      </c>
      <c r="T386" s="17" t="s">
        <v>2889</v>
      </c>
      <c r="U386" s="17" t="s">
        <v>2890</v>
      </c>
      <c r="V386" s="21"/>
      <c r="W386" s="17"/>
      <c r="X386" s="20">
        <v>0</v>
      </c>
    </row>
    <row r="387" spans="1:24">
      <c r="A387" s="1">
        <v>1112</v>
      </c>
      <c r="B387" s="35" t="s">
        <v>1785</v>
      </c>
      <c r="C387" s="1" t="s">
        <v>577</v>
      </c>
      <c r="D387" s="1" t="s">
        <v>578</v>
      </c>
      <c r="E387" s="35">
        <v>6</v>
      </c>
      <c r="F387" s="1" t="str">
        <f>VLOOKUP(E387,'ESTRUTURA_MODULO(hide)'!$A$2:$D$230,2,FALSE)</f>
        <v>Faturamento (Convênios e Particular)</v>
      </c>
      <c r="G387" s="1" t="str">
        <f>VLOOKUP(E387,'ESTRUTURA_MODULO(hide)'!$A$2:$D$95,3,FALSE)</f>
        <v>Billing (Insurance and Selfpayment)</v>
      </c>
      <c r="H387" s="1" t="str">
        <f>VLOOKUP(E387,'ESTRUTURA_MODULO(hide)'!$A$2:$D$95,4,FALSE)</f>
        <v>Facturación (Convenios y Particular)</v>
      </c>
      <c r="I387" s="37">
        <v>2</v>
      </c>
      <c r="J387" s="17" t="s">
        <v>2890</v>
      </c>
      <c r="K387" s="17" t="s">
        <v>2890</v>
      </c>
      <c r="L387" s="17" t="s">
        <v>2890</v>
      </c>
      <c r="M387" s="38" t="s">
        <v>2889</v>
      </c>
      <c r="N387" s="38" t="s">
        <v>2889</v>
      </c>
      <c r="O387" s="17" t="s">
        <v>2890</v>
      </c>
      <c r="P387" s="17" t="s">
        <v>2890</v>
      </c>
      <c r="T387" s="17" t="s">
        <v>2889</v>
      </c>
      <c r="U387" s="17" t="s">
        <v>2890</v>
      </c>
      <c r="V387" s="36"/>
      <c r="W387" s="17"/>
      <c r="X387" s="20">
        <v>2</v>
      </c>
    </row>
    <row r="388" spans="1:24">
      <c r="A388" s="1">
        <v>179</v>
      </c>
      <c r="B388" s="426" t="s">
        <v>1786</v>
      </c>
      <c r="C388" s="1" t="s">
        <v>1787</v>
      </c>
      <c r="D388" s="1" t="s">
        <v>1788</v>
      </c>
      <c r="E388" s="1">
        <v>7</v>
      </c>
      <c r="F388" s="1" t="str">
        <f>VLOOKUP(E388,'ESTRUTURA_MODULO(hide)'!$A$2:$D$230,2,FALSE)</f>
        <v>Compras</v>
      </c>
      <c r="G388" s="1" t="str">
        <f>VLOOKUP(E388,'ESTRUTURA_MODULO(hide)'!$A$2:$D$95,3,FALSE)</f>
        <v>Purchases</v>
      </c>
      <c r="H388" s="1" t="str">
        <f>VLOOKUP(E388,'ESTRUTURA_MODULO(hide)'!$A$2:$D$95,4,FALSE)</f>
        <v>Compras</v>
      </c>
      <c r="I388" s="20">
        <v>0</v>
      </c>
      <c r="J388" s="17" t="s">
        <v>2890</v>
      </c>
      <c r="K388" s="17" t="s">
        <v>2890</v>
      </c>
      <c r="L388" s="17" t="s">
        <v>2890</v>
      </c>
      <c r="M388" s="17" t="s">
        <v>2890</v>
      </c>
      <c r="N388" s="17" t="s">
        <v>2890</v>
      </c>
      <c r="O388" s="17" t="s">
        <v>2890</v>
      </c>
      <c r="P388" s="17" t="s">
        <v>2890</v>
      </c>
      <c r="T388" s="17" t="s">
        <v>2889</v>
      </c>
      <c r="U388" s="17" t="s">
        <v>2890</v>
      </c>
      <c r="V388" s="21"/>
      <c r="W388" s="17"/>
      <c r="X388" s="20">
        <v>0</v>
      </c>
    </row>
    <row r="389" spans="1:24">
      <c r="A389" s="1">
        <v>267</v>
      </c>
      <c r="B389" s="35" t="s">
        <v>111</v>
      </c>
      <c r="C389" s="1" t="s">
        <v>627</v>
      </c>
      <c r="D389" s="1" t="s">
        <v>628</v>
      </c>
      <c r="E389" s="35">
        <v>7</v>
      </c>
      <c r="F389" s="1" t="str">
        <f>VLOOKUP(E389,'ESTRUTURA_MODULO(hide)'!$A$2:$D$230,2,FALSE)</f>
        <v>Compras</v>
      </c>
      <c r="G389" s="1" t="str">
        <f>VLOOKUP(E389,'ESTRUTURA_MODULO(hide)'!$A$2:$D$95,3,FALSE)</f>
        <v>Purchases</v>
      </c>
      <c r="H389" s="1" t="str">
        <f>VLOOKUP(E389,'ESTRUTURA_MODULO(hide)'!$A$2:$D$95,4,FALSE)</f>
        <v>Compras</v>
      </c>
      <c r="I389" s="37">
        <v>12</v>
      </c>
      <c r="J389" s="17" t="s">
        <v>2889</v>
      </c>
      <c r="K389" s="17" t="s">
        <v>2889</v>
      </c>
      <c r="L389" s="17" t="s">
        <v>2889</v>
      </c>
      <c r="M389" s="38" t="s">
        <v>2889</v>
      </c>
      <c r="N389" s="38" t="s">
        <v>2889</v>
      </c>
      <c r="O389" s="17" t="s">
        <v>2889</v>
      </c>
      <c r="P389" s="17" t="s">
        <v>2889</v>
      </c>
      <c r="T389" s="17" t="s">
        <v>2889</v>
      </c>
      <c r="U389" s="17" t="s">
        <v>2890</v>
      </c>
      <c r="V389" s="36"/>
      <c r="W389" s="17"/>
      <c r="X389" s="20">
        <v>24</v>
      </c>
    </row>
    <row r="390" spans="1:24">
      <c r="A390" s="1">
        <v>193</v>
      </c>
      <c r="B390" s="426" t="s">
        <v>1789</v>
      </c>
      <c r="C390" s="1" t="s">
        <v>1790</v>
      </c>
      <c r="D390" s="1" t="s">
        <v>1791</v>
      </c>
      <c r="E390" s="1">
        <v>7</v>
      </c>
      <c r="F390" s="1" t="str">
        <f>VLOOKUP(E390,'ESTRUTURA_MODULO(hide)'!$A$2:$D$230,2,FALSE)</f>
        <v>Compras</v>
      </c>
      <c r="G390" s="1" t="str">
        <f>VLOOKUP(E390,'ESTRUTURA_MODULO(hide)'!$A$2:$D$95,3,FALSE)</f>
        <v>Purchases</v>
      </c>
      <c r="H390" s="1" t="str">
        <f>VLOOKUP(E390,'ESTRUTURA_MODULO(hide)'!$A$2:$D$95,4,FALSE)</f>
        <v>Compras</v>
      </c>
      <c r="I390" s="20">
        <v>0</v>
      </c>
      <c r="J390" s="17" t="s">
        <v>2890</v>
      </c>
      <c r="K390" s="17" t="s">
        <v>2890</v>
      </c>
      <c r="L390" s="17" t="s">
        <v>2890</v>
      </c>
      <c r="M390" s="17" t="s">
        <v>2890</v>
      </c>
      <c r="N390" s="17" t="s">
        <v>2890</v>
      </c>
      <c r="O390" s="17" t="s">
        <v>2890</v>
      </c>
      <c r="P390" s="17" t="s">
        <v>2890</v>
      </c>
      <c r="T390" s="17" t="s">
        <v>2889</v>
      </c>
      <c r="U390" s="17" t="s">
        <v>2890</v>
      </c>
      <c r="V390" s="21"/>
      <c r="W390" s="17"/>
      <c r="X390" s="20">
        <v>0</v>
      </c>
    </row>
    <row r="391" spans="1:24">
      <c r="A391" s="1">
        <v>198</v>
      </c>
      <c r="B391" s="426" t="s">
        <v>1792</v>
      </c>
      <c r="C391" s="1" t="s">
        <v>1793</v>
      </c>
      <c r="D391" s="1" t="s">
        <v>1794</v>
      </c>
      <c r="E391" s="1">
        <v>7</v>
      </c>
      <c r="F391" s="1" t="str">
        <f>VLOOKUP(E391,'ESTRUTURA_MODULO(hide)'!$A$2:$D$230,2,FALSE)</f>
        <v>Compras</v>
      </c>
      <c r="G391" s="1" t="str">
        <f>VLOOKUP(E391,'ESTRUTURA_MODULO(hide)'!$A$2:$D$95,3,FALSE)</f>
        <v>Purchases</v>
      </c>
      <c r="H391" s="1" t="str">
        <f>VLOOKUP(E391,'ESTRUTURA_MODULO(hide)'!$A$2:$D$95,4,FALSE)</f>
        <v>Compras</v>
      </c>
      <c r="I391" s="20">
        <v>0</v>
      </c>
      <c r="J391" s="17" t="s">
        <v>2890</v>
      </c>
      <c r="K391" s="17" t="s">
        <v>2890</v>
      </c>
      <c r="L391" s="17" t="s">
        <v>2890</v>
      </c>
      <c r="M391" s="17" t="s">
        <v>2890</v>
      </c>
      <c r="N391" s="17" t="s">
        <v>2890</v>
      </c>
      <c r="O391" s="17" t="s">
        <v>2890</v>
      </c>
      <c r="P391" s="17" t="s">
        <v>2890</v>
      </c>
      <c r="T391" s="17" t="s">
        <v>2889</v>
      </c>
      <c r="U391" s="17" t="s">
        <v>2890</v>
      </c>
      <c r="V391" s="21"/>
      <c r="W391" s="17"/>
      <c r="X391" s="20">
        <v>0</v>
      </c>
    </row>
    <row r="392" spans="1:24">
      <c r="A392" s="1">
        <v>197</v>
      </c>
      <c r="B392" s="426" t="s">
        <v>1795</v>
      </c>
      <c r="C392" s="1" t="s">
        <v>1790</v>
      </c>
      <c r="D392" s="1" t="s">
        <v>1796</v>
      </c>
      <c r="E392" s="1">
        <v>7</v>
      </c>
      <c r="F392" s="1" t="str">
        <f>VLOOKUP(E392,'ESTRUTURA_MODULO(hide)'!$A$2:$D$230,2,FALSE)</f>
        <v>Compras</v>
      </c>
      <c r="G392" s="1" t="str">
        <f>VLOOKUP(E392,'ESTRUTURA_MODULO(hide)'!$A$2:$D$95,3,FALSE)</f>
        <v>Purchases</v>
      </c>
      <c r="H392" s="1" t="str">
        <f>VLOOKUP(E392,'ESTRUTURA_MODULO(hide)'!$A$2:$D$95,4,FALSE)</f>
        <v>Compras</v>
      </c>
      <c r="I392" s="20">
        <v>0</v>
      </c>
      <c r="J392" s="17" t="s">
        <v>2890</v>
      </c>
      <c r="K392" s="17" t="s">
        <v>2890</v>
      </c>
      <c r="L392" s="17" t="s">
        <v>2890</v>
      </c>
      <c r="M392" s="17" t="s">
        <v>2890</v>
      </c>
      <c r="N392" s="17" t="s">
        <v>2890</v>
      </c>
      <c r="O392" s="17" t="s">
        <v>2890</v>
      </c>
      <c r="P392" s="17" t="s">
        <v>2890</v>
      </c>
      <c r="T392" s="17" t="s">
        <v>2889</v>
      </c>
      <c r="U392" s="17" t="s">
        <v>2890</v>
      </c>
      <c r="V392" s="21"/>
      <c r="W392" s="17"/>
      <c r="X392" s="20">
        <v>0</v>
      </c>
    </row>
    <row r="393" spans="1:24">
      <c r="A393" s="1">
        <v>126</v>
      </c>
      <c r="B393" s="35" t="s">
        <v>115</v>
      </c>
      <c r="C393" s="1" t="s">
        <v>625</v>
      </c>
      <c r="D393" s="1" t="s">
        <v>626</v>
      </c>
      <c r="E393" s="35">
        <v>7</v>
      </c>
      <c r="F393" s="1" t="str">
        <f>VLOOKUP(E393,'ESTRUTURA_MODULO(hide)'!$A$2:$D$230,2,FALSE)</f>
        <v>Compras</v>
      </c>
      <c r="G393" s="1" t="str">
        <f>VLOOKUP(E393,'ESTRUTURA_MODULO(hide)'!$A$2:$D$95,3,FALSE)</f>
        <v>Purchases</v>
      </c>
      <c r="H393" s="1" t="str">
        <f>VLOOKUP(E393,'ESTRUTURA_MODULO(hide)'!$A$2:$D$95,4,FALSE)</f>
        <v>Compras</v>
      </c>
      <c r="I393" s="37">
        <v>1</v>
      </c>
      <c r="J393" s="17" t="s">
        <v>2890</v>
      </c>
      <c r="K393" s="17" t="s">
        <v>2890</v>
      </c>
      <c r="L393" s="17" t="s">
        <v>2889</v>
      </c>
      <c r="M393" s="38" t="s">
        <v>2889</v>
      </c>
      <c r="N393" s="38" t="s">
        <v>2889</v>
      </c>
      <c r="O393" s="17" t="s">
        <v>2890</v>
      </c>
      <c r="P393" s="17" t="s">
        <v>2890</v>
      </c>
      <c r="T393" s="17" t="s">
        <v>2889</v>
      </c>
      <c r="U393" s="17" t="s">
        <v>2890</v>
      </c>
      <c r="V393" s="36"/>
      <c r="W393" s="17"/>
      <c r="X393" s="20">
        <v>4</v>
      </c>
    </row>
    <row r="394" spans="1:24">
      <c r="A394" s="1">
        <v>124</v>
      </c>
      <c r="B394" s="35" t="s">
        <v>114</v>
      </c>
      <c r="C394" s="1" t="s">
        <v>623</v>
      </c>
      <c r="D394" s="1" t="s">
        <v>624</v>
      </c>
      <c r="E394" s="35">
        <v>7</v>
      </c>
      <c r="F394" s="1" t="str">
        <f>VLOOKUP(E394,'ESTRUTURA_MODULO(hide)'!$A$2:$D$230,2,FALSE)</f>
        <v>Compras</v>
      </c>
      <c r="G394" s="1" t="str">
        <f>VLOOKUP(E394,'ESTRUTURA_MODULO(hide)'!$A$2:$D$95,3,FALSE)</f>
        <v>Purchases</v>
      </c>
      <c r="H394" s="1" t="str">
        <f>VLOOKUP(E394,'ESTRUTURA_MODULO(hide)'!$A$2:$D$95,4,FALSE)</f>
        <v>Compras</v>
      </c>
      <c r="I394" s="37">
        <v>1</v>
      </c>
      <c r="J394" s="17" t="s">
        <v>2890</v>
      </c>
      <c r="K394" s="17" t="s">
        <v>2890</v>
      </c>
      <c r="L394" s="17" t="s">
        <v>2889</v>
      </c>
      <c r="M394" s="38" t="s">
        <v>2889</v>
      </c>
      <c r="N394" s="38" t="s">
        <v>2889</v>
      </c>
      <c r="O394" s="17" t="s">
        <v>2890</v>
      </c>
      <c r="P394" s="17" t="s">
        <v>2890</v>
      </c>
      <c r="T394" s="17" t="s">
        <v>2889</v>
      </c>
      <c r="U394" s="17" t="s">
        <v>2890</v>
      </c>
      <c r="V394" s="36"/>
      <c r="W394" s="17"/>
      <c r="X394" s="20">
        <v>4</v>
      </c>
    </row>
    <row r="395" spans="1:24">
      <c r="A395" s="1">
        <v>318</v>
      </c>
      <c r="B395" s="426" t="s">
        <v>119</v>
      </c>
      <c r="C395" s="1" t="s">
        <v>621</v>
      </c>
      <c r="D395" s="1" t="s">
        <v>622</v>
      </c>
      <c r="E395" s="1">
        <v>7</v>
      </c>
      <c r="F395" s="1" t="str">
        <f>VLOOKUP(E395,'ESTRUTURA_MODULO(hide)'!$A$2:$D$230,2,FALSE)</f>
        <v>Compras</v>
      </c>
      <c r="G395" s="1" t="str">
        <f>VLOOKUP(E395,'ESTRUTURA_MODULO(hide)'!$A$2:$D$95,3,FALSE)</f>
        <v>Purchases</v>
      </c>
      <c r="H395" s="1" t="str">
        <f>VLOOKUP(E395,'ESTRUTURA_MODULO(hide)'!$A$2:$D$95,4,FALSE)</f>
        <v>Compras</v>
      </c>
      <c r="I395" s="20">
        <v>0</v>
      </c>
      <c r="J395" s="17" t="s">
        <v>2890</v>
      </c>
      <c r="K395" s="17" t="s">
        <v>2890</v>
      </c>
      <c r="L395" s="17" t="s">
        <v>2890</v>
      </c>
      <c r="M395" s="17" t="s">
        <v>2890</v>
      </c>
      <c r="N395" s="17" t="s">
        <v>2890</v>
      </c>
      <c r="O395" s="17" t="s">
        <v>2890</v>
      </c>
      <c r="P395" s="17" t="s">
        <v>2890</v>
      </c>
      <c r="T395" s="17" t="s">
        <v>2889</v>
      </c>
      <c r="U395" s="17" t="s">
        <v>2890</v>
      </c>
      <c r="V395" s="21"/>
      <c r="W395" s="17"/>
      <c r="X395" s="20">
        <v>0</v>
      </c>
    </row>
    <row r="396" spans="1:24">
      <c r="A396" s="1">
        <v>917</v>
      </c>
      <c r="B396" s="35" t="s">
        <v>618</v>
      </c>
      <c r="C396" s="1" t="s">
        <v>619</v>
      </c>
      <c r="D396" s="1" t="s">
        <v>620</v>
      </c>
      <c r="E396" s="35">
        <v>7</v>
      </c>
      <c r="F396" s="1" t="str">
        <f>VLOOKUP(E396,'ESTRUTURA_MODULO(hide)'!$A$2:$D$230,2,FALSE)</f>
        <v>Compras</v>
      </c>
      <c r="G396" s="1" t="str">
        <f>VLOOKUP(E396,'ESTRUTURA_MODULO(hide)'!$A$2:$D$95,3,FALSE)</f>
        <v>Purchases</v>
      </c>
      <c r="H396" s="1" t="str">
        <f>VLOOKUP(E396,'ESTRUTURA_MODULO(hide)'!$A$2:$D$95,4,FALSE)</f>
        <v>Compras</v>
      </c>
      <c r="I396" s="37">
        <v>12</v>
      </c>
      <c r="J396" s="17" t="s">
        <v>2889</v>
      </c>
      <c r="K396" s="17" t="s">
        <v>2889</v>
      </c>
      <c r="L396" s="17" t="s">
        <v>2889</v>
      </c>
      <c r="M396" s="38" t="s">
        <v>2889</v>
      </c>
      <c r="N396" s="38" t="s">
        <v>2889</v>
      </c>
      <c r="O396" s="17" t="s">
        <v>2889</v>
      </c>
      <c r="P396" s="17" t="s">
        <v>2889</v>
      </c>
      <c r="T396" s="17" t="s">
        <v>2889</v>
      </c>
      <c r="U396" s="17" t="s">
        <v>2890</v>
      </c>
      <c r="V396" s="36"/>
      <c r="W396" s="17"/>
      <c r="X396" s="20">
        <v>24</v>
      </c>
    </row>
    <row r="397" spans="1:24">
      <c r="A397" s="1">
        <v>915</v>
      </c>
      <c r="B397" s="35" t="s">
        <v>113</v>
      </c>
      <c r="C397" s="1" t="s">
        <v>616</v>
      </c>
      <c r="D397" s="1" t="s">
        <v>617</v>
      </c>
      <c r="E397" s="35">
        <v>7</v>
      </c>
      <c r="F397" s="1" t="str">
        <f>VLOOKUP(E397,'ESTRUTURA_MODULO(hide)'!$A$2:$D$230,2,FALSE)</f>
        <v>Compras</v>
      </c>
      <c r="G397" s="1" t="str">
        <f>VLOOKUP(E397,'ESTRUTURA_MODULO(hide)'!$A$2:$D$95,3,FALSE)</f>
        <v>Purchases</v>
      </c>
      <c r="H397" s="1" t="str">
        <f>VLOOKUP(E397,'ESTRUTURA_MODULO(hide)'!$A$2:$D$95,4,FALSE)</f>
        <v>Compras</v>
      </c>
      <c r="I397" s="37">
        <v>12</v>
      </c>
      <c r="J397" s="17" t="s">
        <v>2889</v>
      </c>
      <c r="K397" s="17" t="s">
        <v>2889</v>
      </c>
      <c r="L397" s="17" t="s">
        <v>2889</v>
      </c>
      <c r="M397" s="38" t="s">
        <v>2889</v>
      </c>
      <c r="N397" s="38" t="s">
        <v>2889</v>
      </c>
      <c r="O397" s="17" t="s">
        <v>2889</v>
      </c>
      <c r="P397" s="17" t="s">
        <v>2889</v>
      </c>
      <c r="T397" s="17" t="s">
        <v>2889</v>
      </c>
      <c r="U397" s="17" t="s">
        <v>2890</v>
      </c>
      <c r="V397" s="36"/>
      <c r="W397" s="17"/>
      <c r="X397" s="20">
        <v>32</v>
      </c>
    </row>
    <row r="398" spans="1:24">
      <c r="A398" s="1">
        <v>913</v>
      </c>
      <c r="B398" s="35" t="s">
        <v>120</v>
      </c>
      <c r="C398" s="1" t="s">
        <v>614</v>
      </c>
      <c r="D398" s="1" t="s">
        <v>615</v>
      </c>
      <c r="E398" s="35">
        <v>7</v>
      </c>
      <c r="F398" s="1" t="str">
        <f>VLOOKUP(E398,'ESTRUTURA_MODULO(hide)'!$A$2:$D$230,2,FALSE)</f>
        <v>Compras</v>
      </c>
      <c r="G398" s="1" t="str">
        <f>VLOOKUP(E398,'ESTRUTURA_MODULO(hide)'!$A$2:$D$95,3,FALSE)</f>
        <v>Purchases</v>
      </c>
      <c r="H398" s="1" t="str">
        <f>VLOOKUP(E398,'ESTRUTURA_MODULO(hide)'!$A$2:$D$95,4,FALSE)</f>
        <v>Compras</v>
      </c>
      <c r="I398" s="37">
        <v>12</v>
      </c>
      <c r="J398" s="17" t="s">
        <v>2889</v>
      </c>
      <c r="K398" s="17" t="s">
        <v>2889</v>
      </c>
      <c r="L398" s="17" t="s">
        <v>2889</v>
      </c>
      <c r="M398" s="38" t="s">
        <v>2889</v>
      </c>
      <c r="N398" s="38" t="s">
        <v>2889</v>
      </c>
      <c r="O398" s="17" t="s">
        <v>2889</v>
      </c>
      <c r="P398" s="17" t="s">
        <v>2889</v>
      </c>
      <c r="T398" s="17" t="s">
        <v>2889</v>
      </c>
      <c r="U398" s="17" t="s">
        <v>2890</v>
      </c>
      <c r="V398" s="36"/>
      <c r="W398" s="17"/>
      <c r="X398" s="20">
        <v>24</v>
      </c>
    </row>
    <row r="399" spans="1:24">
      <c r="A399" s="1">
        <v>1750</v>
      </c>
      <c r="B399" s="1" t="s">
        <v>187</v>
      </c>
      <c r="C399" s="1" t="s">
        <v>604</v>
      </c>
      <c r="D399" s="1" t="s">
        <v>605</v>
      </c>
      <c r="E399" s="1">
        <v>7</v>
      </c>
      <c r="F399" s="1" t="str">
        <f>VLOOKUP(E399,'ESTRUTURA_MODULO(hide)'!$A$2:$D$230,2,FALSE)</f>
        <v>Compras</v>
      </c>
      <c r="G399" s="1" t="str">
        <f>VLOOKUP(E399,'ESTRUTURA_MODULO(hide)'!$A$2:$D$95,3,FALSE)</f>
        <v>Purchases</v>
      </c>
      <c r="H399" s="1" t="str">
        <f>VLOOKUP(E399,'ESTRUTURA_MODULO(hide)'!$A$2:$D$95,4,FALSE)</f>
        <v>Compras</v>
      </c>
      <c r="I399" s="20">
        <v>0</v>
      </c>
      <c r="J399" s="17" t="s">
        <v>2890</v>
      </c>
      <c r="K399" s="17" t="s">
        <v>2890</v>
      </c>
      <c r="L399" s="17" t="s">
        <v>2890</v>
      </c>
      <c r="M399" s="17" t="s">
        <v>2890</v>
      </c>
      <c r="N399" s="17" t="s">
        <v>2890</v>
      </c>
      <c r="O399" s="17" t="s">
        <v>2890</v>
      </c>
      <c r="P399" s="17" t="s">
        <v>2890</v>
      </c>
      <c r="T399" s="17" t="s">
        <v>2889</v>
      </c>
      <c r="U399" s="17" t="s">
        <v>2890</v>
      </c>
      <c r="V399" s="21"/>
      <c r="W399" s="17"/>
      <c r="X399" s="20">
        <v>0</v>
      </c>
    </row>
    <row r="400" spans="1:24">
      <c r="A400" s="1">
        <v>920</v>
      </c>
      <c r="B400" s="35" t="s">
        <v>117</v>
      </c>
      <c r="C400" s="1" t="s">
        <v>608</v>
      </c>
      <c r="D400" s="1" t="s">
        <v>609</v>
      </c>
      <c r="E400" s="35">
        <v>7</v>
      </c>
      <c r="F400" s="1" t="str">
        <f>VLOOKUP(E400,'ESTRUTURA_MODULO(hide)'!$A$2:$D$230,2,FALSE)</f>
        <v>Compras</v>
      </c>
      <c r="G400" s="1" t="str">
        <f>VLOOKUP(E400,'ESTRUTURA_MODULO(hide)'!$A$2:$D$95,3,FALSE)</f>
        <v>Purchases</v>
      </c>
      <c r="H400" s="1" t="str">
        <f>VLOOKUP(E400,'ESTRUTURA_MODULO(hide)'!$A$2:$D$95,4,FALSE)</f>
        <v>Compras</v>
      </c>
      <c r="I400" s="37">
        <v>4</v>
      </c>
      <c r="J400" s="17" t="s">
        <v>2890</v>
      </c>
      <c r="K400" s="17" t="s">
        <v>2889</v>
      </c>
      <c r="L400" s="17" t="s">
        <v>2889</v>
      </c>
      <c r="M400" s="38" t="s">
        <v>2889</v>
      </c>
      <c r="N400" s="38" t="s">
        <v>2889</v>
      </c>
      <c r="O400" s="17" t="s">
        <v>2890</v>
      </c>
      <c r="P400" s="17" t="s">
        <v>2890</v>
      </c>
      <c r="T400" s="17" t="s">
        <v>2889</v>
      </c>
      <c r="U400" s="17" t="s">
        <v>2890</v>
      </c>
      <c r="V400" s="36"/>
      <c r="W400" s="17"/>
      <c r="X400" s="20">
        <v>8</v>
      </c>
    </row>
    <row r="401" spans="1:24">
      <c r="A401" s="1">
        <v>120</v>
      </c>
      <c r="B401" s="426" t="s">
        <v>118</v>
      </c>
      <c r="C401" s="1" t="s">
        <v>606</v>
      </c>
      <c r="D401" s="1" t="s">
        <v>607</v>
      </c>
      <c r="E401" s="1">
        <v>7</v>
      </c>
      <c r="F401" s="1" t="str">
        <f>VLOOKUP(E401,'ESTRUTURA_MODULO(hide)'!$A$2:$D$230,2,FALSE)</f>
        <v>Compras</v>
      </c>
      <c r="G401" s="1" t="str">
        <f>VLOOKUP(E401,'ESTRUTURA_MODULO(hide)'!$A$2:$D$95,3,FALSE)</f>
        <v>Purchases</v>
      </c>
      <c r="H401" s="1" t="str">
        <f>VLOOKUP(E401,'ESTRUTURA_MODULO(hide)'!$A$2:$D$95,4,FALSE)</f>
        <v>Compras</v>
      </c>
      <c r="I401" s="20">
        <v>0</v>
      </c>
      <c r="J401" s="17" t="s">
        <v>2890</v>
      </c>
      <c r="K401" s="17" t="s">
        <v>2890</v>
      </c>
      <c r="L401" s="17" t="s">
        <v>2890</v>
      </c>
      <c r="M401" s="17" t="s">
        <v>2890</v>
      </c>
      <c r="N401" s="17" t="s">
        <v>2890</v>
      </c>
      <c r="O401" s="17" t="s">
        <v>2890</v>
      </c>
      <c r="P401" s="17" t="s">
        <v>2890</v>
      </c>
      <c r="T401" s="17" t="s">
        <v>2889</v>
      </c>
      <c r="U401" s="17" t="s">
        <v>2890</v>
      </c>
      <c r="V401" s="21"/>
      <c r="W401" s="17"/>
      <c r="X401" s="20">
        <v>0</v>
      </c>
    </row>
    <row r="402" spans="1:24">
      <c r="A402" s="1">
        <v>1200</v>
      </c>
      <c r="B402" s="35" t="s">
        <v>112</v>
      </c>
      <c r="C402" s="1" t="s">
        <v>612</v>
      </c>
      <c r="D402" s="1" t="s">
        <v>613</v>
      </c>
      <c r="E402" s="35">
        <v>7</v>
      </c>
      <c r="F402" s="1" t="str">
        <f>VLOOKUP(E402,'ESTRUTURA_MODULO(hide)'!$A$2:$D$230,2,FALSE)</f>
        <v>Compras</v>
      </c>
      <c r="G402" s="1" t="str">
        <f>VLOOKUP(E402,'ESTRUTURA_MODULO(hide)'!$A$2:$D$95,3,FALSE)</f>
        <v>Purchases</v>
      </c>
      <c r="H402" s="1" t="str">
        <f>VLOOKUP(E402,'ESTRUTURA_MODULO(hide)'!$A$2:$D$95,4,FALSE)</f>
        <v>Compras</v>
      </c>
      <c r="I402" s="37">
        <v>16</v>
      </c>
      <c r="J402" s="17" t="s">
        <v>2890</v>
      </c>
      <c r="K402" s="17" t="s">
        <v>2889</v>
      </c>
      <c r="L402" s="17" t="s">
        <v>2889</v>
      </c>
      <c r="M402" s="38" t="s">
        <v>2889</v>
      </c>
      <c r="N402" s="38" t="s">
        <v>2889</v>
      </c>
      <c r="O402" s="17" t="s">
        <v>2890</v>
      </c>
      <c r="P402" s="17" t="s">
        <v>2890</v>
      </c>
      <c r="T402" s="17" t="s">
        <v>2889</v>
      </c>
      <c r="U402" s="17" t="s">
        <v>2890</v>
      </c>
      <c r="V402" s="36"/>
      <c r="W402" s="17"/>
      <c r="X402" s="20">
        <v>32</v>
      </c>
    </row>
    <row r="403" spans="1:24">
      <c r="A403" s="1">
        <v>4100</v>
      </c>
      <c r="B403" s="35" t="s">
        <v>116</v>
      </c>
      <c r="C403" s="1" t="s">
        <v>610</v>
      </c>
      <c r="D403" s="1" t="s">
        <v>611</v>
      </c>
      <c r="E403" s="35">
        <v>7</v>
      </c>
      <c r="F403" s="1" t="str">
        <f>VLOOKUP(E403,'ESTRUTURA_MODULO(hide)'!$A$2:$D$230,2,FALSE)</f>
        <v>Compras</v>
      </c>
      <c r="G403" s="1" t="str">
        <f>VLOOKUP(E403,'ESTRUTURA_MODULO(hide)'!$A$2:$D$95,3,FALSE)</f>
        <v>Purchases</v>
      </c>
      <c r="H403" s="1" t="str">
        <f>VLOOKUP(E403,'ESTRUTURA_MODULO(hide)'!$A$2:$D$95,4,FALSE)</f>
        <v>Compras</v>
      </c>
      <c r="I403" s="37">
        <v>4</v>
      </c>
      <c r="J403" s="17" t="s">
        <v>2890</v>
      </c>
      <c r="K403" s="17" t="s">
        <v>2890</v>
      </c>
      <c r="L403" s="17" t="s">
        <v>2889</v>
      </c>
      <c r="M403" s="38" t="s">
        <v>2889</v>
      </c>
      <c r="N403" s="38" t="s">
        <v>2889</v>
      </c>
      <c r="O403" s="17" t="s">
        <v>2890</v>
      </c>
      <c r="P403" s="17" t="s">
        <v>2890</v>
      </c>
      <c r="T403" s="17" t="s">
        <v>2889</v>
      </c>
      <c r="U403" s="17" t="s">
        <v>2890</v>
      </c>
      <c r="V403" s="36"/>
      <c r="W403" s="17"/>
      <c r="X403" s="20">
        <v>16</v>
      </c>
    </row>
    <row r="404" spans="1:24">
      <c r="A404" s="1">
        <v>188</v>
      </c>
      <c r="B404" s="426" t="s">
        <v>1700</v>
      </c>
      <c r="C404" s="1" t="s">
        <v>1701</v>
      </c>
      <c r="D404" s="1" t="s">
        <v>1702</v>
      </c>
      <c r="E404" s="1">
        <v>7</v>
      </c>
      <c r="F404" s="1" t="str">
        <f>VLOOKUP(E404,'ESTRUTURA_MODULO(hide)'!$A$2:$D$230,2,FALSE)</f>
        <v>Compras</v>
      </c>
      <c r="G404" s="1" t="str">
        <f>VLOOKUP(E404,'ESTRUTURA_MODULO(hide)'!$A$2:$D$95,3,FALSE)</f>
        <v>Purchases</v>
      </c>
      <c r="H404" s="1" t="str">
        <f>VLOOKUP(E404,'ESTRUTURA_MODULO(hide)'!$A$2:$D$95,4,FALSE)</f>
        <v>Compras</v>
      </c>
      <c r="I404" s="20">
        <v>0</v>
      </c>
      <c r="J404" s="17" t="s">
        <v>2890</v>
      </c>
      <c r="K404" s="17" t="s">
        <v>2890</v>
      </c>
      <c r="L404" s="17" t="s">
        <v>2890</v>
      </c>
      <c r="M404" s="17" t="s">
        <v>2890</v>
      </c>
      <c r="N404" s="17" t="s">
        <v>2890</v>
      </c>
      <c r="O404" s="17" t="s">
        <v>2890</v>
      </c>
      <c r="P404" s="17" t="s">
        <v>2890</v>
      </c>
      <c r="T404" s="17" t="s">
        <v>2889</v>
      </c>
      <c r="U404" s="17" t="s">
        <v>2890</v>
      </c>
      <c r="V404" s="21"/>
      <c r="W404" s="17"/>
      <c r="X404" s="20">
        <v>0</v>
      </c>
    </row>
    <row r="405" spans="1:24">
      <c r="A405" s="1">
        <v>-700</v>
      </c>
      <c r="B405" s="426" t="s">
        <v>635</v>
      </c>
      <c r="C405" s="1" t="s">
        <v>636</v>
      </c>
      <c r="D405" s="1" t="s">
        <v>637</v>
      </c>
      <c r="E405" s="1">
        <v>8</v>
      </c>
      <c r="F405" s="1" t="str">
        <f>VLOOKUP(E405,'ESTRUTURA_MODULO(hide)'!$A$2:$D$230,2,FALSE)</f>
        <v>Farmácia</v>
      </c>
      <c r="G405" s="1" t="str">
        <f>VLOOKUP(E405,'ESTRUTURA_MODULO(hide)'!$A$2:$D$95,3,FALSE)</f>
        <v>Pharmacy</v>
      </c>
      <c r="H405" s="1" t="str">
        <f>VLOOKUP(E405,'ESTRUTURA_MODULO(hide)'!$A$2:$D$95,4,FALSE)</f>
        <v>Farmacia</v>
      </c>
      <c r="I405" s="20">
        <v>0</v>
      </c>
      <c r="J405" s="17" t="s">
        <v>2890</v>
      </c>
      <c r="K405" s="17" t="s">
        <v>2890</v>
      </c>
      <c r="L405" s="17" t="s">
        <v>2890</v>
      </c>
      <c r="M405" s="17" t="s">
        <v>2890</v>
      </c>
      <c r="N405" s="17" t="s">
        <v>2890</v>
      </c>
      <c r="O405" s="17" t="s">
        <v>2890</v>
      </c>
      <c r="P405" s="17" t="s">
        <v>2890</v>
      </c>
      <c r="T405" s="17" t="s">
        <v>2889</v>
      </c>
      <c r="U405" s="17" t="s">
        <v>2890</v>
      </c>
      <c r="V405" s="21"/>
      <c r="W405" s="17"/>
      <c r="X405" s="20">
        <v>0</v>
      </c>
    </row>
    <row r="406" spans="1:24">
      <c r="A406" s="1">
        <v>10015</v>
      </c>
      <c r="B406" s="35" t="s">
        <v>200</v>
      </c>
      <c r="C406" s="1" t="s">
        <v>656</v>
      </c>
      <c r="D406" s="1" t="s">
        <v>657</v>
      </c>
      <c r="E406" s="35">
        <v>8</v>
      </c>
      <c r="F406" s="1" t="str">
        <f>VLOOKUP(E406,'ESTRUTURA_MODULO(hide)'!$A$2:$D$230,2,FALSE)</f>
        <v>Farmácia</v>
      </c>
      <c r="G406" s="1" t="str">
        <f>VLOOKUP(E406,'ESTRUTURA_MODULO(hide)'!$A$2:$D$95,3,FALSE)</f>
        <v>Pharmacy</v>
      </c>
      <c r="H406" s="1" t="str">
        <f>VLOOKUP(E406,'ESTRUTURA_MODULO(hide)'!$A$2:$D$95,4,FALSE)</f>
        <v>Farmacia</v>
      </c>
      <c r="I406" s="37">
        <v>24</v>
      </c>
      <c r="J406" s="17" t="s">
        <v>2890</v>
      </c>
      <c r="K406" s="17" t="s">
        <v>2890</v>
      </c>
      <c r="L406" s="17" t="s">
        <v>2889</v>
      </c>
      <c r="M406" s="38" t="s">
        <v>2889</v>
      </c>
      <c r="N406" s="38" t="s">
        <v>2889</v>
      </c>
      <c r="O406" s="17" t="s">
        <v>2890</v>
      </c>
      <c r="P406" s="17" t="s">
        <v>2890</v>
      </c>
      <c r="T406" s="17" t="s">
        <v>2889</v>
      </c>
      <c r="U406" s="17" t="s">
        <v>2890</v>
      </c>
      <c r="V406" s="36"/>
      <c r="W406" s="17"/>
      <c r="X406" s="20">
        <v>24</v>
      </c>
    </row>
    <row r="407" spans="1:24">
      <c r="A407" s="1">
        <v>310</v>
      </c>
      <c r="B407" s="426" t="s">
        <v>1797</v>
      </c>
      <c r="C407" s="1" t="s">
        <v>1798</v>
      </c>
      <c r="D407" s="1" t="s">
        <v>1799</v>
      </c>
      <c r="E407" s="1">
        <v>8</v>
      </c>
      <c r="F407" s="1" t="str">
        <f>VLOOKUP(E407,'ESTRUTURA_MODULO(hide)'!$A$2:$D$230,2,FALSE)</f>
        <v>Farmácia</v>
      </c>
      <c r="G407" s="1" t="str">
        <f>VLOOKUP(E407,'ESTRUTURA_MODULO(hide)'!$A$2:$D$95,3,FALSE)</f>
        <v>Pharmacy</v>
      </c>
      <c r="H407" s="1" t="str">
        <f>VLOOKUP(E407,'ESTRUTURA_MODULO(hide)'!$A$2:$D$95,4,FALSE)</f>
        <v>Farmacia</v>
      </c>
      <c r="I407" s="20">
        <v>0</v>
      </c>
      <c r="J407" s="17" t="s">
        <v>2890</v>
      </c>
      <c r="K407" s="17" t="s">
        <v>2890</v>
      </c>
      <c r="L407" s="17" t="s">
        <v>2890</v>
      </c>
      <c r="M407" s="17" t="s">
        <v>2890</v>
      </c>
      <c r="N407" s="17" t="s">
        <v>2890</v>
      </c>
      <c r="O407" s="17" t="s">
        <v>2890</v>
      </c>
      <c r="P407" s="17" t="s">
        <v>2890</v>
      </c>
      <c r="T407" s="17" t="s">
        <v>2889</v>
      </c>
      <c r="U407" s="17" t="s">
        <v>2890</v>
      </c>
      <c r="V407" s="21"/>
      <c r="W407" s="17"/>
      <c r="X407" s="20">
        <v>0</v>
      </c>
    </row>
    <row r="408" spans="1:24">
      <c r="A408" s="1">
        <v>91</v>
      </c>
      <c r="B408" s="1" t="s">
        <v>195</v>
      </c>
      <c r="C408" s="1" t="s">
        <v>658</v>
      </c>
      <c r="D408" s="1" t="s">
        <v>659</v>
      </c>
      <c r="E408" s="1">
        <v>8</v>
      </c>
      <c r="F408" s="1" t="str">
        <f>VLOOKUP(E408,'ESTRUTURA_MODULO(hide)'!$A$2:$D$230,2,FALSE)</f>
        <v>Farmácia</v>
      </c>
      <c r="G408" s="1" t="str">
        <f>VLOOKUP(E408,'ESTRUTURA_MODULO(hide)'!$A$2:$D$95,3,FALSE)</f>
        <v>Pharmacy</v>
      </c>
      <c r="H408" s="1" t="str">
        <f>VLOOKUP(E408,'ESTRUTURA_MODULO(hide)'!$A$2:$D$95,4,FALSE)</f>
        <v>Farmacia</v>
      </c>
      <c r="I408" s="20">
        <v>0</v>
      </c>
      <c r="J408" s="17" t="s">
        <v>2890</v>
      </c>
      <c r="K408" s="17" t="s">
        <v>2890</v>
      </c>
      <c r="L408" s="17" t="s">
        <v>2890</v>
      </c>
      <c r="M408" s="17" t="s">
        <v>2890</v>
      </c>
      <c r="N408" s="17" t="s">
        <v>2890</v>
      </c>
      <c r="O408" s="17" t="s">
        <v>2890</v>
      </c>
      <c r="P408" s="17" t="s">
        <v>2890</v>
      </c>
      <c r="T408" s="17" t="s">
        <v>2889</v>
      </c>
      <c r="U408" s="17" t="s">
        <v>2890</v>
      </c>
      <c r="V408" s="21"/>
      <c r="W408" s="17"/>
      <c r="X408" s="20">
        <v>0</v>
      </c>
    </row>
    <row r="409" spans="1:24">
      <c r="A409" s="1">
        <v>162</v>
      </c>
      <c r="B409" s="1" t="s">
        <v>205</v>
      </c>
      <c r="C409" s="1" t="s">
        <v>633</v>
      </c>
      <c r="D409" s="1" t="s">
        <v>634</v>
      </c>
      <c r="E409" s="1">
        <v>8</v>
      </c>
      <c r="F409" s="1" t="str">
        <f>VLOOKUP(E409,'ESTRUTURA_MODULO(hide)'!$A$2:$D$230,2,FALSE)</f>
        <v>Farmácia</v>
      </c>
      <c r="G409" s="1" t="str">
        <f>VLOOKUP(E409,'ESTRUTURA_MODULO(hide)'!$A$2:$D$95,3,FALSE)</f>
        <v>Pharmacy</v>
      </c>
      <c r="H409" s="1" t="str">
        <f>VLOOKUP(E409,'ESTRUTURA_MODULO(hide)'!$A$2:$D$95,4,FALSE)</f>
        <v>Farmacia</v>
      </c>
      <c r="I409" s="20">
        <v>0</v>
      </c>
      <c r="J409" s="17" t="s">
        <v>2890</v>
      </c>
      <c r="K409" s="17" t="s">
        <v>2890</v>
      </c>
      <c r="L409" s="17" t="s">
        <v>2890</v>
      </c>
      <c r="M409" s="17" t="s">
        <v>2890</v>
      </c>
      <c r="N409" s="17" t="s">
        <v>2890</v>
      </c>
      <c r="O409" s="17" t="s">
        <v>2890</v>
      </c>
      <c r="P409" s="17" t="s">
        <v>2890</v>
      </c>
      <c r="T409" s="17" t="s">
        <v>2889</v>
      </c>
      <c r="U409" s="17" t="s">
        <v>2890</v>
      </c>
      <c r="V409" s="21"/>
      <c r="W409" s="17"/>
      <c r="X409" s="20">
        <v>0</v>
      </c>
    </row>
    <row r="410" spans="1:24">
      <c r="A410" s="1">
        <v>139</v>
      </c>
      <c r="B410" s="426" t="s">
        <v>191</v>
      </c>
      <c r="C410" s="1" t="s">
        <v>631</v>
      </c>
      <c r="D410" s="1" t="s">
        <v>632</v>
      </c>
      <c r="E410" s="1">
        <v>8</v>
      </c>
      <c r="F410" s="1" t="str">
        <f>VLOOKUP(E410,'ESTRUTURA_MODULO(hide)'!$A$2:$D$230,2,FALSE)</f>
        <v>Farmácia</v>
      </c>
      <c r="G410" s="1" t="str">
        <f>VLOOKUP(E410,'ESTRUTURA_MODULO(hide)'!$A$2:$D$95,3,FALSE)</f>
        <v>Pharmacy</v>
      </c>
      <c r="H410" s="1" t="str">
        <f>VLOOKUP(E410,'ESTRUTURA_MODULO(hide)'!$A$2:$D$95,4,FALSE)</f>
        <v>Farmacia</v>
      </c>
      <c r="I410" s="20">
        <v>0</v>
      </c>
      <c r="J410" s="17" t="s">
        <v>2890</v>
      </c>
      <c r="K410" s="17" t="s">
        <v>2890</v>
      </c>
      <c r="L410" s="17" t="s">
        <v>2890</v>
      </c>
      <c r="M410" s="17" t="s">
        <v>2890</v>
      </c>
      <c r="N410" s="17" t="s">
        <v>2890</v>
      </c>
      <c r="O410" s="17" t="s">
        <v>2890</v>
      </c>
      <c r="P410" s="17" t="s">
        <v>2890</v>
      </c>
      <c r="T410" s="17" t="s">
        <v>2889</v>
      </c>
      <c r="U410" s="17" t="s">
        <v>2890</v>
      </c>
      <c r="V410" s="21"/>
      <c r="W410" s="17"/>
      <c r="X410" s="20">
        <v>0</v>
      </c>
    </row>
    <row r="411" spans="1:24">
      <c r="A411" s="1">
        <v>138</v>
      </c>
      <c r="B411" s="426" t="s">
        <v>198</v>
      </c>
      <c r="C411" s="1" t="s">
        <v>629</v>
      </c>
      <c r="D411" s="1" t="s">
        <v>630</v>
      </c>
      <c r="E411" s="1">
        <v>8</v>
      </c>
      <c r="F411" s="1" t="str">
        <f>VLOOKUP(E411,'ESTRUTURA_MODULO(hide)'!$A$2:$D$230,2,FALSE)</f>
        <v>Farmácia</v>
      </c>
      <c r="G411" s="1" t="str">
        <f>VLOOKUP(E411,'ESTRUTURA_MODULO(hide)'!$A$2:$D$95,3,FALSE)</f>
        <v>Pharmacy</v>
      </c>
      <c r="H411" s="1" t="str">
        <f>VLOOKUP(E411,'ESTRUTURA_MODULO(hide)'!$A$2:$D$95,4,FALSE)</f>
        <v>Farmacia</v>
      </c>
      <c r="I411" s="20">
        <v>0</v>
      </c>
      <c r="J411" s="17" t="s">
        <v>2890</v>
      </c>
      <c r="K411" s="17" t="s">
        <v>2890</v>
      </c>
      <c r="L411" s="17" t="s">
        <v>2890</v>
      </c>
      <c r="M411" s="17" t="s">
        <v>2890</v>
      </c>
      <c r="N411" s="17" t="s">
        <v>2890</v>
      </c>
      <c r="O411" s="17" t="s">
        <v>2890</v>
      </c>
      <c r="P411" s="17" t="s">
        <v>2890</v>
      </c>
      <c r="T411" s="17" t="s">
        <v>2889</v>
      </c>
      <c r="U411" s="17" t="s">
        <v>2890</v>
      </c>
      <c r="V411" s="21"/>
      <c r="W411" s="17"/>
      <c r="X411" s="20">
        <v>0</v>
      </c>
    </row>
    <row r="412" spans="1:24">
      <c r="A412" s="1">
        <v>7031</v>
      </c>
      <c r="B412" s="35" t="s">
        <v>196</v>
      </c>
      <c r="C412" s="1" t="s">
        <v>643</v>
      </c>
      <c r="D412" s="1" t="s">
        <v>644</v>
      </c>
      <c r="E412" s="35">
        <v>8</v>
      </c>
      <c r="F412" s="1" t="str">
        <f>VLOOKUP(E412,'ESTRUTURA_MODULO(hide)'!$A$2:$D$230,2,FALSE)</f>
        <v>Farmácia</v>
      </c>
      <c r="G412" s="1" t="str">
        <f>VLOOKUP(E412,'ESTRUTURA_MODULO(hide)'!$A$2:$D$95,3,FALSE)</f>
        <v>Pharmacy</v>
      </c>
      <c r="H412" s="1" t="str">
        <f>VLOOKUP(E412,'ESTRUTURA_MODULO(hide)'!$A$2:$D$95,4,FALSE)</f>
        <v>Farmacia</v>
      </c>
      <c r="I412" s="37">
        <v>2</v>
      </c>
      <c r="J412" s="17" t="s">
        <v>2889</v>
      </c>
      <c r="K412" s="17" t="s">
        <v>2889</v>
      </c>
      <c r="L412" s="17" t="s">
        <v>2889</v>
      </c>
      <c r="M412" s="38" t="s">
        <v>2889</v>
      </c>
      <c r="N412" s="38" t="s">
        <v>2889</v>
      </c>
      <c r="O412" s="17" t="s">
        <v>2890</v>
      </c>
      <c r="P412" s="17" t="s">
        <v>2890</v>
      </c>
      <c r="T412" s="17" t="s">
        <v>2889</v>
      </c>
      <c r="U412" s="17" t="s">
        <v>2890</v>
      </c>
      <c r="V412" s="36"/>
      <c r="W412" s="17"/>
      <c r="X412" s="20">
        <v>4</v>
      </c>
    </row>
    <row r="413" spans="1:24">
      <c r="A413" s="1">
        <v>7029</v>
      </c>
      <c r="B413" s="35" t="s">
        <v>190</v>
      </c>
      <c r="C413" s="1" t="s">
        <v>651</v>
      </c>
      <c r="D413" s="1" t="s">
        <v>652</v>
      </c>
      <c r="E413" s="35">
        <v>8</v>
      </c>
      <c r="F413" s="1" t="str">
        <f>VLOOKUP(E413,'ESTRUTURA_MODULO(hide)'!$A$2:$D$230,2,FALSE)</f>
        <v>Farmácia</v>
      </c>
      <c r="G413" s="1" t="str">
        <f>VLOOKUP(E413,'ESTRUTURA_MODULO(hide)'!$A$2:$D$95,3,FALSE)</f>
        <v>Pharmacy</v>
      </c>
      <c r="H413" s="1" t="str">
        <f>VLOOKUP(E413,'ESTRUTURA_MODULO(hide)'!$A$2:$D$95,4,FALSE)</f>
        <v>Farmacia</v>
      </c>
      <c r="I413" s="37">
        <v>24</v>
      </c>
      <c r="J413" s="17" t="s">
        <v>2889</v>
      </c>
      <c r="K413" s="17" t="s">
        <v>2889</v>
      </c>
      <c r="L413" s="17" t="s">
        <v>2889</v>
      </c>
      <c r="M413" s="38" t="s">
        <v>2889</v>
      </c>
      <c r="N413" s="38" t="s">
        <v>2889</v>
      </c>
      <c r="O413" s="17" t="s">
        <v>2889</v>
      </c>
      <c r="P413" s="17" t="s">
        <v>2889</v>
      </c>
      <c r="T413" s="17" t="s">
        <v>2889</v>
      </c>
      <c r="U413" s="17" t="s">
        <v>2890</v>
      </c>
      <c r="V413" s="36"/>
      <c r="W413" s="17"/>
      <c r="X413" s="20">
        <v>32</v>
      </c>
    </row>
    <row r="414" spans="1:24">
      <c r="A414" s="1">
        <v>196</v>
      </c>
      <c r="B414" s="426" t="s">
        <v>2898</v>
      </c>
      <c r="C414" s="1" t="s">
        <v>1800</v>
      </c>
      <c r="D414" s="1" t="s">
        <v>1801</v>
      </c>
      <c r="E414" s="1">
        <v>8</v>
      </c>
      <c r="F414" s="1" t="str">
        <f>VLOOKUP(E414,'ESTRUTURA_MODULO(hide)'!$A$2:$D$230,2,FALSE)</f>
        <v>Farmácia</v>
      </c>
      <c r="G414" s="1" t="str">
        <f>VLOOKUP(E414,'ESTRUTURA_MODULO(hide)'!$A$2:$D$95,3,FALSE)</f>
        <v>Pharmacy</v>
      </c>
      <c r="H414" s="1" t="str">
        <f>VLOOKUP(E414,'ESTRUTURA_MODULO(hide)'!$A$2:$D$95,4,FALSE)</f>
        <v>Farmacia</v>
      </c>
      <c r="I414" s="20">
        <v>0</v>
      </c>
      <c r="J414" s="17" t="s">
        <v>2890</v>
      </c>
      <c r="K414" s="17" t="s">
        <v>2890</v>
      </c>
      <c r="L414" s="17" t="s">
        <v>2890</v>
      </c>
      <c r="M414" s="17" t="s">
        <v>2890</v>
      </c>
      <c r="N414" s="17" t="s">
        <v>2890</v>
      </c>
      <c r="O414" s="17" t="s">
        <v>2890</v>
      </c>
      <c r="P414" s="17" t="s">
        <v>2890</v>
      </c>
      <c r="T414" s="17" t="s">
        <v>2889</v>
      </c>
      <c r="U414" s="17" t="s">
        <v>2890</v>
      </c>
      <c r="V414" s="21"/>
      <c r="W414" s="17"/>
      <c r="X414" s="20">
        <v>0</v>
      </c>
    </row>
    <row r="415" spans="1:24">
      <c r="A415" s="1">
        <v>116</v>
      </c>
      <c r="B415" s="426" t="s">
        <v>194</v>
      </c>
      <c r="C415" s="1" t="s">
        <v>671</v>
      </c>
      <c r="D415" s="1" t="s">
        <v>672</v>
      </c>
      <c r="E415" s="1">
        <v>8</v>
      </c>
      <c r="F415" s="1" t="str">
        <f>VLOOKUP(E415,'ESTRUTURA_MODULO(hide)'!$A$2:$D$230,2,FALSE)</f>
        <v>Farmácia</v>
      </c>
      <c r="G415" s="1" t="str">
        <f>VLOOKUP(E415,'ESTRUTURA_MODULO(hide)'!$A$2:$D$95,3,FALSE)</f>
        <v>Pharmacy</v>
      </c>
      <c r="H415" s="1" t="str">
        <f>VLOOKUP(E415,'ESTRUTURA_MODULO(hide)'!$A$2:$D$95,4,FALSE)</f>
        <v>Farmacia</v>
      </c>
      <c r="I415" s="20">
        <v>0</v>
      </c>
      <c r="J415" s="17" t="s">
        <v>2890</v>
      </c>
      <c r="K415" s="17" t="s">
        <v>2890</v>
      </c>
      <c r="L415" s="17" t="s">
        <v>2890</v>
      </c>
      <c r="M415" s="17" t="s">
        <v>2890</v>
      </c>
      <c r="N415" s="17" t="s">
        <v>2890</v>
      </c>
      <c r="O415" s="17" t="s">
        <v>2890</v>
      </c>
      <c r="P415" s="17" t="s">
        <v>2890</v>
      </c>
      <c r="T415" s="17" t="s">
        <v>2889</v>
      </c>
      <c r="U415" s="17" t="s">
        <v>2890</v>
      </c>
      <c r="V415" s="21"/>
      <c r="W415" s="17"/>
      <c r="X415" s="20">
        <v>0</v>
      </c>
    </row>
    <row r="416" spans="1:24">
      <c r="A416" s="1">
        <v>122</v>
      </c>
      <c r="B416" s="35" t="s">
        <v>197</v>
      </c>
      <c r="C416" s="1" t="s">
        <v>669</v>
      </c>
      <c r="D416" s="1" t="s">
        <v>670</v>
      </c>
      <c r="E416" s="35">
        <v>8</v>
      </c>
      <c r="F416" s="1" t="str">
        <f>VLOOKUP(E416,'ESTRUTURA_MODULO(hide)'!$A$2:$D$230,2,FALSE)</f>
        <v>Farmácia</v>
      </c>
      <c r="G416" s="1" t="str">
        <f>VLOOKUP(E416,'ESTRUTURA_MODULO(hide)'!$A$2:$D$95,3,FALSE)</f>
        <v>Pharmacy</v>
      </c>
      <c r="H416" s="1" t="str">
        <f>VLOOKUP(E416,'ESTRUTURA_MODULO(hide)'!$A$2:$D$95,4,FALSE)</f>
        <v>Farmacia</v>
      </c>
      <c r="I416" s="37">
        <v>1</v>
      </c>
      <c r="J416" s="17" t="s">
        <v>2889</v>
      </c>
      <c r="K416" s="17" t="s">
        <v>2889</v>
      </c>
      <c r="L416" s="17" t="s">
        <v>2889</v>
      </c>
      <c r="M416" s="38" t="s">
        <v>2889</v>
      </c>
      <c r="N416" s="38" t="s">
        <v>2889</v>
      </c>
      <c r="O416" s="17" t="s">
        <v>2890</v>
      </c>
      <c r="P416" s="17" t="s">
        <v>2890</v>
      </c>
      <c r="T416" s="17" t="s">
        <v>2889</v>
      </c>
      <c r="U416" s="17" t="s">
        <v>2890</v>
      </c>
      <c r="V416" s="36"/>
      <c r="W416" s="17"/>
      <c r="X416" s="20">
        <v>4</v>
      </c>
    </row>
    <row r="417" spans="1:24">
      <c r="A417" s="1">
        <v>47</v>
      </c>
      <c r="B417" s="35" t="s">
        <v>2899</v>
      </c>
      <c r="C417" s="1" t="s">
        <v>667</v>
      </c>
      <c r="D417" s="1" t="s">
        <v>668</v>
      </c>
      <c r="E417" s="35">
        <v>8</v>
      </c>
      <c r="F417" s="1" t="str">
        <f>VLOOKUP(E417,'ESTRUTURA_MODULO(hide)'!$A$2:$D$230,2,FALSE)</f>
        <v>Farmácia</v>
      </c>
      <c r="G417" s="1" t="str">
        <f>VLOOKUP(E417,'ESTRUTURA_MODULO(hide)'!$A$2:$D$95,3,FALSE)</f>
        <v>Pharmacy</v>
      </c>
      <c r="H417" s="1" t="str">
        <f>VLOOKUP(E417,'ESTRUTURA_MODULO(hide)'!$A$2:$D$95,4,FALSE)</f>
        <v>Farmacia</v>
      </c>
      <c r="I417" s="37">
        <v>2</v>
      </c>
      <c r="J417" s="17" t="s">
        <v>2890</v>
      </c>
      <c r="K417" s="17" t="s">
        <v>2890</v>
      </c>
      <c r="L417" s="17" t="s">
        <v>2889</v>
      </c>
      <c r="M417" s="38" t="s">
        <v>2889</v>
      </c>
      <c r="N417" s="38" t="s">
        <v>2889</v>
      </c>
      <c r="O417" s="17" t="s">
        <v>2890</v>
      </c>
      <c r="P417" s="17" t="s">
        <v>2890</v>
      </c>
      <c r="T417" s="17" t="s">
        <v>2889</v>
      </c>
      <c r="U417" s="17" t="s">
        <v>2890</v>
      </c>
      <c r="V417" s="36"/>
      <c r="W417" s="17"/>
      <c r="X417" s="20">
        <v>8</v>
      </c>
    </row>
    <row r="418" spans="1:24">
      <c r="A418" s="1">
        <v>1700</v>
      </c>
      <c r="B418" s="1" t="s">
        <v>202</v>
      </c>
      <c r="C418" s="1" t="s">
        <v>640</v>
      </c>
      <c r="D418" s="1" t="s">
        <v>641</v>
      </c>
      <c r="E418" s="1">
        <v>8</v>
      </c>
      <c r="F418" s="1" t="str">
        <f>VLOOKUP(E418,'ESTRUTURA_MODULO(hide)'!$A$2:$D$230,2,FALSE)</f>
        <v>Farmácia</v>
      </c>
      <c r="G418" s="1" t="str">
        <f>VLOOKUP(E418,'ESTRUTURA_MODULO(hide)'!$A$2:$D$95,3,FALSE)</f>
        <v>Pharmacy</v>
      </c>
      <c r="H418" s="1" t="str">
        <f>VLOOKUP(E418,'ESTRUTURA_MODULO(hide)'!$A$2:$D$95,4,FALSE)</f>
        <v>Farmacia</v>
      </c>
      <c r="I418" s="20">
        <v>0</v>
      </c>
      <c r="J418" s="17" t="s">
        <v>2890</v>
      </c>
      <c r="K418" s="17" t="s">
        <v>2890</v>
      </c>
      <c r="L418" s="17" t="s">
        <v>2890</v>
      </c>
      <c r="M418" s="17" t="s">
        <v>2890</v>
      </c>
      <c r="N418" s="17" t="s">
        <v>2890</v>
      </c>
      <c r="O418" s="17" t="s">
        <v>2890</v>
      </c>
      <c r="P418" s="17" t="s">
        <v>2890</v>
      </c>
      <c r="T418" s="17" t="s">
        <v>2889</v>
      </c>
      <c r="U418" s="17" t="s">
        <v>2890</v>
      </c>
      <c r="V418" s="21"/>
      <c r="W418" s="17"/>
      <c r="X418" s="20">
        <v>0</v>
      </c>
    </row>
    <row r="419" spans="1:24">
      <c r="A419" s="1">
        <v>3112</v>
      </c>
      <c r="B419" s="35" t="s">
        <v>653</v>
      </c>
      <c r="C419" s="1" t="s">
        <v>654</v>
      </c>
      <c r="D419" s="1" t="s">
        <v>655</v>
      </c>
      <c r="E419" s="35">
        <v>8</v>
      </c>
      <c r="F419" s="1" t="str">
        <f>VLOOKUP(E419,'ESTRUTURA_MODULO(hide)'!$A$2:$D$230,2,FALSE)</f>
        <v>Farmácia</v>
      </c>
      <c r="G419" s="1" t="str">
        <f>VLOOKUP(E419,'ESTRUTURA_MODULO(hide)'!$A$2:$D$95,3,FALSE)</f>
        <v>Pharmacy</v>
      </c>
      <c r="H419" s="1" t="str">
        <f>VLOOKUP(E419,'ESTRUTURA_MODULO(hide)'!$A$2:$D$95,4,FALSE)</f>
        <v>Farmacia</v>
      </c>
      <c r="I419" s="37">
        <v>16</v>
      </c>
      <c r="J419" s="17" t="s">
        <v>2890</v>
      </c>
      <c r="K419" s="17" t="s">
        <v>2890</v>
      </c>
      <c r="L419" s="17" t="s">
        <v>2889</v>
      </c>
      <c r="M419" s="38" t="s">
        <v>2889</v>
      </c>
      <c r="N419" s="38" t="s">
        <v>2889</v>
      </c>
      <c r="O419" s="17" t="s">
        <v>2890</v>
      </c>
      <c r="P419" s="17" t="s">
        <v>2890</v>
      </c>
      <c r="T419" s="17" t="s">
        <v>2889</v>
      </c>
      <c r="U419" s="17" t="s">
        <v>2890</v>
      </c>
      <c r="V419" s="36"/>
      <c r="W419" s="17"/>
      <c r="X419" s="20">
        <v>32</v>
      </c>
    </row>
    <row r="420" spans="1:24">
      <c r="A420" s="1">
        <v>213</v>
      </c>
      <c r="B420" s="426" t="s">
        <v>1802</v>
      </c>
      <c r="C420" s="1" t="s">
        <v>1803</v>
      </c>
      <c r="D420" s="1" t="s">
        <v>1804</v>
      </c>
      <c r="E420" s="1">
        <v>8</v>
      </c>
      <c r="F420" s="1" t="str">
        <f>VLOOKUP(E420,'ESTRUTURA_MODULO(hide)'!$A$2:$D$230,2,FALSE)</f>
        <v>Farmácia</v>
      </c>
      <c r="G420" s="1" t="str">
        <f>VLOOKUP(E420,'ESTRUTURA_MODULO(hide)'!$A$2:$D$95,3,FALSE)</f>
        <v>Pharmacy</v>
      </c>
      <c r="H420" s="1" t="str">
        <f>VLOOKUP(E420,'ESTRUTURA_MODULO(hide)'!$A$2:$D$95,4,FALSE)</f>
        <v>Farmacia</v>
      </c>
      <c r="I420" s="20">
        <v>0</v>
      </c>
      <c r="J420" s="17" t="s">
        <v>2890</v>
      </c>
      <c r="K420" s="17" t="s">
        <v>2890</v>
      </c>
      <c r="L420" s="17" t="s">
        <v>2890</v>
      </c>
      <c r="M420" s="17" t="s">
        <v>2890</v>
      </c>
      <c r="N420" s="17" t="s">
        <v>2890</v>
      </c>
      <c r="O420" s="17" t="s">
        <v>2890</v>
      </c>
      <c r="P420" s="17" t="s">
        <v>2890</v>
      </c>
      <c r="T420" s="17" t="s">
        <v>2889</v>
      </c>
      <c r="U420" s="17" t="s">
        <v>2890</v>
      </c>
      <c r="V420" s="21"/>
      <c r="W420" s="17"/>
      <c r="X420" s="20">
        <v>0</v>
      </c>
    </row>
    <row r="421" spans="1:24">
      <c r="A421" s="1">
        <v>7030</v>
      </c>
      <c r="B421" s="35" t="s">
        <v>203</v>
      </c>
      <c r="C421" s="1" t="s">
        <v>638</v>
      </c>
      <c r="D421" s="1" t="s">
        <v>639</v>
      </c>
      <c r="E421" s="35">
        <v>8</v>
      </c>
      <c r="F421" s="1" t="str">
        <f>VLOOKUP(E421,'ESTRUTURA_MODULO(hide)'!$A$2:$D$230,2,FALSE)</f>
        <v>Farmácia</v>
      </c>
      <c r="G421" s="1" t="str">
        <f>VLOOKUP(E421,'ESTRUTURA_MODULO(hide)'!$A$2:$D$95,3,FALSE)</f>
        <v>Pharmacy</v>
      </c>
      <c r="H421" s="1" t="str">
        <f>VLOOKUP(E421,'ESTRUTURA_MODULO(hide)'!$A$2:$D$95,4,FALSE)</f>
        <v>Farmacia</v>
      </c>
      <c r="I421" s="37">
        <v>8</v>
      </c>
      <c r="J421" s="17" t="s">
        <v>2890</v>
      </c>
      <c r="K421" s="17" t="s">
        <v>2889</v>
      </c>
      <c r="L421" s="17" t="s">
        <v>2889</v>
      </c>
      <c r="M421" s="38" t="s">
        <v>2889</v>
      </c>
      <c r="N421" s="38" t="s">
        <v>2889</v>
      </c>
      <c r="O421" s="17" t="s">
        <v>2890</v>
      </c>
      <c r="P421" s="17" t="s">
        <v>2890</v>
      </c>
      <c r="T421" s="17" t="s">
        <v>2889</v>
      </c>
      <c r="U421" s="17" t="s">
        <v>2890</v>
      </c>
      <c r="V421" s="36"/>
      <c r="W421" s="17"/>
      <c r="X421" s="20">
        <v>24</v>
      </c>
    </row>
    <row r="422" spans="1:24">
      <c r="A422" s="1">
        <v>-2009</v>
      </c>
      <c r="B422" s="426" t="s">
        <v>331</v>
      </c>
      <c r="C422" s="1" t="s">
        <v>642</v>
      </c>
      <c r="D422" s="1" t="s">
        <v>331</v>
      </c>
      <c r="E422" s="1">
        <v>8</v>
      </c>
      <c r="F422" s="1" t="str">
        <f>VLOOKUP(E422,'ESTRUTURA_MODULO(hide)'!$A$2:$D$230,2,FALSE)</f>
        <v>Farmácia</v>
      </c>
      <c r="G422" s="1" t="str">
        <f>VLOOKUP(E422,'ESTRUTURA_MODULO(hide)'!$A$2:$D$95,3,FALSE)</f>
        <v>Pharmacy</v>
      </c>
      <c r="H422" s="1" t="str">
        <f>VLOOKUP(E422,'ESTRUTURA_MODULO(hide)'!$A$2:$D$95,4,FALSE)</f>
        <v>Farmacia</v>
      </c>
      <c r="I422" s="20">
        <v>0</v>
      </c>
      <c r="J422" s="17" t="s">
        <v>2890</v>
      </c>
      <c r="K422" s="17" t="s">
        <v>2890</v>
      </c>
      <c r="L422" s="17" t="s">
        <v>2890</v>
      </c>
      <c r="M422" s="17" t="s">
        <v>2890</v>
      </c>
      <c r="N422" s="17" t="s">
        <v>2890</v>
      </c>
      <c r="O422" s="17" t="s">
        <v>2890</v>
      </c>
      <c r="P422" s="17" t="s">
        <v>2890</v>
      </c>
      <c r="T422" s="17" t="s">
        <v>2889</v>
      </c>
      <c r="U422" s="17" t="s">
        <v>2890</v>
      </c>
      <c r="V422" s="21"/>
      <c r="W422" s="17"/>
      <c r="X422" s="20">
        <v>0</v>
      </c>
    </row>
    <row r="423" spans="1:24">
      <c r="A423" s="1">
        <v>24</v>
      </c>
      <c r="B423" s="35" t="s">
        <v>199</v>
      </c>
      <c r="C423" s="1" t="s">
        <v>645</v>
      </c>
      <c r="D423" s="1" t="s">
        <v>646</v>
      </c>
      <c r="E423" s="35">
        <v>8</v>
      </c>
      <c r="F423" s="1" t="str">
        <f>VLOOKUP(E423,'ESTRUTURA_MODULO(hide)'!$A$2:$D$230,2,FALSE)</f>
        <v>Farmácia</v>
      </c>
      <c r="G423" s="1" t="str">
        <f>VLOOKUP(E423,'ESTRUTURA_MODULO(hide)'!$A$2:$D$95,3,FALSE)</f>
        <v>Pharmacy</v>
      </c>
      <c r="H423" s="1" t="str">
        <f>VLOOKUP(E423,'ESTRUTURA_MODULO(hide)'!$A$2:$D$95,4,FALSE)</f>
        <v>Farmacia</v>
      </c>
      <c r="I423" s="37">
        <v>8</v>
      </c>
      <c r="J423" s="17" t="s">
        <v>2889</v>
      </c>
      <c r="K423" s="17" t="s">
        <v>2889</v>
      </c>
      <c r="L423" s="17" t="s">
        <v>2889</v>
      </c>
      <c r="M423" s="38" t="s">
        <v>2889</v>
      </c>
      <c r="N423" s="38" t="s">
        <v>2889</v>
      </c>
      <c r="O423" s="17" t="s">
        <v>2889</v>
      </c>
      <c r="P423" s="17" t="s">
        <v>2889</v>
      </c>
      <c r="T423" s="17" t="s">
        <v>2889</v>
      </c>
      <c r="U423" s="17" t="s">
        <v>2890</v>
      </c>
      <c r="V423" s="36"/>
      <c r="W423" s="17"/>
      <c r="X423" s="20">
        <v>24</v>
      </c>
    </row>
    <row r="424" spans="1:24">
      <c r="A424" s="1">
        <v>130</v>
      </c>
      <c r="B424" s="1" t="s">
        <v>192</v>
      </c>
      <c r="C424" s="1" t="s">
        <v>665</v>
      </c>
      <c r="D424" s="1" t="s">
        <v>666</v>
      </c>
      <c r="E424" s="1">
        <v>8</v>
      </c>
      <c r="F424" s="1" t="str">
        <f>VLOOKUP(E424,'ESTRUTURA_MODULO(hide)'!$A$2:$D$230,2,FALSE)</f>
        <v>Farmácia</v>
      </c>
      <c r="G424" s="1" t="str">
        <f>VLOOKUP(E424,'ESTRUTURA_MODULO(hide)'!$A$2:$D$95,3,FALSE)</f>
        <v>Pharmacy</v>
      </c>
      <c r="H424" s="1" t="str">
        <f>VLOOKUP(E424,'ESTRUTURA_MODULO(hide)'!$A$2:$D$95,4,FALSE)</f>
        <v>Farmacia</v>
      </c>
      <c r="I424" s="20">
        <v>0</v>
      </c>
      <c r="J424" s="17" t="s">
        <v>2890</v>
      </c>
      <c r="K424" s="17" t="s">
        <v>2890</v>
      </c>
      <c r="L424" s="17" t="s">
        <v>2890</v>
      </c>
      <c r="M424" s="17" t="s">
        <v>2890</v>
      </c>
      <c r="N424" s="17" t="s">
        <v>2890</v>
      </c>
      <c r="O424" s="17" t="s">
        <v>2890</v>
      </c>
      <c r="P424" s="17" t="s">
        <v>2890</v>
      </c>
      <c r="T424" s="17" t="s">
        <v>2889</v>
      </c>
      <c r="U424" s="17" t="s">
        <v>2890</v>
      </c>
      <c r="V424" s="21"/>
      <c r="W424" s="17"/>
      <c r="X424" s="20">
        <v>0</v>
      </c>
    </row>
    <row r="425" spans="1:24">
      <c r="A425" s="1">
        <v>1580</v>
      </c>
      <c r="B425" s="1" t="s">
        <v>204</v>
      </c>
      <c r="C425" s="1" t="s">
        <v>664</v>
      </c>
      <c r="D425" s="1" t="s">
        <v>204</v>
      </c>
      <c r="E425" s="1">
        <v>8</v>
      </c>
      <c r="F425" s="1" t="str">
        <f>VLOOKUP(E425,'ESTRUTURA_MODULO(hide)'!$A$2:$D$230,2,FALSE)</f>
        <v>Farmácia</v>
      </c>
      <c r="G425" s="1" t="str">
        <f>VLOOKUP(E425,'ESTRUTURA_MODULO(hide)'!$A$2:$D$95,3,FALSE)</f>
        <v>Pharmacy</v>
      </c>
      <c r="H425" s="1" t="str">
        <f>VLOOKUP(E425,'ESTRUTURA_MODULO(hide)'!$A$2:$D$95,4,FALSE)</f>
        <v>Farmacia</v>
      </c>
      <c r="I425" s="20">
        <v>0</v>
      </c>
      <c r="J425" s="17" t="s">
        <v>2890</v>
      </c>
      <c r="K425" s="17" t="s">
        <v>2890</v>
      </c>
      <c r="L425" s="17" t="s">
        <v>2890</v>
      </c>
      <c r="M425" s="17" t="s">
        <v>2890</v>
      </c>
      <c r="N425" s="17" t="s">
        <v>2890</v>
      </c>
      <c r="O425" s="17" t="s">
        <v>2890</v>
      </c>
      <c r="P425" s="17" t="s">
        <v>2890</v>
      </c>
      <c r="T425" s="17" t="s">
        <v>2889</v>
      </c>
      <c r="U425" s="17" t="s">
        <v>2890</v>
      </c>
      <c r="V425" s="21"/>
      <c r="W425" s="17"/>
      <c r="X425" s="20">
        <v>0</v>
      </c>
    </row>
    <row r="426" spans="1:24">
      <c r="A426" s="1">
        <v>42</v>
      </c>
      <c r="B426" s="35" t="s">
        <v>193</v>
      </c>
      <c r="C426" s="1" t="s">
        <v>662</v>
      </c>
      <c r="D426" s="1" t="s">
        <v>663</v>
      </c>
      <c r="E426" s="35">
        <v>8</v>
      </c>
      <c r="F426" s="1" t="str">
        <f>VLOOKUP(E426,'ESTRUTURA_MODULO(hide)'!$A$2:$D$230,2,FALSE)</f>
        <v>Farmácia</v>
      </c>
      <c r="G426" s="1" t="str">
        <f>VLOOKUP(E426,'ESTRUTURA_MODULO(hide)'!$A$2:$D$95,3,FALSE)</f>
        <v>Pharmacy</v>
      </c>
      <c r="H426" s="1" t="str">
        <f>VLOOKUP(E426,'ESTRUTURA_MODULO(hide)'!$A$2:$D$95,4,FALSE)</f>
        <v>Farmacia</v>
      </c>
      <c r="I426" s="37">
        <v>8</v>
      </c>
      <c r="J426" s="17" t="s">
        <v>2889</v>
      </c>
      <c r="K426" s="17" t="s">
        <v>2889</v>
      </c>
      <c r="L426" s="17" t="s">
        <v>2889</v>
      </c>
      <c r="M426" s="38" t="s">
        <v>2889</v>
      </c>
      <c r="N426" s="38" t="s">
        <v>2889</v>
      </c>
      <c r="O426" s="17" t="s">
        <v>2890</v>
      </c>
      <c r="P426" s="17" t="s">
        <v>2890</v>
      </c>
      <c r="T426" s="17" t="s">
        <v>2889</v>
      </c>
      <c r="U426" s="17" t="s">
        <v>2890</v>
      </c>
      <c r="V426" s="36"/>
      <c r="W426" s="17"/>
      <c r="X426" s="20">
        <v>16</v>
      </c>
    </row>
    <row r="427" spans="1:24">
      <c r="A427" s="1">
        <v>301</v>
      </c>
      <c r="B427" s="426" t="s">
        <v>1805</v>
      </c>
      <c r="C427" s="1" t="s">
        <v>1806</v>
      </c>
      <c r="D427" s="1" t="s">
        <v>1807</v>
      </c>
      <c r="E427" s="1">
        <v>8</v>
      </c>
      <c r="F427" s="1" t="str">
        <f>VLOOKUP(E427,'ESTRUTURA_MODULO(hide)'!$A$2:$D$230,2,FALSE)</f>
        <v>Farmácia</v>
      </c>
      <c r="G427" s="1" t="str">
        <f>VLOOKUP(E427,'ESTRUTURA_MODULO(hide)'!$A$2:$D$95,3,FALSE)</f>
        <v>Pharmacy</v>
      </c>
      <c r="H427" s="1" t="str">
        <f>VLOOKUP(E427,'ESTRUTURA_MODULO(hide)'!$A$2:$D$95,4,FALSE)</f>
        <v>Farmacia</v>
      </c>
      <c r="I427" s="20">
        <v>0</v>
      </c>
      <c r="J427" s="17" t="s">
        <v>2890</v>
      </c>
      <c r="K427" s="17" t="s">
        <v>2890</v>
      </c>
      <c r="L427" s="17" t="s">
        <v>2890</v>
      </c>
      <c r="M427" s="17" t="s">
        <v>2890</v>
      </c>
      <c r="N427" s="17" t="s">
        <v>2890</v>
      </c>
      <c r="O427" s="17" t="s">
        <v>2890</v>
      </c>
      <c r="P427" s="17" t="s">
        <v>2890</v>
      </c>
      <c r="T427" s="17" t="s">
        <v>2889</v>
      </c>
      <c r="U427" s="17" t="s">
        <v>2890</v>
      </c>
      <c r="V427" s="21"/>
      <c r="W427" s="17"/>
      <c r="X427" s="20">
        <v>0</v>
      </c>
    </row>
    <row r="428" spans="1:24">
      <c r="A428" s="1">
        <v>36</v>
      </c>
      <c r="B428" s="35" t="s">
        <v>189</v>
      </c>
      <c r="C428" s="1" t="s">
        <v>660</v>
      </c>
      <c r="D428" s="1" t="s">
        <v>661</v>
      </c>
      <c r="E428" s="35">
        <v>8</v>
      </c>
      <c r="F428" s="1" t="str">
        <f>VLOOKUP(E428,'ESTRUTURA_MODULO(hide)'!$A$2:$D$230,2,FALSE)</f>
        <v>Farmácia</v>
      </c>
      <c r="G428" s="1" t="str">
        <f>VLOOKUP(E428,'ESTRUTURA_MODULO(hide)'!$A$2:$D$95,3,FALSE)</f>
        <v>Pharmacy</v>
      </c>
      <c r="H428" s="1" t="str">
        <f>VLOOKUP(E428,'ESTRUTURA_MODULO(hide)'!$A$2:$D$95,4,FALSE)</f>
        <v>Farmacia</v>
      </c>
      <c r="I428" s="37">
        <v>8</v>
      </c>
      <c r="J428" s="17" t="s">
        <v>2890</v>
      </c>
      <c r="K428" s="17" t="s">
        <v>2890</v>
      </c>
      <c r="L428" s="17" t="s">
        <v>2890</v>
      </c>
      <c r="M428" s="38" t="s">
        <v>2889</v>
      </c>
      <c r="N428" s="38" t="s">
        <v>2889</v>
      </c>
      <c r="O428" s="17" t="s">
        <v>2890</v>
      </c>
      <c r="P428" s="17" t="s">
        <v>2890</v>
      </c>
      <c r="T428" s="17" t="s">
        <v>2889</v>
      </c>
      <c r="U428" s="17" t="s">
        <v>2890</v>
      </c>
      <c r="V428" s="36"/>
      <c r="W428" s="17"/>
      <c r="X428" s="20">
        <v>16</v>
      </c>
    </row>
    <row r="429" spans="1:24">
      <c r="A429" s="1">
        <v>157</v>
      </c>
      <c r="B429" s="426" t="s">
        <v>1634</v>
      </c>
      <c r="C429" s="1" t="s">
        <v>1635</v>
      </c>
      <c r="D429" s="1" t="s">
        <v>1636</v>
      </c>
      <c r="E429" s="1">
        <v>8</v>
      </c>
      <c r="F429" s="1" t="str">
        <f>VLOOKUP(E429,'ESTRUTURA_MODULO(hide)'!$A$2:$D$230,2,FALSE)</f>
        <v>Farmácia</v>
      </c>
      <c r="G429" s="1" t="str">
        <f>VLOOKUP(E429,'ESTRUTURA_MODULO(hide)'!$A$2:$D$95,3,FALSE)</f>
        <v>Pharmacy</v>
      </c>
      <c r="H429" s="1" t="str">
        <f>VLOOKUP(E429,'ESTRUTURA_MODULO(hide)'!$A$2:$D$95,4,FALSE)</f>
        <v>Farmacia</v>
      </c>
      <c r="I429" s="20">
        <v>0</v>
      </c>
      <c r="J429" s="17" t="s">
        <v>2890</v>
      </c>
      <c r="K429" s="17" t="s">
        <v>2890</v>
      </c>
      <c r="L429" s="17" t="s">
        <v>2890</v>
      </c>
      <c r="M429" s="17" t="s">
        <v>2890</v>
      </c>
      <c r="N429" s="17" t="s">
        <v>2890</v>
      </c>
      <c r="O429" s="17" t="s">
        <v>2890</v>
      </c>
      <c r="P429" s="17" t="s">
        <v>2890</v>
      </c>
      <c r="T429" s="17" t="s">
        <v>2889</v>
      </c>
      <c r="U429" s="17" t="s">
        <v>2890</v>
      </c>
      <c r="V429" s="21"/>
      <c r="W429" s="17"/>
      <c r="X429" s="20">
        <v>0</v>
      </c>
    </row>
    <row r="430" spans="1:24">
      <c r="A430" s="1">
        <v>184</v>
      </c>
      <c r="B430" s="426" t="s">
        <v>1808</v>
      </c>
      <c r="C430" s="1" t="s">
        <v>1809</v>
      </c>
      <c r="D430" s="1" t="s">
        <v>1810</v>
      </c>
      <c r="E430" s="1">
        <v>8</v>
      </c>
      <c r="F430" s="1" t="str">
        <f>VLOOKUP(E430,'ESTRUTURA_MODULO(hide)'!$A$2:$D$230,2,FALSE)</f>
        <v>Farmácia</v>
      </c>
      <c r="G430" s="1" t="str">
        <f>VLOOKUP(E430,'ESTRUTURA_MODULO(hide)'!$A$2:$D$95,3,FALSE)</f>
        <v>Pharmacy</v>
      </c>
      <c r="H430" s="1" t="str">
        <f>VLOOKUP(E430,'ESTRUTURA_MODULO(hide)'!$A$2:$D$95,4,FALSE)</f>
        <v>Farmacia</v>
      </c>
      <c r="I430" s="20">
        <v>0</v>
      </c>
      <c r="J430" s="17" t="s">
        <v>2890</v>
      </c>
      <c r="K430" s="17" t="s">
        <v>2890</v>
      </c>
      <c r="L430" s="17" t="s">
        <v>2890</v>
      </c>
      <c r="M430" s="17" t="s">
        <v>2890</v>
      </c>
      <c r="N430" s="17" t="s">
        <v>2890</v>
      </c>
      <c r="O430" s="17" t="s">
        <v>2890</v>
      </c>
      <c r="P430" s="17" t="s">
        <v>2890</v>
      </c>
      <c r="T430" s="17" t="s">
        <v>2889</v>
      </c>
      <c r="U430" s="17" t="s">
        <v>2890</v>
      </c>
      <c r="V430" s="21"/>
      <c r="W430" s="17"/>
      <c r="X430" s="20">
        <v>0</v>
      </c>
    </row>
    <row r="431" spans="1:24">
      <c r="A431" s="1">
        <v>182</v>
      </c>
      <c r="B431" s="426" t="s">
        <v>1811</v>
      </c>
      <c r="C431" s="1" t="s">
        <v>1812</v>
      </c>
      <c r="D431" s="1" t="s">
        <v>1813</v>
      </c>
      <c r="E431" s="1">
        <v>8</v>
      </c>
      <c r="F431" s="1" t="str">
        <f>VLOOKUP(E431,'ESTRUTURA_MODULO(hide)'!$A$2:$D$230,2,FALSE)</f>
        <v>Farmácia</v>
      </c>
      <c r="G431" s="1" t="str">
        <f>VLOOKUP(E431,'ESTRUTURA_MODULO(hide)'!$A$2:$D$95,3,FALSE)</f>
        <v>Pharmacy</v>
      </c>
      <c r="H431" s="1" t="str">
        <f>VLOOKUP(E431,'ESTRUTURA_MODULO(hide)'!$A$2:$D$95,4,FALSE)</f>
        <v>Farmacia</v>
      </c>
      <c r="I431" s="20">
        <v>0</v>
      </c>
      <c r="J431" s="17" t="s">
        <v>2890</v>
      </c>
      <c r="K431" s="17" t="s">
        <v>2890</v>
      </c>
      <c r="L431" s="17" t="s">
        <v>2890</v>
      </c>
      <c r="M431" s="17" t="s">
        <v>2890</v>
      </c>
      <c r="N431" s="17" t="s">
        <v>2890</v>
      </c>
      <c r="O431" s="17" t="s">
        <v>2890</v>
      </c>
      <c r="P431" s="17" t="s">
        <v>2890</v>
      </c>
      <c r="T431" s="17" t="s">
        <v>2889</v>
      </c>
      <c r="U431" s="17" t="s">
        <v>2890</v>
      </c>
      <c r="V431" s="21"/>
      <c r="W431" s="17"/>
      <c r="X431" s="20">
        <v>0</v>
      </c>
    </row>
    <row r="432" spans="1:24">
      <c r="A432" s="1">
        <v>307</v>
      </c>
      <c r="B432" s="426" t="s">
        <v>1715</v>
      </c>
      <c r="C432" s="1" t="s">
        <v>1716</v>
      </c>
      <c r="D432" s="1" t="s">
        <v>1717</v>
      </c>
      <c r="E432" s="1">
        <v>8</v>
      </c>
      <c r="F432" s="1" t="str">
        <f>VLOOKUP(E432,'ESTRUTURA_MODULO(hide)'!$A$2:$D$230,2,FALSE)</f>
        <v>Farmácia</v>
      </c>
      <c r="G432" s="1" t="str">
        <f>VLOOKUP(E432,'ESTRUTURA_MODULO(hide)'!$A$2:$D$95,3,FALSE)</f>
        <v>Pharmacy</v>
      </c>
      <c r="H432" s="1" t="str">
        <f>VLOOKUP(E432,'ESTRUTURA_MODULO(hide)'!$A$2:$D$95,4,FALSE)</f>
        <v>Farmacia</v>
      </c>
      <c r="I432" s="20">
        <v>0</v>
      </c>
      <c r="J432" s="17" t="s">
        <v>2890</v>
      </c>
      <c r="K432" s="17" t="s">
        <v>2890</v>
      </c>
      <c r="L432" s="17" t="s">
        <v>2890</v>
      </c>
      <c r="M432" s="17" t="s">
        <v>2890</v>
      </c>
      <c r="N432" s="17" t="s">
        <v>2890</v>
      </c>
      <c r="O432" s="17" t="s">
        <v>2890</v>
      </c>
      <c r="P432" s="17" t="s">
        <v>2890</v>
      </c>
      <c r="T432" s="17" t="s">
        <v>2889</v>
      </c>
      <c r="U432" s="17" t="s">
        <v>2890</v>
      </c>
      <c r="V432" s="21"/>
      <c r="W432" s="17"/>
      <c r="X432" s="20">
        <v>0</v>
      </c>
    </row>
    <row r="433" spans="1:24">
      <c r="A433" s="1">
        <v>165</v>
      </c>
      <c r="B433" s="426" t="s">
        <v>1814</v>
      </c>
      <c r="C433" s="1" t="s">
        <v>1815</v>
      </c>
      <c r="D433" s="1" t="s">
        <v>1816</v>
      </c>
      <c r="E433" s="1">
        <v>8</v>
      </c>
      <c r="F433" s="1" t="str">
        <f>VLOOKUP(E433,'ESTRUTURA_MODULO(hide)'!$A$2:$D$230,2,FALSE)</f>
        <v>Farmácia</v>
      </c>
      <c r="G433" s="1" t="str">
        <f>VLOOKUP(E433,'ESTRUTURA_MODULO(hide)'!$A$2:$D$95,3,FALSE)</f>
        <v>Pharmacy</v>
      </c>
      <c r="H433" s="1" t="str">
        <f>VLOOKUP(E433,'ESTRUTURA_MODULO(hide)'!$A$2:$D$95,4,FALSE)</f>
        <v>Farmacia</v>
      </c>
      <c r="I433" s="20">
        <v>0</v>
      </c>
      <c r="J433" s="17" t="s">
        <v>2890</v>
      </c>
      <c r="K433" s="17" t="s">
        <v>2890</v>
      </c>
      <c r="L433" s="17" t="s">
        <v>2890</v>
      </c>
      <c r="M433" s="17" t="s">
        <v>2890</v>
      </c>
      <c r="N433" s="17" t="s">
        <v>2890</v>
      </c>
      <c r="O433" s="17" t="s">
        <v>2890</v>
      </c>
      <c r="P433" s="17" t="s">
        <v>2890</v>
      </c>
      <c r="T433" s="17" t="s">
        <v>2889</v>
      </c>
      <c r="U433" s="17" t="s">
        <v>2890</v>
      </c>
      <c r="V433" s="21"/>
      <c r="W433" s="17"/>
      <c r="X433" s="20">
        <v>0</v>
      </c>
    </row>
    <row r="434" spans="1:24">
      <c r="A434" s="1">
        <v>7010</v>
      </c>
      <c r="B434" s="427" t="s">
        <v>201</v>
      </c>
      <c r="C434" s="1" t="s">
        <v>649</v>
      </c>
      <c r="D434" s="1" t="s">
        <v>650</v>
      </c>
      <c r="E434" s="35">
        <v>8</v>
      </c>
      <c r="F434" s="1" t="str">
        <f>VLOOKUP(E434,'ESTRUTURA_MODULO(hide)'!$A$2:$D$230,2,FALSE)</f>
        <v>Farmácia</v>
      </c>
      <c r="G434" s="1" t="str">
        <f>VLOOKUP(E434,'ESTRUTURA_MODULO(hide)'!$A$2:$D$95,3,FALSE)</f>
        <v>Pharmacy</v>
      </c>
      <c r="H434" s="1" t="str">
        <f>VLOOKUP(E434,'ESTRUTURA_MODULO(hide)'!$A$2:$D$95,4,FALSE)</f>
        <v>Farmacia</v>
      </c>
      <c r="I434" s="37">
        <v>16</v>
      </c>
      <c r="J434" s="17" t="s">
        <v>2890</v>
      </c>
      <c r="K434" s="17" t="s">
        <v>2890</v>
      </c>
      <c r="L434" s="17" t="s">
        <v>2889</v>
      </c>
      <c r="M434" s="38" t="s">
        <v>2889</v>
      </c>
      <c r="N434" s="38" t="s">
        <v>2889</v>
      </c>
      <c r="O434" s="17" t="s">
        <v>2890</v>
      </c>
      <c r="P434" s="17" t="s">
        <v>2890</v>
      </c>
      <c r="T434" s="17" t="s">
        <v>2889</v>
      </c>
      <c r="U434" s="17" t="s">
        <v>2890</v>
      </c>
      <c r="V434" s="36"/>
      <c r="W434" s="17"/>
      <c r="X434" s="20">
        <v>32</v>
      </c>
    </row>
    <row r="435" spans="1:24">
      <c r="A435" s="1">
        <v>998</v>
      </c>
      <c r="B435" s="35" t="s">
        <v>206</v>
      </c>
      <c r="C435" s="1" t="s">
        <v>647</v>
      </c>
      <c r="D435" s="1" t="s">
        <v>648</v>
      </c>
      <c r="E435" s="35">
        <v>8</v>
      </c>
      <c r="F435" s="1" t="str">
        <f>VLOOKUP(E435,'ESTRUTURA_MODULO(hide)'!$A$2:$D$230,2,FALSE)</f>
        <v>Farmácia</v>
      </c>
      <c r="G435" s="1" t="str">
        <f>VLOOKUP(E435,'ESTRUTURA_MODULO(hide)'!$A$2:$D$95,3,FALSE)</f>
        <v>Pharmacy</v>
      </c>
      <c r="H435" s="1" t="str">
        <f>VLOOKUP(E435,'ESTRUTURA_MODULO(hide)'!$A$2:$D$95,4,FALSE)</f>
        <v>Farmacia</v>
      </c>
      <c r="I435" s="37">
        <v>6</v>
      </c>
      <c r="J435" s="17" t="s">
        <v>2890</v>
      </c>
      <c r="K435" s="17" t="s">
        <v>2889</v>
      </c>
      <c r="L435" s="17" t="s">
        <v>2889</v>
      </c>
      <c r="M435" s="38" t="s">
        <v>2889</v>
      </c>
      <c r="N435" s="38" t="s">
        <v>2889</v>
      </c>
      <c r="O435" s="17" t="s">
        <v>2890</v>
      </c>
      <c r="P435" s="17" t="s">
        <v>2889</v>
      </c>
      <c r="T435" s="17" t="s">
        <v>2889</v>
      </c>
      <c r="U435" s="17" t="s">
        <v>2890</v>
      </c>
      <c r="V435" s="36"/>
      <c r="W435" s="17"/>
      <c r="X435" s="20">
        <v>8</v>
      </c>
    </row>
    <row r="436" spans="1:24">
      <c r="A436" s="1">
        <v>-6950</v>
      </c>
      <c r="B436" s="426" t="s">
        <v>690</v>
      </c>
      <c r="C436" s="1" t="s">
        <v>691</v>
      </c>
      <c r="D436" s="1" t="s">
        <v>692</v>
      </c>
      <c r="E436" s="1">
        <v>9</v>
      </c>
      <c r="F436" s="1" t="str">
        <f>VLOOKUP(E436,'ESTRUTURA_MODULO(hide)'!$A$2:$D$230,2,FALSE)</f>
        <v>Exames</v>
      </c>
      <c r="G436" s="1" t="str">
        <f>VLOOKUP(E436,'ESTRUTURA_MODULO(hide)'!$A$2:$D$95,3,FALSE)</f>
        <v>Exams/Tests</v>
      </c>
      <c r="H436" s="1" t="str">
        <f>VLOOKUP(E436,'ESTRUTURA_MODULO(hide)'!$A$2:$D$95,4,FALSE)</f>
        <v>Exámenes</v>
      </c>
      <c r="I436" s="20">
        <v>0</v>
      </c>
      <c r="J436" s="17" t="s">
        <v>2890</v>
      </c>
      <c r="K436" s="17" t="s">
        <v>2890</v>
      </c>
      <c r="L436" s="17" t="s">
        <v>2890</v>
      </c>
      <c r="M436" s="17" t="s">
        <v>2890</v>
      </c>
      <c r="N436" s="17" t="s">
        <v>2890</v>
      </c>
      <c r="O436" s="17" t="s">
        <v>2890</v>
      </c>
      <c r="P436" s="17" t="s">
        <v>2890</v>
      </c>
      <c r="T436" s="17" t="s">
        <v>2889</v>
      </c>
      <c r="U436" s="17" t="s">
        <v>2890</v>
      </c>
      <c r="V436" s="21"/>
      <c r="W436" s="17"/>
      <c r="X436" s="20">
        <v>0</v>
      </c>
    </row>
    <row r="437" spans="1:24">
      <c r="A437" s="1">
        <v>99010</v>
      </c>
      <c r="B437" s="35" t="s">
        <v>33</v>
      </c>
      <c r="C437" s="1" t="s">
        <v>1817</v>
      </c>
      <c r="D437" s="1" t="s">
        <v>689</v>
      </c>
      <c r="E437" s="35">
        <v>9</v>
      </c>
      <c r="F437" s="1" t="str">
        <f>VLOOKUP(E437,'ESTRUTURA_MODULO(hide)'!$A$2:$D$230,2,FALSE)</f>
        <v>Exames</v>
      </c>
      <c r="G437" s="1" t="str">
        <f>VLOOKUP(E437,'ESTRUTURA_MODULO(hide)'!$A$2:$D$95,3,FALSE)</f>
        <v>Exams/Tests</v>
      </c>
      <c r="H437" s="1" t="str">
        <f>VLOOKUP(E437,'ESTRUTURA_MODULO(hide)'!$A$2:$D$95,4,FALSE)</f>
        <v>Exámenes</v>
      </c>
      <c r="I437" s="37">
        <v>24</v>
      </c>
      <c r="J437" s="17" t="s">
        <v>2889</v>
      </c>
      <c r="K437" s="17" t="s">
        <v>2889</v>
      </c>
      <c r="L437" s="17" t="s">
        <v>2889</v>
      </c>
      <c r="M437" s="38" t="s">
        <v>2889</v>
      </c>
      <c r="N437" s="38" t="s">
        <v>2889</v>
      </c>
      <c r="O437" s="17" t="s">
        <v>2889</v>
      </c>
      <c r="P437" s="17" t="s">
        <v>2889</v>
      </c>
      <c r="T437" s="17" t="s">
        <v>2889</v>
      </c>
      <c r="U437" s="17" t="s">
        <v>2890</v>
      </c>
      <c r="V437" s="36"/>
      <c r="W437" s="17"/>
      <c r="X437" s="20">
        <v>32</v>
      </c>
    </row>
    <row r="438" spans="1:24">
      <c r="A438" s="1">
        <v>942</v>
      </c>
      <c r="B438" s="35" t="s">
        <v>32</v>
      </c>
      <c r="C438" s="1" t="s">
        <v>683</v>
      </c>
      <c r="D438" s="1" t="s">
        <v>684</v>
      </c>
      <c r="E438" s="35">
        <v>9</v>
      </c>
      <c r="F438" s="1" t="str">
        <f>VLOOKUP(E438,'ESTRUTURA_MODULO(hide)'!$A$2:$D$230,2,FALSE)</f>
        <v>Exames</v>
      </c>
      <c r="G438" s="1" t="str">
        <f>VLOOKUP(E438,'ESTRUTURA_MODULO(hide)'!$A$2:$D$95,3,FALSE)</f>
        <v>Exams/Tests</v>
      </c>
      <c r="H438" s="1" t="str">
        <f>VLOOKUP(E438,'ESTRUTURA_MODULO(hide)'!$A$2:$D$95,4,FALSE)</f>
        <v>Exámenes</v>
      </c>
      <c r="I438" s="37">
        <v>8</v>
      </c>
      <c r="J438" s="17" t="s">
        <v>2889</v>
      </c>
      <c r="K438" s="17" t="s">
        <v>2889</v>
      </c>
      <c r="L438" s="17" t="s">
        <v>2889</v>
      </c>
      <c r="M438" s="38" t="s">
        <v>2889</v>
      </c>
      <c r="N438" s="38" t="s">
        <v>2889</v>
      </c>
      <c r="O438" s="17" t="s">
        <v>2889</v>
      </c>
      <c r="P438" s="17" t="s">
        <v>2889</v>
      </c>
      <c r="T438" s="17" t="s">
        <v>2889</v>
      </c>
      <c r="U438" s="17" t="s">
        <v>2890</v>
      </c>
      <c r="V438" s="36"/>
      <c r="W438" s="17"/>
      <c r="X438" s="20">
        <v>24</v>
      </c>
    </row>
    <row r="439" spans="1:24">
      <c r="A439" s="1">
        <v>7011</v>
      </c>
      <c r="B439" s="35" t="s">
        <v>2900</v>
      </c>
      <c r="C439" s="1" t="s">
        <v>673</v>
      </c>
      <c r="D439" s="1" t="s">
        <v>675</v>
      </c>
      <c r="E439" s="35">
        <v>9</v>
      </c>
      <c r="F439" s="1" t="str">
        <f>VLOOKUP(E439,'ESTRUTURA_MODULO(hide)'!$A$2:$D$230,2,FALSE)</f>
        <v>Exames</v>
      </c>
      <c r="G439" s="1" t="str">
        <f>VLOOKUP(E439,'ESTRUTURA_MODULO(hide)'!$A$2:$D$95,3,FALSE)</f>
        <v>Exams/Tests</v>
      </c>
      <c r="H439" s="1" t="str">
        <f>VLOOKUP(E439,'ESTRUTURA_MODULO(hide)'!$A$2:$D$95,4,FALSE)</f>
        <v>Exámenes</v>
      </c>
      <c r="I439" s="37">
        <v>2</v>
      </c>
      <c r="J439" s="17" t="s">
        <v>2889</v>
      </c>
      <c r="K439" s="17" t="s">
        <v>2889</v>
      </c>
      <c r="L439" s="17" t="s">
        <v>2889</v>
      </c>
      <c r="M439" s="38" t="s">
        <v>2889</v>
      </c>
      <c r="N439" s="38" t="s">
        <v>2889</v>
      </c>
      <c r="O439" s="17" t="s">
        <v>2889</v>
      </c>
      <c r="P439" s="17" t="s">
        <v>2889</v>
      </c>
      <c r="T439" s="17" t="s">
        <v>2889</v>
      </c>
      <c r="U439" s="17" t="s">
        <v>2890</v>
      </c>
      <c r="V439" s="36"/>
      <c r="W439" s="17"/>
      <c r="X439" s="20">
        <v>6</v>
      </c>
    </row>
    <row r="440" spans="1:24">
      <c r="A440" s="1">
        <v>9047</v>
      </c>
      <c r="B440" s="35" t="s">
        <v>208</v>
      </c>
      <c r="C440" s="1" t="s">
        <v>677</v>
      </c>
      <c r="D440" s="1" t="s">
        <v>678</v>
      </c>
      <c r="E440" s="35">
        <v>9</v>
      </c>
      <c r="F440" s="1" t="str">
        <f>VLOOKUP(E440,'ESTRUTURA_MODULO(hide)'!$A$2:$D$230,2,FALSE)</f>
        <v>Exames</v>
      </c>
      <c r="G440" s="1" t="str">
        <f>VLOOKUP(E440,'ESTRUTURA_MODULO(hide)'!$A$2:$D$95,3,FALSE)</f>
        <v>Exams/Tests</v>
      </c>
      <c r="H440" s="1" t="str">
        <f>VLOOKUP(E440,'ESTRUTURA_MODULO(hide)'!$A$2:$D$95,4,FALSE)</f>
        <v>Exámenes</v>
      </c>
      <c r="I440" s="37">
        <v>8</v>
      </c>
      <c r="J440" s="17" t="s">
        <v>2889</v>
      </c>
      <c r="K440" s="17" t="s">
        <v>2889</v>
      </c>
      <c r="L440" s="17" t="s">
        <v>2889</v>
      </c>
      <c r="M440" s="38" t="s">
        <v>2889</v>
      </c>
      <c r="N440" s="38" t="s">
        <v>2889</v>
      </c>
      <c r="O440" s="17" t="s">
        <v>2889</v>
      </c>
      <c r="P440" s="17" t="s">
        <v>2889</v>
      </c>
      <c r="T440" s="17" t="s">
        <v>2889</v>
      </c>
      <c r="U440" s="17" t="s">
        <v>2890</v>
      </c>
      <c r="V440" s="36"/>
      <c r="W440" s="17"/>
      <c r="X440" s="20">
        <v>12</v>
      </c>
    </row>
    <row r="441" spans="1:24">
      <c r="A441" s="1">
        <v>9039</v>
      </c>
      <c r="B441" s="35" t="s">
        <v>211</v>
      </c>
      <c r="C441" s="1" t="s">
        <v>679</v>
      </c>
      <c r="D441" s="1" t="s">
        <v>680</v>
      </c>
      <c r="E441" s="35">
        <v>9</v>
      </c>
      <c r="F441" s="1" t="str">
        <f>VLOOKUP(E441,'ESTRUTURA_MODULO(hide)'!$A$2:$D$230,2,FALSE)</f>
        <v>Exames</v>
      </c>
      <c r="G441" s="1" t="str">
        <f>VLOOKUP(E441,'ESTRUTURA_MODULO(hide)'!$A$2:$D$95,3,FALSE)</f>
        <v>Exams/Tests</v>
      </c>
      <c r="H441" s="1" t="str">
        <f>VLOOKUP(E441,'ESTRUTURA_MODULO(hide)'!$A$2:$D$95,4,FALSE)</f>
        <v>Exámenes</v>
      </c>
      <c r="I441" s="37">
        <v>2</v>
      </c>
      <c r="J441" s="17" t="s">
        <v>2890</v>
      </c>
      <c r="K441" s="17" t="s">
        <v>2889</v>
      </c>
      <c r="L441" s="17" t="s">
        <v>2889</v>
      </c>
      <c r="M441" s="38" t="s">
        <v>2889</v>
      </c>
      <c r="N441" s="38" t="s">
        <v>2889</v>
      </c>
      <c r="O441" s="17" t="s">
        <v>2889</v>
      </c>
      <c r="P441" s="17" t="s">
        <v>2889</v>
      </c>
      <c r="T441" s="17" t="s">
        <v>2889</v>
      </c>
      <c r="U441" s="17" t="s">
        <v>2890</v>
      </c>
      <c r="V441" s="36"/>
      <c r="W441" s="17"/>
      <c r="X441" s="20">
        <v>8</v>
      </c>
    </row>
    <row r="442" spans="1:24">
      <c r="A442" s="1">
        <v>28</v>
      </c>
      <c r="B442" s="427" t="s">
        <v>209</v>
      </c>
      <c r="C442" s="1" t="s">
        <v>681</v>
      </c>
      <c r="D442" s="1" t="s">
        <v>682</v>
      </c>
      <c r="E442" s="35">
        <v>9</v>
      </c>
      <c r="F442" s="1" t="str">
        <f>VLOOKUP(E442,'ESTRUTURA_MODULO(hide)'!$A$2:$D$230,2,FALSE)</f>
        <v>Exames</v>
      </c>
      <c r="G442" s="1" t="str">
        <f>VLOOKUP(E442,'ESTRUTURA_MODULO(hide)'!$A$2:$D$95,3,FALSE)</f>
        <v>Exams/Tests</v>
      </c>
      <c r="H442" s="1" t="str">
        <f>VLOOKUP(E442,'ESTRUTURA_MODULO(hide)'!$A$2:$D$95,4,FALSE)</f>
        <v>Exámenes</v>
      </c>
      <c r="I442" s="37">
        <v>12</v>
      </c>
      <c r="J442" s="17" t="s">
        <v>2890</v>
      </c>
      <c r="K442" s="17" t="s">
        <v>2890</v>
      </c>
      <c r="L442" s="17" t="s">
        <v>2890</v>
      </c>
      <c r="M442" s="38" t="s">
        <v>2889</v>
      </c>
      <c r="N442" s="38" t="s">
        <v>2889</v>
      </c>
      <c r="O442" s="17" t="s">
        <v>2890</v>
      </c>
      <c r="P442" s="17" t="s">
        <v>2890</v>
      </c>
      <c r="T442" s="17" t="s">
        <v>2889</v>
      </c>
      <c r="U442" s="17" t="s">
        <v>2890</v>
      </c>
      <c r="V442" s="36"/>
      <c r="W442" s="17"/>
      <c r="X442" s="20">
        <v>24</v>
      </c>
    </row>
    <row r="443" spans="1:24">
      <c r="A443" s="1">
        <v>155</v>
      </c>
      <c r="B443" s="426" t="s">
        <v>2901</v>
      </c>
      <c r="C443" s="1" t="s">
        <v>1818</v>
      </c>
      <c r="D443" s="1" t="s">
        <v>1819</v>
      </c>
      <c r="E443" s="1">
        <v>9</v>
      </c>
      <c r="F443" s="1" t="str">
        <f>VLOOKUP(E443,'ESTRUTURA_MODULO(hide)'!$A$2:$D$230,2,FALSE)</f>
        <v>Exames</v>
      </c>
      <c r="G443" s="1" t="str">
        <f>VLOOKUP(E443,'ESTRUTURA_MODULO(hide)'!$A$2:$D$95,3,FALSE)</f>
        <v>Exams/Tests</v>
      </c>
      <c r="H443" s="1" t="str">
        <f>VLOOKUP(E443,'ESTRUTURA_MODULO(hide)'!$A$2:$D$95,4,FALSE)</f>
        <v>Exámenes</v>
      </c>
      <c r="I443" s="20">
        <v>0</v>
      </c>
      <c r="J443" s="17" t="s">
        <v>2890</v>
      </c>
      <c r="K443" s="17" t="s">
        <v>2890</v>
      </c>
      <c r="L443" s="17" t="s">
        <v>2890</v>
      </c>
      <c r="M443" s="17" t="s">
        <v>2890</v>
      </c>
      <c r="N443" s="17" t="s">
        <v>2890</v>
      </c>
      <c r="O443" s="17" t="s">
        <v>2890</v>
      </c>
      <c r="P443" s="17" t="s">
        <v>2890</v>
      </c>
      <c r="T443" s="17" t="s">
        <v>2889</v>
      </c>
      <c r="U443" s="17" t="s">
        <v>2890</v>
      </c>
      <c r="V443" s="21"/>
      <c r="W443" s="17"/>
      <c r="X443" s="20">
        <v>0</v>
      </c>
    </row>
    <row r="444" spans="1:24">
      <c r="A444" s="1">
        <v>154</v>
      </c>
      <c r="B444" s="426" t="s">
        <v>1820</v>
      </c>
      <c r="C444" s="1" t="s">
        <v>1821</v>
      </c>
      <c r="D444" s="1" t="s">
        <v>1822</v>
      </c>
      <c r="E444" s="1">
        <v>9</v>
      </c>
      <c r="F444" s="1" t="str">
        <f>VLOOKUP(E444,'ESTRUTURA_MODULO(hide)'!$A$2:$D$230,2,FALSE)</f>
        <v>Exames</v>
      </c>
      <c r="G444" s="1" t="str">
        <f>VLOOKUP(E444,'ESTRUTURA_MODULO(hide)'!$A$2:$D$95,3,FALSE)</f>
        <v>Exams/Tests</v>
      </c>
      <c r="H444" s="1" t="str">
        <f>VLOOKUP(E444,'ESTRUTURA_MODULO(hide)'!$A$2:$D$95,4,FALSE)</f>
        <v>Exámenes</v>
      </c>
      <c r="I444" s="20">
        <v>0</v>
      </c>
      <c r="J444" s="17" t="s">
        <v>2890</v>
      </c>
      <c r="K444" s="17" t="s">
        <v>2890</v>
      </c>
      <c r="L444" s="17" t="s">
        <v>2890</v>
      </c>
      <c r="M444" s="17" t="s">
        <v>2890</v>
      </c>
      <c r="N444" s="17" t="s">
        <v>2890</v>
      </c>
      <c r="O444" s="17" t="s">
        <v>2890</v>
      </c>
      <c r="P444" s="17" t="s">
        <v>2890</v>
      </c>
      <c r="T444" s="17" t="s">
        <v>2889</v>
      </c>
      <c r="U444" s="17" t="s">
        <v>2890</v>
      </c>
      <c r="V444" s="21"/>
      <c r="W444" s="17"/>
      <c r="X444" s="20">
        <v>0</v>
      </c>
    </row>
    <row r="445" spans="1:24">
      <c r="A445" s="1">
        <v>153</v>
      </c>
      <c r="B445" s="426" t="s">
        <v>1637</v>
      </c>
      <c r="C445" s="1" t="s">
        <v>1638</v>
      </c>
      <c r="D445" s="1" t="s">
        <v>1639</v>
      </c>
      <c r="E445" s="1">
        <v>9</v>
      </c>
      <c r="F445" s="1" t="str">
        <f>VLOOKUP(E445,'ESTRUTURA_MODULO(hide)'!$A$2:$D$230,2,FALSE)</f>
        <v>Exames</v>
      </c>
      <c r="G445" s="1" t="str">
        <f>VLOOKUP(E445,'ESTRUTURA_MODULO(hide)'!$A$2:$D$95,3,FALSE)</f>
        <v>Exams/Tests</v>
      </c>
      <c r="H445" s="1" t="str">
        <f>VLOOKUP(E445,'ESTRUTURA_MODULO(hide)'!$A$2:$D$95,4,FALSE)</f>
        <v>Exámenes</v>
      </c>
      <c r="I445" s="20">
        <v>0</v>
      </c>
      <c r="J445" s="17" t="s">
        <v>2890</v>
      </c>
      <c r="K445" s="17" t="s">
        <v>2890</v>
      </c>
      <c r="L445" s="17" t="s">
        <v>2890</v>
      </c>
      <c r="M445" s="17" t="s">
        <v>2890</v>
      </c>
      <c r="N445" s="17" t="s">
        <v>2890</v>
      </c>
      <c r="O445" s="17" t="s">
        <v>2890</v>
      </c>
      <c r="P445" s="17" t="s">
        <v>2890</v>
      </c>
      <c r="T445" s="17" t="s">
        <v>2889</v>
      </c>
      <c r="U445" s="17" t="s">
        <v>2890</v>
      </c>
      <c r="V445" s="21"/>
      <c r="W445" s="17"/>
      <c r="X445" s="20">
        <v>0</v>
      </c>
    </row>
    <row r="446" spans="1:24">
      <c r="A446" s="1">
        <v>148</v>
      </c>
      <c r="B446" s="35" t="s">
        <v>207</v>
      </c>
      <c r="C446" s="1" t="s">
        <v>693</v>
      </c>
      <c r="D446" s="1" t="s">
        <v>694</v>
      </c>
      <c r="E446" s="35">
        <v>9</v>
      </c>
      <c r="F446" s="1" t="str">
        <f>VLOOKUP(E446,'ESTRUTURA_MODULO(hide)'!$A$2:$D$230,2,FALSE)</f>
        <v>Exames</v>
      </c>
      <c r="G446" s="1" t="str">
        <f>VLOOKUP(E446,'ESTRUTURA_MODULO(hide)'!$A$2:$D$95,3,FALSE)</f>
        <v>Exams/Tests</v>
      </c>
      <c r="H446" s="1" t="str">
        <f>VLOOKUP(E446,'ESTRUTURA_MODULO(hide)'!$A$2:$D$95,4,FALSE)</f>
        <v>Exámenes</v>
      </c>
      <c r="I446" s="37">
        <v>2</v>
      </c>
      <c r="J446" s="17" t="s">
        <v>2890</v>
      </c>
      <c r="K446" s="17" t="s">
        <v>2889</v>
      </c>
      <c r="L446" s="17" t="s">
        <v>2889</v>
      </c>
      <c r="M446" s="38" t="s">
        <v>2889</v>
      </c>
      <c r="N446" s="38" t="s">
        <v>2889</v>
      </c>
      <c r="O446" s="17" t="s">
        <v>2889</v>
      </c>
      <c r="P446" s="17" t="s">
        <v>2889</v>
      </c>
      <c r="T446" s="17" t="s">
        <v>2889</v>
      </c>
      <c r="U446" s="17" t="s">
        <v>2890</v>
      </c>
      <c r="V446" s="36"/>
      <c r="W446" s="17"/>
      <c r="X446" s="20">
        <v>8</v>
      </c>
    </row>
    <row r="447" spans="1:24">
      <c r="A447" s="1">
        <v>951</v>
      </c>
      <c r="B447" s="427" t="s">
        <v>210</v>
      </c>
      <c r="C447" s="1" t="s">
        <v>687</v>
      </c>
      <c r="D447" s="1" t="s">
        <v>688</v>
      </c>
      <c r="E447" s="35">
        <v>9</v>
      </c>
      <c r="F447" s="1" t="str">
        <f>VLOOKUP(E447,'ESTRUTURA_MODULO(hide)'!$A$2:$D$230,2,FALSE)</f>
        <v>Exames</v>
      </c>
      <c r="G447" s="1" t="str">
        <f>VLOOKUP(E447,'ESTRUTURA_MODULO(hide)'!$A$2:$D$95,3,FALSE)</f>
        <v>Exams/Tests</v>
      </c>
      <c r="H447" s="1" t="str">
        <f>VLOOKUP(E447,'ESTRUTURA_MODULO(hide)'!$A$2:$D$95,4,FALSE)</f>
        <v>Exámenes</v>
      </c>
      <c r="I447" s="37">
        <v>2</v>
      </c>
      <c r="J447" s="17" t="s">
        <v>2890</v>
      </c>
      <c r="K447" s="17" t="s">
        <v>2889</v>
      </c>
      <c r="L447" s="17" t="s">
        <v>2889</v>
      </c>
      <c r="M447" s="38" t="s">
        <v>2889</v>
      </c>
      <c r="N447" s="38" t="s">
        <v>2889</v>
      </c>
      <c r="O447" s="17" t="s">
        <v>2889</v>
      </c>
      <c r="P447" s="17" t="s">
        <v>2889</v>
      </c>
      <c r="T447" s="17" t="s">
        <v>2889</v>
      </c>
      <c r="U447" s="17" t="s">
        <v>2890</v>
      </c>
      <c r="V447" s="36"/>
      <c r="W447" s="17"/>
      <c r="X447" s="20">
        <v>6</v>
      </c>
    </row>
    <row r="448" spans="1:24">
      <c r="A448" s="1">
        <v>994</v>
      </c>
      <c r="B448" s="35" t="s">
        <v>212</v>
      </c>
      <c r="C448" s="1" t="s">
        <v>685</v>
      </c>
      <c r="D448" s="1" t="s">
        <v>686</v>
      </c>
      <c r="E448" s="35">
        <v>9</v>
      </c>
      <c r="F448" s="1" t="str">
        <f>VLOOKUP(E448,'ESTRUTURA_MODULO(hide)'!$A$2:$D$230,2,FALSE)</f>
        <v>Exames</v>
      </c>
      <c r="G448" s="1" t="str">
        <f>VLOOKUP(E448,'ESTRUTURA_MODULO(hide)'!$A$2:$D$95,3,FALSE)</f>
        <v>Exams/Tests</v>
      </c>
      <c r="H448" s="1" t="str">
        <f>VLOOKUP(E448,'ESTRUTURA_MODULO(hide)'!$A$2:$D$95,4,FALSE)</f>
        <v>Exámenes</v>
      </c>
      <c r="I448" s="37">
        <v>2</v>
      </c>
      <c r="J448" s="17" t="s">
        <v>2890</v>
      </c>
      <c r="K448" s="17" t="s">
        <v>2889</v>
      </c>
      <c r="L448" s="17" t="s">
        <v>2889</v>
      </c>
      <c r="M448" s="38" t="s">
        <v>2889</v>
      </c>
      <c r="N448" s="38" t="s">
        <v>2889</v>
      </c>
      <c r="O448" s="17" t="s">
        <v>2889</v>
      </c>
      <c r="P448" s="17" t="s">
        <v>2889</v>
      </c>
      <c r="T448" s="17" t="s">
        <v>2889</v>
      </c>
      <c r="U448" s="17" t="s">
        <v>2890</v>
      </c>
      <c r="V448" s="36"/>
      <c r="W448" s="17"/>
      <c r="X448" s="20">
        <v>4</v>
      </c>
    </row>
    <row r="449" spans="1:24">
      <c r="A449" s="1">
        <v>2314</v>
      </c>
      <c r="B449" s="35" t="s">
        <v>216</v>
      </c>
      <c r="C449" s="1" t="s">
        <v>216</v>
      </c>
      <c r="D449" s="1" t="s">
        <v>216</v>
      </c>
      <c r="E449" s="35">
        <v>10</v>
      </c>
      <c r="F449" s="1" t="str">
        <f>VLOOKUP(E449,'ESTRUTURA_MODULO(hide)'!$A$2:$D$230,2,FALSE)</f>
        <v>Prescrição Eletrônica</v>
      </c>
      <c r="G449" s="1" t="str">
        <f>VLOOKUP(E449,'ESTRUTURA_MODULO(hide)'!$A$2:$D$95,3,FALSE)</f>
        <v>Electronic Prescription (orders)</v>
      </c>
      <c r="H449" s="1" t="str">
        <f>VLOOKUP(E449,'ESTRUTURA_MODULO(hide)'!$A$2:$D$95,4,FALSE)</f>
        <v>Prescripción electrónica</v>
      </c>
      <c r="I449" s="37">
        <v>160</v>
      </c>
      <c r="J449" s="17" t="s">
        <v>2889</v>
      </c>
      <c r="K449" s="17" t="s">
        <v>2889</v>
      </c>
      <c r="L449" s="17" t="s">
        <v>2889</v>
      </c>
      <c r="M449" s="38" t="s">
        <v>2889</v>
      </c>
      <c r="N449" s="38" t="s">
        <v>2889</v>
      </c>
      <c r="O449" s="17" t="s">
        <v>2889</v>
      </c>
      <c r="P449" s="17" t="s">
        <v>2889</v>
      </c>
      <c r="T449" s="17" t="s">
        <v>2890</v>
      </c>
      <c r="U449" s="17" t="s">
        <v>2890</v>
      </c>
      <c r="V449" s="36"/>
      <c r="W449" s="17"/>
      <c r="X449" s="20">
        <v>160</v>
      </c>
    </row>
    <row r="450" spans="1:24">
      <c r="A450" s="1">
        <v>950</v>
      </c>
      <c r="B450" s="427" t="s">
        <v>700</v>
      </c>
      <c r="C450" s="1" t="s">
        <v>701</v>
      </c>
      <c r="D450" s="1" t="s">
        <v>702</v>
      </c>
      <c r="E450" s="35">
        <v>10</v>
      </c>
      <c r="F450" s="1" t="str">
        <f>VLOOKUP(E450,'ESTRUTURA_MODULO(hide)'!$A$2:$D$230,2,FALSE)</f>
        <v>Prescrição Eletrônica</v>
      </c>
      <c r="G450" s="1" t="str">
        <f>VLOOKUP(E450,'ESTRUTURA_MODULO(hide)'!$A$2:$D$95,3,FALSE)</f>
        <v>Electronic Prescription (orders)</v>
      </c>
      <c r="H450" s="1" t="str">
        <f>VLOOKUP(E450,'ESTRUTURA_MODULO(hide)'!$A$2:$D$95,4,FALSE)</f>
        <v>Prescripción electrónica</v>
      </c>
      <c r="I450" s="37">
        <v>40</v>
      </c>
      <c r="J450" s="17" t="s">
        <v>2890</v>
      </c>
      <c r="K450" s="17" t="s">
        <v>2890</v>
      </c>
      <c r="L450" s="17" t="s">
        <v>2890</v>
      </c>
      <c r="M450" s="38" t="s">
        <v>2889</v>
      </c>
      <c r="N450" s="38" t="s">
        <v>2889</v>
      </c>
      <c r="O450" s="17" t="s">
        <v>2890</v>
      </c>
      <c r="P450" s="17" t="s">
        <v>2890</v>
      </c>
      <c r="T450" s="17" t="s">
        <v>2889</v>
      </c>
      <c r="U450" s="17" t="s">
        <v>2890</v>
      </c>
      <c r="V450" s="36"/>
      <c r="W450" s="17"/>
      <c r="X450" s="20">
        <v>80</v>
      </c>
    </row>
    <row r="451" spans="1:24">
      <c r="A451" s="1">
        <v>8030</v>
      </c>
      <c r="B451" s="426" t="s">
        <v>697</v>
      </c>
      <c r="C451" s="1" t="s">
        <v>698</v>
      </c>
      <c r="D451" s="1" t="s">
        <v>699</v>
      </c>
      <c r="E451" s="1">
        <v>10</v>
      </c>
      <c r="F451" s="1" t="str">
        <f>VLOOKUP(E451,'ESTRUTURA_MODULO(hide)'!$A$2:$D$230,2,FALSE)</f>
        <v>Prescrição Eletrônica</v>
      </c>
      <c r="G451" s="1" t="str">
        <f>VLOOKUP(E451,'ESTRUTURA_MODULO(hide)'!$A$2:$D$95,3,FALSE)</f>
        <v>Electronic Prescription (orders)</v>
      </c>
      <c r="H451" s="1" t="str">
        <f>VLOOKUP(E451,'ESTRUTURA_MODULO(hide)'!$A$2:$D$95,4,FALSE)</f>
        <v>Prescripción electrónica</v>
      </c>
      <c r="I451" s="20">
        <v>0</v>
      </c>
      <c r="J451" s="17" t="s">
        <v>2890</v>
      </c>
      <c r="K451" s="17" t="s">
        <v>2890</v>
      </c>
      <c r="L451" s="17" t="s">
        <v>2890</v>
      </c>
      <c r="M451" s="17" t="s">
        <v>2890</v>
      </c>
      <c r="N451" s="17" t="s">
        <v>2890</v>
      </c>
      <c r="O451" s="17" t="s">
        <v>2890</v>
      </c>
      <c r="P451" s="17" t="s">
        <v>2890</v>
      </c>
      <c r="T451" s="17" t="s">
        <v>2889</v>
      </c>
      <c r="U451" s="17" t="s">
        <v>2890</v>
      </c>
      <c r="V451" s="21"/>
      <c r="W451" s="17"/>
      <c r="X451" s="20">
        <v>0</v>
      </c>
    </row>
    <row r="452" spans="1:24">
      <c r="A452" s="1">
        <v>-16</v>
      </c>
      <c r="B452" s="426" t="s">
        <v>214</v>
      </c>
      <c r="C452" s="1" t="s">
        <v>695</v>
      </c>
      <c r="D452" s="1" t="s">
        <v>696</v>
      </c>
      <c r="E452" s="1">
        <v>10</v>
      </c>
      <c r="F452" s="1" t="str">
        <f>VLOOKUP(E452,'ESTRUTURA_MODULO(hide)'!$A$2:$D$230,2,FALSE)</f>
        <v>Prescrição Eletrônica</v>
      </c>
      <c r="G452" s="1" t="str">
        <f>VLOOKUP(E452,'ESTRUTURA_MODULO(hide)'!$A$2:$D$95,3,FALSE)</f>
        <v>Electronic Prescription (orders)</v>
      </c>
      <c r="H452" s="1" t="str">
        <f>VLOOKUP(E452,'ESTRUTURA_MODULO(hide)'!$A$2:$D$95,4,FALSE)</f>
        <v>Prescripción electrónica</v>
      </c>
      <c r="I452" s="20">
        <v>0</v>
      </c>
      <c r="J452" s="17" t="s">
        <v>2890</v>
      </c>
      <c r="K452" s="17" t="s">
        <v>2890</v>
      </c>
      <c r="L452" s="17" t="s">
        <v>2890</v>
      </c>
      <c r="M452" s="17" t="s">
        <v>2890</v>
      </c>
      <c r="N452" s="17" t="s">
        <v>2890</v>
      </c>
      <c r="O452" s="17" t="s">
        <v>2890</v>
      </c>
      <c r="P452" s="17" t="s">
        <v>2890</v>
      </c>
      <c r="T452" s="17" t="s">
        <v>2889</v>
      </c>
      <c r="U452" s="17" t="s">
        <v>2890</v>
      </c>
      <c r="V452" s="21"/>
      <c r="W452" s="17"/>
      <c r="X452" s="20">
        <v>0</v>
      </c>
    </row>
    <row r="453" spans="1:24">
      <c r="A453" s="1">
        <v>924</v>
      </c>
      <c r="B453" s="426" t="s">
        <v>215</v>
      </c>
      <c r="C453" s="1" t="s">
        <v>703</v>
      </c>
      <c r="D453" s="1" t="s">
        <v>704</v>
      </c>
      <c r="E453" s="1">
        <v>10</v>
      </c>
      <c r="F453" s="1" t="str">
        <f>VLOOKUP(E453,'ESTRUTURA_MODULO(hide)'!$A$2:$D$230,2,FALSE)</f>
        <v>Prescrição Eletrônica</v>
      </c>
      <c r="G453" s="1" t="str">
        <f>VLOOKUP(E453,'ESTRUTURA_MODULO(hide)'!$A$2:$D$95,3,FALSE)</f>
        <v>Electronic Prescription (orders)</v>
      </c>
      <c r="H453" s="1" t="str">
        <f>VLOOKUP(E453,'ESTRUTURA_MODULO(hide)'!$A$2:$D$95,4,FALSE)</f>
        <v>Prescripción electrónica</v>
      </c>
      <c r="I453" s="20">
        <v>0</v>
      </c>
      <c r="J453" s="17" t="s">
        <v>2890</v>
      </c>
      <c r="K453" s="17" t="s">
        <v>2890</v>
      </c>
      <c r="L453" s="17" t="s">
        <v>2890</v>
      </c>
      <c r="M453" s="17" t="s">
        <v>2889</v>
      </c>
      <c r="N453" s="17" t="s">
        <v>2889</v>
      </c>
      <c r="O453" s="17" t="s">
        <v>2890</v>
      </c>
      <c r="P453" s="17" t="s">
        <v>2890</v>
      </c>
      <c r="T453" s="17" t="s">
        <v>2889</v>
      </c>
      <c r="U453" s="17" t="s">
        <v>2890</v>
      </c>
      <c r="V453" s="21"/>
      <c r="W453" s="17"/>
      <c r="X453" s="20">
        <v>0</v>
      </c>
    </row>
    <row r="454" spans="1:24">
      <c r="A454" s="1">
        <v>7101</v>
      </c>
      <c r="B454" s="1" t="s">
        <v>720</v>
      </c>
      <c r="C454" s="1" t="s">
        <v>721</v>
      </c>
      <c r="D454" s="1" t="s">
        <v>722</v>
      </c>
      <c r="E454" s="1">
        <v>11</v>
      </c>
      <c r="F454" s="1" t="str">
        <f>VLOOKUP(E454,'ESTRUTURA_MODULO(hide)'!$A$2:$D$230,2,FALSE)</f>
        <v>Contabilidade</v>
      </c>
      <c r="G454" s="1" t="str">
        <f>VLOOKUP(E454,'ESTRUTURA_MODULO(hide)'!$A$2:$D$95,3,FALSE)</f>
        <v xml:space="preserve">Accounting </v>
      </c>
      <c r="H454" s="1" t="str">
        <f>VLOOKUP(E454,'ESTRUTURA_MODULO(hide)'!$A$2:$D$95,4,FALSE)</f>
        <v>Contabilidad</v>
      </c>
      <c r="I454" s="20">
        <v>0</v>
      </c>
      <c r="J454" s="17" t="s">
        <v>2890</v>
      </c>
      <c r="K454" s="17" t="s">
        <v>2890</v>
      </c>
      <c r="L454" s="17" t="s">
        <v>2890</v>
      </c>
      <c r="M454" s="17" t="s">
        <v>2890</v>
      </c>
      <c r="N454" s="17" t="s">
        <v>2890</v>
      </c>
      <c r="O454" s="17" t="s">
        <v>2890</v>
      </c>
      <c r="P454" s="17" t="s">
        <v>2890</v>
      </c>
      <c r="T454" s="17" t="s">
        <v>2889</v>
      </c>
      <c r="U454" s="17" t="s">
        <v>2890</v>
      </c>
      <c r="V454" s="21"/>
      <c r="W454" s="17"/>
      <c r="X454" s="20">
        <v>0</v>
      </c>
    </row>
    <row r="455" spans="1:24">
      <c r="A455" s="1">
        <v>7506</v>
      </c>
      <c r="B455" s="426" t="s">
        <v>335</v>
      </c>
      <c r="C455" s="1" t="s">
        <v>718</v>
      </c>
      <c r="D455" s="1" t="s">
        <v>719</v>
      </c>
      <c r="E455" s="1">
        <v>11</v>
      </c>
      <c r="F455" s="1" t="str">
        <f>VLOOKUP(E455,'ESTRUTURA_MODULO(hide)'!$A$2:$D$230,2,FALSE)</f>
        <v>Contabilidade</v>
      </c>
      <c r="G455" s="1" t="str">
        <f>VLOOKUP(E455,'ESTRUTURA_MODULO(hide)'!$A$2:$D$95,3,FALSE)</f>
        <v xml:space="preserve">Accounting </v>
      </c>
      <c r="H455" s="1" t="str">
        <f>VLOOKUP(E455,'ESTRUTURA_MODULO(hide)'!$A$2:$D$95,4,FALSE)</f>
        <v>Contabilidad</v>
      </c>
      <c r="I455" s="20">
        <v>0</v>
      </c>
      <c r="J455" s="17" t="s">
        <v>2890</v>
      </c>
      <c r="K455" s="17" t="s">
        <v>2890</v>
      </c>
      <c r="L455" s="17" t="s">
        <v>2890</v>
      </c>
      <c r="M455" s="17" t="s">
        <v>2890</v>
      </c>
      <c r="N455" s="17" t="s">
        <v>2890</v>
      </c>
      <c r="O455" s="17" t="s">
        <v>2890</v>
      </c>
      <c r="P455" s="17" t="s">
        <v>2890</v>
      </c>
      <c r="T455" s="17" t="s">
        <v>2889</v>
      </c>
      <c r="U455" s="17" t="s">
        <v>2890</v>
      </c>
      <c r="V455" s="21"/>
      <c r="W455" s="17"/>
      <c r="X455" s="20">
        <v>0</v>
      </c>
    </row>
    <row r="456" spans="1:24">
      <c r="A456" s="1">
        <v>9056</v>
      </c>
      <c r="B456" s="35" t="s">
        <v>351</v>
      </c>
      <c r="C456" s="1" t="s">
        <v>1823</v>
      </c>
      <c r="D456" s="1" t="s">
        <v>717</v>
      </c>
      <c r="E456" s="35">
        <v>11</v>
      </c>
      <c r="F456" s="1" t="str">
        <f>VLOOKUP(E456,'ESTRUTURA_MODULO(hide)'!$A$2:$D$230,2,FALSE)</f>
        <v>Contabilidade</v>
      </c>
      <c r="G456" s="1" t="str">
        <f>VLOOKUP(E456,'ESTRUTURA_MODULO(hide)'!$A$2:$D$95,3,FALSE)</f>
        <v xml:space="preserve">Accounting </v>
      </c>
      <c r="H456" s="1" t="str">
        <f>VLOOKUP(E456,'ESTRUTURA_MODULO(hide)'!$A$2:$D$95,4,FALSE)</f>
        <v>Contabilidad</v>
      </c>
      <c r="I456" s="37">
        <v>8</v>
      </c>
      <c r="J456" s="17" t="s">
        <v>2889</v>
      </c>
      <c r="K456" s="17" t="s">
        <v>2889</v>
      </c>
      <c r="L456" s="17" t="s">
        <v>2889</v>
      </c>
      <c r="M456" s="38" t="s">
        <v>2889</v>
      </c>
      <c r="N456" s="38" t="s">
        <v>2889</v>
      </c>
      <c r="O456" s="17" t="s">
        <v>2890</v>
      </c>
      <c r="P456" s="17" t="s">
        <v>2890</v>
      </c>
      <c r="T456" s="17" t="s">
        <v>2889</v>
      </c>
      <c r="U456" s="17" t="s">
        <v>2890</v>
      </c>
      <c r="V456" s="36"/>
      <c r="W456" s="17"/>
      <c r="X456" s="20">
        <v>8</v>
      </c>
    </row>
    <row r="457" spans="1:24">
      <c r="A457" s="1">
        <v>137</v>
      </c>
      <c r="B457" s="1" t="s">
        <v>130</v>
      </c>
      <c r="C457" s="1" t="s">
        <v>709</v>
      </c>
      <c r="D457" s="1" t="s">
        <v>710</v>
      </c>
      <c r="E457" s="1">
        <v>11</v>
      </c>
      <c r="F457" s="1" t="str">
        <f>VLOOKUP(E457,'ESTRUTURA_MODULO(hide)'!$A$2:$D$230,2,FALSE)</f>
        <v>Contabilidade</v>
      </c>
      <c r="G457" s="1" t="str">
        <f>VLOOKUP(E457,'ESTRUTURA_MODULO(hide)'!$A$2:$D$95,3,FALSE)</f>
        <v xml:space="preserve">Accounting </v>
      </c>
      <c r="H457" s="1" t="str">
        <f>VLOOKUP(E457,'ESTRUTURA_MODULO(hide)'!$A$2:$D$95,4,FALSE)</f>
        <v>Contabilidad</v>
      </c>
      <c r="I457" s="20">
        <v>0</v>
      </c>
      <c r="J457" s="17" t="s">
        <v>2890</v>
      </c>
      <c r="K457" s="17" t="s">
        <v>2890</v>
      </c>
      <c r="L457" s="17" t="s">
        <v>2890</v>
      </c>
      <c r="M457" s="17" t="s">
        <v>2890</v>
      </c>
      <c r="N457" s="17" t="s">
        <v>2890</v>
      </c>
      <c r="O457" s="17" t="s">
        <v>2890</v>
      </c>
      <c r="P457" s="17" t="s">
        <v>2890</v>
      </c>
      <c r="T457" s="17" t="s">
        <v>2889</v>
      </c>
      <c r="U457" s="17" t="s">
        <v>2890</v>
      </c>
      <c r="V457" s="21"/>
      <c r="W457" s="17"/>
      <c r="X457" s="20">
        <v>0</v>
      </c>
    </row>
    <row r="458" spans="1:24">
      <c r="A458" s="1">
        <v>135</v>
      </c>
      <c r="B458" s="35" t="s">
        <v>127</v>
      </c>
      <c r="C458" s="1" t="s">
        <v>707</v>
      </c>
      <c r="D458" s="1" t="s">
        <v>708</v>
      </c>
      <c r="E458" s="35">
        <v>11</v>
      </c>
      <c r="F458" s="1" t="str">
        <f>VLOOKUP(E458,'ESTRUTURA_MODULO(hide)'!$A$2:$D$230,2,FALSE)</f>
        <v>Contabilidade</v>
      </c>
      <c r="G458" s="1" t="str">
        <f>VLOOKUP(E458,'ESTRUTURA_MODULO(hide)'!$A$2:$D$95,3,FALSE)</f>
        <v xml:space="preserve">Accounting </v>
      </c>
      <c r="H458" s="1" t="str">
        <f>VLOOKUP(E458,'ESTRUTURA_MODULO(hide)'!$A$2:$D$95,4,FALSE)</f>
        <v>Contabilidad</v>
      </c>
      <c r="I458" s="37">
        <v>24</v>
      </c>
      <c r="J458" s="17" t="s">
        <v>2889</v>
      </c>
      <c r="K458" s="17" t="s">
        <v>2889</v>
      </c>
      <c r="L458" s="17" t="s">
        <v>2889</v>
      </c>
      <c r="M458" s="38" t="s">
        <v>2889</v>
      </c>
      <c r="N458" s="38" t="s">
        <v>2889</v>
      </c>
      <c r="O458" s="17" t="s">
        <v>2890</v>
      </c>
      <c r="P458" s="17" t="s">
        <v>2889</v>
      </c>
      <c r="T458" s="17" t="s">
        <v>2889</v>
      </c>
      <c r="U458" s="17" t="s">
        <v>2890</v>
      </c>
      <c r="V458" s="36"/>
      <c r="W458" s="17"/>
      <c r="X458" s="20">
        <v>32</v>
      </c>
    </row>
    <row r="459" spans="1:24">
      <c r="A459" s="1">
        <v>218</v>
      </c>
      <c r="B459" s="426" t="s">
        <v>1824</v>
      </c>
      <c r="C459" s="1" t="s">
        <v>1825</v>
      </c>
      <c r="D459" s="1" t="s">
        <v>1826</v>
      </c>
      <c r="E459" s="1">
        <v>11</v>
      </c>
      <c r="F459" s="1" t="str">
        <f>VLOOKUP(E459,'ESTRUTURA_MODULO(hide)'!$A$2:$D$230,2,FALSE)</f>
        <v>Contabilidade</v>
      </c>
      <c r="G459" s="1" t="str">
        <f>VLOOKUP(E459,'ESTRUTURA_MODULO(hide)'!$A$2:$D$95,3,FALSE)</f>
        <v xml:space="preserve">Accounting </v>
      </c>
      <c r="H459" s="1" t="str">
        <f>VLOOKUP(E459,'ESTRUTURA_MODULO(hide)'!$A$2:$D$95,4,FALSE)</f>
        <v>Contabilidad</v>
      </c>
      <c r="I459" s="20">
        <v>0</v>
      </c>
      <c r="J459" s="17" t="s">
        <v>2890</v>
      </c>
      <c r="K459" s="17" t="s">
        <v>2890</v>
      </c>
      <c r="L459" s="17" t="s">
        <v>2890</v>
      </c>
      <c r="M459" s="17" t="s">
        <v>2890</v>
      </c>
      <c r="N459" s="17" t="s">
        <v>2890</v>
      </c>
      <c r="O459" s="17" t="s">
        <v>2890</v>
      </c>
      <c r="P459" s="17" t="s">
        <v>2890</v>
      </c>
      <c r="T459" s="17" t="s">
        <v>2889</v>
      </c>
      <c r="U459" s="17" t="s">
        <v>2890</v>
      </c>
      <c r="V459" s="21"/>
      <c r="W459" s="17"/>
      <c r="X459" s="20">
        <v>0</v>
      </c>
    </row>
    <row r="460" spans="1:24">
      <c r="A460" s="1">
        <v>8016</v>
      </c>
      <c r="B460" s="1" t="s">
        <v>124</v>
      </c>
      <c r="C460" s="1" t="s">
        <v>715</v>
      </c>
      <c r="D460" s="1" t="s">
        <v>716</v>
      </c>
      <c r="E460" s="1">
        <v>11</v>
      </c>
      <c r="F460" s="1" t="str">
        <f>VLOOKUP(E460,'ESTRUTURA_MODULO(hide)'!$A$2:$D$230,2,FALSE)</f>
        <v>Contabilidade</v>
      </c>
      <c r="G460" s="1" t="str">
        <f>VLOOKUP(E460,'ESTRUTURA_MODULO(hide)'!$A$2:$D$95,3,FALSE)</f>
        <v xml:space="preserve">Accounting </v>
      </c>
      <c r="H460" s="1" t="str">
        <f>VLOOKUP(E460,'ESTRUTURA_MODULO(hide)'!$A$2:$D$95,4,FALSE)</f>
        <v>Contabilidad</v>
      </c>
      <c r="I460" s="20">
        <v>0</v>
      </c>
      <c r="J460" s="17" t="s">
        <v>2890</v>
      </c>
      <c r="K460" s="17" t="s">
        <v>2890</v>
      </c>
      <c r="L460" s="17" t="s">
        <v>2890</v>
      </c>
      <c r="M460" s="17" t="s">
        <v>2890</v>
      </c>
      <c r="N460" s="17" t="s">
        <v>2890</v>
      </c>
      <c r="O460" s="17" t="s">
        <v>2890</v>
      </c>
      <c r="P460" s="17" t="s">
        <v>2890</v>
      </c>
      <c r="T460" s="17" t="s">
        <v>2889</v>
      </c>
      <c r="U460" s="17" t="s">
        <v>2890</v>
      </c>
      <c r="V460" s="21"/>
      <c r="W460" s="17"/>
      <c r="X460" s="20">
        <v>0</v>
      </c>
    </row>
    <row r="461" spans="1:24">
      <c r="A461" s="1">
        <v>7050</v>
      </c>
      <c r="B461" s="35" t="s">
        <v>128</v>
      </c>
      <c r="C461" s="1" t="s">
        <v>711</v>
      </c>
      <c r="D461" s="1" t="s">
        <v>712</v>
      </c>
      <c r="E461" s="35">
        <v>11</v>
      </c>
      <c r="F461" s="1" t="str">
        <f>VLOOKUP(E461,'ESTRUTURA_MODULO(hide)'!$A$2:$D$230,2,FALSE)</f>
        <v>Contabilidade</v>
      </c>
      <c r="G461" s="1" t="str">
        <f>VLOOKUP(E461,'ESTRUTURA_MODULO(hide)'!$A$2:$D$95,3,FALSE)</f>
        <v xml:space="preserve">Accounting </v>
      </c>
      <c r="H461" s="1" t="str">
        <f>VLOOKUP(E461,'ESTRUTURA_MODULO(hide)'!$A$2:$D$95,4,FALSE)</f>
        <v>Contabilidad</v>
      </c>
      <c r="I461" s="37">
        <v>16</v>
      </c>
      <c r="J461" s="17" t="s">
        <v>2889</v>
      </c>
      <c r="K461" s="17" t="s">
        <v>2889</v>
      </c>
      <c r="L461" s="17" t="s">
        <v>2889</v>
      </c>
      <c r="M461" s="38" t="s">
        <v>2889</v>
      </c>
      <c r="N461" s="38" t="s">
        <v>2889</v>
      </c>
      <c r="O461" s="17" t="s">
        <v>2890</v>
      </c>
      <c r="P461" s="17" t="s">
        <v>2889</v>
      </c>
      <c r="T461" s="17" t="s">
        <v>2889</v>
      </c>
      <c r="U461" s="17" t="s">
        <v>2890</v>
      </c>
      <c r="V461" s="36"/>
      <c r="W461" s="17"/>
      <c r="X461" s="20">
        <v>32</v>
      </c>
    </row>
    <row r="462" spans="1:24">
      <c r="A462" s="1">
        <v>317</v>
      </c>
      <c r="B462" s="426" t="s">
        <v>129</v>
      </c>
      <c r="C462" s="1" t="s">
        <v>723</v>
      </c>
      <c r="D462" s="1" t="s">
        <v>724</v>
      </c>
      <c r="E462" s="1">
        <v>11</v>
      </c>
      <c r="F462" s="1" t="str">
        <f>VLOOKUP(E462,'ESTRUTURA_MODULO(hide)'!$A$2:$D$230,2,FALSE)</f>
        <v>Contabilidade</v>
      </c>
      <c r="G462" s="1" t="str">
        <f>VLOOKUP(E462,'ESTRUTURA_MODULO(hide)'!$A$2:$D$95,3,FALSE)</f>
        <v xml:space="preserve">Accounting </v>
      </c>
      <c r="H462" s="1" t="str">
        <f>VLOOKUP(E462,'ESTRUTURA_MODULO(hide)'!$A$2:$D$95,4,FALSE)</f>
        <v>Contabilidad</v>
      </c>
      <c r="I462" s="20">
        <v>0</v>
      </c>
      <c r="J462" s="17" t="s">
        <v>2890</v>
      </c>
      <c r="K462" s="17" t="s">
        <v>2890</v>
      </c>
      <c r="L462" s="17" t="s">
        <v>2890</v>
      </c>
      <c r="M462" s="17" t="s">
        <v>2890</v>
      </c>
      <c r="N462" s="17" t="s">
        <v>2890</v>
      </c>
      <c r="O462" s="17" t="s">
        <v>2890</v>
      </c>
      <c r="P462" s="17" t="s">
        <v>2890</v>
      </c>
      <c r="T462" s="17" t="s">
        <v>2889</v>
      </c>
      <c r="U462" s="17" t="s">
        <v>2890</v>
      </c>
      <c r="V462" s="21"/>
      <c r="W462" s="17"/>
      <c r="X462" s="20">
        <v>0</v>
      </c>
    </row>
    <row r="463" spans="1:24">
      <c r="A463" s="1">
        <v>5511</v>
      </c>
      <c r="B463" s="1" t="s">
        <v>126</v>
      </c>
      <c r="C463" s="1" t="s">
        <v>713</v>
      </c>
      <c r="D463" s="1" t="s">
        <v>714</v>
      </c>
      <c r="E463" s="1">
        <v>11</v>
      </c>
      <c r="F463" s="1" t="str">
        <f>VLOOKUP(E463,'ESTRUTURA_MODULO(hide)'!$A$2:$D$230,2,FALSE)</f>
        <v>Contabilidade</v>
      </c>
      <c r="G463" s="1" t="str">
        <f>VLOOKUP(E463,'ESTRUTURA_MODULO(hide)'!$A$2:$D$95,3,FALSE)</f>
        <v xml:space="preserve">Accounting </v>
      </c>
      <c r="H463" s="1" t="str">
        <f>VLOOKUP(E463,'ESTRUTURA_MODULO(hide)'!$A$2:$D$95,4,FALSE)</f>
        <v>Contabilidad</v>
      </c>
      <c r="I463" s="20">
        <v>0</v>
      </c>
      <c r="J463" s="17" t="s">
        <v>2890</v>
      </c>
      <c r="K463" s="17" t="s">
        <v>2890</v>
      </c>
      <c r="L463" s="17" t="s">
        <v>2890</v>
      </c>
      <c r="M463" s="17" t="s">
        <v>2890</v>
      </c>
      <c r="N463" s="17" t="s">
        <v>2890</v>
      </c>
      <c r="O463" s="17" t="s">
        <v>2890</v>
      </c>
      <c r="P463" s="17" t="s">
        <v>2890</v>
      </c>
      <c r="T463" s="17" t="s">
        <v>2889</v>
      </c>
      <c r="U463" s="17" t="s">
        <v>2890</v>
      </c>
      <c r="V463" s="21"/>
      <c r="W463" s="17"/>
      <c r="X463" s="20">
        <v>0</v>
      </c>
    </row>
    <row r="464" spans="1:24">
      <c r="A464" s="1">
        <v>314</v>
      </c>
      <c r="B464" s="426" t="s">
        <v>1712</v>
      </c>
      <c r="C464" s="1" t="s">
        <v>1713</v>
      </c>
      <c r="D464" s="1" t="s">
        <v>1714</v>
      </c>
      <c r="E464" s="1">
        <v>11</v>
      </c>
      <c r="F464" s="1" t="str">
        <f>VLOOKUP(E464,'ESTRUTURA_MODULO(hide)'!$A$2:$D$230,2,FALSE)</f>
        <v>Contabilidade</v>
      </c>
      <c r="G464" s="1" t="str">
        <f>VLOOKUP(E464,'ESTRUTURA_MODULO(hide)'!$A$2:$D$95,3,FALSE)</f>
        <v xml:space="preserve">Accounting </v>
      </c>
      <c r="H464" s="1" t="str">
        <f>VLOOKUP(E464,'ESTRUTURA_MODULO(hide)'!$A$2:$D$95,4,FALSE)</f>
        <v>Contabilidad</v>
      </c>
      <c r="I464" s="20">
        <v>0</v>
      </c>
      <c r="J464" s="17" t="s">
        <v>2890</v>
      </c>
      <c r="K464" s="17" t="s">
        <v>2890</v>
      </c>
      <c r="L464" s="17" t="s">
        <v>2890</v>
      </c>
      <c r="M464" s="17" t="s">
        <v>2890</v>
      </c>
      <c r="N464" s="17" t="s">
        <v>2890</v>
      </c>
      <c r="O464" s="17" t="s">
        <v>2890</v>
      </c>
      <c r="P464" s="17" t="s">
        <v>2890</v>
      </c>
      <c r="T464" s="17" t="s">
        <v>2889</v>
      </c>
      <c r="U464" s="17" t="s">
        <v>2890</v>
      </c>
      <c r="V464" s="21"/>
      <c r="W464" s="17"/>
      <c r="X464" s="20">
        <v>0</v>
      </c>
    </row>
    <row r="465" spans="1:24">
      <c r="A465" s="1">
        <v>312</v>
      </c>
      <c r="B465" s="426" t="s">
        <v>2902</v>
      </c>
      <c r="C465" s="1" t="s">
        <v>1827</v>
      </c>
      <c r="D465" s="1" t="s">
        <v>1828</v>
      </c>
      <c r="E465" s="1">
        <v>11</v>
      </c>
      <c r="F465" s="1" t="str">
        <f>VLOOKUP(E465,'ESTRUTURA_MODULO(hide)'!$A$2:$D$230,2,FALSE)</f>
        <v>Contabilidade</v>
      </c>
      <c r="G465" s="1" t="str">
        <f>VLOOKUP(E465,'ESTRUTURA_MODULO(hide)'!$A$2:$D$95,3,FALSE)</f>
        <v xml:space="preserve">Accounting </v>
      </c>
      <c r="H465" s="1" t="str">
        <f>VLOOKUP(E465,'ESTRUTURA_MODULO(hide)'!$A$2:$D$95,4,FALSE)</f>
        <v>Contabilidad</v>
      </c>
      <c r="I465" s="20">
        <v>0</v>
      </c>
      <c r="J465" s="17" t="s">
        <v>2890</v>
      </c>
      <c r="K465" s="17" t="s">
        <v>2890</v>
      </c>
      <c r="L465" s="17" t="s">
        <v>2890</v>
      </c>
      <c r="M465" s="17" t="s">
        <v>2890</v>
      </c>
      <c r="N465" s="17" t="s">
        <v>2890</v>
      </c>
      <c r="O465" s="17" t="s">
        <v>2890</v>
      </c>
      <c r="P465" s="17" t="s">
        <v>2890</v>
      </c>
      <c r="T465" s="17" t="s">
        <v>2889</v>
      </c>
      <c r="U465" s="17" t="s">
        <v>2890</v>
      </c>
      <c r="V465" s="21"/>
      <c r="W465" s="17"/>
      <c r="X465" s="20">
        <v>0</v>
      </c>
    </row>
    <row r="466" spans="1:24">
      <c r="A466" s="1">
        <v>308</v>
      </c>
      <c r="B466" s="426" t="s">
        <v>1829</v>
      </c>
      <c r="C466" s="1" t="s">
        <v>1830</v>
      </c>
      <c r="D466" s="1" t="s">
        <v>1831</v>
      </c>
      <c r="E466" s="1">
        <v>11</v>
      </c>
      <c r="F466" s="1" t="str">
        <f>VLOOKUP(E466,'ESTRUTURA_MODULO(hide)'!$A$2:$D$230,2,FALSE)</f>
        <v>Contabilidade</v>
      </c>
      <c r="G466" s="1" t="str">
        <f>VLOOKUP(E466,'ESTRUTURA_MODULO(hide)'!$A$2:$D$95,3,FALSE)</f>
        <v xml:space="preserve">Accounting </v>
      </c>
      <c r="H466" s="1" t="str">
        <f>VLOOKUP(E466,'ESTRUTURA_MODULO(hide)'!$A$2:$D$95,4,FALSE)</f>
        <v>Contabilidad</v>
      </c>
      <c r="I466" s="20">
        <v>0</v>
      </c>
      <c r="J466" s="17" t="s">
        <v>2890</v>
      </c>
      <c r="K466" s="17" t="s">
        <v>2890</v>
      </c>
      <c r="L466" s="17" t="s">
        <v>2890</v>
      </c>
      <c r="M466" s="17" t="s">
        <v>2890</v>
      </c>
      <c r="N466" s="17" t="s">
        <v>2890</v>
      </c>
      <c r="O466" s="17" t="s">
        <v>2890</v>
      </c>
      <c r="P466" s="17" t="s">
        <v>2890</v>
      </c>
      <c r="T466" s="17" t="s">
        <v>2889</v>
      </c>
      <c r="U466" s="17" t="s">
        <v>2890</v>
      </c>
      <c r="V466" s="21"/>
      <c r="W466" s="17"/>
      <c r="X466" s="20">
        <v>0</v>
      </c>
    </row>
    <row r="467" spans="1:24">
      <c r="A467" s="1">
        <v>923</v>
      </c>
      <c r="B467" s="35" t="s">
        <v>6</v>
      </c>
      <c r="C467" s="1" t="s">
        <v>705</v>
      </c>
      <c r="D467" s="1" t="s">
        <v>706</v>
      </c>
      <c r="E467" s="35">
        <v>11</v>
      </c>
      <c r="F467" s="1" t="str">
        <f>VLOOKUP(E467,'ESTRUTURA_MODULO(hide)'!$A$2:$D$230,2,FALSE)</f>
        <v>Contabilidade</v>
      </c>
      <c r="G467" s="1" t="str">
        <f>VLOOKUP(E467,'ESTRUTURA_MODULO(hide)'!$A$2:$D$95,3,FALSE)</f>
        <v xml:space="preserve">Accounting </v>
      </c>
      <c r="H467" s="1" t="str">
        <f>VLOOKUP(E467,'ESTRUTURA_MODULO(hide)'!$A$2:$D$95,4,FALSE)</f>
        <v>Contabilidad</v>
      </c>
      <c r="I467" s="37">
        <v>80</v>
      </c>
      <c r="J467" s="17" t="s">
        <v>2889</v>
      </c>
      <c r="K467" s="17" t="s">
        <v>2889</v>
      </c>
      <c r="L467" s="17" t="s">
        <v>2889</v>
      </c>
      <c r="M467" s="38" t="s">
        <v>2889</v>
      </c>
      <c r="N467" s="38" t="s">
        <v>2889</v>
      </c>
      <c r="O467" s="17" t="s">
        <v>2890</v>
      </c>
      <c r="P467" s="17" t="s">
        <v>2889</v>
      </c>
      <c r="T467" s="17" t="s">
        <v>2889</v>
      </c>
      <c r="U467" s="17" t="s">
        <v>2890</v>
      </c>
      <c r="V467" s="36"/>
      <c r="W467" s="17"/>
      <c r="X467" s="20">
        <v>120</v>
      </c>
    </row>
    <row r="468" spans="1:24">
      <c r="A468" s="1">
        <v>192</v>
      </c>
      <c r="B468" s="426" t="s">
        <v>1685</v>
      </c>
      <c r="C468" s="1" t="s">
        <v>1686</v>
      </c>
      <c r="D468" s="1" t="s">
        <v>1687</v>
      </c>
      <c r="E468" s="1">
        <v>11</v>
      </c>
      <c r="F468" s="1" t="str">
        <f>VLOOKUP(E468,'ESTRUTURA_MODULO(hide)'!$A$2:$D$230,2,FALSE)</f>
        <v>Contabilidade</v>
      </c>
      <c r="G468" s="1" t="str">
        <f>VLOOKUP(E468,'ESTRUTURA_MODULO(hide)'!$A$2:$D$95,3,FALSE)</f>
        <v xml:space="preserve">Accounting </v>
      </c>
      <c r="H468" s="1" t="str">
        <f>VLOOKUP(E468,'ESTRUTURA_MODULO(hide)'!$A$2:$D$95,4,FALSE)</f>
        <v>Contabilidad</v>
      </c>
      <c r="I468" s="20">
        <v>0</v>
      </c>
      <c r="J468" s="17" t="s">
        <v>2890</v>
      </c>
      <c r="K468" s="17" t="s">
        <v>2890</v>
      </c>
      <c r="L468" s="17" t="s">
        <v>2890</v>
      </c>
      <c r="M468" s="17" t="s">
        <v>2890</v>
      </c>
      <c r="N468" s="17" t="s">
        <v>2890</v>
      </c>
      <c r="O468" s="17" t="s">
        <v>2890</v>
      </c>
      <c r="P468" s="17" t="s">
        <v>2890</v>
      </c>
      <c r="T468" s="17" t="s">
        <v>2889</v>
      </c>
      <c r="U468" s="17" t="s">
        <v>2890</v>
      </c>
      <c r="V468" s="21"/>
      <c r="W468" s="17"/>
      <c r="X468" s="20">
        <v>0</v>
      </c>
    </row>
    <row r="469" spans="1:24">
      <c r="A469" s="1">
        <v>332</v>
      </c>
      <c r="B469" s="426" t="s">
        <v>1832</v>
      </c>
      <c r="C469" s="1" t="s">
        <v>1833</v>
      </c>
      <c r="D469" s="1" t="s">
        <v>1834</v>
      </c>
      <c r="E469" s="1">
        <v>12</v>
      </c>
      <c r="F469" s="1" t="str">
        <f>VLOOKUP(E469,'ESTRUTURA_MODULO(hide)'!$A$2:$D$230,2,FALSE)</f>
        <v>Contas a Pagar</v>
      </c>
      <c r="G469" s="1" t="str">
        <f>VLOOKUP(E469,'ESTRUTURA_MODULO(hide)'!$A$2:$D$95,3,FALSE)</f>
        <v xml:space="preserve">Accounts payable </v>
      </c>
      <c r="H469" s="1" t="str">
        <f>VLOOKUP(E469,'ESTRUTURA_MODULO(hide)'!$A$2:$D$95,4,FALSE)</f>
        <v>Cuentas por pagar</v>
      </c>
      <c r="I469" s="20">
        <v>0</v>
      </c>
      <c r="J469" s="17" t="s">
        <v>2890</v>
      </c>
      <c r="K469" s="17" t="s">
        <v>2890</v>
      </c>
      <c r="L469" s="17" t="s">
        <v>2890</v>
      </c>
      <c r="M469" s="17" t="s">
        <v>2890</v>
      </c>
      <c r="N469" s="17" t="s">
        <v>2890</v>
      </c>
      <c r="O469" s="17" t="s">
        <v>2890</v>
      </c>
      <c r="P469" s="17" t="s">
        <v>2890</v>
      </c>
      <c r="T469" s="17" t="s">
        <v>2889</v>
      </c>
      <c r="U469" s="17" t="s">
        <v>2890</v>
      </c>
      <c r="V469" s="21"/>
      <c r="W469" s="17"/>
      <c r="X469" s="20">
        <v>0</v>
      </c>
    </row>
    <row r="470" spans="1:24">
      <c r="A470" s="1">
        <v>8559</v>
      </c>
      <c r="B470" s="35" t="s">
        <v>741</v>
      </c>
      <c r="C470" s="1" t="s">
        <v>742</v>
      </c>
      <c r="D470" s="1" t="s">
        <v>743</v>
      </c>
      <c r="E470" s="35">
        <v>12</v>
      </c>
      <c r="F470" s="1" t="str">
        <f>VLOOKUP(E470,'ESTRUTURA_MODULO(hide)'!$A$2:$D$230,2,FALSE)</f>
        <v>Contas a Pagar</v>
      </c>
      <c r="G470" s="1" t="str">
        <f>VLOOKUP(E470,'ESTRUTURA_MODULO(hide)'!$A$2:$D$95,3,FALSE)</f>
        <v xml:space="preserve">Accounts payable </v>
      </c>
      <c r="H470" s="1" t="str">
        <f>VLOOKUP(E470,'ESTRUTURA_MODULO(hide)'!$A$2:$D$95,4,FALSE)</f>
        <v>Cuentas por pagar</v>
      </c>
      <c r="I470" s="37">
        <v>8</v>
      </c>
      <c r="J470" s="17" t="s">
        <v>2890</v>
      </c>
      <c r="K470" s="17" t="s">
        <v>2890</v>
      </c>
      <c r="L470" s="17" t="s">
        <v>2889</v>
      </c>
      <c r="M470" s="38" t="s">
        <v>2889</v>
      </c>
      <c r="N470" s="38" t="s">
        <v>2889</v>
      </c>
      <c r="O470" s="17" t="s">
        <v>2890</v>
      </c>
      <c r="P470" s="17" t="s">
        <v>2890</v>
      </c>
      <c r="T470" s="17" t="s">
        <v>2889</v>
      </c>
      <c r="U470" s="17" t="s">
        <v>2890</v>
      </c>
      <c r="V470" s="36"/>
      <c r="W470" s="17"/>
      <c r="X470" s="20">
        <v>16</v>
      </c>
    </row>
    <row r="471" spans="1:24">
      <c r="A471" s="1">
        <v>9051</v>
      </c>
      <c r="B471" s="35" t="s">
        <v>83</v>
      </c>
      <c r="C471" s="1" t="s">
        <v>737</v>
      </c>
      <c r="D471" s="1" t="s">
        <v>738</v>
      </c>
      <c r="E471" s="35">
        <v>12</v>
      </c>
      <c r="F471" s="1" t="str">
        <f>VLOOKUP(E471,'ESTRUTURA_MODULO(hide)'!$A$2:$D$230,2,FALSE)</f>
        <v>Contas a Pagar</v>
      </c>
      <c r="G471" s="1" t="str">
        <f>VLOOKUP(E471,'ESTRUTURA_MODULO(hide)'!$A$2:$D$95,3,FALSE)</f>
        <v xml:space="preserve">Accounts payable </v>
      </c>
      <c r="H471" s="1" t="str">
        <f>VLOOKUP(E471,'ESTRUTURA_MODULO(hide)'!$A$2:$D$95,4,FALSE)</f>
        <v>Cuentas por pagar</v>
      </c>
      <c r="I471" s="37">
        <v>4</v>
      </c>
      <c r="J471" s="17" t="s">
        <v>2890</v>
      </c>
      <c r="K471" s="17" t="s">
        <v>2890</v>
      </c>
      <c r="L471" s="17" t="s">
        <v>2889</v>
      </c>
      <c r="M471" s="38" t="s">
        <v>2889</v>
      </c>
      <c r="N471" s="38" t="s">
        <v>2889</v>
      </c>
      <c r="O471" s="17" t="s">
        <v>2890</v>
      </c>
      <c r="P471" s="17" t="s">
        <v>2890</v>
      </c>
      <c r="T471" s="17" t="s">
        <v>2889</v>
      </c>
      <c r="U471" s="17" t="s">
        <v>2890</v>
      </c>
      <c r="V471" s="36"/>
      <c r="W471" s="17"/>
      <c r="X471" s="20">
        <v>8</v>
      </c>
    </row>
    <row r="472" spans="1:24">
      <c r="A472" s="1">
        <v>857</v>
      </c>
      <c r="B472" s="35" t="s">
        <v>89</v>
      </c>
      <c r="C472" s="1" t="s">
        <v>752</v>
      </c>
      <c r="D472" s="1" t="s">
        <v>753</v>
      </c>
      <c r="E472" s="35">
        <v>12</v>
      </c>
      <c r="F472" s="1" t="str">
        <f>VLOOKUP(E472,'ESTRUTURA_MODULO(hide)'!$A$2:$D$230,2,FALSE)</f>
        <v>Contas a Pagar</v>
      </c>
      <c r="G472" s="1" t="str">
        <f>VLOOKUP(E472,'ESTRUTURA_MODULO(hide)'!$A$2:$D$95,3,FALSE)</f>
        <v xml:space="preserve">Accounts payable </v>
      </c>
      <c r="H472" s="1" t="str">
        <f>VLOOKUP(E472,'ESTRUTURA_MODULO(hide)'!$A$2:$D$95,4,FALSE)</f>
        <v>Cuentas por pagar</v>
      </c>
      <c r="I472" s="37">
        <v>24</v>
      </c>
      <c r="J472" s="17" t="s">
        <v>2890</v>
      </c>
      <c r="K472" s="17" t="s">
        <v>2889</v>
      </c>
      <c r="L472" s="17" t="s">
        <v>2889</v>
      </c>
      <c r="M472" s="38" t="s">
        <v>2889</v>
      </c>
      <c r="N472" s="38" t="s">
        <v>2889</v>
      </c>
      <c r="O472" s="17" t="s">
        <v>2890</v>
      </c>
      <c r="P472" s="17" t="s">
        <v>2890</v>
      </c>
      <c r="T472" s="17" t="s">
        <v>2889</v>
      </c>
      <c r="U472" s="17" t="s">
        <v>2890</v>
      </c>
      <c r="V472" s="36"/>
      <c r="W472" s="17"/>
      <c r="X472" s="20">
        <v>32</v>
      </c>
    </row>
    <row r="473" spans="1:24">
      <c r="A473" s="1">
        <v>858</v>
      </c>
      <c r="B473" s="35" t="s">
        <v>79</v>
      </c>
      <c r="C473" s="1" t="s">
        <v>729</v>
      </c>
      <c r="D473" s="1" t="s">
        <v>730</v>
      </c>
      <c r="E473" s="35">
        <v>12</v>
      </c>
      <c r="F473" s="1" t="str">
        <f>VLOOKUP(E473,'ESTRUTURA_MODULO(hide)'!$A$2:$D$230,2,FALSE)</f>
        <v>Contas a Pagar</v>
      </c>
      <c r="G473" s="1" t="str">
        <f>VLOOKUP(E473,'ESTRUTURA_MODULO(hide)'!$A$2:$D$95,3,FALSE)</f>
        <v xml:space="preserve">Accounts payable </v>
      </c>
      <c r="H473" s="1" t="str">
        <f>VLOOKUP(E473,'ESTRUTURA_MODULO(hide)'!$A$2:$D$95,4,FALSE)</f>
        <v>Cuentas por pagar</v>
      </c>
      <c r="I473" s="37">
        <v>8</v>
      </c>
      <c r="J473" s="17" t="s">
        <v>2889</v>
      </c>
      <c r="K473" s="17" t="s">
        <v>2889</v>
      </c>
      <c r="L473" s="17" t="s">
        <v>2889</v>
      </c>
      <c r="M473" s="38" t="s">
        <v>2889</v>
      </c>
      <c r="N473" s="38" t="s">
        <v>2889</v>
      </c>
      <c r="O473" s="17" t="s">
        <v>2890</v>
      </c>
      <c r="P473" s="17" t="s">
        <v>2890</v>
      </c>
      <c r="T473" s="17" t="s">
        <v>2889</v>
      </c>
      <c r="U473" s="17" t="s">
        <v>2890</v>
      </c>
      <c r="V473" s="36"/>
      <c r="W473" s="17"/>
      <c r="X473" s="20">
        <v>16</v>
      </c>
    </row>
    <row r="474" spans="1:24">
      <c r="A474" s="1">
        <v>908</v>
      </c>
      <c r="B474" s="1" t="s">
        <v>88</v>
      </c>
      <c r="C474" s="1" t="s">
        <v>725</v>
      </c>
      <c r="D474" s="1" t="s">
        <v>727</v>
      </c>
      <c r="E474" s="1">
        <v>12</v>
      </c>
      <c r="F474" s="1" t="str">
        <f>VLOOKUP(E474,'ESTRUTURA_MODULO(hide)'!$A$2:$D$230,2,FALSE)</f>
        <v>Contas a Pagar</v>
      </c>
      <c r="G474" s="1" t="str">
        <f>VLOOKUP(E474,'ESTRUTURA_MODULO(hide)'!$A$2:$D$95,3,FALSE)</f>
        <v xml:space="preserve">Accounts payable </v>
      </c>
      <c r="H474" s="1" t="str">
        <f>VLOOKUP(E474,'ESTRUTURA_MODULO(hide)'!$A$2:$D$95,4,FALSE)</f>
        <v>Cuentas por pagar</v>
      </c>
      <c r="I474" s="20">
        <v>0</v>
      </c>
      <c r="J474" s="17" t="s">
        <v>2890</v>
      </c>
      <c r="K474" s="17" t="s">
        <v>2890</v>
      </c>
      <c r="L474" s="17" t="s">
        <v>2890</v>
      </c>
      <c r="M474" s="17" t="s">
        <v>2890</v>
      </c>
      <c r="N474" s="17" t="s">
        <v>2890</v>
      </c>
      <c r="O474" s="17" t="s">
        <v>2890</v>
      </c>
      <c r="P474" s="17" t="s">
        <v>2890</v>
      </c>
      <c r="T474" s="17" t="s">
        <v>2889</v>
      </c>
      <c r="U474" s="17" t="s">
        <v>2890</v>
      </c>
      <c r="V474" s="21"/>
      <c r="W474" s="17"/>
      <c r="X474" s="20">
        <v>0</v>
      </c>
    </row>
    <row r="475" spans="1:24">
      <c r="A475" s="1">
        <v>855</v>
      </c>
      <c r="B475" s="35" t="s">
        <v>81</v>
      </c>
      <c r="C475" s="1" t="s">
        <v>750</v>
      </c>
      <c r="D475" s="1" t="s">
        <v>751</v>
      </c>
      <c r="E475" s="35">
        <v>12</v>
      </c>
      <c r="F475" s="1" t="str">
        <f>VLOOKUP(E475,'ESTRUTURA_MODULO(hide)'!$A$2:$D$230,2,FALSE)</f>
        <v>Contas a Pagar</v>
      </c>
      <c r="G475" s="1" t="str">
        <f>VLOOKUP(E475,'ESTRUTURA_MODULO(hide)'!$A$2:$D$95,3,FALSE)</f>
        <v xml:space="preserve">Accounts payable </v>
      </c>
      <c r="H475" s="1" t="str">
        <f>VLOOKUP(E475,'ESTRUTURA_MODULO(hide)'!$A$2:$D$95,4,FALSE)</f>
        <v>Cuentas por pagar</v>
      </c>
      <c r="I475" s="37">
        <v>8</v>
      </c>
      <c r="J475" s="17" t="s">
        <v>2889</v>
      </c>
      <c r="K475" s="17" t="s">
        <v>2889</v>
      </c>
      <c r="L475" s="17" t="s">
        <v>2889</v>
      </c>
      <c r="M475" s="38" t="s">
        <v>2889</v>
      </c>
      <c r="N475" s="38" t="s">
        <v>2889</v>
      </c>
      <c r="O475" s="17" t="s">
        <v>2890</v>
      </c>
      <c r="P475" s="17" t="s">
        <v>2889</v>
      </c>
      <c r="T475" s="17" t="s">
        <v>2889</v>
      </c>
      <c r="U475" s="17" t="s">
        <v>2890</v>
      </c>
      <c r="V475" s="36"/>
      <c r="W475" s="17"/>
      <c r="X475" s="20">
        <v>24</v>
      </c>
    </row>
    <row r="476" spans="1:24">
      <c r="A476" s="1">
        <v>854</v>
      </c>
      <c r="B476" s="1" t="s">
        <v>82</v>
      </c>
      <c r="C476" s="1" t="s">
        <v>748</v>
      </c>
      <c r="D476" s="1" t="s">
        <v>749</v>
      </c>
      <c r="E476" s="1">
        <v>12</v>
      </c>
      <c r="F476" s="1" t="str">
        <f>VLOOKUP(E476,'ESTRUTURA_MODULO(hide)'!$A$2:$D$230,2,FALSE)</f>
        <v>Contas a Pagar</v>
      </c>
      <c r="G476" s="1" t="str">
        <f>VLOOKUP(E476,'ESTRUTURA_MODULO(hide)'!$A$2:$D$95,3,FALSE)</f>
        <v xml:space="preserve">Accounts payable </v>
      </c>
      <c r="H476" s="1" t="str">
        <f>VLOOKUP(E476,'ESTRUTURA_MODULO(hide)'!$A$2:$D$95,4,FALSE)</f>
        <v>Cuentas por pagar</v>
      </c>
      <c r="I476" s="20">
        <v>0</v>
      </c>
      <c r="J476" s="17" t="s">
        <v>2890</v>
      </c>
      <c r="K476" s="17" t="s">
        <v>2890</v>
      </c>
      <c r="L476" s="17" t="s">
        <v>2890</v>
      </c>
      <c r="M476" s="17" t="s">
        <v>2890</v>
      </c>
      <c r="N476" s="17" t="s">
        <v>2890</v>
      </c>
      <c r="O476" s="17" t="s">
        <v>2890</v>
      </c>
      <c r="P476" s="17" t="s">
        <v>2890</v>
      </c>
      <c r="T476" s="17" t="s">
        <v>2889</v>
      </c>
      <c r="U476" s="17" t="s">
        <v>2890</v>
      </c>
      <c r="V476" s="21"/>
      <c r="W476" s="17"/>
      <c r="X476" s="20">
        <v>0</v>
      </c>
    </row>
    <row r="477" spans="1:24">
      <c r="A477" s="1">
        <v>851</v>
      </c>
      <c r="B477" s="35" t="s">
        <v>90</v>
      </c>
      <c r="C477" s="1" t="s">
        <v>746</v>
      </c>
      <c r="D477" s="1" t="s">
        <v>747</v>
      </c>
      <c r="E477" s="35">
        <v>12</v>
      </c>
      <c r="F477" s="1" t="str">
        <f>VLOOKUP(E477,'ESTRUTURA_MODULO(hide)'!$A$2:$D$230,2,FALSE)</f>
        <v>Contas a Pagar</v>
      </c>
      <c r="G477" s="1" t="str">
        <f>VLOOKUP(E477,'ESTRUTURA_MODULO(hide)'!$A$2:$D$95,3,FALSE)</f>
        <v xml:space="preserve">Accounts payable </v>
      </c>
      <c r="H477" s="1" t="str">
        <f>VLOOKUP(E477,'ESTRUTURA_MODULO(hide)'!$A$2:$D$95,4,FALSE)</f>
        <v>Cuentas por pagar</v>
      </c>
      <c r="I477" s="37">
        <v>16</v>
      </c>
      <c r="J477" s="17" t="s">
        <v>2889</v>
      </c>
      <c r="K477" s="17" t="s">
        <v>2889</v>
      </c>
      <c r="L477" s="17" t="s">
        <v>2889</v>
      </c>
      <c r="M477" s="38" t="s">
        <v>2889</v>
      </c>
      <c r="N477" s="38" t="s">
        <v>2889</v>
      </c>
      <c r="O477" s="17" t="s">
        <v>2889</v>
      </c>
      <c r="P477" s="17" t="s">
        <v>2889</v>
      </c>
      <c r="T477" s="17" t="s">
        <v>2889</v>
      </c>
      <c r="U477" s="17" t="s">
        <v>2890</v>
      </c>
      <c r="V477" s="36"/>
      <c r="W477" s="17"/>
      <c r="X477" s="20">
        <v>24</v>
      </c>
    </row>
    <row r="478" spans="1:24">
      <c r="A478" s="1">
        <v>103</v>
      </c>
      <c r="B478" s="426" t="s">
        <v>87</v>
      </c>
      <c r="C478" s="1" t="s">
        <v>731</v>
      </c>
      <c r="D478" s="1" t="s">
        <v>732</v>
      </c>
      <c r="E478" s="1">
        <v>12</v>
      </c>
      <c r="F478" s="1" t="str">
        <f>VLOOKUP(E478,'ESTRUTURA_MODULO(hide)'!$A$2:$D$230,2,FALSE)</f>
        <v>Contas a Pagar</v>
      </c>
      <c r="G478" s="1" t="str">
        <f>VLOOKUP(E478,'ESTRUTURA_MODULO(hide)'!$A$2:$D$95,3,FALSE)</f>
        <v xml:space="preserve">Accounts payable </v>
      </c>
      <c r="H478" s="1" t="str">
        <f>VLOOKUP(E478,'ESTRUTURA_MODULO(hide)'!$A$2:$D$95,4,FALSE)</f>
        <v>Cuentas por pagar</v>
      </c>
      <c r="I478" s="20">
        <v>0</v>
      </c>
      <c r="J478" s="17" t="s">
        <v>2890</v>
      </c>
      <c r="K478" s="17" t="s">
        <v>2890</v>
      </c>
      <c r="L478" s="17" t="s">
        <v>2890</v>
      </c>
      <c r="M478" s="17" t="s">
        <v>2890</v>
      </c>
      <c r="N478" s="17" t="s">
        <v>2890</v>
      </c>
      <c r="O478" s="17" t="s">
        <v>2890</v>
      </c>
      <c r="P478" s="17" t="s">
        <v>2890</v>
      </c>
      <c r="T478" s="17" t="s">
        <v>2889</v>
      </c>
      <c r="U478" s="17" t="s">
        <v>2890</v>
      </c>
      <c r="V478" s="21"/>
      <c r="W478" s="17"/>
      <c r="X478" s="20">
        <v>0</v>
      </c>
    </row>
    <row r="479" spans="1:24">
      <c r="A479" s="1">
        <v>105</v>
      </c>
      <c r="B479" s="426" t="s">
        <v>85</v>
      </c>
      <c r="C479" s="1" t="s">
        <v>735</v>
      </c>
      <c r="D479" s="1" t="s">
        <v>736</v>
      </c>
      <c r="E479" s="1">
        <v>12</v>
      </c>
      <c r="F479" s="1" t="str">
        <f>VLOOKUP(E479,'ESTRUTURA_MODULO(hide)'!$A$2:$D$230,2,FALSE)</f>
        <v>Contas a Pagar</v>
      </c>
      <c r="G479" s="1" t="str">
        <f>VLOOKUP(E479,'ESTRUTURA_MODULO(hide)'!$A$2:$D$95,3,FALSE)</f>
        <v xml:space="preserve">Accounts payable </v>
      </c>
      <c r="H479" s="1" t="str">
        <f>VLOOKUP(E479,'ESTRUTURA_MODULO(hide)'!$A$2:$D$95,4,FALSE)</f>
        <v>Cuentas por pagar</v>
      </c>
      <c r="I479" s="20">
        <v>0</v>
      </c>
      <c r="J479" s="17" t="s">
        <v>2890</v>
      </c>
      <c r="K479" s="17" t="s">
        <v>2890</v>
      </c>
      <c r="L479" s="17" t="s">
        <v>2890</v>
      </c>
      <c r="M479" s="17" t="s">
        <v>2890</v>
      </c>
      <c r="N479" s="17" t="s">
        <v>2890</v>
      </c>
      <c r="O479" s="17" t="s">
        <v>2890</v>
      </c>
      <c r="P479" s="17" t="s">
        <v>2890</v>
      </c>
      <c r="T479" s="17" t="s">
        <v>2889</v>
      </c>
      <c r="U479" s="17" t="s">
        <v>2890</v>
      </c>
      <c r="V479" s="21"/>
      <c r="W479" s="17"/>
      <c r="X479" s="20">
        <v>0</v>
      </c>
    </row>
    <row r="480" spans="1:24">
      <c r="A480" s="1">
        <v>104</v>
      </c>
      <c r="B480" s="426" t="s">
        <v>86</v>
      </c>
      <c r="C480" s="1" t="s">
        <v>733</v>
      </c>
      <c r="D480" s="1" t="s">
        <v>734</v>
      </c>
      <c r="E480" s="1">
        <v>12</v>
      </c>
      <c r="F480" s="1" t="str">
        <f>VLOOKUP(E480,'ESTRUTURA_MODULO(hide)'!$A$2:$D$230,2,FALSE)</f>
        <v>Contas a Pagar</v>
      </c>
      <c r="G480" s="1" t="str">
        <f>VLOOKUP(E480,'ESTRUTURA_MODULO(hide)'!$A$2:$D$95,3,FALSE)</f>
        <v xml:space="preserve">Accounts payable </v>
      </c>
      <c r="H480" s="1" t="str">
        <f>VLOOKUP(E480,'ESTRUTURA_MODULO(hide)'!$A$2:$D$95,4,FALSE)</f>
        <v>Cuentas por pagar</v>
      </c>
      <c r="I480" s="20">
        <v>0</v>
      </c>
      <c r="J480" s="17" t="s">
        <v>2890</v>
      </c>
      <c r="K480" s="17" t="s">
        <v>2890</v>
      </c>
      <c r="L480" s="17" t="s">
        <v>2890</v>
      </c>
      <c r="M480" s="17" t="s">
        <v>2890</v>
      </c>
      <c r="N480" s="17" t="s">
        <v>2890</v>
      </c>
      <c r="O480" s="17" t="s">
        <v>2890</v>
      </c>
      <c r="P480" s="17" t="s">
        <v>2890</v>
      </c>
      <c r="T480" s="17" t="s">
        <v>2889</v>
      </c>
      <c r="U480" s="17" t="s">
        <v>2890</v>
      </c>
      <c r="V480" s="21"/>
      <c r="W480" s="17"/>
      <c r="X480" s="20">
        <v>0</v>
      </c>
    </row>
    <row r="481" spans="1:24">
      <c r="A481" s="1">
        <v>127</v>
      </c>
      <c r="B481" s="35" t="s">
        <v>84</v>
      </c>
      <c r="C481" s="1" t="s">
        <v>744</v>
      </c>
      <c r="D481" s="1" t="s">
        <v>745</v>
      </c>
      <c r="E481" s="35">
        <v>12</v>
      </c>
      <c r="F481" s="1" t="str">
        <f>VLOOKUP(E481,'ESTRUTURA_MODULO(hide)'!$A$2:$D$230,2,FALSE)</f>
        <v>Contas a Pagar</v>
      </c>
      <c r="G481" s="1" t="str">
        <f>VLOOKUP(E481,'ESTRUTURA_MODULO(hide)'!$A$2:$D$95,3,FALSE)</f>
        <v xml:space="preserve">Accounts payable </v>
      </c>
      <c r="H481" s="1" t="str">
        <f>VLOOKUP(E481,'ESTRUTURA_MODULO(hide)'!$A$2:$D$95,4,FALSE)</f>
        <v>Cuentas por pagar</v>
      </c>
      <c r="I481" s="37">
        <v>4</v>
      </c>
      <c r="J481" s="17" t="s">
        <v>2889</v>
      </c>
      <c r="K481" s="17" t="s">
        <v>2889</v>
      </c>
      <c r="L481" s="17" t="s">
        <v>2889</v>
      </c>
      <c r="M481" s="38" t="s">
        <v>2889</v>
      </c>
      <c r="N481" s="38" t="s">
        <v>2889</v>
      </c>
      <c r="O481" s="17" t="s">
        <v>2890</v>
      </c>
      <c r="P481" s="17" t="s">
        <v>2889</v>
      </c>
      <c r="T481" s="17" t="s">
        <v>2889</v>
      </c>
      <c r="U481" s="17" t="s">
        <v>2890</v>
      </c>
      <c r="V481" s="36"/>
      <c r="W481" s="17"/>
      <c r="X481" s="20">
        <v>16</v>
      </c>
    </row>
    <row r="482" spans="1:24">
      <c r="A482" s="1">
        <v>186</v>
      </c>
      <c r="B482" s="426" t="s">
        <v>1835</v>
      </c>
      <c r="C482" s="1" t="s">
        <v>1836</v>
      </c>
      <c r="D482" s="1" t="s">
        <v>1837</v>
      </c>
      <c r="E482" s="1">
        <v>12</v>
      </c>
      <c r="F482" s="1" t="str">
        <f>VLOOKUP(E482,'ESTRUTURA_MODULO(hide)'!$A$2:$D$230,2,FALSE)</f>
        <v>Contas a Pagar</v>
      </c>
      <c r="G482" s="1" t="str">
        <f>VLOOKUP(E482,'ESTRUTURA_MODULO(hide)'!$A$2:$D$95,3,FALSE)</f>
        <v xml:space="preserve">Accounts payable </v>
      </c>
      <c r="H482" s="1" t="str">
        <f>VLOOKUP(E482,'ESTRUTURA_MODULO(hide)'!$A$2:$D$95,4,FALSE)</f>
        <v>Cuentas por pagar</v>
      </c>
      <c r="I482" s="20">
        <v>0</v>
      </c>
      <c r="J482" s="17" t="s">
        <v>2890</v>
      </c>
      <c r="K482" s="17" t="s">
        <v>2890</v>
      </c>
      <c r="L482" s="17" t="s">
        <v>2890</v>
      </c>
      <c r="M482" s="17" t="s">
        <v>2890</v>
      </c>
      <c r="N482" s="17" t="s">
        <v>2890</v>
      </c>
      <c r="O482" s="17" t="s">
        <v>2890</v>
      </c>
      <c r="P482" s="17" t="s">
        <v>2890</v>
      </c>
      <c r="T482" s="17" t="s">
        <v>2889</v>
      </c>
      <c r="U482" s="17" t="s">
        <v>2890</v>
      </c>
      <c r="V482" s="21"/>
      <c r="W482" s="17"/>
      <c r="X482" s="20">
        <v>0</v>
      </c>
    </row>
    <row r="483" spans="1:24">
      <c r="A483" s="1">
        <v>1118</v>
      </c>
      <c r="B483" s="426" t="s">
        <v>80</v>
      </c>
      <c r="C483" s="1" t="s">
        <v>739</v>
      </c>
      <c r="D483" s="1" t="s">
        <v>740</v>
      </c>
      <c r="E483" s="1">
        <v>12</v>
      </c>
      <c r="F483" s="1" t="str">
        <f>VLOOKUP(E483,'ESTRUTURA_MODULO(hide)'!$A$2:$D$230,2,FALSE)</f>
        <v>Contas a Pagar</v>
      </c>
      <c r="G483" s="1" t="str">
        <f>VLOOKUP(E483,'ESTRUTURA_MODULO(hide)'!$A$2:$D$95,3,FALSE)</f>
        <v xml:space="preserve">Accounts payable </v>
      </c>
      <c r="H483" s="1" t="str">
        <f>VLOOKUP(E483,'ESTRUTURA_MODULO(hide)'!$A$2:$D$95,4,FALSE)</f>
        <v>Cuentas por pagar</v>
      </c>
      <c r="I483" s="20">
        <v>0</v>
      </c>
      <c r="J483" s="17" t="s">
        <v>2890</v>
      </c>
      <c r="K483" s="17" t="s">
        <v>2890</v>
      </c>
      <c r="L483" s="17" t="s">
        <v>2890</v>
      </c>
      <c r="M483" s="17" t="s">
        <v>2890</v>
      </c>
      <c r="N483" s="17" t="s">
        <v>2890</v>
      </c>
      <c r="O483" s="17" t="s">
        <v>2890</v>
      </c>
      <c r="P483" s="17" t="s">
        <v>2890</v>
      </c>
      <c r="T483" s="17" t="s">
        <v>2889</v>
      </c>
      <c r="U483" s="17" t="s">
        <v>2890</v>
      </c>
      <c r="V483" s="21"/>
      <c r="W483" s="17"/>
      <c r="X483" s="20">
        <v>0</v>
      </c>
    </row>
    <row r="484" spans="1:24">
      <c r="A484" s="1">
        <v>927</v>
      </c>
      <c r="B484" s="35" t="s">
        <v>131</v>
      </c>
      <c r="C484" s="1" t="s">
        <v>756</v>
      </c>
      <c r="D484" s="1" t="s">
        <v>757</v>
      </c>
      <c r="E484" s="35">
        <v>13</v>
      </c>
      <c r="F484" s="1" t="str">
        <f>VLOOKUP(E484,'ESTRUTURA_MODULO(hide)'!$A$2:$D$230,2,FALSE)</f>
        <v>Custos</v>
      </c>
      <c r="G484" s="1" t="str">
        <f>VLOOKUP(E484,'ESTRUTURA_MODULO(hide)'!$A$2:$D$95,3,FALSE)</f>
        <v>Costs</v>
      </c>
      <c r="H484" s="1" t="str">
        <f>VLOOKUP(E484,'ESTRUTURA_MODULO(hide)'!$A$2:$D$95,4,FALSE)</f>
        <v>Costos</v>
      </c>
      <c r="I484" s="37">
        <v>60</v>
      </c>
      <c r="J484" s="17" t="s">
        <v>2890</v>
      </c>
      <c r="K484" s="17" t="s">
        <v>2889</v>
      </c>
      <c r="L484" s="17" t="s">
        <v>2889</v>
      </c>
      <c r="M484" s="38" t="s">
        <v>2889</v>
      </c>
      <c r="N484" s="38" t="s">
        <v>2889</v>
      </c>
      <c r="O484" s="17" t="s">
        <v>2889</v>
      </c>
      <c r="P484" s="17" t="s">
        <v>2889</v>
      </c>
      <c r="T484" s="17" t="s">
        <v>2889</v>
      </c>
      <c r="U484" s="17" t="s">
        <v>2890</v>
      </c>
      <c r="V484" s="36"/>
      <c r="W484" s="17"/>
      <c r="X484" s="20">
        <v>80</v>
      </c>
    </row>
    <row r="485" spans="1:24">
      <c r="A485" s="1">
        <v>590</v>
      </c>
      <c r="B485" s="35" t="s">
        <v>132</v>
      </c>
      <c r="C485" s="1" t="s">
        <v>754</v>
      </c>
      <c r="D485" s="1" t="s">
        <v>755</v>
      </c>
      <c r="E485" s="35">
        <v>13</v>
      </c>
      <c r="F485" s="1" t="str">
        <f>VLOOKUP(E485,'ESTRUTURA_MODULO(hide)'!$A$2:$D$230,2,FALSE)</f>
        <v>Custos</v>
      </c>
      <c r="G485" s="1" t="str">
        <f>VLOOKUP(E485,'ESTRUTURA_MODULO(hide)'!$A$2:$D$95,3,FALSE)</f>
        <v>Costs</v>
      </c>
      <c r="H485" s="1" t="str">
        <f>VLOOKUP(E485,'ESTRUTURA_MODULO(hide)'!$A$2:$D$95,4,FALSE)</f>
        <v>Costos</v>
      </c>
      <c r="I485" s="37">
        <v>24</v>
      </c>
      <c r="J485" s="17" t="s">
        <v>2890</v>
      </c>
      <c r="K485" s="17" t="s">
        <v>2889</v>
      </c>
      <c r="L485" s="17" t="s">
        <v>2889</v>
      </c>
      <c r="M485" s="38" t="s">
        <v>2889</v>
      </c>
      <c r="N485" s="38" t="s">
        <v>2889</v>
      </c>
      <c r="O485" s="17" t="s">
        <v>2889</v>
      </c>
      <c r="P485" s="17" t="s">
        <v>2889</v>
      </c>
      <c r="T485" s="17" t="s">
        <v>2889</v>
      </c>
      <c r="U485" s="17" t="s">
        <v>2890</v>
      </c>
      <c r="V485" s="36"/>
      <c r="W485" s="17"/>
      <c r="X485" s="20">
        <v>40</v>
      </c>
    </row>
    <row r="486" spans="1:24">
      <c r="A486" s="1">
        <v>90</v>
      </c>
      <c r="B486" s="426" t="s">
        <v>136</v>
      </c>
      <c r="C486" s="1" t="s">
        <v>758</v>
      </c>
      <c r="D486" s="1" t="s">
        <v>136</v>
      </c>
      <c r="E486" s="1">
        <v>14</v>
      </c>
      <c r="F486" s="1" t="str">
        <f>VLOOKUP(E486,'ESTRUTURA_MODULO(hide)'!$A$2:$D$230,2,FALSE)</f>
        <v>EIS</v>
      </c>
      <c r="G486" s="1" t="str">
        <f>VLOOKUP(E486,'ESTRUTURA_MODULO(hide)'!$A$2:$D$95,3,FALSE)</f>
        <v xml:space="preserve">EIS </v>
      </c>
      <c r="H486" s="1" t="str">
        <f>VLOOKUP(E486,'ESTRUTURA_MODULO(hide)'!$A$2:$D$95,4,FALSE)</f>
        <v>EIS</v>
      </c>
      <c r="I486" s="20">
        <v>0</v>
      </c>
      <c r="J486" s="17" t="s">
        <v>2890</v>
      </c>
      <c r="K486" s="17" t="s">
        <v>2890</v>
      </c>
      <c r="L486" s="17" t="s">
        <v>2890</v>
      </c>
      <c r="M486" s="17" t="s">
        <v>2890</v>
      </c>
      <c r="N486" s="17" t="s">
        <v>2890</v>
      </c>
      <c r="O486" s="17" t="s">
        <v>2890</v>
      </c>
      <c r="P486" s="17" t="s">
        <v>2890</v>
      </c>
      <c r="T486" s="17" t="s">
        <v>2889</v>
      </c>
      <c r="U486" s="17" t="s">
        <v>2890</v>
      </c>
      <c r="V486" s="21"/>
      <c r="W486" s="17"/>
      <c r="X486" s="20">
        <v>0</v>
      </c>
    </row>
    <row r="487" spans="1:24">
      <c r="A487" s="1">
        <v>223</v>
      </c>
      <c r="B487" s="426" t="s">
        <v>139</v>
      </c>
      <c r="C487" s="1" t="s">
        <v>765</v>
      </c>
      <c r="D487" s="1" t="s">
        <v>766</v>
      </c>
      <c r="E487" s="1">
        <v>14</v>
      </c>
      <c r="F487" s="1" t="str">
        <f>VLOOKUP(E487,'ESTRUTURA_MODULO(hide)'!$A$2:$D$230,2,FALSE)</f>
        <v>EIS</v>
      </c>
      <c r="G487" s="1" t="str">
        <f>VLOOKUP(E487,'ESTRUTURA_MODULO(hide)'!$A$2:$D$95,3,FALSE)</f>
        <v xml:space="preserve">EIS </v>
      </c>
      <c r="H487" s="1" t="str">
        <f>VLOOKUP(E487,'ESTRUTURA_MODULO(hide)'!$A$2:$D$95,4,FALSE)</f>
        <v>EIS</v>
      </c>
      <c r="I487" s="20">
        <v>0</v>
      </c>
      <c r="J487" s="17" t="s">
        <v>2890</v>
      </c>
      <c r="K487" s="17" t="s">
        <v>2890</v>
      </c>
      <c r="L487" s="17" t="s">
        <v>2890</v>
      </c>
      <c r="M487" s="17" t="s">
        <v>2890</v>
      </c>
      <c r="N487" s="17" t="s">
        <v>2890</v>
      </c>
      <c r="O487" s="17" t="s">
        <v>2890</v>
      </c>
      <c r="P487" s="17" t="s">
        <v>2890</v>
      </c>
      <c r="T487" s="17" t="s">
        <v>2889</v>
      </c>
      <c r="U487" s="17" t="s">
        <v>2890</v>
      </c>
      <c r="V487" s="21"/>
      <c r="W487" s="17"/>
      <c r="X487" s="20">
        <v>0</v>
      </c>
    </row>
    <row r="488" spans="1:24">
      <c r="A488" s="1">
        <v>212</v>
      </c>
      <c r="B488" s="426" t="s">
        <v>138</v>
      </c>
      <c r="C488" s="1" t="s">
        <v>767</v>
      </c>
      <c r="D488" s="1" t="s">
        <v>138</v>
      </c>
      <c r="E488" s="1">
        <v>14</v>
      </c>
      <c r="F488" s="1" t="str">
        <f>VLOOKUP(E488,'ESTRUTURA_MODULO(hide)'!$A$2:$D$230,2,FALSE)</f>
        <v>EIS</v>
      </c>
      <c r="G488" s="1" t="str">
        <f>VLOOKUP(E488,'ESTRUTURA_MODULO(hide)'!$A$2:$D$95,3,FALSE)</f>
        <v xml:space="preserve">EIS </v>
      </c>
      <c r="H488" s="1" t="str">
        <f>VLOOKUP(E488,'ESTRUTURA_MODULO(hide)'!$A$2:$D$95,4,FALSE)</f>
        <v>EIS</v>
      </c>
      <c r="I488" s="20">
        <v>0</v>
      </c>
      <c r="J488" s="17" t="s">
        <v>2890</v>
      </c>
      <c r="K488" s="17" t="s">
        <v>2890</v>
      </c>
      <c r="L488" s="17" t="s">
        <v>2890</v>
      </c>
      <c r="M488" s="17" t="s">
        <v>2890</v>
      </c>
      <c r="N488" s="17" t="s">
        <v>2890</v>
      </c>
      <c r="O488" s="17" t="s">
        <v>2890</v>
      </c>
      <c r="P488" s="17" t="s">
        <v>2890</v>
      </c>
      <c r="T488" s="17" t="s">
        <v>2889</v>
      </c>
      <c r="U488" s="17" t="s">
        <v>2890</v>
      </c>
      <c r="V488" s="21"/>
      <c r="W488" s="17"/>
      <c r="X488" s="20">
        <v>0</v>
      </c>
    </row>
    <row r="489" spans="1:24">
      <c r="A489" s="1">
        <v>292</v>
      </c>
      <c r="B489" s="35" t="s">
        <v>135</v>
      </c>
      <c r="C489" s="1" t="s">
        <v>759</v>
      </c>
      <c r="D489" s="1" t="s">
        <v>760</v>
      </c>
      <c r="E489" s="35">
        <v>14</v>
      </c>
      <c r="F489" s="1" t="str">
        <f>VLOOKUP(E489,'ESTRUTURA_MODULO(hide)'!$A$2:$D$230,2,FALSE)</f>
        <v>EIS</v>
      </c>
      <c r="G489" s="1" t="str">
        <f>VLOOKUP(E489,'ESTRUTURA_MODULO(hide)'!$A$2:$D$95,3,FALSE)</f>
        <v xml:space="preserve">EIS </v>
      </c>
      <c r="H489" s="1" t="str">
        <f>VLOOKUP(E489,'ESTRUTURA_MODULO(hide)'!$A$2:$D$95,4,FALSE)</f>
        <v>EIS</v>
      </c>
      <c r="I489" s="37">
        <v>32</v>
      </c>
      <c r="J489" s="17" t="s">
        <v>2890</v>
      </c>
      <c r="K489" s="17" t="s">
        <v>2889</v>
      </c>
      <c r="L489" s="17" t="s">
        <v>2889</v>
      </c>
      <c r="M489" s="38" t="s">
        <v>2889</v>
      </c>
      <c r="N489" s="38" t="s">
        <v>2889</v>
      </c>
      <c r="O489" s="17" t="s">
        <v>2890</v>
      </c>
      <c r="P489" s="17" t="s">
        <v>2890</v>
      </c>
      <c r="T489" s="17" t="s">
        <v>2889</v>
      </c>
      <c r="U489" s="17" t="s">
        <v>2890</v>
      </c>
      <c r="V489" s="36"/>
      <c r="W489" s="17"/>
      <c r="X489" s="20">
        <v>40</v>
      </c>
    </row>
    <row r="490" spans="1:24">
      <c r="A490" s="1">
        <v>291</v>
      </c>
      <c r="B490" s="35" t="s">
        <v>140</v>
      </c>
      <c r="C490" s="1" t="s">
        <v>763</v>
      </c>
      <c r="D490" s="1" t="s">
        <v>764</v>
      </c>
      <c r="E490" s="35">
        <v>14</v>
      </c>
      <c r="F490" s="1" t="str">
        <f>VLOOKUP(E490,'ESTRUTURA_MODULO(hide)'!$A$2:$D$230,2,FALSE)</f>
        <v>EIS</v>
      </c>
      <c r="G490" s="1" t="str">
        <f>VLOOKUP(E490,'ESTRUTURA_MODULO(hide)'!$A$2:$D$95,3,FALSE)</f>
        <v xml:space="preserve">EIS </v>
      </c>
      <c r="H490" s="1" t="str">
        <f>VLOOKUP(E490,'ESTRUTURA_MODULO(hide)'!$A$2:$D$95,4,FALSE)</f>
        <v>EIS</v>
      </c>
      <c r="I490" s="37">
        <v>40</v>
      </c>
      <c r="J490" s="17" t="s">
        <v>2889</v>
      </c>
      <c r="K490" s="17" t="s">
        <v>2889</v>
      </c>
      <c r="L490" s="17" t="s">
        <v>2889</v>
      </c>
      <c r="M490" s="38" t="s">
        <v>2889</v>
      </c>
      <c r="N490" s="38" t="s">
        <v>2889</v>
      </c>
      <c r="O490" s="17" t="s">
        <v>2889</v>
      </c>
      <c r="P490" s="17" t="s">
        <v>2889</v>
      </c>
      <c r="T490" s="17" t="s">
        <v>2889</v>
      </c>
      <c r="U490" s="17" t="s">
        <v>2890</v>
      </c>
      <c r="V490" s="36"/>
      <c r="W490" s="17"/>
      <c r="X490" s="20">
        <v>60</v>
      </c>
    </row>
    <row r="491" spans="1:24">
      <c r="A491" s="1">
        <v>1121</v>
      </c>
      <c r="B491" s="35" t="s">
        <v>137</v>
      </c>
      <c r="C491" s="1" t="s">
        <v>761</v>
      </c>
      <c r="D491" s="1" t="s">
        <v>762</v>
      </c>
      <c r="E491" s="35">
        <v>14</v>
      </c>
      <c r="F491" s="1" t="str">
        <f>VLOOKUP(E491,'ESTRUTURA_MODULO(hide)'!$A$2:$D$230,2,FALSE)</f>
        <v>EIS</v>
      </c>
      <c r="G491" s="1" t="str">
        <f>VLOOKUP(E491,'ESTRUTURA_MODULO(hide)'!$A$2:$D$95,3,FALSE)</f>
        <v xml:space="preserve">EIS </v>
      </c>
      <c r="H491" s="1" t="str">
        <f>VLOOKUP(E491,'ESTRUTURA_MODULO(hide)'!$A$2:$D$95,4,FALSE)</f>
        <v>EIS</v>
      </c>
      <c r="I491" s="37">
        <v>4</v>
      </c>
      <c r="J491" s="17" t="s">
        <v>2889</v>
      </c>
      <c r="K491" s="17" t="s">
        <v>2889</v>
      </c>
      <c r="L491" s="17" t="s">
        <v>2889</v>
      </c>
      <c r="M491" s="38" t="s">
        <v>2889</v>
      </c>
      <c r="N491" s="38" t="s">
        <v>2889</v>
      </c>
      <c r="O491" s="17" t="s">
        <v>2889</v>
      </c>
      <c r="P491" s="17" t="s">
        <v>2889</v>
      </c>
      <c r="T491" s="17" t="s">
        <v>2889</v>
      </c>
      <c r="U491" s="17" t="s">
        <v>2890</v>
      </c>
      <c r="V491" s="36" t="s">
        <v>849</v>
      </c>
      <c r="W491" s="17"/>
      <c r="X491" s="20">
        <v>16</v>
      </c>
    </row>
    <row r="492" spans="1:24">
      <c r="A492" s="1">
        <v>-623</v>
      </c>
      <c r="B492" s="426" t="s">
        <v>1838</v>
      </c>
      <c r="C492" s="1" t="s">
        <v>1839</v>
      </c>
      <c r="D492" s="1" t="s">
        <v>1840</v>
      </c>
      <c r="E492" s="1">
        <v>15</v>
      </c>
      <c r="F492" s="1" t="str">
        <f>VLOOKUP(E492,'ESTRUTURA_MODULO(hide)'!$A$2:$D$230,2,FALSE)</f>
        <v>Controle de Infecção Hospitalar</v>
      </c>
      <c r="G492" s="1" t="str">
        <f>VLOOKUP(E492,'ESTRUTURA_MODULO(hide)'!$A$2:$D$95,3,FALSE)</f>
        <v>Nosocomial Infection Surveillance</v>
      </c>
      <c r="H492" s="1" t="str">
        <f>VLOOKUP(E492,'ESTRUTURA_MODULO(hide)'!$A$2:$D$95,4,FALSE)</f>
        <v>Control de Infección Hospitalaria</v>
      </c>
      <c r="I492" s="20">
        <v>0</v>
      </c>
      <c r="J492" s="17" t="s">
        <v>2890</v>
      </c>
      <c r="K492" s="17" t="s">
        <v>2890</v>
      </c>
      <c r="L492" s="17" t="s">
        <v>2890</v>
      </c>
      <c r="M492" s="17" t="s">
        <v>2890</v>
      </c>
      <c r="N492" s="17" t="s">
        <v>2890</v>
      </c>
      <c r="O492" s="17" t="s">
        <v>2890</v>
      </c>
      <c r="P492" s="17" t="s">
        <v>2890</v>
      </c>
      <c r="T492" s="17" t="s">
        <v>2889</v>
      </c>
      <c r="U492" s="17" t="s">
        <v>2890</v>
      </c>
      <c r="V492" s="21"/>
      <c r="W492" s="17"/>
      <c r="X492" s="20">
        <v>0</v>
      </c>
    </row>
    <row r="493" spans="1:24">
      <c r="A493" s="1">
        <v>-618</v>
      </c>
      <c r="B493" s="426" t="s">
        <v>1841</v>
      </c>
      <c r="C493" s="1" t="s">
        <v>1842</v>
      </c>
      <c r="D493" s="1" t="s">
        <v>1843</v>
      </c>
      <c r="E493" s="1">
        <v>15</v>
      </c>
      <c r="F493" s="1" t="str">
        <f>VLOOKUP(E493,'ESTRUTURA_MODULO(hide)'!$A$2:$D$230,2,FALSE)</f>
        <v>Controle de Infecção Hospitalar</v>
      </c>
      <c r="G493" s="1" t="str">
        <f>VLOOKUP(E493,'ESTRUTURA_MODULO(hide)'!$A$2:$D$95,3,FALSE)</f>
        <v>Nosocomial Infection Surveillance</v>
      </c>
      <c r="H493" s="1" t="str">
        <f>VLOOKUP(E493,'ESTRUTURA_MODULO(hide)'!$A$2:$D$95,4,FALSE)</f>
        <v>Control de Infección Hospitalaria</v>
      </c>
      <c r="I493" s="20">
        <v>0</v>
      </c>
      <c r="J493" s="17" t="s">
        <v>2890</v>
      </c>
      <c r="K493" s="17" t="s">
        <v>2890</v>
      </c>
      <c r="L493" s="17" t="s">
        <v>2890</v>
      </c>
      <c r="M493" s="17" t="s">
        <v>2890</v>
      </c>
      <c r="N493" s="17" t="s">
        <v>2890</v>
      </c>
      <c r="O493" s="17" t="s">
        <v>2890</v>
      </c>
      <c r="P493" s="17" t="s">
        <v>2890</v>
      </c>
      <c r="T493" s="17" t="s">
        <v>2889</v>
      </c>
      <c r="U493" s="17" t="s">
        <v>2890</v>
      </c>
      <c r="V493" s="21"/>
      <c r="W493" s="17"/>
      <c r="X493" s="20">
        <v>0</v>
      </c>
    </row>
    <row r="494" spans="1:24">
      <c r="A494" s="1">
        <v>-610</v>
      </c>
      <c r="B494" s="426" t="s">
        <v>218</v>
      </c>
      <c r="C494" s="1" t="s">
        <v>785</v>
      </c>
      <c r="D494" s="1" t="s">
        <v>786</v>
      </c>
      <c r="E494" s="1">
        <v>15</v>
      </c>
      <c r="F494" s="1" t="str">
        <f>VLOOKUP(E494,'ESTRUTURA_MODULO(hide)'!$A$2:$D$230,2,FALSE)</f>
        <v>Controle de Infecção Hospitalar</v>
      </c>
      <c r="G494" s="1" t="str">
        <f>VLOOKUP(E494,'ESTRUTURA_MODULO(hide)'!$A$2:$D$95,3,FALSE)</f>
        <v>Nosocomial Infection Surveillance</v>
      </c>
      <c r="H494" s="1" t="str">
        <f>VLOOKUP(E494,'ESTRUTURA_MODULO(hide)'!$A$2:$D$95,4,FALSE)</f>
        <v>Control de Infección Hospitalaria</v>
      </c>
      <c r="I494" s="20">
        <v>0</v>
      </c>
      <c r="J494" s="17" t="s">
        <v>2890</v>
      </c>
      <c r="K494" s="17" t="s">
        <v>2890</v>
      </c>
      <c r="L494" s="17" t="s">
        <v>2890</v>
      </c>
      <c r="M494" s="17" t="s">
        <v>2890</v>
      </c>
      <c r="N494" s="17" t="s">
        <v>2890</v>
      </c>
      <c r="O494" s="17" t="s">
        <v>2890</v>
      </c>
      <c r="P494" s="17" t="s">
        <v>2890</v>
      </c>
      <c r="T494" s="17" t="s">
        <v>2889</v>
      </c>
      <c r="U494" s="17" t="s">
        <v>2890</v>
      </c>
      <c r="V494" s="21"/>
      <c r="W494" s="17"/>
      <c r="X494" s="20">
        <v>0</v>
      </c>
    </row>
    <row r="495" spans="1:24">
      <c r="A495" s="1">
        <v>617</v>
      </c>
      <c r="B495" s="426" t="s">
        <v>219</v>
      </c>
      <c r="C495" s="1" t="s">
        <v>787</v>
      </c>
      <c r="D495" s="1" t="s">
        <v>219</v>
      </c>
      <c r="E495" s="1">
        <v>15</v>
      </c>
      <c r="F495" s="1" t="str">
        <f>VLOOKUP(E495,'ESTRUTURA_MODULO(hide)'!$A$2:$D$230,2,FALSE)</f>
        <v>Controle de Infecção Hospitalar</v>
      </c>
      <c r="G495" s="1" t="str">
        <f>VLOOKUP(E495,'ESTRUTURA_MODULO(hide)'!$A$2:$D$95,3,FALSE)</f>
        <v>Nosocomial Infection Surveillance</v>
      </c>
      <c r="H495" s="1" t="str">
        <f>VLOOKUP(E495,'ESTRUTURA_MODULO(hide)'!$A$2:$D$95,4,FALSE)</f>
        <v>Control de Infección Hospitalaria</v>
      </c>
      <c r="I495" s="20">
        <v>0</v>
      </c>
      <c r="J495" s="17" t="s">
        <v>2890</v>
      </c>
      <c r="K495" s="17" t="s">
        <v>2890</v>
      </c>
      <c r="L495" s="17" t="s">
        <v>2890</v>
      </c>
      <c r="M495" s="17" t="s">
        <v>2890</v>
      </c>
      <c r="N495" s="17" t="s">
        <v>2890</v>
      </c>
      <c r="O495" s="17" t="s">
        <v>2890</v>
      </c>
      <c r="P495" s="17" t="s">
        <v>2890</v>
      </c>
      <c r="T495" s="17" t="s">
        <v>2889</v>
      </c>
      <c r="U495" s="17" t="s">
        <v>2890</v>
      </c>
      <c r="V495" s="21"/>
      <c r="W495" s="17"/>
      <c r="X495" s="20">
        <v>0</v>
      </c>
    </row>
    <row r="496" spans="1:24">
      <c r="A496" s="1">
        <v>616</v>
      </c>
      <c r="B496" s="426" t="s">
        <v>1844</v>
      </c>
      <c r="C496" s="1" t="s">
        <v>1845</v>
      </c>
      <c r="D496" s="1" t="s">
        <v>1846</v>
      </c>
      <c r="E496" s="1">
        <v>15</v>
      </c>
      <c r="F496" s="1" t="str">
        <f>VLOOKUP(E496,'ESTRUTURA_MODULO(hide)'!$A$2:$D$230,2,FALSE)</f>
        <v>Controle de Infecção Hospitalar</v>
      </c>
      <c r="G496" s="1" t="str">
        <f>VLOOKUP(E496,'ESTRUTURA_MODULO(hide)'!$A$2:$D$95,3,FALSE)</f>
        <v>Nosocomial Infection Surveillance</v>
      </c>
      <c r="H496" s="1" t="str">
        <f>VLOOKUP(E496,'ESTRUTURA_MODULO(hide)'!$A$2:$D$95,4,FALSE)</f>
        <v>Control de Infección Hospitalaria</v>
      </c>
      <c r="I496" s="20">
        <v>0</v>
      </c>
      <c r="J496" s="17" t="s">
        <v>2890</v>
      </c>
      <c r="K496" s="17" t="s">
        <v>2890</v>
      </c>
      <c r="L496" s="17" t="s">
        <v>2890</v>
      </c>
      <c r="M496" s="17" t="s">
        <v>2890</v>
      </c>
      <c r="N496" s="17" t="s">
        <v>2890</v>
      </c>
      <c r="O496" s="17" t="s">
        <v>2890</v>
      </c>
      <c r="P496" s="17" t="s">
        <v>2890</v>
      </c>
      <c r="T496" s="17" t="s">
        <v>2889</v>
      </c>
      <c r="U496" s="17" t="s">
        <v>2890</v>
      </c>
      <c r="V496" s="21"/>
      <c r="W496" s="17"/>
      <c r="X496" s="20">
        <v>0</v>
      </c>
    </row>
    <row r="497" spans="1:24">
      <c r="A497" s="1">
        <v>615</v>
      </c>
      <c r="B497" s="426" t="s">
        <v>1847</v>
      </c>
      <c r="C497" s="1" t="s">
        <v>1848</v>
      </c>
      <c r="D497" s="1" t="s">
        <v>1849</v>
      </c>
      <c r="E497" s="1">
        <v>15</v>
      </c>
      <c r="F497" s="1" t="str">
        <f>VLOOKUP(E497,'ESTRUTURA_MODULO(hide)'!$A$2:$D$230,2,FALSE)</f>
        <v>Controle de Infecção Hospitalar</v>
      </c>
      <c r="G497" s="1" t="str">
        <f>VLOOKUP(E497,'ESTRUTURA_MODULO(hide)'!$A$2:$D$95,3,FALSE)</f>
        <v>Nosocomial Infection Surveillance</v>
      </c>
      <c r="H497" s="1" t="str">
        <f>VLOOKUP(E497,'ESTRUTURA_MODULO(hide)'!$A$2:$D$95,4,FALSE)</f>
        <v>Control de Infección Hospitalaria</v>
      </c>
      <c r="I497" s="20">
        <v>0</v>
      </c>
      <c r="J497" s="17" t="s">
        <v>2890</v>
      </c>
      <c r="K497" s="17" t="s">
        <v>2890</v>
      </c>
      <c r="L497" s="17" t="s">
        <v>2890</v>
      </c>
      <c r="M497" s="17" t="s">
        <v>2890</v>
      </c>
      <c r="N497" s="17" t="s">
        <v>2890</v>
      </c>
      <c r="O497" s="17" t="s">
        <v>2890</v>
      </c>
      <c r="P497" s="17" t="s">
        <v>2890</v>
      </c>
      <c r="T497" s="17" t="s">
        <v>2889</v>
      </c>
      <c r="U497" s="17" t="s">
        <v>2890</v>
      </c>
      <c r="V497" s="21"/>
      <c r="W497" s="17"/>
      <c r="X497" s="20">
        <v>0</v>
      </c>
    </row>
    <row r="498" spans="1:24">
      <c r="A498" s="1">
        <v>614</v>
      </c>
      <c r="B498" s="426" t="s">
        <v>1850</v>
      </c>
      <c r="C498" s="1" t="s">
        <v>1851</v>
      </c>
      <c r="D498" s="1" t="s">
        <v>1852</v>
      </c>
      <c r="E498" s="1">
        <v>15</v>
      </c>
      <c r="F498" s="1" t="str">
        <f>VLOOKUP(E498,'ESTRUTURA_MODULO(hide)'!$A$2:$D$230,2,FALSE)</f>
        <v>Controle de Infecção Hospitalar</v>
      </c>
      <c r="G498" s="1" t="str">
        <f>VLOOKUP(E498,'ESTRUTURA_MODULO(hide)'!$A$2:$D$95,3,FALSE)</f>
        <v>Nosocomial Infection Surveillance</v>
      </c>
      <c r="H498" s="1" t="str">
        <f>VLOOKUP(E498,'ESTRUTURA_MODULO(hide)'!$A$2:$D$95,4,FALSE)</f>
        <v>Control de Infección Hospitalaria</v>
      </c>
      <c r="I498" s="20">
        <v>0</v>
      </c>
      <c r="J498" s="17" t="s">
        <v>2890</v>
      </c>
      <c r="K498" s="17" t="s">
        <v>2890</v>
      </c>
      <c r="L498" s="17" t="s">
        <v>2890</v>
      </c>
      <c r="M498" s="17" t="s">
        <v>2890</v>
      </c>
      <c r="N498" s="17" t="s">
        <v>2890</v>
      </c>
      <c r="O498" s="17" t="s">
        <v>2890</v>
      </c>
      <c r="P498" s="17" t="s">
        <v>2890</v>
      </c>
      <c r="T498" s="17" t="s">
        <v>2889</v>
      </c>
      <c r="U498" s="17" t="s">
        <v>2890</v>
      </c>
      <c r="V498" s="21"/>
      <c r="W498" s="17"/>
      <c r="X498" s="20">
        <v>0</v>
      </c>
    </row>
    <row r="499" spans="1:24">
      <c r="A499" s="1">
        <v>613</v>
      </c>
      <c r="B499" s="426" t="s">
        <v>227</v>
      </c>
      <c r="C499" s="1" t="s">
        <v>771</v>
      </c>
      <c r="D499" s="1" t="s">
        <v>772</v>
      </c>
      <c r="E499" s="1">
        <v>15</v>
      </c>
      <c r="F499" s="1" t="str">
        <f>VLOOKUP(E499,'ESTRUTURA_MODULO(hide)'!$A$2:$D$230,2,FALSE)</f>
        <v>Controle de Infecção Hospitalar</v>
      </c>
      <c r="G499" s="1" t="str">
        <f>VLOOKUP(E499,'ESTRUTURA_MODULO(hide)'!$A$2:$D$95,3,FALSE)</f>
        <v>Nosocomial Infection Surveillance</v>
      </c>
      <c r="H499" s="1" t="str">
        <f>VLOOKUP(E499,'ESTRUTURA_MODULO(hide)'!$A$2:$D$95,4,FALSE)</f>
        <v>Control de Infección Hospitalaria</v>
      </c>
      <c r="I499" s="20">
        <v>0</v>
      </c>
      <c r="J499" s="17" t="s">
        <v>2890</v>
      </c>
      <c r="K499" s="17" t="s">
        <v>2890</v>
      </c>
      <c r="L499" s="17" t="s">
        <v>2890</v>
      </c>
      <c r="M499" s="17" t="s">
        <v>2890</v>
      </c>
      <c r="N499" s="17" t="s">
        <v>2890</v>
      </c>
      <c r="O499" s="17" t="s">
        <v>2890</v>
      </c>
      <c r="P499" s="17" t="s">
        <v>2890</v>
      </c>
      <c r="T499" s="17" t="s">
        <v>2889</v>
      </c>
      <c r="U499" s="17" t="s">
        <v>2890</v>
      </c>
      <c r="V499" s="21"/>
      <c r="W499" s="17"/>
      <c r="X499" s="20">
        <v>0</v>
      </c>
    </row>
    <row r="500" spans="1:24">
      <c r="A500" s="1">
        <v>612</v>
      </c>
      <c r="B500" s="426" t="s">
        <v>1853</v>
      </c>
      <c r="C500" s="1" t="s">
        <v>1854</v>
      </c>
      <c r="D500" s="1" t="s">
        <v>1855</v>
      </c>
      <c r="E500" s="1">
        <v>15</v>
      </c>
      <c r="F500" s="1" t="str">
        <f>VLOOKUP(E500,'ESTRUTURA_MODULO(hide)'!$A$2:$D$230,2,FALSE)</f>
        <v>Controle de Infecção Hospitalar</v>
      </c>
      <c r="G500" s="1" t="str">
        <f>VLOOKUP(E500,'ESTRUTURA_MODULO(hide)'!$A$2:$D$95,3,FALSE)</f>
        <v>Nosocomial Infection Surveillance</v>
      </c>
      <c r="H500" s="1" t="str">
        <f>VLOOKUP(E500,'ESTRUTURA_MODULO(hide)'!$A$2:$D$95,4,FALSE)</f>
        <v>Control de Infección Hospitalaria</v>
      </c>
      <c r="I500" s="20">
        <v>0</v>
      </c>
      <c r="J500" s="17" t="s">
        <v>2890</v>
      </c>
      <c r="K500" s="17" t="s">
        <v>2890</v>
      </c>
      <c r="L500" s="17" t="s">
        <v>2890</v>
      </c>
      <c r="M500" s="17" t="s">
        <v>2890</v>
      </c>
      <c r="N500" s="17" t="s">
        <v>2890</v>
      </c>
      <c r="O500" s="17" t="s">
        <v>2890</v>
      </c>
      <c r="P500" s="17" t="s">
        <v>2890</v>
      </c>
      <c r="T500" s="17" t="s">
        <v>2889</v>
      </c>
      <c r="U500" s="17" t="s">
        <v>2890</v>
      </c>
      <c r="V500" s="21"/>
      <c r="W500" s="17"/>
      <c r="X500" s="20">
        <v>0</v>
      </c>
    </row>
    <row r="501" spans="1:24">
      <c r="A501" s="1">
        <v>936</v>
      </c>
      <c r="B501" s="35" t="s">
        <v>222</v>
      </c>
      <c r="C501" s="1" t="s">
        <v>777</v>
      </c>
      <c r="D501" s="1" t="s">
        <v>778</v>
      </c>
      <c r="E501" s="35">
        <v>15</v>
      </c>
      <c r="F501" s="1" t="str">
        <f>VLOOKUP(E501,'ESTRUTURA_MODULO(hide)'!$A$2:$D$230,2,FALSE)</f>
        <v>Controle de Infecção Hospitalar</v>
      </c>
      <c r="G501" s="1" t="str">
        <f>VLOOKUP(E501,'ESTRUTURA_MODULO(hide)'!$A$2:$D$95,3,FALSE)</f>
        <v>Nosocomial Infection Surveillance</v>
      </c>
      <c r="H501" s="1" t="str">
        <f>VLOOKUP(E501,'ESTRUTURA_MODULO(hide)'!$A$2:$D$95,4,FALSE)</f>
        <v>Control de Infección Hospitalaria</v>
      </c>
      <c r="I501" s="37">
        <v>16</v>
      </c>
      <c r="J501" s="17" t="s">
        <v>2889</v>
      </c>
      <c r="K501" s="17" t="s">
        <v>2889</v>
      </c>
      <c r="L501" s="17" t="s">
        <v>2889</v>
      </c>
      <c r="M501" s="38" t="s">
        <v>2889</v>
      </c>
      <c r="N501" s="38" t="s">
        <v>2889</v>
      </c>
      <c r="O501" s="17" t="s">
        <v>2890</v>
      </c>
      <c r="P501" s="17" t="s">
        <v>2890</v>
      </c>
      <c r="T501" s="17" t="s">
        <v>2889</v>
      </c>
      <c r="U501" s="17" t="s">
        <v>2890</v>
      </c>
      <c r="V501" s="36"/>
      <c r="W501" s="17"/>
      <c r="X501" s="20">
        <v>24</v>
      </c>
    </row>
    <row r="502" spans="1:24">
      <c r="A502" s="1">
        <v>7043</v>
      </c>
      <c r="B502" s="35" t="s">
        <v>223</v>
      </c>
      <c r="C502" s="1" t="s">
        <v>783</v>
      </c>
      <c r="D502" s="1" t="s">
        <v>784</v>
      </c>
      <c r="E502" s="35">
        <v>15</v>
      </c>
      <c r="F502" s="1" t="str">
        <f>VLOOKUP(E502,'ESTRUTURA_MODULO(hide)'!$A$2:$D$230,2,FALSE)</f>
        <v>Controle de Infecção Hospitalar</v>
      </c>
      <c r="G502" s="1" t="str">
        <f>VLOOKUP(E502,'ESTRUTURA_MODULO(hide)'!$A$2:$D$95,3,FALSE)</f>
        <v>Nosocomial Infection Surveillance</v>
      </c>
      <c r="H502" s="1" t="str">
        <f>VLOOKUP(E502,'ESTRUTURA_MODULO(hide)'!$A$2:$D$95,4,FALSE)</f>
        <v>Control de Infección Hospitalaria</v>
      </c>
      <c r="I502" s="37">
        <v>12</v>
      </c>
      <c r="J502" s="17" t="s">
        <v>2889</v>
      </c>
      <c r="K502" s="17" t="s">
        <v>2889</v>
      </c>
      <c r="L502" s="17" t="s">
        <v>2889</v>
      </c>
      <c r="M502" s="38" t="s">
        <v>2889</v>
      </c>
      <c r="N502" s="38" t="s">
        <v>2889</v>
      </c>
      <c r="O502" s="17" t="s">
        <v>2889</v>
      </c>
      <c r="P502" s="17" t="s">
        <v>2889</v>
      </c>
      <c r="T502" s="17" t="s">
        <v>2889</v>
      </c>
      <c r="U502" s="17" t="s">
        <v>2890</v>
      </c>
      <c r="V502" s="36"/>
      <c r="W502" s="17"/>
      <c r="X502" s="20">
        <v>40</v>
      </c>
    </row>
    <row r="503" spans="1:24">
      <c r="A503" s="1">
        <v>1137</v>
      </c>
      <c r="B503" s="35" t="s">
        <v>228</v>
      </c>
      <c r="C503" s="1" t="s">
        <v>781</v>
      </c>
      <c r="D503" s="1" t="s">
        <v>782</v>
      </c>
      <c r="E503" s="35">
        <v>15</v>
      </c>
      <c r="F503" s="1" t="str">
        <f>VLOOKUP(E503,'ESTRUTURA_MODULO(hide)'!$A$2:$D$230,2,FALSE)</f>
        <v>Controle de Infecção Hospitalar</v>
      </c>
      <c r="G503" s="1" t="str">
        <f>VLOOKUP(E503,'ESTRUTURA_MODULO(hide)'!$A$2:$D$95,3,FALSE)</f>
        <v>Nosocomial Infection Surveillance</v>
      </c>
      <c r="H503" s="1" t="str">
        <f>VLOOKUP(E503,'ESTRUTURA_MODULO(hide)'!$A$2:$D$95,4,FALSE)</f>
        <v>Control de Infección Hospitalaria</v>
      </c>
      <c r="I503" s="37">
        <v>4</v>
      </c>
      <c r="J503" s="17" t="s">
        <v>2889</v>
      </c>
      <c r="K503" s="17" t="s">
        <v>2889</v>
      </c>
      <c r="L503" s="17" t="s">
        <v>2889</v>
      </c>
      <c r="M503" s="38" t="s">
        <v>2889</v>
      </c>
      <c r="N503" s="38" t="s">
        <v>2889</v>
      </c>
      <c r="O503" s="17" t="s">
        <v>2890</v>
      </c>
      <c r="P503" s="17" t="s">
        <v>2890</v>
      </c>
      <c r="T503" s="17" t="s">
        <v>2889</v>
      </c>
      <c r="U503" s="17" t="s">
        <v>2890</v>
      </c>
      <c r="V503" s="36"/>
      <c r="W503" s="17"/>
      <c r="X503" s="20">
        <v>4</v>
      </c>
    </row>
    <row r="504" spans="1:24">
      <c r="A504" s="1">
        <v>1302</v>
      </c>
      <c r="B504" s="35" t="s">
        <v>226</v>
      </c>
      <c r="C504" s="1" t="s">
        <v>773</v>
      </c>
      <c r="D504" s="1" t="s">
        <v>774</v>
      </c>
      <c r="E504" s="35">
        <v>15</v>
      </c>
      <c r="F504" s="1" t="str">
        <f>VLOOKUP(E504,'ESTRUTURA_MODULO(hide)'!$A$2:$D$230,2,FALSE)</f>
        <v>Controle de Infecção Hospitalar</v>
      </c>
      <c r="G504" s="1" t="str">
        <f>VLOOKUP(E504,'ESTRUTURA_MODULO(hide)'!$A$2:$D$95,3,FALSE)</f>
        <v>Nosocomial Infection Surveillance</v>
      </c>
      <c r="H504" s="1" t="str">
        <f>VLOOKUP(E504,'ESTRUTURA_MODULO(hide)'!$A$2:$D$95,4,FALSE)</f>
        <v>Control de Infección Hospitalaria</v>
      </c>
      <c r="I504" s="37">
        <v>4</v>
      </c>
      <c r="J504" s="17" t="s">
        <v>2889</v>
      </c>
      <c r="K504" s="17" t="s">
        <v>2889</v>
      </c>
      <c r="L504" s="17" t="s">
        <v>2889</v>
      </c>
      <c r="M504" s="38" t="s">
        <v>2889</v>
      </c>
      <c r="N504" s="38" t="s">
        <v>2889</v>
      </c>
      <c r="O504" s="17" t="s">
        <v>2890</v>
      </c>
      <c r="P504" s="17" t="s">
        <v>2890</v>
      </c>
      <c r="T504" s="17" t="s">
        <v>2889</v>
      </c>
      <c r="U504" s="17" t="s">
        <v>2890</v>
      </c>
      <c r="V504" s="36"/>
      <c r="W504" s="17"/>
      <c r="X504" s="20">
        <v>8</v>
      </c>
    </row>
    <row r="505" spans="1:24">
      <c r="A505" s="1">
        <v>611</v>
      </c>
      <c r="B505" s="426" t="s">
        <v>221</v>
      </c>
      <c r="C505" s="1" t="s">
        <v>792</v>
      </c>
      <c r="D505" s="1" t="s">
        <v>793</v>
      </c>
      <c r="E505" s="1">
        <v>15</v>
      </c>
      <c r="F505" s="1" t="str">
        <f>VLOOKUP(E505,'ESTRUTURA_MODULO(hide)'!$A$2:$D$230,2,FALSE)</f>
        <v>Controle de Infecção Hospitalar</v>
      </c>
      <c r="G505" s="1" t="str">
        <f>VLOOKUP(E505,'ESTRUTURA_MODULO(hide)'!$A$2:$D$95,3,FALSE)</f>
        <v>Nosocomial Infection Surveillance</v>
      </c>
      <c r="H505" s="1" t="str">
        <f>VLOOKUP(E505,'ESTRUTURA_MODULO(hide)'!$A$2:$D$95,4,FALSE)</f>
        <v>Control de Infección Hospitalaria</v>
      </c>
      <c r="I505" s="20">
        <v>0</v>
      </c>
      <c r="J505" s="17" t="s">
        <v>2890</v>
      </c>
      <c r="K505" s="17" t="s">
        <v>2890</v>
      </c>
      <c r="L505" s="17" t="s">
        <v>2890</v>
      </c>
      <c r="M505" s="17" t="s">
        <v>2890</v>
      </c>
      <c r="N505" s="17" t="s">
        <v>2890</v>
      </c>
      <c r="O505" s="17" t="s">
        <v>2890</v>
      </c>
      <c r="P505" s="17" t="s">
        <v>2890</v>
      </c>
      <c r="T505" s="17" t="s">
        <v>2889</v>
      </c>
      <c r="U505" s="17" t="s">
        <v>2890</v>
      </c>
      <c r="V505" s="21"/>
      <c r="W505" s="17"/>
      <c r="X505" s="20">
        <v>0</v>
      </c>
    </row>
    <row r="506" spans="1:24">
      <c r="A506" s="1">
        <v>610</v>
      </c>
      <c r="B506" s="426" t="s">
        <v>220</v>
      </c>
      <c r="C506" s="1" t="s">
        <v>790</v>
      </c>
      <c r="D506" s="1" t="s">
        <v>791</v>
      </c>
      <c r="E506" s="1">
        <v>15</v>
      </c>
      <c r="F506" s="1" t="str">
        <f>VLOOKUP(E506,'ESTRUTURA_MODULO(hide)'!$A$2:$D$230,2,FALSE)</f>
        <v>Controle de Infecção Hospitalar</v>
      </c>
      <c r="G506" s="1" t="str">
        <f>VLOOKUP(E506,'ESTRUTURA_MODULO(hide)'!$A$2:$D$95,3,FALSE)</f>
        <v>Nosocomial Infection Surveillance</v>
      </c>
      <c r="H506" s="1" t="str">
        <f>VLOOKUP(E506,'ESTRUTURA_MODULO(hide)'!$A$2:$D$95,4,FALSE)</f>
        <v>Control de Infección Hospitalaria</v>
      </c>
      <c r="I506" s="20">
        <v>0</v>
      </c>
      <c r="J506" s="17" t="s">
        <v>2890</v>
      </c>
      <c r="K506" s="17" t="s">
        <v>2890</v>
      </c>
      <c r="L506" s="17" t="s">
        <v>2890</v>
      </c>
      <c r="M506" s="17" t="s">
        <v>2890</v>
      </c>
      <c r="N506" s="17" t="s">
        <v>2890</v>
      </c>
      <c r="O506" s="17" t="s">
        <v>2890</v>
      </c>
      <c r="P506" s="17" t="s">
        <v>2890</v>
      </c>
      <c r="T506" s="17" t="s">
        <v>2889</v>
      </c>
      <c r="U506" s="17" t="s">
        <v>2890</v>
      </c>
      <c r="V506" s="21"/>
      <c r="W506" s="17"/>
      <c r="X506" s="20">
        <v>0</v>
      </c>
    </row>
    <row r="507" spans="1:24">
      <c r="A507" s="1">
        <v>896</v>
      </c>
      <c r="B507" s="35" t="s">
        <v>225</v>
      </c>
      <c r="C507" s="1" t="s">
        <v>788</v>
      </c>
      <c r="D507" s="1" t="s">
        <v>789</v>
      </c>
      <c r="E507" s="35">
        <v>15</v>
      </c>
      <c r="F507" s="1" t="str">
        <f>VLOOKUP(E507,'ESTRUTURA_MODULO(hide)'!$A$2:$D$230,2,FALSE)</f>
        <v>Controle de Infecção Hospitalar</v>
      </c>
      <c r="G507" s="1" t="str">
        <f>VLOOKUP(E507,'ESTRUTURA_MODULO(hide)'!$A$2:$D$95,3,FALSE)</f>
        <v>Nosocomial Infection Surveillance</v>
      </c>
      <c r="H507" s="1" t="str">
        <f>VLOOKUP(E507,'ESTRUTURA_MODULO(hide)'!$A$2:$D$95,4,FALSE)</f>
        <v>Control de Infección Hospitalaria</v>
      </c>
      <c r="I507" s="37">
        <v>8</v>
      </c>
      <c r="J507" s="17" t="s">
        <v>2889</v>
      </c>
      <c r="K507" s="17" t="s">
        <v>2889</v>
      </c>
      <c r="L507" s="17" t="s">
        <v>2889</v>
      </c>
      <c r="M507" s="38" t="s">
        <v>2889</v>
      </c>
      <c r="N507" s="38" t="s">
        <v>2889</v>
      </c>
      <c r="O507" s="17" t="s">
        <v>2889</v>
      </c>
      <c r="P507" s="17" t="s">
        <v>2889</v>
      </c>
      <c r="T507" s="17" t="s">
        <v>2889</v>
      </c>
      <c r="U507" s="17" t="s">
        <v>2890</v>
      </c>
      <c r="V507" s="36"/>
      <c r="W507" s="17"/>
      <c r="X507" s="20">
        <v>16</v>
      </c>
    </row>
    <row r="508" spans="1:24">
      <c r="A508" s="1">
        <v>7022</v>
      </c>
      <c r="B508" s="35" t="s">
        <v>224</v>
      </c>
      <c r="C508" s="1" t="s">
        <v>775</v>
      </c>
      <c r="D508" s="1" t="s">
        <v>776</v>
      </c>
      <c r="E508" s="35">
        <v>15</v>
      </c>
      <c r="F508" s="1" t="str">
        <f>VLOOKUP(E508,'ESTRUTURA_MODULO(hide)'!$A$2:$D$230,2,FALSE)</f>
        <v>Controle de Infecção Hospitalar</v>
      </c>
      <c r="G508" s="1" t="str">
        <f>VLOOKUP(E508,'ESTRUTURA_MODULO(hide)'!$A$2:$D$95,3,FALSE)</f>
        <v>Nosocomial Infection Surveillance</v>
      </c>
      <c r="H508" s="1" t="str">
        <f>VLOOKUP(E508,'ESTRUTURA_MODULO(hide)'!$A$2:$D$95,4,FALSE)</f>
        <v>Control de Infección Hospitalaria</v>
      </c>
      <c r="I508" s="37">
        <v>12</v>
      </c>
      <c r="J508" s="17" t="s">
        <v>2889</v>
      </c>
      <c r="K508" s="17" t="s">
        <v>2889</v>
      </c>
      <c r="L508" s="17" t="s">
        <v>2889</v>
      </c>
      <c r="M508" s="38" t="s">
        <v>2889</v>
      </c>
      <c r="N508" s="38" t="s">
        <v>2889</v>
      </c>
      <c r="O508" s="17" t="s">
        <v>2890</v>
      </c>
      <c r="P508" s="17" t="s">
        <v>2890</v>
      </c>
      <c r="T508" s="17" t="s">
        <v>2889</v>
      </c>
      <c r="U508" s="17" t="s">
        <v>2890</v>
      </c>
      <c r="V508" s="36"/>
      <c r="W508" s="17"/>
      <c r="X508" s="20">
        <v>24</v>
      </c>
    </row>
    <row r="509" spans="1:24">
      <c r="A509" s="1">
        <v>7020</v>
      </c>
      <c r="B509" s="35" t="s">
        <v>217</v>
      </c>
      <c r="C509" s="1" t="s">
        <v>779</v>
      </c>
      <c r="D509" s="1" t="s">
        <v>780</v>
      </c>
      <c r="E509" s="35">
        <v>15</v>
      </c>
      <c r="F509" s="1" t="str">
        <f>VLOOKUP(E509,'ESTRUTURA_MODULO(hide)'!$A$2:$D$230,2,FALSE)</f>
        <v>Controle de Infecção Hospitalar</v>
      </c>
      <c r="G509" s="1" t="str">
        <f>VLOOKUP(E509,'ESTRUTURA_MODULO(hide)'!$A$2:$D$95,3,FALSE)</f>
        <v>Nosocomial Infection Surveillance</v>
      </c>
      <c r="H509" s="1" t="str">
        <f>VLOOKUP(E509,'ESTRUTURA_MODULO(hide)'!$A$2:$D$95,4,FALSE)</f>
        <v>Control de Infección Hospitalaria</v>
      </c>
      <c r="I509" s="37">
        <v>6</v>
      </c>
      <c r="J509" s="17" t="s">
        <v>2889</v>
      </c>
      <c r="K509" s="17" t="s">
        <v>2889</v>
      </c>
      <c r="L509" s="17" t="s">
        <v>2889</v>
      </c>
      <c r="M509" s="38" t="s">
        <v>2889</v>
      </c>
      <c r="N509" s="38" t="s">
        <v>2889</v>
      </c>
      <c r="O509" s="17" t="s">
        <v>2889</v>
      </c>
      <c r="P509" s="17" t="s">
        <v>2889</v>
      </c>
      <c r="T509" s="17" t="s">
        <v>2889</v>
      </c>
      <c r="U509" s="17" t="s">
        <v>2890</v>
      </c>
      <c r="V509" s="36"/>
      <c r="W509" s="17"/>
      <c r="X509" s="20">
        <v>24</v>
      </c>
    </row>
    <row r="510" spans="1:24">
      <c r="A510" s="1">
        <v>3016</v>
      </c>
      <c r="B510" s="1" t="s">
        <v>229</v>
      </c>
      <c r="C510" s="1" t="s">
        <v>805</v>
      </c>
      <c r="D510" s="1" t="s">
        <v>806</v>
      </c>
      <c r="E510" s="1">
        <v>16</v>
      </c>
      <c r="F510" s="1" t="str">
        <f>VLOOKUP(E510,'ESTRUTURA_MODULO(hide)'!$A$2:$D$230,2,FALSE)</f>
        <v>Administração de Contratos (Preços)</v>
      </c>
      <c r="G510" s="1" t="str">
        <f>VLOOKUP(E510,'ESTRUTURA_MODULO(hide)'!$A$2:$D$95,3,FALSE)</f>
        <v>Administration of Contracts (Prices)</v>
      </c>
      <c r="H510" s="1" t="str">
        <f>VLOOKUP(E510,'ESTRUTURA_MODULO(hide)'!$A$2:$D$95,4,FALSE)</f>
        <v>Administración de Contractos (Precios)</v>
      </c>
      <c r="I510" s="20">
        <v>0</v>
      </c>
      <c r="J510" s="17" t="s">
        <v>2890</v>
      </c>
      <c r="K510" s="17" t="s">
        <v>2890</v>
      </c>
      <c r="L510" s="17" t="s">
        <v>2890</v>
      </c>
      <c r="M510" s="17" t="s">
        <v>2890</v>
      </c>
      <c r="N510" s="17" t="s">
        <v>2890</v>
      </c>
      <c r="O510" s="17" t="s">
        <v>2890</v>
      </c>
      <c r="P510" s="17" t="s">
        <v>2890</v>
      </c>
      <c r="T510" s="17" t="s">
        <v>2889</v>
      </c>
      <c r="U510" s="17" t="s">
        <v>2890</v>
      </c>
      <c r="V510" s="21"/>
      <c r="W510" s="17"/>
      <c r="X510" s="20">
        <v>0</v>
      </c>
    </row>
    <row r="511" spans="1:24">
      <c r="A511" s="1">
        <v>905</v>
      </c>
      <c r="B511" s="35" t="s">
        <v>56</v>
      </c>
      <c r="C511" s="1" t="s">
        <v>812</v>
      </c>
      <c r="D511" s="1" t="s">
        <v>813</v>
      </c>
      <c r="E511" s="35">
        <v>16</v>
      </c>
      <c r="F511" s="1" t="str">
        <f>VLOOKUP(E511,'ESTRUTURA_MODULO(hide)'!$A$2:$D$230,2,FALSE)</f>
        <v>Administração de Contratos (Preços)</v>
      </c>
      <c r="G511" s="1" t="str">
        <f>VLOOKUP(E511,'ESTRUTURA_MODULO(hide)'!$A$2:$D$95,3,FALSE)</f>
        <v>Administration of Contracts (Prices)</v>
      </c>
      <c r="H511" s="1" t="str">
        <f>VLOOKUP(E511,'ESTRUTURA_MODULO(hide)'!$A$2:$D$95,4,FALSE)</f>
        <v>Administración de Contractos (Precios)</v>
      </c>
      <c r="I511" s="37">
        <v>8</v>
      </c>
      <c r="J511" s="17" t="s">
        <v>2889</v>
      </c>
      <c r="K511" s="17" t="s">
        <v>2889</v>
      </c>
      <c r="L511" s="17" t="s">
        <v>2889</v>
      </c>
      <c r="M511" s="38" t="s">
        <v>2889</v>
      </c>
      <c r="N511" s="38" t="s">
        <v>2889</v>
      </c>
      <c r="O511" s="17" t="s">
        <v>2889</v>
      </c>
      <c r="P511" s="17" t="s">
        <v>2889</v>
      </c>
      <c r="T511" s="17" t="s">
        <v>2889</v>
      </c>
      <c r="U511" s="17" t="s">
        <v>2890</v>
      </c>
      <c r="V511" s="36"/>
      <c r="W511" s="17"/>
      <c r="X511" s="20">
        <v>16</v>
      </c>
    </row>
    <row r="512" spans="1:24">
      <c r="A512" s="1">
        <v>-1000</v>
      </c>
      <c r="B512" s="426" t="s">
        <v>54</v>
      </c>
      <c r="C512" s="1" t="s">
        <v>803</v>
      </c>
      <c r="D512" s="1" t="s">
        <v>804</v>
      </c>
      <c r="E512" s="1">
        <v>16</v>
      </c>
      <c r="F512" s="1" t="str">
        <f>VLOOKUP(E512,'ESTRUTURA_MODULO(hide)'!$A$2:$D$230,2,FALSE)</f>
        <v>Administração de Contratos (Preços)</v>
      </c>
      <c r="G512" s="1" t="str">
        <f>VLOOKUP(E512,'ESTRUTURA_MODULO(hide)'!$A$2:$D$95,3,FALSE)</f>
        <v>Administration of Contracts (Prices)</v>
      </c>
      <c r="H512" s="1" t="str">
        <f>VLOOKUP(E512,'ESTRUTURA_MODULO(hide)'!$A$2:$D$95,4,FALSE)</f>
        <v>Administración de Contractos (Precios)</v>
      </c>
      <c r="I512" s="20">
        <v>0</v>
      </c>
      <c r="J512" s="17" t="s">
        <v>2890</v>
      </c>
      <c r="K512" s="17" t="s">
        <v>2890</v>
      </c>
      <c r="L512" s="17" t="s">
        <v>2890</v>
      </c>
      <c r="M512" s="17" t="s">
        <v>2890</v>
      </c>
      <c r="N512" s="17" t="s">
        <v>2890</v>
      </c>
      <c r="O512" s="17" t="s">
        <v>2890</v>
      </c>
      <c r="P512" s="17" t="s">
        <v>2890</v>
      </c>
      <c r="T512" s="17" t="s">
        <v>2889</v>
      </c>
      <c r="U512" s="17" t="s">
        <v>2890</v>
      </c>
      <c r="V512" s="21"/>
      <c r="W512" s="17"/>
      <c r="X512" s="20">
        <v>0</v>
      </c>
    </row>
    <row r="513" spans="1:24">
      <c r="A513" s="1">
        <v>7028</v>
      </c>
      <c r="B513" s="35" t="s">
        <v>55</v>
      </c>
      <c r="C513" s="1" t="s">
        <v>794</v>
      </c>
      <c r="D513" s="1" t="s">
        <v>796</v>
      </c>
      <c r="E513" s="35">
        <v>16</v>
      </c>
      <c r="F513" s="1" t="str">
        <f>VLOOKUP(E513,'ESTRUTURA_MODULO(hide)'!$A$2:$D$230,2,FALSE)</f>
        <v>Administração de Contratos (Preços)</v>
      </c>
      <c r="G513" s="1" t="str">
        <f>VLOOKUP(E513,'ESTRUTURA_MODULO(hide)'!$A$2:$D$95,3,FALSE)</f>
        <v>Administration of Contracts (Prices)</v>
      </c>
      <c r="H513" s="1" t="str">
        <f>VLOOKUP(E513,'ESTRUTURA_MODULO(hide)'!$A$2:$D$95,4,FALSE)</f>
        <v>Administración de Contractos (Precios)</v>
      </c>
      <c r="I513" s="37">
        <v>4</v>
      </c>
      <c r="J513" s="17" t="s">
        <v>2889</v>
      </c>
      <c r="K513" s="17" t="s">
        <v>2889</v>
      </c>
      <c r="L513" s="17" t="s">
        <v>2889</v>
      </c>
      <c r="M513" s="38" t="s">
        <v>2889</v>
      </c>
      <c r="N513" s="38" t="s">
        <v>2889</v>
      </c>
      <c r="O513" s="17" t="s">
        <v>2889</v>
      </c>
      <c r="P513" s="17" t="s">
        <v>2889</v>
      </c>
      <c r="T513" s="17" t="s">
        <v>2889</v>
      </c>
      <c r="U513" s="17" t="s">
        <v>2890</v>
      </c>
      <c r="V513" s="36"/>
      <c r="W513" s="17"/>
      <c r="X513" s="20">
        <v>12</v>
      </c>
    </row>
    <row r="514" spans="1:24">
      <c r="A514" s="1">
        <v>1114</v>
      </c>
      <c r="B514" s="1" t="s">
        <v>51</v>
      </c>
      <c r="C514" s="1" t="s">
        <v>800</v>
      </c>
      <c r="D514" s="1" t="s">
        <v>51</v>
      </c>
      <c r="E514" s="1">
        <v>16</v>
      </c>
      <c r="F514" s="1" t="str">
        <f>VLOOKUP(E514,'ESTRUTURA_MODULO(hide)'!$A$2:$D$230,2,FALSE)</f>
        <v>Administração de Contratos (Preços)</v>
      </c>
      <c r="G514" s="1" t="str">
        <f>VLOOKUP(E514,'ESTRUTURA_MODULO(hide)'!$A$2:$D$95,3,FALSE)</f>
        <v>Administration of Contracts (Prices)</v>
      </c>
      <c r="H514" s="1" t="str">
        <f>VLOOKUP(E514,'ESTRUTURA_MODULO(hide)'!$A$2:$D$95,4,FALSE)</f>
        <v>Administración de Contractos (Precios)</v>
      </c>
      <c r="I514" s="20">
        <v>0</v>
      </c>
      <c r="J514" s="17" t="s">
        <v>2890</v>
      </c>
      <c r="K514" s="17" t="s">
        <v>2890</v>
      </c>
      <c r="L514" s="17" t="s">
        <v>2890</v>
      </c>
      <c r="M514" s="17" t="s">
        <v>2890</v>
      </c>
      <c r="N514" s="17" t="s">
        <v>2890</v>
      </c>
      <c r="O514" s="17" t="s">
        <v>2890</v>
      </c>
      <c r="P514" s="17" t="s">
        <v>2890</v>
      </c>
      <c r="T514" s="17" t="s">
        <v>2889</v>
      </c>
      <c r="U514" s="17" t="s">
        <v>2890</v>
      </c>
      <c r="V514" s="21"/>
      <c r="W514" s="17"/>
      <c r="X514" s="20">
        <v>0</v>
      </c>
    </row>
    <row r="515" spans="1:24">
      <c r="A515" s="1">
        <v>72</v>
      </c>
      <c r="B515" s="426" t="s">
        <v>53</v>
      </c>
      <c r="C515" s="1" t="s">
        <v>798</v>
      </c>
      <c r="D515" s="1" t="s">
        <v>799</v>
      </c>
      <c r="E515" s="1">
        <v>16</v>
      </c>
      <c r="F515" s="1" t="str">
        <f>VLOOKUP(E515,'ESTRUTURA_MODULO(hide)'!$A$2:$D$230,2,FALSE)</f>
        <v>Administração de Contratos (Preços)</v>
      </c>
      <c r="G515" s="1" t="str">
        <f>VLOOKUP(E515,'ESTRUTURA_MODULO(hide)'!$A$2:$D$95,3,FALSE)</f>
        <v>Administration of Contracts (Prices)</v>
      </c>
      <c r="H515" s="1" t="str">
        <f>VLOOKUP(E515,'ESTRUTURA_MODULO(hide)'!$A$2:$D$95,4,FALSE)</f>
        <v>Administración de Contractos (Precios)</v>
      </c>
      <c r="I515" s="20">
        <v>0</v>
      </c>
      <c r="J515" s="17" t="s">
        <v>2890</v>
      </c>
      <c r="K515" s="17" t="s">
        <v>2890</v>
      </c>
      <c r="L515" s="17" t="s">
        <v>2890</v>
      </c>
      <c r="M515" s="17" t="s">
        <v>2890</v>
      </c>
      <c r="N515" s="17" t="s">
        <v>2890</v>
      </c>
      <c r="O515" s="17" t="s">
        <v>2890</v>
      </c>
      <c r="P515" s="17" t="s">
        <v>2890</v>
      </c>
      <c r="T515" s="17" t="s">
        <v>2889</v>
      </c>
      <c r="U515" s="17" t="s">
        <v>2890</v>
      </c>
      <c r="V515" s="21"/>
      <c r="W515" s="17"/>
      <c r="X515" s="20">
        <v>0</v>
      </c>
    </row>
    <row r="516" spans="1:24">
      <c r="A516" s="1">
        <v>3110</v>
      </c>
      <c r="B516" s="35" t="s">
        <v>57</v>
      </c>
      <c r="C516" s="1" t="s">
        <v>810</v>
      </c>
      <c r="D516" s="1" t="s">
        <v>811</v>
      </c>
      <c r="E516" s="35">
        <v>16</v>
      </c>
      <c r="F516" s="1" t="str">
        <f>VLOOKUP(E516,'ESTRUTURA_MODULO(hide)'!$A$2:$D$230,2,FALSE)</f>
        <v>Administração de Contratos (Preços)</v>
      </c>
      <c r="G516" s="1" t="str">
        <f>VLOOKUP(E516,'ESTRUTURA_MODULO(hide)'!$A$2:$D$95,3,FALSE)</f>
        <v>Administration of Contracts (Prices)</v>
      </c>
      <c r="H516" s="1" t="str">
        <f>VLOOKUP(E516,'ESTRUTURA_MODULO(hide)'!$A$2:$D$95,4,FALSE)</f>
        <v>Administración de Contractos (Precios)</v>
      </c>
      <c r="I516" s="37">
        <v>8</v>
      </c>
      <c r="J516" s="17" t="s">
        <v>2889</v>
      </c>
      <c r="K516" s="17" t="s">
        <v>2889</v>
      </c>
      <c r="L516" s="17" t="s">
        <v>2889</v>
      </c>
      <c r="M516" s="38" t="s">
        <v>2889</v>
      </c>
      <c r="N516" s="38" t="s">
        <v>2889</v>
      </c>
      <c r="O516" s="17" t="s">
        <v>2889</v>
      </c>
      <c r="P516" s="17" t="s">
        <v>2889</v>
      </c>
      <c r="T516" s="17" t="s">
        <v>2889</v>
      </c>
      <c r="U516" s="17" t="s">
        <v>2890</v>
      </c>
      <c r="V516" s="36"/>
      <c r="W516" s="17"/>
      <c r="X516" s="20">
        <v>24</v>
      </c>
    </row>
    <row r="517" spans="1:24">
      <c r="A517" s="1">
        <v>921</v>
      </c>
      <c r="B517" s="35" t="s">
        <v>807</v>
      </c>
      <c r="C517" s="1" t="s">
        <v>808</v>
      </c>
      <c r="D517" s="1" t="s">
        <v>809</v>
      </c>
      <c r="E517" s="35">
        <v>16</v>
      </c>
      <c r="F517" s="1" t="str">
        <f>VLOOKUP(E517,'ESTRUTURA_MODULO(hide)'!$A$2:$D$230,2,FALSE)</f>
        <v>Administração de Contratos (Preços)</v>
      </c>
      <c r="G517" s="1" t="str">
        <f>VLOOKUP(E517,'ESTRUTURA_MODULO(hide)'!$A$2:$D$95,3,FALSE)</f>
        <v>Administration of Contracts (Prices)</v>
      </c>
      <c r="H517" s="1" t="str">
        <f>VLOOKUP(E517,'ESTRUTURA_MODULO(hide)'!$A$2:$D$95,4,FALSE)</f>
        <v>Administración de Contractos (Precios)</v>
      </c>
      <c r="I517" s="37">
        <v>40</v>
      </c>
      <c r="J517" s="17" t="s">
        <v>2889</v>
      </c>
      <c r="K517" s="17" t="s">
        <v>2889</v>
      </c>
      <c r="L517" s="17" t="s">
        <v>2889</v>
      </c>
      <c r="M517" s="38" t="s">
        <v>2889</v>
      </c>
      <c r="N517" s="38" t="s">
        <v>2889</v>
      </c>
      <c r="O517" s="17" t="s">
        <v>2889</v>
      </c>
      <c r="P517" s="17" t="s">
        <v>2889</v>
      </c>
      <c r="T517" s="17" t="s">
        <v>2889</v>
      </c>
      <c r="U517" s="17" t="s">
        <v>2890</v>
      </c>
      <c r="V517" s="36"/>
      <c r="W517" s="17"/>
      <c r="X517" s="20">
        <v>60</v>
      </c>
    </row>
    <row r="518" spans="1:24">
      <c r="A518" s="1">
        <v>1800</v>
      </c>
      <c r="B518" s="35" t="s">
        <v>2955</v>
      </c>
      <c r="C518" s="1" t="s">
        <v>2895</v>
      </c>
      <c r="D518" s="1" t="s">
        <v>2956</v>
      </c>
      <c r="E518" s="35">
        <v>16</v>
      </c>
      <c r="F518" s="1" t="str">
        <f>VLOOKUP(E518,'ESTRUTURA_MODULO(hide)'!$A$2:$D$230,2,FALSE)</f>
        <v>Administração de Contratos (Preços)</v>
      </c>
      <c r="G518" s="1" t="str">
        <f>VLOOKUP(E518,'ESTRUTURA_MODULO(hide)'!$A$2:$D$95,3,FALSE)</f>
        <v>Administration of Contracts (Prices)</v>
      </c>
      <c r="H518" s="1" t="str">
        <f>VLOOKUP(E518,'ESTRUTURA_MODULO(hide)'!$A$2:$D$95,4,FALSE)</f>
        <v>Administración de Contractos (Precios)</v>
      </c>
      <c r="I518" s="37">
        <v>6</v>
      </c>
      <c r="J518" s="17" t="s">
        <v>2890</v>
      </c>
      <c r="K518" s="17" t="s">
        <v>2890</v>
      </c>
      <c r="L518" s="17" t="s">
        <v>2890</v>
      </c>
      <c r="M518" s="38" t="s">
        <v>2889</v>
      </c>
      <c r="N518" s="38" t="s">
        <v>2889</v>
      </c>
      <c r="O518" s="17" t="s">
        <v>2890</v>
      </c>
      <c r="P518" s="17" t="s">
        <v>2890</v>
      </c>
      <c r="T518" s="17" t="s">
        <v>2889</v>
      </c>
      <c r="U518" s="17" t="s">
        <v>2890</v>
      </c>
      <c r="V518" s="36"/>
      <c r="W518" s="17"/>
      <c r="X518" s="20">
        <v>12</v>
      </c>
    </row>
    <row r="519" spans="1:24">
      <c r="A519" s="1">
        <v>1115</v>
      </c>
      <c r="B519" s="1" t="s">
        <v>52</v>
      </c>
      <c r="C519" s="1" t="s">
        <v>801</v>
      </c>
      <c r="D519" s="1" t="s">
        <v>802</v>
      </c>
      <c r="E519" s="1">
        <v>16</v>
      </c>
      <c r="F519" s="1" t="str">
        <f>VLOOKUP(E519,'ESTRUTURA_MODULO(hide)'!$A$2:$D$230,2,FALSE)</f>
        <v>Administração de Contratos (Preços)</v>
      </c>
      <c r="G519" s="1" t="str">
        <f>VLOOKUP(E519,'ESTRUTURA_MODULO(hide)'!$A$2:$D$95,3,FALSE)</f>
        <v>Administration of Contracts (Prices)</v>
      </c>
      <c r="H519" s="1" t="str">
        <f>VLOOKUP(E519,'ESTRUTURA_MODULO(hide)'!$A$2:$D$95,4,FALSE)</f>
        <v>Administración de Contractos (Precios)</v>
      </c>
      <c r="I519" s="20">
        <v>0</v>
      </c>
      <c r="J519" s="17" t="s">
        <v>2890</v>
      </c>
      <c r="K519" s="17" t="s">
        <v>2890</v>
      </c>
      <c r="L519" s="17" t="s">
        <v>2890</v>
      </c>
      <c r="M519" s="17" t="s">
        <v>2890</v>
      </c>
      <c r="N519" s="17" t="s">
        <v>2890</v>
      </c>
      <c r="O519" s="17" t="s">
        <v>2890</v>
      </c>
      <c r="P519" s="17" t="s">
        <v>2890</v>
      </c>
      <c r="T519" s="17" t="s">
        <v>2889</v>
      </c>
      <c r="U519" s="17" t="s">
        <v>2890</v>
      </c>
      <c r="V519" s="21"/>
      <c r="W519" s="17"/>
      <c r="X519" s="20">
        <v>0</v>
      </c>
    </row>
    <row r="520" spans="1:24">
      <c r="A520" s="1">
        <v>295</v>
      </c>
      <c r="B520" s="35" t="s">
        <v>43</v>
      </c>
      <c r="C520" s="1" t="s">
        <v>818</v>
      </c>
      <c r="D520" s="1" t="s">
        <v>819</v>
      </c>
      <c r="E520" s="35">
        <v>18</v>
      </c>
      <c r="F520" s="1" t="str">
        <f>VLOOKUP(E520,'ESTRUTURA_MODULO(hide)'!$A$2:$D$230,2,FALSE)</f>
        <v>Manutenção</v>
      </c>
      <c r="G520" s="1" t="str">
        <f>VLOOKUP(E520,'ESTRUTURA_MODULO(hide)'!$A$2:$D$95,3,FALSE)</f>
        <v>Maintenance</v>
      </c>
      <c r="H520" s="1" t="str">
        <f>VLOOKUP(E520,'ESTRUTURA_MODULO(hide)'!$A$2:$D$95,4,FALSE)</f>
        <v>Mantenimiento</v>
      </c>
      <c r="I520" s="37">
        <v>8</v>
      </c>
      <c r="J520" s="17" t="s">
        <v>2889</v>
      </c>
      <c r="K520" s="17" t="s">
        <v>2889</v>
      </c>
      <c r="L520" s="17" t="s">
        <v>2889</v>
      </c>
      <c r="M520" s="38" t="s">
        <v>2889</v>
      </c>
      <c r="N520" s="38" t="s">
        <v>2889</v>
      </c>
      <c r="O520" s="17" t="s">
        <v>2889</v>
      </c>
      <c r="P520" s="17" t="s">
        <v>2889</v>
      </c>
      <c r="T520" s="17" t="s">
        <v>2889</v>
      </c>
      <c r="U520" s="17" t="s">
        <v>2890</v>
      </c>
      <c r="V520" s="36"/>
      <c r="W520" s="17"/>
      <c r="X520" s="20">
        <v>40</v>
      </c>
    </row>
    <row r="521" spans="1:24">
      <c r="A521" s="1">
        <v>298</v>
      </c>
      <c r="B521" s="35" t="s">
        <v>44</v>
      </c>
      <c r="C521" s="1" t="s">
        <v>814</v>
      </c>
      <c r="D521" s="1" t="s">
        <v>815</v>
      </c>
      <c r="E521" s="35">
        <v>18</v>
      </c>
      <c r="F521" s="1" t="str">
        <f>VLOOKUP(E521,'ESTRUTURA_MODULO(hide)'!$A$2:$D$230,2,FALSE)</f>
        <v>Manutenção</v>
      </c>
      <c r="G521" s="1" t="str">
        <f>VLOOKUP(E521,'ESTRUTURA_MODULO(hide)'!$A$2:$D$95,3,FALSE)</f>
        <v>Maintenance</v>
      </c>
      <c r="H521" s="1" t="str">
        <f>VLOOKUP(E521,'ESTRUTURA_MODULO(hide)'!$A$2:$D$95,4,FALSE)</f>
        <v>Mantenimiento</v>
      </c>
      <c r="I521" s="37">
        <v>12</v>
      </c>
      <c r="J521" s="17" t="s">
        <v>2889</v>
      </c>
      <c r="K521" s="17" t="s">
        <v>2889</v>
      </c>
      <c r="L521" s="17" t="s">
        <v>2889</v>
      </c>
      <c r="M521" s="38" t="s">
        <v>2889</v>
      </c>
      <c r="N521" s="38" t="s">
        <v>2889</v>
      </c>
      <c r="O521" s="17" t="s">
        <v>2889</v>
      </c>
      <c r="P521" s="17" t="s">
        <v>2889</v>
      </c>
      <c r="T521" s="17" t="s">
        <v>2889</v>
      </c>
      <c r="U521" s="17" t="s">
        <v>2890</v>
      </c>
      <c r="V521" s="36"/>
      <c r="W521" s="17"/>
      <c r="X521" s="20">
        <v>40</v>
      </c>
    </row>
    <row r="522" spans="1:24">
      <c r="A522" s="1">
        <v>297</v>
      </c>
      <c r="B522" s="35" t="s">
        <v>46</v>
      </c>
      <c r="C522" s="1" t="s">
        <v>816</v>
      </c>
      <c r="D522" s="1" t="s">
        <v>817</v>
      </c>
      <c r="E522" s="35">
        <v>18</v>
      </c>
      <c r="F522" s="1" t="str">
        <f>VLOOKUP(E522,'ESTRUTURA_MODULO(hide)'!$A$2:$D$230,2,FALSE)</f>
        <v>Manutenção</v>
      </c>
      <c r="G522" s="1" t="str">
        <f>VLOOKUP(E522,'ESTRUTURA_MODULO(hide)'!$A$2:$D$95,3,FALSE)</f>
        <v>Maintenance</v>
      </c>
      <c r="H522" s="1" t="str">
        <f>VLOOKUP(E522,'ESTRUTURA_MODULO(hide)'!$A$2:$D$95,4,FALSE)</f>
        <v>Mantenimiento</v>
      </c>
      <c r="I522" s="37">
        <v>24</v>
      </c>
      <c r="J522" s="17" t="s">
        <v>2889</v>
      </c>
      <c r="K522" s="17" t="s">
        <v>2889</v>
      </c>
      <c r="L522" s="17" t="s">
        <v>2889</v>
      </c>
      <c r="M522" s="38" t="s">
        <v>2889</v>
      </c>
      <c r="N522" s="38" t="s">
        <v>2889</v>
      </c>
      <c r="O522" s="17" t="s">
        <v>2889</v>
      </c>
      <c r="P522" s="17" t="s">
        <v>2889</v>
      </c>
      <c r="T522" s="17" t="s">
        <v>2889</v>
      </c>
      <c r="U522" s="17" t="s">
        <v>2890</v>
      </c>
      <c r="V522" s="36"/>
      <c r="W522" s="17"/>
      <c r="X522" s="20">
        <v>40</v>
      </c>
    </row>
    <row r="523" spans="1:24">
      <c r="A523" s="1">
        <v>299</v>
      </c>
      <c r="B523" s="426" t="s">
        <v>231</v>
      </c>
      <c r="C523" s="1" t="s">
        <v>816</v>
      </c>
      <c r="D523" s="1" t="s">
        <v>822</v>
      </c>
      <c r="E523" s="1">
        <v>18</v>
      </c>
      <c r="F523" s="1" t="str">
        <f>VLOOKUP(E523,'ESTRUTURA_MODULO(hide)'!$A$2:$D$230,2,FALSE)</f>
        <v>Manutenção</v>
      </c>
      <c r="G523" s="1" t="str">
        <f>VLOOKUP(E523,'ESTRUTURA_MODULO(hide)'!$A$2:$D$95,3,FALSE)</f>
        <v>Maintenance</v>
      </c>
      <c r="H523" s="1" t="str">
        <f>VLOOKUP(E523,'ESTRUTURA_MODULO(hide)'!$A$2:$D$95,4,FALSE)</f>
        <v>Mantenimiento</v>
      </c>
      <c r="I523" s="20">
        <v>0</v>
      </c>
      <c r="J523" s="17" t="s">
        <v>2890</v>
      </c>
      <c r="K523" s="17" t="s">
        <v>2890</v>
      </c>
      <c r="L523" s="17" t="s">
        <v>2890</v>
      </c>
      <c r="M523" s="17" t="s">
        <v>2890</v>
      </c>
      <c r="N523" s="17" t="s">
        <v>2890</v>
      </c>
      <c r="O523" s="17" t="s">
        <v>2890</v>
      </c>
      <c r="P523" s="17" t="s">
        <v>2890</v>
      </c>
      <c r="T523" s="17" t="s">
        <v>2889</v>
      </c>
      <c r="U523" s="17" t="s">
        <v>2890</v>
      </c>
      <c r="V523" s="21"/>
      <c r="W523" s="17"/>
      <c r="X523" s="20">
        <v>0</v>
      </c>
    </row>
    <row r="524" spans="1:24">
      <c r="A524" s="1">
        <v>1300</v>
      </c>
      <c r="B524" s="35" t="s">
        <v>230</v>
      </c>
      <c r="C524" s="1" t="s">
        <v>820</v>
      </c>
      <c r="D524" s="1" t="s">
        <v>821</v>
      </c>
      <c r="E524" s="35">
        <v>18</v>
      </c>
      <c r="F524" s="1" t="str">
        <f>VLOOKUP(E524,'ESTRUTURA_MODULO(hide)'!$A$2:$D$230,2,FALSE)</f>
        <v>Manutenção</v>
      </c>
      <c r="G524" s="1" t="str">
        <f>VLOOKUP(E524,'ESTRUTURA_MODULO(hide)'!$A$2:$D$95,3,FALSE)</f>
        <v>Maintenance</v>
      </c>
      <c r="H524" s="1" t="str">
        <f>VLOOKUP(E524,'ESTRUTURA_MODULO(hide)'!$A$2:$D$95,4,FALSE)</f>
        <v>Mantenimiento</v>
      </c>
      <c r="I524" s="37">
        <v>4</v>
      </c>
      <c r="J524" s="17" t="s">
        <v>2890</v>
      </c>
      <c r="K524" s="17" t="s">
        <v>2890</v>
      </c>
      <c r="L524" s="17" t="s">
        <v>2890</v>
      </c>
      <c r="M524" s="38" t="s">
        <v>2889</v>
      </c>
      <c r="N524" s="38" t="s">
        <v>2889</v>
      </c>
      <c r="O524" s="17" t="s">
        <v>2890</v>
      </c>
      <c r="P524" s="17" t="s">
        <v>2890</v>
      </c>
      <c r="T524" s="17" t="s">
        <v>2889</v>
      </c>
      <c r="U524" s="17" t="s">
        <v>2890</v>
      </c>
      <c r="V524" s="36"/>
      <c r="W524" s="17"/>
      <c r="X524" s="20">
        <v>24</v>
      </c>
    </row>
    <row r="525" spans="1:24">
      <c r="A525" s="1">
        <v>2500</v>
      </c>
      <c r="B525" s="35" t="s">
        <v>50</v>
      </c>
      <c r="C525" s="1" t="s">
        <v>825</v>
      </c>
      <c r="D525" s="1" t="s">
        <v>826</v>
      </c>
      <c r="E525" s="35">
        <v>20</v>
      </c>
      <c r="F525" s="1" t="str">
        <f>VLOOKUP(E525,'ESTRUTURA_MODULO(hide)'!$A$2:$D$230,2,FALSE)</f>
        <v>SAC</v>
      </c>
      <c r="G525" s="1" t="str">
        <f>VLOOKUP(E525,'ESTRUTURA_MODULO(hide)'!$A$2:$D$95,3,FALSE)</f>
        <v>Customer Service</v>
      </c>
      <c r="H525" s="1" t="str">
        <f>VLOOKUP(E525,'ESTRUTURA_MODULO(hide)'!$A$2:$D$95,4,FALSE)</f>
        <v>SAC</v>
      </c>
      <c r="I525" s="37">
        <v>8</v>
      </c>
      <c r="J525" s="17" t="s">
        <v>2890</v>
      </c>
      <c r="K525" s="17" t="s">
        <v>2889</v>
      </c>
      <c r="L525" s="17" t="s">
        <v>2889</v>
      </c>
      <c r="M525" s="38" t="s">
        <v>2889</v>
      </c>
      <c r="N525" s="38" t="s">
        <v>2889</v>
      </c>
      <c r="O525" s="17" t="s">
        <v>2889</v>
      </c>
      <c r="P525" s="17" t="s">
        <v>2889</v>
      </c>
      <c r="T525" s="17" t="s">
        <v>2889</v>
      </c>
      <c r="U525" s="17" t="s">
        <v>2890</v>
      </c>
      <c r="V525" s="36"/>
      <c r="W525" s="17"/>
      <c r="X525" s="20">
        <v>12</v>
      </c>
    </row>
    <row r="526" spans="1:24">
      <c r="A526" s="1">
        <v>2000</v>
      </c>
      <c r="B526" s="35" t="s">
        <v>49</v>
      </c>
      <c r="C526" s="1" t="s">
        <v>823</v>
      </c>
      <c r="D526" s="1" t="s">
        <v>824</v>
      </c>
      <c r="E526" s="35">
        <v>20</v>
      </c>
      <c r="F526" s="1" t="str">
        <f>VLOOKUP(E526,'ESTRUTURA_MODULO(hide)'!$A$2:$D$230,2,FALSE)</f>
        <v>SAC</v>
      </c>
      <c r="G526" s="1" t="str">
        <f>VLOOKUP(E526,'ESTRUTURA_MODULO(hide)'!$A$2:$D$95,3,FALSE)</f>
        <v>Customer Service</v>
      </c>
      <c r="H526" s="1" t="str">
        <f>VLOOKUP(E526,'ESTRUTURA_MODULO(hide)'!$A$2:$D$95,4,FALSE)</f>
        <v>SAC</v>
      </c>
      <c r="I526" s="37">
        <v>16</v>
      </c>
      <c r="J526" s="17" t="s">
        <v>2890</v>
      </c>
      <c r="K526" s="17" t="s">
        <v>2889</v>
      </c>
      <c r="L526" s="17" t="s">
        <v>2889</v>
      </c>
      <c r="M526" s="38" t="s">
        <v>2889</v>
      </c>
      <c r="N526" s="38" t="s">
        <v>2889</v>
      </c>
      <c r="O526" s="17" t="s">
        <v>2889</v>
      </c>
      <c r="P526" s="17" t="s">
        <v>2889</v>
      </c>
      <c r="T526" s="17" t="s">
        <v>2889</v>
      </c>
      <c r="U526" s="17" t="s">
        <v>2890</v>
      </c>
      <c r="V526" s="36"/>
      <c r="W526" s="17"/>
      <c r="X526" s="20">
        <v>20</v>
      </c>
    </row>
    <row r="527" spans="1:24">
      <c r="A527" s="1">
        <v>9019</v>
      </c>
      <c r="B527" s="427" t="s">
        <v>10</v>
      </c>
      <c r="C527" s="1" t="s">
        <v>522</v>
      </c>
      <c r="D527" s="1" t="s">
        <v>522</v>
      </c>
      <c r="E527" s="35">
        <v>22</v>
      </c>
      <c r="F527" s="1" t="str">
        <f>VLOOKUP(E527,'ESTRUTURA_MODULO(hide)'!$A$2:$D$230,2,FALSE)</f>
        <v>Consultório Médico (Ambulatório)</v>
      </c>
      <c r="G527" s="1" t="str">
        <f>VLOOKUP(E527,'ESTRUTURA_MODULO(hide)'!$A$2:$D$95,3,FALSE)</f>
        <v>Physician's office (Ambulatory)</v>
      </c>
      <c r="H527" s="1" t="str">
        <f>VLOOKUP(E527,'ESTRUTURA_MODULO(hide)'!$A$2:$D$95,4,FALSE)</f>
        <v>Consultório Médico (Ambulatorio)</v>
      </c>
      <c r="I527" s="39">
        <v>0</v>
      </c>
      <c r="J527" s="17" t="s">
        <v>2890</v>
      </c>
      <c r="K527" s="17" t="s">
        <v>2890</v>
      </c>
      <c r="L527" s="17" t="s">
        <v>2890</v>
      </c>
      <c r="M527" s="38" t="s">
        <v>2890</v>
      </c>
      <c r="N527" s="38" t="s">
        <v>2890</v>
      </c>
      <c r="O527" s="17" t="s">
        <v>2890</v>
      </c>
      <c r="P527" s="17" t="s">
        <v>2890</v>
      </c>
      <c r="T527" s="17" t="s">
        <v>2889</v>
      </c>
      <c r="U527" s="17" t="s">
        <v>2890</v>
      </c>
      <c r="V527" s="36"/>
      <c r="W527" s="17"/>
      <c r="X527" s="20">
        <v>0</v>
      </c>
    </row>
    <row r="528" spans="1:24">
      <c r="A528" s="1">
        <v>750</v>
      </c>
      <c r="B528" s="427" t="s">
        <v>827</v>
      </c>
      <c r="C528" s="1" t="s">
        <v>828</v>
      </c>
      <c r="D528" s="1" t="s">
        <v>827</v>
      </c>
      <c r="E528" s="35">
        <v>22</v>
      </c>
      <c r="F528" s="1" t="str">
        <f>VLOOKUP(E528,'ESTRUTURA_MODULO(hide)'!$A$2:$D$230,2,FALSE)</f>
        <v>Consultório Médico (Ambulatório)</v>
      </c>
      <c r="G528" s="1" t="str">
        <f>VLOOKUP(E528,'ESTRUTURA_MODULO(hide)'!$A$2:$D$95,3,FALSE)</f>
        <v>Physician's office (Ambulatory)</v>
      </c>
      <c r="H528" s="1" t="str">
        <f>VLOOKUP(E528,'ESTRUTURA_MODULO(hide)'!$A$2:$D$95,4,FALSE)</f>
        <v>Consultório Médico (Ambulatorio)</v>
      </c>
      <c r="I528" s="39">
        <v>0</v>
      </c>
      <c r="J528" s="17" t="s">
        <v>2890</v>
      </c>
      <c r="K528" s="17" t="s">
        <v>2890</v>
      </c>
      <c r="L528" s="17" t="s">
        <v>2890</v>
      </c>
      <c r="M528" s="38" t="s">
        <v>2890</v>
      </c>
      <c r="N528" s="38" t="s">
        <v>2890</v>
      </c>
      <c r="O528" s="17" t="s">
        <v>2890</v>
      </c>
      <c r="P528" s="17" t="s">
        <v>2890</v>
      </c>
      <c r="T528" s="17" t="s">
        <v>2889</v>
      </c>
      <c r="U528" s="17" t="s">
        <v>2890</v>
      </c>
      <c r="V528" s="36"/>
      <c r="W528" s="17"/>
      <c r="X528" s="20">
        <v>0</v>
      </c>
    </row>
    <row r="529" spans="1:24">
      <c r="A529" s="1">
        <v>775</v>
      </c>
      <c r="B529" s="427" t="s">
        <v>832</v>
      </c>
      <c r="C529" s="1" t="s">
        <v>833</v>
      </c>
      <c r="D529" s="1" t="s">
        <v>834</v>
      </c>
      <c r="E529" s="35">
        <v>22</v>
      </c>
      <c r="F529" s="1" t="str">
        <f>VLOOKUP(E529,'ESTRUTURA_MODULO(hide)'!$A$2:$D$230,2,FALSE)</f>
        <v>Consultório Médico (Ambulatório)</v>
      </c>
      <c r="G529" s="1" t="str">
        <f>VLOOKUP(E529,'ESTRUTURA_MODULO(hide)'!$A$2:$D$95,3,FALSE)</f>
        <v>Physician's office (Ambulatory)</v>
      </c>
      <c r="H529" s="1" t="str">
        <f>VLOOKUP(E529,'ESTRUTURA_MODULO(hide)'!$A$2:$D$95,4,FALSE)</f>
        <v>Consultório Médico (Ambulatorio)</v>
      </c>
      <c r="I529" s="39">
        <v>0</v>
      </c>
      <c r="J529" s="17" t="s">
        <v>2890</v>
      </c>
      <c r="K529" s="17" t="s">
        <v>2890</v>
      </c>
      <c r="L529" s="17" t="s">
        <v>2890</v>
      </c>
      <c r="M529" s="38" t="s">
        <v>2890</v>
      </c>
      <c r="N529" s="38" t="s">
        <v>2890</v>
      </c>
      <c r="O529" s="17" t="s">
        <v>2890</v>
      </c>
      <c r="P529" s="17" t="s">
        <v>2890</v>
      </c>
      <c r="T529" s="17" t="s">
        <v>2889</v>
      </c>
      <c r="U529" s="17" t="s">
        <v>2890</v>
      </c>
      <c r="V529" s="36"/>
      <c r="W529" s="17"/>
      <c r="X529" s="20">
        <v>0</v>
      </c>
    </row>
    <row r="530" spans="1:24">
      <c r="A530" s="1">
        <v>9007</v>
      </c>
      <c r="B530" s="427" t="s">
        <v>232</v>
      </c>
      <c r="C530" s="1" t="s">
        <v>841</v>
      </c>
      <c r="D530" s="1" t="s">
        <v>842</v>
      </c>
      <c r="E530" s="35">
        <v>22</v>
      </c>
      <c r="F530" s="1" t="str">
        <f>VLOOKUP(E530,'ESTRUTURA_MODULO(hide)'!$A$2:$D$230,2,FALSE)</f>
        <v>Consultório Médico (Ambulatório)</v>
      </c>
      <c r="G530" s="1" t="str">
        <f>VLOOKUP(E530,'ESTRUTURA_MODULO(hide)'!$A$2:$D$95,3,FALSE)</f>
        <v>Physician's office (Ambulatory)</v>
      </c>
      <c r="H530" s="1" t="str">
        <f>VLOOKUP(E530,'ESTRUTURA_MODULO(hide)'!$A$2:$D$95,4,FALSE)</f>
        <v>Consultório Médico (Ambulatorio)</v>
      </c>
      <c r="I530" s="39">
        <v>0</v>
      </c>
      <c r="J530" s="17" t="s">
        <v>2890</v>
      </c>
      <c r="K530" s="17" t="s">
        <v>2890</v>
      </c>
      <c r="L530" s="17" t="s">
        <v>2890</v>
      </c>
      <c r="M530" s="38" t="s">
        <v>2890</v>
      </c>
      <c r="N530" s="38" t="s">
        <v>2890</v>
      </c>
      <c r="O530" s="17" t="s">
        <v>2890</v>
      </c>
      <c r="P530" s="17" t="s">
        <v>2890</v>
      </c>
      <c r="T530" s="17" t="s">
        <v>2889</v>
      </c>
      <c r="U530" s="17" t="s">
        <v>2890</v>
      </c>
      <c r="V530" s="36"/>
      <c r="W530" s="17"/>
      <c r="X530" s="20">
        <v>0</v>
      </c>
    </row>
    <row r="531" spans="1:24">
      <c r="A531" s="1">
        <v>3003</v>
      </c>
      <c r="B531" s="427" t="s">
        <v>838</v>
      </c>
      <c r="C531" s="1" t="s">
        <v>839</v>
      </c>
      <c r="D531" s="1" t="s">
        <v>840</v>
      </c>
      <c r="E531" s="35">
        <v>22</v>
      </c>
      <c r="F531" s="1" t="str">
        <f>VLOOKUP(E531,'ESTRUTURA_MODULO(hide)'!$A$2:$D$230,2,FALSE)</f>
        <v>Consultório Médico (Ambulatório)</v>
      </c>
      <c r="G531" s="1" t="str">
        <f>VLOOKUP(E531,'ESTRUTURA_MODULO(hide)'!$A$2:$D$95,3,FALSE)</f>
        <v>Physician's office (Ambulatory)</v>
      </c>
      <c r="H531" s="1" t="str">
        <f>VLOOKUP(E531,'ESTRUTURA_MODULO(hide)'!$A$2:$D$95,4,FALSE)</f>
        <v>Consultório Médico (Ambulatorio)</v>
      </c>
      <c r="I531" s="39">
        <v>0</v>
      </c>
      <c r="J531" s="17" t="s">
        <v>2890</v>
      </c>
      <c r="K531" s="17" t="s">
        <v>2890</v>
      </c>
      <c r="L531" s="17" t="s">
        <v>2890</v>
      </c>
      <c r="M531" s="38" t="s">
        <v>2890</v>
      </c>
      <c r="N531" s="38" t="s">
        <v>2890</v>
      </c>
      <c r="O531" s="17" t="s">
        <v>2890</v>
      </c>
      <c r="P531" s="17" t="s">
        <v>2890</v>
      </c>
      <c r="T531" s="17" t="s">
        <v>2889</v>
      </c>
      <c r="U531" s="17" t="s">
        <v>2890</v>
      </c>
      <c r="V531" s="36"/>
      <c r="W531" s="17"/>
      <c r="X531" s="20">
        <v>0</v>
      </c>
    </row>
    <row r="532" spans="1:24">
      <c r="A532" s="1">
        <v>757</v>
      </c>
      <c r="B532" s="427" t="s">
        <v>892</v>
      </c>
      <c r="C532" s="1" t="s">
        <v>893</v>
      </c>
      <c r="D532" s="1" t="s">
        <v>894</v>
      </c>
      <c r="E532" s="35">
        <v>22</v>
      </c>
      <c r="F532" s="1" t="str">
        <f>VLOOKUP(E532,'ESTRUTURA_MODULO(hide)'!$A$2:$D$230,2,FALSE)</f>
        <v>Consultório Médico (Ambulatório)</v>
      </c>
      <c r="G532" s="1" t="str">
        <f>VLOOKUP(E532,'ESTRUTURA_MODULO(hide)'!$A$2:$D$95,3,FALSE)</f>
        <v>Physician's office (Ambulatory)</v>
      </c>
      <c r="H532" s="1" t="str">
        <f>VLOOKUP(E532,'ESTRUTURA_MODULO(hide)'!$A$2:$D$95,4,FALSE)</f>
        <v>Consultório Médico (Ambulatorio)</v>
      </c>
      <c r="I532" s="39">
        <v>0</v>
      </c>
      <c r="J532" s="17" t="s">
        <v>2890</v>
      </c>
      <c r="K532" s="17" t="s">
        <v>2890</v>
      </c>
      <c r="L532" s="17" t="s">
        <v>2890</v>
      </c>
      <c r="M532" s="38" t="s">
        <v>2890</v>
      </c>
      <c r="N532" s="38" t="s">
        <v>2890</v>
      </c>
      <c r="O532" s="17" t="s">
        <v>2890</v>
      </c>
      <c r="P532" s="17" t="s">
        <v>2890</v>
      </c>
      <c r="T532" s="17" t="s">
        <v>2889</v>
      </c>
      <c r="U532" s="17" t="s">
        <v>2890</v>
      </c>
      <c r="V532" s="36"/>
      <c r="W532" s="17"/>
      <c r="X532" s="20">
        <v>0</v>
      </c>
    </row>
    <row r="533" spans="1:24">
      <c r="A533" s="1">
        <v>756</v>
      </c>
      <c r="B533" s="427" t="s">
        <v>7</v>
      </c>
      <c r="C533" s="1" t="s">
        <v>890</v>
      </c>
      <c r="D533" s="1" t="s">
        <v>891</v>
      </c>
      <c r="E533" s="35">
        <v>22</v>
      </c>
      <c r="F533" s="1" t="str">
        <f>VLOOKUP(E533,'ESTRUTURA_MODULO(hide)'!$A$2:$D$230,2,FALSE)</f>
        <v>Consultório Médico (Ambulatório)</v>
      </c>
      <c r="G533" s="1" t="str">
        <f>VLOOKUP(E533,'ESTRUTURA_MODULO(hide)'!$A$2:$D$95,3,FALSE)</f>
        <v>Physician's office (Ambulatory)</v>
      </c>
      <c r="H533" s="1" t="str">
        <f>VLOOKUP(E533,'ESTRUTURA_MODULO(hide)'!$A$2:$D$95,4,FALSE)</f>
        <v>Consultório Médico (Ambulatorio)</v>
      </c>
      <c r="I533" s="39">
        <v>0</v>
      </c>
      <c r="J533" s="17" t="s">
        <v>2890</v>
      </c>
      <c r="K533" s="17" t="s">
        <v>2890</v>
      </c>
      <c r="L533" s="17" t="s">
        <v>2890</v>
      </c>
      <c r="M533" s="38" t="s">
        <v>2890</v>
      </c>
      <c r="N533" s="38" t="s">
        <v>2890</v>
      </c>
      <c r="O533" s="17" t="s">
        <v>2890</v>
      </c>
      <c r="P533" s="17" t="s">
        <v>2890</v>
      </c>
      <c r="T533" s="17" t="s">
        <v>2889</v>
      </c>
      <c r="U533" s="17" t="s">
        <v>2890</v>
      </c>
      <c r="V533" s="36"/>
      <c r="W533" s="17"/>
      <c r="X533" s="20">
        <v>0</v>
      </c>
    </row>
    <row r="534" spans="1:24">
      <c r="A534" s="1">
        <v>795</v>
      </c>
      <c r="B534" s="427" t="s">
        <v>887</v>
      </c>
      <c r="C534" s="1" t="s">
        <v>888</v>
      </c>
      <c r="D534" s="1" t="s">
        <v>889</v>
      </c>
      <c r="E534" s="35">
        <v>22</v>
      </c>
      <c r="F534" s="1" t="str">
        <f>VLOOKUP(E534,'ESTRUTURA_MODULO(hide)'!$A$2:$D$230,2,FALSE)</f>
        <v>Consultório Médico (Ambulatório)</v>
      </c>
      <c r="G534" s="1" t="str">
        <f>VLOOKUP(E534,'ESTRUTURA_MODULO(hide)'!$A$2:$D$95,3,FALSE)</f>
        <v>Physician's office (Ambulatory)</v>
      </c>
      <c r="H534" s="1" t="str">
        <f>VLOOKUP(E534,'ESTRUTURA_MODULO(hide)'!$A$2:$D$95,4,FALSE)</f>
        <v>Consultório Médico (Ambulatorio)</v>
      </c>
      <c r="I534" s="39">
        <v>0</v>
      </c>
      <c r="J534" s="17" t="s">
        <v>2890</v>
      </c>
      <c r="K534" s="17" t="s">
        <v>2890</v>
      </c>
      <c r="L534" s="17" t="s">
        <v>2890</v>
      </c>
      <c r="M534" s="38" t="s">
        <v>2890</v>
      </c>
      <c r="N534" s="38" t="s">
        <v>2890</v>
      </c>
      <c r="O534" s="17" t="s">
        <v>2890</v>
      </c>
      <c r="P534" s="17" t="s">
        <v>2890</v>
      </c>
      <c r="T534" s="17" t="s">
        <v>2889</v>
      </c>
      <c r="U534" s="17" t="s">
        <v>2890</v>
      </c>
      <c r="V534" s="36"/>
      <c r="W534" s="17"/>
      <c r="X534" s="20">
        <v>0</v>
      </c>
    </row>
    <row r="535" spans="1:24">
      <c r="A535" s="1">
        <v>773</v>
      </c>
      <c r="B535" s="427" t="s">
        <v>885</v>
      </c>
      <c r="C535" s="1" t="s">
        <v>886</v>
      </c>
      <c r="D535" s="1" t="s">
        <v>885</v>
      </c>
      <c r="E535" s="35">
        <v>22</v>
      </c>
      <c r="F535" s="1" t="str">
        <f>VLOOKUP(E535,'ESTRUTURA_MODULO(hide)'!$A$2:$D$230,2,FALSE)</f>
        <v>Consultório Médico (Ambulatório)</v>
      </c>
      <c r="G535" s="1" t="str">
        <f>VLOOKUP(E535,'ESTRUTURA_MODULO(hide)'!$A$2:$D$95,3,FALSE)</f>
        <v>Physician's office (Ambulatory)</v>
      </c>
      <c r="H535" s="1" t="str">
        <f>VLOOKUP(E535,'ESTRUTURA_MODULO(hide)'!$A$2:$D$95,4,FALSE)</f>
        <v>Consultório Médico (Ambulatorio)</v>
      </c>
      <c r="I535" s="39">
        <v>0</v>
      </c>
      <c r="J535" s="17" t="s">
        <v>2890</v>
      </c>
      <c r="K535" s="17" t="s">
        <v>2890</v>
      </c>
      <c r="L535" s="17" t="s">
        <v>2890</v>
      </c>
      <c r="M535" s="38" t="s">
        <v>2890</v>
      </c>
      <c r="N535" s="38" t="s">
        <v>2890</v>
      </c>
      <c r="O535" s="17" t="s">
        <v>2890</v>
      </c>
      <c r="P535" s="17" t="s">
        <v>2890</v>
      </c>
      <c r="T535" s="17" t="s">
        <v>2889</v>
      </c>
      <c r="U535" s="17" t="s">
        <v>2890</v>
      </c>
      <c r="V535" s="36"/>
      <c r="W535" s="17"/>
      <c r="X535" s="20">
        <v>0</v>
      </c>
    </row>
    <row r="536" spans="1:24">
      <c r="A536" s="1">
        <v>772</v>
      </c>
      <c r="B536" s="427" t="s">
        <v>882</v>
      </c>
      <c r="C536" s="1" t="s">
        <v>883</v>
      </c>
      <c r="D536" s="1" t="s">
        <v>884</v>
      </c>
      <c r="E536" s="35">
        <v>22</v>
      </c>
      <c r="F536" s="1" t="str">
        <f>VLOOKUP(E536,'ESTRUTURA_MODULO(hide)'!$A$2:$D$230,2,FALSE)</f>
        <v>Consultório Médico (Ambulatório)</v>
      </c>
      <c r="G536" s="1" t="str">
        <f>VLOOKUP(E536,'ESTRUTURA_MODULO(hide)'!$A$2:$D$95,3,FALSE)</f>
        <v>Physician's office (Ambulatory)</v>
      </c>
      <c r="H536" s="1" t="str">
        <f>VLOOKUP(E536,'ESTRUTURA_MODULO(hide)'!$A$2:$D$95,4,FALSE)</f>
        <v>Consultório Médico (Ambulatorio)</v>
      </c>
      <c r="I536" s="39">
        <v>0</v>
      </c>
      <c r="J536" s="17" t="s">
        <v>2890</v>
      </c>
      <c r="K536" s="17" t="s">
        <v>2890</v>
      </c>
      <c r="L536" s="17" t="s">
        <v>2890</v>
      </c>
      <c r="M536" s="38" t="s">
        <v>2890</v>
      </c>
      <c r="N536" s="38" t="s">
        <v>2890</v>
      </c>
      <c r="O536" s="17" t="s">
        <v>2890</v>
      </c>
      <c r="P536" s="17" t="s">
        <v>2890</v>
      </c>
      <c r="T536" s="17" t="s">
        <v>2889</v>
      </c>
      <c r="U536" s="17" t="s">
        <v>2890</v>
      </c>
      <c r="V536" s="36"/>
      <c r="W536" s="17"/>
      <c r="X536" s="20">
        <v>0</v>
      </c>
    </row>
    <row r="537" spans="1:24">
      <c r="A537" s="1">
        <v>783</v>
      </c>
      <c r="B537" s="427" t="s">
        <v>879</v>
      </c>
      <c r="C537" s="1" t="s">
        <v>880</v>
      </c>
      <c r="D537" s="1" t="s">
        <v>881</v>
      </c>
      <c r="E537" s="35">
        <v>22</v>
      </c>
      <c r="F537" s="1" t="str">
        <f>VLOOKUP(E537,'ESTRUTURA_MODULO(hide)'!$A$2:$D$230,2,FALSE)</f>
        <v>Consultório Médico (Ambulatório)</v>
      </c>
      <c r="G537" s="1" t="str">
        <f>VLOOKUP(E537,'ESTRUTURA_MODULO(hide)'!$A$2:$D$95,3,FALSE)</f>
        <v>Physician's office (Ambulatory)</v>
      </c>
      <c r="H537" s="1" t="str">
        <f>VLOOKUP(E537,'ESTRUTURA_MODULO(hide)'!$A$2:$D$95,4,FALSE)</f>
        <v>Consultório Médico (Ambulatorio)</v>
      </c>
      <c r="I537" s="39">
        <v>0</v>
      </c>
      <c r="J537" s="17" t="s">
        <v>2890</v>
      </c>
      <c r="K537" s="17" t="s">
        <v>2890</v>
      </c>
      <c r="L537" s="17" t="s">
        <v>2890</v>
      </c>
      <c r="M537" s="38" t="s">
        <v>2890</v>
      </c>
      <c r="N537" s="38" t="s">
        <v>2890</v>
      </c>
      <c r="O537" s="17" t="s">
        <v>2890</v>
      </c>
      <c r="P537" s="17" t="s">
        <v>2890</v>
      </c>
      <c r="T537" s="17" t="s">
        <v>2889</v>
      </c>
      <c r="U537" s="17" t="s">
        <v>2890</v>
      </c>
      <c r="V537" s="36"/>
      <c r="W537" s="17"/>
      <c r="X537" s="20">
        <v>0</v>
      </c>
    </row>
    <row r="538" spans="1:24">
      <c r="A538" s="1">
        <v>764</v>
      </c>
      <c r="B538" s="427" t="s">
        <v>899</v>
      </c>
      <c r="C538" s="1" t="s">
        <v>900</v>
      </c>
      <c r="D538" s="1" t="s">
        <v>899</v>
      </c>
      <c r="E538" s="35">
        <v>22</v>
      </c>
      <c r="F538" s="1" t="str">
        <f>VLOOKUP(E538,'ESTRUTURA_MODULO(hide)'!$A$2:$D$230,2,FALSE)</f>
        <v>Consultório Médico (Ambulatório)</v>
      </c>
      <c r="G538" s="1" t="str">
        <f>VLOOKUP(E538,'ESTRUTURA_MODULO(hide)'!$A$2:$D$95,3,FALSE)</f>
        <v>Physician's office (Ambulatory)</v>
      </c>
      <c r="H538" s="1" t="str">
        <f>VLOOKUP(E538,'ESTRUTURA_MODULO(hide)'!$A$2:$D$95,4,FALSE)</f>
        <v>Consultório Médico (Ambulatorio)</v>
      </c>
      <c r="I538" s="39">
        <v>0</v>
      </c>
      <c r="J538" s="17" t="s">
        <v>2890</v>
      </c>
      <c r="K538" s="17" t="s">
        <v>2890</v>
      </c>
      <c r="L538" s="17" t="s">
        <v>2890</v>
      </c>
      <c r="M538" s="38" t="s">
        <v>2890</v>
      </c>
      <c r="N538" s="38" t="s">
        <v>2890</v>
      </c>
      <c r="O538" s="17" t="s">
        <v>2890</v>
      </c>
      <c r="P538" s="17" t="s">
        <v>2890</v>
      </c>
      <c r="T538" s="17" t="s">
        <v>2889</v>
      </c>
      <c r="U538" s="17" t="s">
        <v>2890</v>
      </c>
      <c r="V538" s="36"/>
      <c r="W538" s="17"/>
      <c r="X538" s="20">
        <v>0</v>
      </c>
    </row>
    <row r="539" spans="1:24">
      <c r="A539" s="1">
        <v>758</v>
      </c>
      <c r="B539" s="427" t="s">
        <v>897</v>
      </c>
      <c r="C539" s="1" t="s">
        <v>898</v>
      </c>
      <c r="D539" s="1" t="s">
        <v>898</v>
      </c>
      <c r="E539" s="35">
        <v>22</v>
      </c>
      <c r="F539" s="1" t="str">
        <f>VLOOKUP(E539,'ESTRUTURA_MODULO(hide)'!$A$2:$D$230,2,FALSE)</f>
        <v>Consultório Médico (Ambulatório)</v>
      </c>
      <c r="G539" s="1" t="str">
        <f>VLOOKUP(E539,'ESTRUTURA_MODULO(hide)'!$A$2:$D$95,3,FALSE)</f>
        <v>Physician's office (Ambulatory)</v>
      </c>
      <c r="H539" s="1" t="str">
        <f>VLOOKUP(E539,'ESTRUTURA_MODULO(hide)'!$A$2:$D$95,4,FALSE)</f>
        <v>Consultório Médico (Ambulatorio)</v>
      </c>
      <c r="I539" s="39">
        <v>0</v>
      </c>
      <c r="J539" s="17" t="s">
        <v>2890</v>
      </c>
      <c r="K539" s="17" t="s">
        <v>2890</v>
      </c>
      <c r="L539" s="17" t="s">
        <v>2890</v>
      </c>
      <c r="M539" s="38" t="s">
        <v>2890</v>
      </c>
      <c r="N539" s="38" t="s">
        <v>2890</v>
      </c>
      <c r="O539" s="17" t="s">
        <v>2890</v>
      </c>
      <c r="P539" s="17" t="s">
        <v>2890</v>
      </c>
      <c r="T539" s="17" t="s">
        <v>2889</v>
      </c>
      <c r="U539" s="17" t="s">
        <v>2890</v>
      </c>
      <c r="V539" s="36"/>
      <c r="W539" s="17"/>
      <c r="X539" s="20">
        <v>0</v>
      </c>
    </row>
    <row r="540" spans="1:24">
      <c r="A540" s="1">
        <v>774</v>
      </c>
      <c r="B540" s="427" t="s">
        <v>895</v>
      </c>
      <c r="C540" s="1" t="s">
        <v>896</v>
      </c>
      <c r="D540" s="1" t="s">
        <v>895</v>
      </c>
      <c r="E540" s="35">
        <v>22</v>
      </c>
      <c r="F540" s="1" t="str">
        <f>VLOOKUP(E540,'ESTRUTURA_MODULO(hide)'!$A$2:$D$230,2,FALSE)</f>
        <v>Consultório Médico (Ambulatório)</v>
      </c>
      <c r="G540" s="1" t="str">
        <f>VLOOKUP(E540,'ESTRUTURA_MODULO(hide)'!$A$2:$D$95,3,FALSE)</f>
        <v>Physician's office (Ambulatory)</v>
      </c>
      <c r="H540" s="1" t="str">
        <f>VLOOKUP(E540,'ESTRUTURA_MODULO(hide)'!$A$2:$D$95,4,FALSE)</f>
        <v>Consultório Médico (Ambulatorio)</v>
      </c>
      <c r="I540" s="39">
        <v>0</v>
      </c>
      <c r="J540" s="17" t="s">
        <v>2890</v>
      </c>
      <c r="K540" s="17" t="s">
        <v>2890</v>
      </c>
      <c r="L540" s="17" t="s">
        <v>2890</v>
      </c>
      <c r="M540" s="38" t="s">
        <v>2890</v>
      </c>
      <c r="N540" s="38" t="s">
        <v>2890</v>
      </c>
      <c r="O540" s="17" t="s">
        <v>2890</v>
      </c>
      <c r="P540" s="17" t="s">
        <v>2890</v>
      </c>
      <c r="T540" s="17" t="s">
        <v>2889</v>
      </c>
      <c r="U540" s="17" t="s">
        <v>2890</v>
      </c>
      <c r="V540" s="36"/>
      <c r="W540" s="17"/>
      <c r="X540" s="20">
        <v>0</v>
      </c>
    </row>
    <row r="541" spans="1:24">
      <c r="A541" s="1">
        <v>782</v>
      </c>
      <c r="B541" s="427" t="s">
        <v>878</v>
      </c>
      <c r="C541" s="1" t="s">
        <v>1856</v>
      </c>
      <c r="D541" s="1" t="s">
        <v>878</v>
      </c>
      <c r="E541" s="35">
        <v>22</v>
      </c>
      <c r="F541" s="1" t="str">
        <f>VLOOKUP(E541,'ESTRUTURA_MODULO(hide)'!$A$2:$D$230,2,FALSE)</f>
        <v>Consultório Médico (Ambulatório)</v>
      </c>
      <c r="G541" s="1" t="str">
        <f>VLOOKUP(E541,'ESTRUTURA_MODULO(hide)'!$A$2:$D$95,3,FALSE)</f>
        <v>Physician's office (Ambulatory)</v>
      </c>
      <c r="H541" s="1" t="str">
        <f>VLOOKUP(E541,'ESTRUTURA_MODULO(hide)'!$A$2:$D$95,4,FALSE)</f>
        <v>Consultório Médico (Ambulatorio)</v>
      </c>
      <c r="I541" s="39">
        <v>0</v>
      </c>
      <c r="J541" s="17" t="s">
        <v>2890</v>
      </c>
      <c r="K541" s="17" t="s">
        <v>2890</v>
      </c>
      <c r="L541" s="17" t="s">
        <v>2890</v>
      </c>
      <c r="M541" s="38" t="s">
        <v>2890</v>
      </c>
      <c r="N541" s="38" t="s">
        <v>2890</v>
      </c>
      <c r="O541" s="17" t="s">
        <v>2890</v>
      </c>
      <c r="P541" s="17" t="s">
        <v>2890</v>
      </c>
      <c r="T541" s="17" t="s">
        <v>2889</v>
      </c>
      <c r="U541" s="17" t="s">
        <v>2890</v>
      </c>
      <c r="V541" s="36"/>
      <c r="W541" s="17"/>
      <c r="X541" s="20">
        <v>0</v>
      </c>
    </row>
    <row r="542" spans="1:24">
      <c r="A542" s="1">
        <v>793</v>
      </c>
      <c r="B542" s="427" t="s">
        <v>876</v>
      </c>
      <c r="C542" s="1" t="s">
        <v>877</v>
      </c>
      <c r="D542" s="1" t="s">
        <v>876</v>
      </c>
      <c r="E542" s="35">
        <v>22</v>
      </c>
      <c r="F542" s="1" t="str">
        <f>VLOOKUP(E542,'ESTRUTURA_MODULO(hide)'!$A$2:$D$230,2,FALSE)</f>
        <v>Consultório Médico (Ambulatório)</v>
      </c>
      <c r="G542" s="1" t="str">
        <f>VLOOKUP(E542,'ESTRUTURA_MODULO(hide)'!$A$2:$D$95,3,FALSE)</f>
        <v>Physician's office (Ambulatory)</v>
      </c>
      <c r="H542" s="1" t="str">
        <f>VLOOKUP(E542,'ESTRUTURA_MODULO(hide)'!$A$2:$D$95,4,FALSE)</f>
        <v>Consultório Médico (Ambulatorio)</v>
      </c>
      <c r="I542" s="39">
        <v>0</v>
      </c>
      <c r="J542" s="17" t="s">
        <v>2890</v>
      </c>
      <c r="K542" s="17" t="s">
        <v>2890</v>
      </c>
      <c r="L542" s="17" t="s">
        <v>2890</v>
      </c>
      <c r="M542" s="38" t="s">
        <v>2890</v>
      </c>
      <c r="N542" s="38" t="s">
        <v>2890</v>
      </c>
      <c r="O542" s="17" t="s">
        <v>2890</v>
      </c>
      <c r="P542" s="17" t="s">
        <v>2890</v>
      </c>
      <c r="T542" s="17" t="s">
        <v>2889</v>
      </c>
      <c r="U542" s="17" t="s">
        <v>2890</v>
      </c>
      <c r="V542" s="36"/>
      <c r="W542" s="17"/>
      <c r="X542" s="20">
        <v>0</v>
      </c>
    </row>
    <row r="543" spans="1:24">
      <c r="A543" s="1">
        <v>792</v>
      </c>
      <c r="B543" s="427" t="s">
        <v>873</v>
      </c>
      <c r="C543" s="1" t="s">
        <v>874</v>
      </c>
      <c r="D543" s="1" t="s">
        <v>875</v>
      </c>
      <c r="E543" s="35">
        <v>22</v>
      </c>
      <c r="F543" s="1" t="str">
        <f>VLOOKUP(E543,'ESTRUTURA_MODULO(hide)'!$A$2:$D$230,2,FALSE)</f>
        <v>Consultório Médico (Ambulatório)</v>
      </c>
      <c r="G543" s="1" t="str">
        <f>VLOOKUP(E543,'ESTRUTURA_MODULO(hide)'!$A$2:$D$95,3,FALSE)</f>
        <v>Physician's office (Ambulatory)</v>
      </c>
      <c r="H543" s="1" t="str">
        <f>VLOOKUP(E543,'ESTRUTURA_MODULO(hide)'!$A$2:$D$95,4,FALSE)</f>
        <v>Consultório Médico (Ambulatorio)</v>
      </c>
      <c r="I543" s="39">
        <v>0</v>
      </c>
      <c r="J543" s="17" t="s">
        <v>2890</v>
      </c>
      <c r="K543" s="17" t="s">
        <v>2890</v>
      </c>
      <c r="L543" s="17" t="s">
        <v>2890</v>
      </c>
      <c r="M543" s="38" t="s">
        <v>2890</v>
      </c>
      <c r="N543" s="38" t="s">
        <v>2890</v>
      </c>
      <c r="O543" s="17" t="s">
        <v>2890</v>
      </c>
      <c r="P543" s="17" t="s">
        <v>2890</v>
      </c>
      <c r="T543" s="17" t="s">
        <v>2889</v>
      </c>
      <c r="U543" s="17" t="s">
        <v>2890</v>
      </c>
      <c r="V543" s="36"/>
      <c r="W543" s="17"/>
      <c r="X543" s="20">
        <v>0</v>
      </c>
    </row>
    <row r="544" spans="1:24">
      <c r="A544" s="1">
        <v>771</v>
      </c>
      <c r="B544" s="427" t="s">
        <v>871</v>
      </c>
      <c r="C544" s="1" t="s">
        <v>872</v>
      </c>
      <c r="D544" s="1" t="s">
        <v>871</v>
      </c>
      <c r="E544" s="35">
        <v>22</v>
      </c>
      <c r="F544" s="1" t="str">
        <f>VLOOKUP(E544,'ESTRUTURA_MODULO(hide)'!$A$2:$D$230,2,FALSE)</f>
        <v>Consultório Médico (Ambulatório)</v>
      </c>
      <c r="G544" s="1" t="str">
        <f>VLOOKUP(E544,'ESTRUTURA_MODULO(hide)'!$A$2:$D$95,3,FALSE)</f>
        <v>Physician's office (Ambulatory)</v>
      </c>
      <c r="H544" s="1" t="str">
        <f>VLOOKUP(E544,'ESTRUTURA_MODULO(hide)'!$A$2:$D$95,4,FALSE)</f>
        <v>Consultório Médico (Ambulatorio)</v>
      </c>
      <c r="I544" s="39">
        <v>0</v>
      </c>
      <c r="J544" s="17" t="s">
        <v>2890</v>
      </c>
      <c r="K544" s="17" t="s">
        <v>2890</v>
      </c>
      <c r="L544" s="17" t="s">
        <v>2890</v>
      </c>
      <c r="M544" s="38" t="s">
        <v>2890</v>
      </c>
      <c r="N544" s="38" t="s">
        <v>2890</v>
      </c>
      <c r="O544" s="17" t="s">
        <v>2890</v>
      </c>
      <c r="P544" s="17" t="s">
        <v>2890</v>
      </c>
      <c r="T544" s="17" t="s">
        <v>2889</v>
      </c>
      <c r="U544" s="17" t="s">
        <v>2890</v>
      </c>
      <c r="V544" s="36"/>
      <c r="W544" s="17"/>
      <c r="X544" s="20">
        <v>0</v>
      </c>
    </row>
    <row r="545" spans="1:24">
      <c r="A545" s="1">
        <v>781</v>
      </c>
      <c r="B545" s="427" t="s">
        <v>868</v>
      </c>
      <c r="C545" s="1" t="s">
        <v>869</v>
      </c>
      <c r="D545" s="1" t="s">
        <v>870</v>
      </c>
      <c r="E545" s="35">
        <v>22</v>
      </c>
      <c r="F545" s="1" t="str">
        <f>VLOOKUP(E545,'ESTRUTURA_MODULO(hide)'!$A$2:$D$230,2,FALSE)</f>
        <v>Consultório Médico (Ambulatório)</v>
      </c>
      <c r="G545" s="1" t="str">
        <f>VLOOKUP(E545,'ESTRUTURA_MODULO(hide)'!$A$2:$D$95,3,FALSE)</f>
        <v>Physician's office (Ambulatory)</v>
      </c>
      <c r="H545" s="1" t="str">
        <f>VLOOKUP(E545,'ESTRUTURA_MODULO(hide)'!$A$2:$D$95,4,FALSE)</f>
        <v>Consultório Médico (Ambulatorio)</v>
      </c>
      <c r="I545" s="39">
        <v>0</v>
      </c>
      <c r="J545" s="17" t="s">
        <v>2890</v>
      </c>
      <c r="K545" s="17" t="s">
        <v>2890</v>
      </c>
      <c r="L545" s="17" t="s">
        <v>2890</v>
      </c>
      <c r="M545" s="38" t="s">
        <v>2890</v>
      </c>
      <c r="N545" s="38" t="s">
        <v>2890</v>
      </c>
      <c r="O545" s="17" t="s">
        <v>2890</v>
      </c>
      <c r="P545" s="17" t="s">
        <v>2890</v>
      </c>
      <c r="T545" s="17" t="s">
        <v>2889</v>
      </c>
      <c r="U545" s="17" t="s">
        <v>2890</v>
      </c>
      <c r="V545" s="36"/>
      <c r="W545" s="17"/>
      <c r="X545" s="20">
        <v>0</v>
      </c>
    </row>
    <row r="546" spans="1:24">
      <c r="A546" s="1">
        <v>786</v>
      </c>
      <c r="B546" s="427" t="s">
        <v>865</v>
      </c>
      <c r="C546" s="1" t="s">
        <v>866</v>
      </c>
      <c r="D546" s="1" t="s">
        <v>867</v>
      </c>
      <c r="E546" s="35">
        <v>22</v>
      </c>
      <c r="F546" s="1" t="str">
        <f>VLOOKUP(E546,'ESTRUTURA_MODULO(hide)'!$A$2:$D$230,2,FALSE)</f>
        <v>Consultório Médico (Ambulatório)</v>
      </c>
      <c r="G546" s="1" t="str">
        <f>VLOOKUP(E546,'ESTRUTURA_MODULO(hide)'!$A$2:$D$95,3,FALSE)</f>
        <v>Physician's office (Ambulatory)</v>
      </c>
      <c r="H546" s="1" t="str">
        <f>VLOOKUP(E546,'ESTRUTURA_MODULO(hide)'!$A$2:$D$95,4,FALSE)</f>
        <v>Consultório Médico (Ambulatorio)</v>
      </c>
      <c r="I546" s="39">
        <v>0</v>
      </c>
      <c r="J546" s="17" t="s">
        <v>2890</v>
      </c>
      <c r="K546" s="17" t="s">
        <v>2890</v>
      </c>
      <c r="L546" s="17" t="s">
        <v>2890</v>
      </c>
      <c r="M546" s="38" t="s">
        <v>2890</v>
      </c>
      <c r="N546" s="38" t="s">
        <v>2890</v>
      </c>
      <c r="O546" s="17" t="s">
        <v>2890</v>
      </c>
      <c r="P546" s="17" t="s">
        <v>2890</v>
      </c>
      <c r="T546" s="17" t="s">
        <v>2889</v>
      </c>
      <c r="U546" s="17" t="s">
        <v>2890</v>
      </c>
      <c r="V546" s="36"/>
      <c r="W546" s="17"/>
      <c r="X546" s="20">
        <v>0</v>
      </c>
    </row>
    <row r="547" spans="1:24">
      <c r="A547" s="1">
        <v>785</v>
      </c>
      <c r="B547" s="427" t="s">
        <v>862</v>
      </c>
      <c r="C547" s="1" t="s">
        <v>863</v>
      </c>
      <c r="D547" s="1" t="s">
        <v>864</v>
      </c>
      <c r="E547" s="35">
        <v>22</v>
      </c>
      <c r="F547" s="1" t="str">
        <f>VLOOKUP(E547,'ESTRUTURA_MODULO(hide)'!$A$2:$D$230,2,FALSE)</f>
        <v>Consultório Médico (Ambulatório)</v>
      </c>
      <c r="G547" s="1" t="str">
        <f>VLOOKUP(E547,'ESTRUTURA_MODULO(hide)'!$A$2:$D$95,3,FALSE)</f>
        <v>Physician's office (Ambulatory)</v>
      </c>
      <c r="H547" s="1" t="str">
        <f>VLOOKUP(E547,'ESTRUTURA_MODULO(hide)'!$A$2:$D$95,4,FALSE)</f>
        <v>Consultório Médico (Ambulatorio)</v>
      </c>
      <c r="I547" s="39">
        <v>0</v>
      </c>
      <c r="J547" s="17" t="s">
        <v>2890</v>
      </c>
      <c r="K547" s="17" t="s">
        <v>2890</v>
      </c>
      <c r="L547" s="17" t="s">
        <v>2890</v>
      </c>
      <c r="M547" s="38" t="s">
        <v>2890</v>
      </c>
      <c r="N547" s="38" t="s">
        <v>2890</v>
      </c>
      <c r="O547" s="17" t="s">
        <v>2890</v>
      </c>
      <c r="P547" s="17" t="s">
        <v>2890</v>
      </c>
      <c r="T547" s="17" t="s">
        <v>2889</v>
      </c>
      <c r="U547" s="17" t="s">
        <v>2890</v>
      </c>
      <c r="V547" s="36"/>
      <c r="W547" s="17"/>
      <c r="X547" s="20">
        <v>0</v>
      </c>
    </row>
    <row r="548" spans="1:24">
      <c r="A548" s="1">
        <v>755</v>
      </c>
      <c r="B548" s="427" t="s">
        <v>0</v>
      </c>
      <c r="C548" s="1" t="s">
        <v>674</v>
      </c>
      <c r="D548" s="1" t="s">
        <v>676</v>
      </c>
      <c r="E548" s="35">
        <v>22</v>
      </c>
      <c r="F548" s="1" t="str">
        <f>VLOOKUP(E548,'ESTRUTURA_MODULO(hide)'!$A$2:$D$230,2,FALSE)</f>
        <v>Consultório Médico (Ambulatório)</v>
      </c>
      <c r="G548" s="1" t="str">
        <f>VLOOKUP(E548,'ESTRUTURA_MODULO(hide)'!$A$2:$D$95,3,FALSE)</f>
        <v>Physician's office (Ambulatory)</v>
      </c>
      <c r="H548" s="1" t="str">
        <f>VLOOKUP(E548,'ESTRUTURA_MODULO(hide)'!$A$2:$D$95,4,FALSE)</f>
        <v>Consultório Médico (Ambulatorio)</v>
      </c>
      <c r="I548" s="39">
        <v>0</v>
      </c>
      <c r="J548" s="17" t="s">
        <v>2890</v>
      </c>
      <c r="K548" s="17" t="s">
        <v>2890</v>
      </c>
      <c r="L548" s="17" t="s">
        <v>2890</v>
      </c>
      <c r="M548" s="38" t="s">
        <v>2890</v>
      </c>
      <c r="N548" s="38" t="s">
        <v>2890</v>
      </c>
      <c r="O548" s="17" t="s">
        <v>2890</v>
      </c>
      <c r="P548" s="17" t="s">
        <v>2890</v>
      </c>
      <c r="T548" s="17" t="s">
        <v>2889</v>
      </c>
      <c r="U548" s="17" t="s">
        <v>2890</v>
      </c>
      <c r="V548" s="36"/>
      <c r="W548" s="17"/>
      <c r="X548" s="20">
        <v>0</v>
      </c>
    </row>
    <row r="549" spans="1:24">
      <c r="A549" s="1">
        <v>754</v>
      </c>
      <c r="B549" s="427" t="s">
        <v>860</v>
      </c>
      <c r="C549" s="1" t="s">
        <v>861</v>
      </c>
      <c r="D549" s="1" t="s">
        <v>860</v>
      </c>
      <c r="E549" s="35">
        <v>22</v>
      </c>
      <c r="F549" s="1" t="str">
        <f>VLOOKUP(E549,'ESTRUTURA_MODULO(hide)'!$A$2:$D$230,2,FALSE)</f>
        <v>Consultório Médico (Ambulatório)</v>
      </c>
      <c r="G549" s="1" t="str">
        <f>VLOOKUP(E549,'ESTRUTURA_MODULO(hide)'!$A$2:$D$95,3,FALSE)</f>
        <v>Physician's office (Ambulatory)</v>
      </c>
      <c r="H549" s="1" t="str">
        <f>VLOOKUP(E549,'ESTRUTURA_MODULO(hide)'!$A$2:$D$95,4,FALSE)</f>
        <v>Consultório Médico (Ambulatorio)</v>
      </c>
      <c r="I549" s="39">
        <v>0</v>
      </c>
      <c r="J549" s="17" t="s">
        <v>2890</v>
      </c>
      <c r="K549" s="17" t="s">
        <v>2890</v>
      </c>
      <c r="L549" s="17" t="s">
        <v>2890</v>
      </c>
      <c r="M549" s="38" t="s">
        <v>2890</v>
      </c>
      <c r="N549" s="38" t="s">
        <v>2890</v>
      </c>
      <c r="O549" s="17" t="s">
        <v>2890</v>
      </c>
      <c r="P549" s="17" t="s">
        <v>2890</v>
      </c>
      <c r="T549" s="17" t="s">
        <v>2889</v>
      </c>
      <c r="U549" s="17" t="s">
        <v>2890</v>
      </c>
      <c r="V549" s="36"/>
      <c r="W549" s="17"/>
      <c r="X549" s="20">
        <v>0</v>
      </c>
    </row>
    <row r="550" spans="1:24">
      <c r="A550" s="1">
        <v>784</v>
      </c>
      <c r="B550" s="427" t="s">
        <v>829</v>
      </c>
      <c r="C550" s="1" t="s">
        <v>830</v>
      </c>
      <c r="D550" s="1" t="s">
        <v>831</v>
      </c>
      <c r="E550" s="35">
        <v>22</v>
      </c>
      <c r="F550" s="1" t="str">
        <f>VLOOKUP(E550,'ESTRUTURA_MODULO(hide)'!$A$2:$D$230,2,FALSE)</f>
        <v>Consultório Médico (Ambulatório)</v>
      </c>
      <c r="G550" s="1" t="str">
        <f>VLOOKUP(E550,'ESTRUTURA_MODULO(hide)'!$A$2:$D$95,3,FALSE)</f>
        <v>Physician's office (Ambulatory)</v>
      </c>
      <c r="H550" s="1" t="str">
        <f>VLOOKUP(E550,'ESTRUTURA_MODULO(hide)'!$A$2:$D$95,4,FALSE)</f>
        <v>Consultório Médico (Ambulatorio)</v>
      </c>
      <c r="I550" s="39">
        <v>0</v>
      </c>
      <c r="J550" s="17" t="s">
        <v>2890</v>
      </c>
      <c r="K550" s="17" t="s">
        <v>2890</v>
      </c>
      <c r="L550" s="17" t="s">
        <v>2890</v>
      </c>
      <c r="M550" s="38" t="s">
        <v>2890</v>
      </c>
      <c r="N550" s="38" t="s">
        <v>2890</v>
      </c>
      <c r="O550" s="17" t="s">
        <v>2890</v>
      </c>
      <c r="P550" s="17" t="s">
        <v>2890</v>
      </c>
      <c r="T550" s="17" t="s">
        <v>2889</v>
      </c>
      <c r="U550" s="17" t="s">
        <v>2890</v>
      </c>
      <c r="V550" s="36"/>
      <c r="W550" s="17"/>
      <c r="X550" s="20">
        <v>0</v>
      </c>
    </row>
    <row r="551" spans="1:24">
      <c r="A551" s="1">
        <v>765</v>
      </c>
      <c r="B551" s="427" t="s">
        <v>849</v>
      </c>
      <c r="C551" s="1" t="s">
        <v>850</v>
      </c>
      <c r="D551" s="1" t="s">
        <v>851</v>
      </c>
      <c r="E551" s="35">
        <v>22</v>
      </c>
      <c r="F551" s="1" t="str">
        <f>VLOOKUP(E551,'ESTRUTURA_MODULO(hide)'!$A$2:$D$230,2,FALSE)</f>
        <v>Consultório Médico (Ambulatório)</v>
      </c>
      <c r="G551" s="1" t="str">
        <f>VLOOKUP(E551,'ESTRUTURA_MODULO(hide)'!$A$2:$D$95,3,FALSE)</f>
        <v>Physician's office (Ambulatory)</v>
      </c>
      <c r="H551" s="1" t="str">
        <f>VLOOKUP(E551,'ESTRUTURA_MODULO(hide)'!$A$2:$D$95,4,FALSE)</f>
        <v>Consultório Médico (Ambulatorio)</v>
      </c>
      <c r="I551" s="39">
        <v>0</v>
      </c>
      <c r="J551" s="17" t="s">
        <v>2890</v>
      </c>
      <c r="K551" s="17" t="s">
        <v>2890</v>
      </c>
      <c r="L551" s="17" t="s">
        <v>2890</v>
      </c>
      <c r="M551" s="38" t="s">
        <v>2890</v>
      </c>
      <c r="N551" s="38" t="s">
        <v>2890</v>
      </c>
      <c r="O551" s="17" t="s">
        <v>2890</v>
      </c>
      <c r="P551" s="17" t="s">
        <v>2890</v>
      </c>
      <c r="T551" s="17" t="s">
        <v>2889</v>
      </c>
      <c r="U551" s="17" t="s">
        <v>2890</v>
      </c>
      <c r="V551" s="36"/>
      <c r="W551" s="17"/>
      <c r="X551" s="20">
        <v>0</v>
      </c>
    </row>
    <row r="552" spans="1:24">
      <c r="A552" s="1">
        <v>796</v>
      </c>
      <c r="B552" s="35" t="s">
        <v>846</v>
      </c>
      <c r="C552" s="1" t="s">
        <v>847</v>
      </c>
      <c r="D552" s="1" t="s">
        <v>848</v>
      </c>
      <c r="E552" s="35">
        <v>22</v>
      </c>
      <c r="F552" s="1" t="str">
        <f>VLOOKUP(E552,'ESTRUTURA_MODULO(hide)'!$A$2:$D$230,2,FALSE)</f>
        <v>Consultório Médico (Ambulatório)</v>
      </c>
      <c r="G552" s="1" t="str">
        <f>VLOOKUP(E552,'ESTRUTURA_MODULO(hide)'!$A$2:$D$95,3,FALSE)</f>
        <v>Physician's office (Ambulatory)</v>
      </c>
      <c r="H552" s="1" t="str">
        <f>VLOOKUP(E552,'ESTRUTURA_MODULO(hide)'!$A$2:$D$95,4,FALSE)</f>
        <v>Consultório Médico (Ambulatorio)</v>
      </c>
      <c r="I552" s="39">
        <v>0</v>
      </c>
      <c r="J552" s="17" t="s">
        <v>2890</v>
      </c>
      <c r="K552" s="17" t="s">
        <v>2890</v>
      </c>
      <c r="L552" s="17" t="s">
        <v>2890</v>
      </c>
      <c r="M552" s="38" t="s">
        <v>2890</v>
      </c>
      <c r="N552" s="38" t="s">
        <v>2890</v>
      </c>
      <c r="O552" s="17" t="s">
        <v>2890</v>
      </c>
      <c r="P552" s="17" t="s">
        <v>2890</v>
      </c>
      <c r="T552" s="17" t="s">
        <v>2889</v>
      </c>
      <c r="U552" s="17" t="s">
        <v>2890</v>
      </c>
      <c r="V552" s="36"/>
      <c r="W552" s="17"/>
      <c r="X552" s="20">
        <v>0</v>
      </c>
    </row>
    <row r="553" spans="1:24">
      <c r="A553" s="1">
        <v>759</v>
      </c>
      <c r="B553" s="427" t="s">
        <v>843</v>
      </c>
      <c r="C553" s="1" t="s">
        <v>844</v>
      </c>
      <c r="D553" s="1" t="s">
        <v>845</v>
      </c>
      <c r="E553" s="35">
        <v>22</v>
      </c>
      <c r="F553" s="1" t="str">
        <f>VLOOKUP(E553,'ESTRUTURA_MODULO(hide)'!$A$2:$D$230,2,FALSE)</f>
        <v>Consultório Médico (Ambulatório)</v>
      </c>
      <c r="G553" s="1" t="str">
        <f>VLOOKUP(E553,'ESTRUTURA_MODULO(hide)'!$A$2:$D$95,3,FALSE)</f>
        <v>Physician's office (Ambulatory)</v>
      </c>
      <c r="H553" s="1" t="str">
        <f>VLOOKUP(E553,'ESTRUTURA_MODULO(hide)'!$A$2:$D$95,4,FALSE)</f>
        <v>Consultório Médico (Ambulatorio)</v>
      </c>
      <c r="I553" s="39">
        <v>0</v>
      </c>
      <c r="J553" s="17" t="s">
        <v>2890</v>
      </c>
      <c r="K553" s="17" t="s">
        <v>2890</v>
      </c>
      <c r="L553" s="17" t="s">
        <v>2890</v>
      </c>
      <c r="M553" s="38" t="s">
        <v>2890</v>
      </c>
      <c r="N553" s="38" t="s">
        <v>2890</v>
      </c>
      <c r="O553" s="17" t="s">
        <v>2890</v>
      </c>
      <c r="P553" s="17" t="s">
        <v>2890</v>
      </c>
      <c r="T553" s="17" t="s">
        <v>2889</v>
      </c>
      <c r="U553" s="17" t="s">
        <v>2890</v>
      </c>
      <c r="V553" s="36"/>
      <c r="W553" s="17"/>
      <c r="X553" s="20">
        <v>0</v>
      </c>
    </row>
    <row r="554" spans="1:24">
      <c r="A554" s="1">
        <v>760</v>
      </c>
      <c r="B554" s="427" t="s">
        <v>835</v>
      </c>
      <c r="C554" s="1" t="s">
        <v>836</v>
      </c>
      <c r="D554" s="1" t="s">
        <v>837</v>
      </c>
      <c r="E554" s="35">
        <v>22</v>
      </c>
      <c r="F554" s="1" t="str">
        <f>VLOOKUP(E554,'ESTRUTURA_MODULO(hide)'!$A$2:$D$230,2,FALSE)</f>
        <v>Consultório Médico (Ambulatório)</v>
      </c>
      <c r="G554" s="1" t="str">
        <f>VLOOKUP(E554,'ESTRUTURA_MODULO(hide)'!$A$2:$D$95,3,FALSE)</f>
        <v>Physician's office (Ambulatory)</v>
      </c>
      <c r="H554" s="1" t="str">
        <f>VLOOKUP(E554,'ESTRUTURA_MODULO(hide)'!$A$2:$D$95,4,FALSE)</f>
        <v>Consultório Médico (Ambulatorio)</v>
      </c>
      <c r="I554" s="39">
        <v>0</v>
      </c>
      <c r="J554" s="17" t="s">
        <v>2890</v>
      </c>
      <c r="K554" s="17" t="s">
        <v>2890</v>
      </c>
      <c r="L554" s="17" t="s">
        <v>2890</v>
      </c>
      <c r="M554" s="38" t="s">
        <v>2890</v>
      </c>
      <c r="N554" s="38" t="s">
        <v>2890</v>
      </c>
      <c r="O554" s="17" t="s">
        <v>2890</v>
      </c>
      <c r="P554" s="17" t="s">
        <v>2890</v>
      </c>
      <c r="T554" s="17" t="s">
        <v>2889</v>
      </c>
      <c r="U554" s="17" t="s">
        <v>2890</v>
      </c>
      <c r="V554" s="36"/>
      <c r="W554" s="17"/>
      <c r="X554" s="20">
        <v>0</v>
      </c>
    </row>
    <row r="555" spans="1:24">
      <c r="A555" s="1">
        <v>753</v>
      </c>
      <c r="B555" s="427" t="s">
        <v>858</v>
      </c>
      <c r="C555" s="1" t="s">
        <v>859</v>
      </c>
      <c r="D555" s="1" t="s">
        <v>858</v>
      </c>
      <c r="E555" s="35">
        <v>22</v>
      </c>
      <c r="F555" s="1" t="str">
        <f>VLOOKUP(E555,'ESTRUTURA_MODULO(hide)'!$A$2:$D$230,2,FALSE)</f>
        <v>Consultório Médico (Ambulatório)</v>
      </c>
      <c r="G555" s="1" t="str">
        <f>VLOOKUP(E555,'ESTRUTURA_MODULO(hide)'!$A$2:$D$95,3,FALSE)</f>
        <v>Physician's office (Ambulatory)</v>
      </c>
      <c r="H555" s="1" t="str">
        <f>VLOOKUP(E555,'ESTRUTURA_MODULO(hide)'!$A$2:$D$95,4,FALSE)</f>
        <v>Consultório Médico (Ambulatorio)</v>
      </c>
      <c r="I555" s="39">
        <v>0</v>
      </c>
      <c r="J555" s="17" t="s">
        <v>2890</v>
      </c>
      <c r="K555" s="17" t="s">
        <v>2890</v>
      </c>
      <c r="L555" s="17" t="s">
        <v>2890</v>
      </c>
      <c r="M555" s="38" t="s">
        <v>2890</v>
      </c>
      <c r="N555" s="38" t="s">
        <v>2890</v>
      </c>
      <c r="O555" s="17" t="s">
        <v>2890</v>
      </c>
      <c r="P555" s="17" t="s">
        <v>2890</v>
      </c>
      <c r="T555" s="17" t="s">
        <v>2889</v>
      </c>
      <c r="U555" s="17" t="s">
        <v>2890</v>
      </c>
      <c r="V555" s="36"/>
      <c r="W555" s="17"/>
      <c r="X555" s="20">
        <v>0</v>
      </c>
    </row>
    <row r="556" spans="1:24">
      <c r="A556" s="1">
        <v>752</v>
      </c>
      <c r="B556" s="427" t="s">
        <v>204</v>
      </c>
      <c r="C556" s="1" t="s">
        <v>664</v>
      </c>
      <c r="D556" s="1" t="s">
        <v>204</v>
      </c>
      <c r="E556" s="35">
        <v>22</v>
      </c>
      <c r="F556" s="1" t="str">
        <f>VLOOKUP(E556,'ESTRUTURA_MODULO(hide)'!$A$2:$D$230,2,FALSE)</f>
        <v>Consultório Médico (Ambulatório)</v>
      </c>
      <c r="G556" s="1" t="str">
        <f>VLOOKUP(E556,'ESTRUTURA_MODULO(hide)'!$A$2:$D$95,3,FALSE)</f>
        <v>Physician's office (Ambulatory)</v>
      </c>
      <c r="H556" s="1" t="str">
        <f>VLOOKUP(E556,'ESTRUTURA_MODULO(hide)'!$A$2:$D$95,4,FALSE)</f>
        <v>Consultório Médico (Ambulatorio)</v>
      </c>
      <c r="I556" s="39">
        <v>0</v>
      </c>
      <c r="J556" s="17" t="s">
        <v>2890</v>
      </c>
      <c r="K556" s="17" t="s">
        <v>2890</v>
      </c>
      <c r="L556" s="17" t="s">
        <v>2890</v>
      </c>
      <c r="M556" s="38" t="s">
        <v>2890</v>
      </c>
      <c r="N556" s="38" t="s">
        <v>2890</v>
      </c>
      <c r="O556" s="17" t="s">
        <v>2890</v>
      </c>
      <c r="P556" s="17" t="s">
        <v>2890</v>
      </c>
      <c r="T556" s="17" t="s">
        <v>2889</v>
      </c>
      <c r="U556" s="17" t="s">
        <v>2890</v>
      </c>
      <c r="V556" s="36"/>
      <c r="W556" s="17"/>
      <c r="X556" s="20">
        <v>0</v>
      </c>
    </row>
    <row r="557" spans="1:24">
      <c r="A557" s="1">
        <v>751</v>
      </c>
      <c r="B557" s="427" t="s">
        <v>856</v>
      </c>
      <c r="C557" s="1" t="s">
        <v>857</v>
      </c>
      <c r="D557" s="1" t="s">
        <v>856</v>
      </c>
      <c r="E557" s="35">
        <v>22</v>
      </c>
      <c r="F557" s="1" t="str">
        <f>VLOOKUP(E557,'ESTRUTURA_MODULO(hide)'!$A$2:$D$230,2,FALSE)</f>
        <v>Consultório Médico (Ambulatório)</v>
      </c>
      <c r="G557" s="1" t="str">
        <f>VLOOKUP(E557,'ESTRUTURA_MODULO(hide)'!$A$2:$D$95,3,FALSE)</f>
        <v>Physician's office (Ambulatory)</v>
      </c>
      <c r="H557" s="1" t="str">
        <f>VLOOKUP(E557,'ESTRUTURA_MODULO(hide)'!$A$2:$D$95,4,FALSE)</f>
        <v>Consultório Médico (Ambulatorio)</v>
      </c>
      <c r="I557" s="39">
        <v>0</v>
      </c>
      <c r="J557" s="17" t="s">
        <v>2890</v>
      </c>
      <c r="K557" s="17" t="s">
        <v>2890</v>
      </c>
      <c r="L557" s="17" t="s">
        <v>2890</v>
      </c>
      <c r="M557" s="38" t="s">
        <v>2890</v>
      </c>
      <c r="N557" s="38" t="s">
        <v>2890</v>
      </c>
      <c r="O557" s="17" t="s">
        <v>2890</v>
      </c>
      <c r="P557" s="17" t="s">
        <v>2890</v>
      </c>
      <c r="T557" s="17" t="s">
        <v>2889</v>
      </c>
      <c r="U557" s="17" t="s">
        <v>2890</v>
      </c>
      <c r="V557" s="36"/>
      <c r="W557" s="17"/>
      <c r="X557" s="20">
        <v>0</v>
      </c>
    </row>
    <row r="558" spans="1:24">
      <c r="A558" s="1">
        <v>311</v>
      </c>
      <c r="B558" s="427" t="s">
        <v>1676</v>
      </c>
      <c r="C558" s="1" t="s">
        <v>1677</v>
      </c>
      <c r="D558" s="1" t="s">
        <v>1678</v>
      </c>
      <c r="E558" s="35">
        <v>22</v>
      </c>
      <c r="F558" s="1" t="str">
        <f>VLOOKUP(E558,'ESTRUTURA_MODULO(hide)'!$A$2:$D$230,2,FALSE)</f>
        <v>Consultório Médico (Ambulatório)</v>
      </c>
      <c r="G558" s="1" t="str">
        <f>VLOOKUP(E558,'ESTRUTURA_MODULO(hide)'!$A$2:$D$95,3,FALSE)</f>
        <v>Physician's office (Ambulatory)</v>
      </c>
      <c r="H558" s="1" t="str">
        <f>VLOOKUP(E558,'ESTRUTURA_MODULO(hide)'!$A$2:$D$95,4,FALSE)</f>
        <v>Consultório Médico (Ambulatorio)</v>
      </c>
      <c r="I558" s="39">
        <v>0</v>
      </c>
      <c r="J558" s="17" t="s">
        <v>2890</v>
      </c>
      <c r="K558" s="17" t="s">
        <v>2890</v>
      </c>
      <c r="L558" s="17" t="s">
        <v>2890</v>
      </c>
      <c r="M558" s="38" t="s">
        <v>2890</v>
      </c>
      <c r="N558" s="38" t="s">
        <v>2890</v>
      </c>
      <c r="O558" s="17" t="s">
        <v>2890</v>
      </c>
      <c r="P558" s="17" t="s">
        <v>2890</v>
      </c>
      <c r="T558" s="17" t="s">
        <v>2889</v>
      </c>
      <c r="U558" s="17" t="s">
        <v>2890</v>
      </c>
      <c r="V558" s="36"/>
      <c r="W558" s="17"/>
      <c r="X558" s="20">
        <v>0</v>
      </c>
    </row>
    <row r="559" spans="1:24">
      <c r="A559" s="1">
        <v>762</v>
      </c>
      <c r="B559" s="427" t="s">
        <v>853</v>
      </c>
      <c r="C559" s="1" t="s">
        <v>854</v>
      </c>
      <c r="D559" s="1" t="s">
        <v>855</v>
      </c>
      <c r="E559" s="35">
        <v>22</v>
      </c>
      <c r="F559" s="1" t="str">
        <f>VLOOKUP(E559,'ESTRUTURA_MODULO(hide)'!$A$2:$D$230,2,FALSE)</f>
        <v>Consultório Médico (Ambulatório)</v>
      </c>
      <c r="G559" s="1" t="str">
        <f>VLOOKUP(E559,'ESTRUTURA_MODULO(hide)'!$A$2:$D$95,3,FALSE)</f>
        <v>Physician's office (Ambulatory)</v>
      </c>
      <c r="H559" s="1" t="str">
        <f>VLOOKUP(E559,'ESTRUTURA_MODULO(hide)'!$A$2:$D$95,4,FALSE)</f>
        <v>Consultório Médico (Ambulatorio)</v>
      </c>
      <c r="I559" s="39">
        <v>0</v>
      </c>
      <c r="J559" s="17" t="s">
        <v>2890</v>
      </c>
      <c r="K559" s="17" t="s">
        <v>2890</v>
      </c>
      <c r="L559" s="17" t="s">
        <v>2890</v>
      </c>
      <c r="M559" s="38" t="s">
        <v>2890</v>
      </c>
      <c r="N559" s="38" t="s">
        <v>2890</v>
      </c>
      <c r="O559" s="17" t="s">
        <v>2890</v>
      </c>
      <c r="P559" s="17" t="s">
        <v>2890</v>
      </c>
      <c r="T559" s="17" t="s">
        <v>2889</v>
      </c>
      <c r="U559" s="17" t="s">
        <v>2890</v>
      </c>
      <c r="V559" s="36"/>
      <c r="W559" s="17"/>
      <c r="X559" s="20">
        <v>0</v>
      </c>
    </row>
    <row r="560" spans="1:24">
      <c r="A560" s="1">
        <v>761</v>
      </c>
      <c r="B560" s="427" t="s">
        <v>1</v>
      </c>
      <c r="C560" s="1" t="s">
        <v>852</v>
      </c>
      <c r="D560" s="1" t="s">
        <v>1</v>
      </c>
      <c r="E560" s="35">
        <v>22</v>
      </c>
      <c r="F560" s="1" t="str">
        <f>VLOOKUP(E560,'ESTRUTURA_MODULO(hide)'!$A$2:$D$230,2,FALSE)</f>
        <v>Consultório Médico (Ambulatório)</v>
      </c>
      <c r="G560" s="1" t="str">
        <f>VLOOKUP(E560,'ESTRUTURA_MODULO(hide)'!$A$2:$D$95,3,FALSE)</f>
        <v>Physician's office (Ambulatory)</v>
      </c>
      <c r="H560" s="1" t="str">
        <f>VLOOKUP(E560,'ESTRUTURA_MODULO(hide)'!$A$2:$D$95,4,FALSE)</f>
        <v>Consultório Médico (Ambulatorio)</v>
      </c>
      <c r="I560" s="39">
        <v>0</v>
      </c>
      <c r="J560" s="17" t="s">
        <v>2890</v>
      </c>
      <c r="K560" s="17" t="s">
        <v>2890</v>
      </c>
      <c r="L560" s="17" t="s">
        <v>2890</v>
      </c>
      <c r="M560" s="38" t="s">
        <v>2890</v>
      </c>
      <c r="N560" s="38" t="s">
        <v>2890</v>
      </c>
      <c r="O560" s="17" t="s">
        <v>2890</v>
      </c>
      <c r="P560" s="17" t="s">
        <v>2890</v>
      </c>
      <c r="T560" s="17" t="s">
        <v>2889</v>
      </c>
      <c r="U560" s="17" t="s">
        <v>2890</v>
      </c>
      <c r="V560" s="36"/>
      <c r="W560" s="17"/>
      <c r="X560" s="20">
        <v>0</v>
      </c>
    </row>
    <row r="561" spans="1:24">
      <c r="A561" s="1">
        <v>99022</v>
      </c>
      <c r="B561" s="426" t="s">
        <v>924</v>
      </c>
      <c r="C561" s="1" t="s">
        <v>925</v>
      </c>
      <c r="D561" s="1" t="s">
        <v>926</v>
      </c>
      <c r="E561" s="1">
        <v>23</v>
      </c>
      <c r="F561" s="1" t="str">
        <f>VLOOKUP(E561,'ESTRUTURA_MODULO(hide)'!$A$2:$D$230,2,FALSE)</f>
        <v>Laboratório</v>
      </c>
      <c r="G561" s="1" t="str">
        <f>VLOOKUP(E561,'ESTRUTURA_MODULO(hide)'!$A$2:$D$95,3,FALSE)</f>
        <v xml:space="preserve">Laboratory </v>
      </c>
      <c r="H561" s="1" t="str">
        <f>VLOOKUP(E561,'ESTRUTURA_MODULO(hide)'!$A$2:$D$95,4,FALSE)</f>
        <v>Laboratorio</v>
      </c>
      <c r="I561" s="20">
        <v>0</v>
      </c>
      <c r="J561" s="17" t="s">
        <v>2890</v>
      </c>
      <c r="K561" s="17" t="s">
        <v>2890</v>
      </c>
      <c r="L561" s="17" t="s">
        <v>2890</v>
      </c>
      <c r="M561" s="17" t="s">
        <v>2890</v>
      </c>
      <c r="N561" s="17" t="s">
        <v>2890</v>
      </c>
      <c r="O561" s="17" t="s">
        <v>2890</v>
      </c>
      <c r="P561" s="17" t="s">
        <v>2890</v>
      </c>
      <c r="T561" s="17" t="s">
        <v>2889</v>
      </c>
      <c r="U561" s="17" t="s">
        <v>2890</v>
      </c>
      <c r="V561" s="21"/>
      <c r="W561" s="17"/>
      <c r="X561" s="20">
        <v>0</v>
      </c>
    </row>
    <row r="562" spans="1:24">
      <c r="A562" s="1">
        <v>-2265</v>
      </c>
      <c r="B562" s="426" t="s">
        <v>337</v>
      </c>
      <c r="C562" s="1" t="s">
        <v>922</v>
      </c>
      <c r="D562" s="1" t="s">
        <v>923</v>
      </c>
      <c r="E562" s="1">
        <v>23</v>
      </c>
      <c r="F562" s="1" t="str">
        <f>VLOOKUP(E562,'ESTRUTURA_MODULO(hide)'!$A$2:$D$230,2,FALSE)</f>
        <v>Laboratório</v>
      </c>
      <c r="G562" s="1" t="str">
        <f>VLOOKUP(E562,'ESTRUTURA_MODULO(hide)'!$A$2:$D$95,3,FALSE)</f>
        <v xml:space="preserve">Laboratory </v>
      </c>
      <c r="H562" s="1" t="str">
        <f>VLOOKUP(E562,'ESTRUTURA_MODULO(hide)'!$A$2:$D$95,4,FALSE)</f>
        <v>Laboratorio</v>
      </c>
      <c r="I562" s="20">
        <v>0</v>
      </c>
      <c r="J562" s="17" t="s">
        <v>2890</v>
      </c>
      <c r="K562" s="17" t="s">
        <v>2890</v>
      </c>
      <c r="L562" s="17" t="s">
        <v>2890</v>
      </c>
      <c r="M562" s="17" t="s">
        <v>2890</v>
      </c>
      <c r="N562" s="17" t="s">
        <v>2890</v>
      </c>
      <c r="O562" s="17" t="s">
        <v>2890</v>
      </c>
      <c r="P562" s="17" t="s">
        <v>2890</v>
      </c>
      <c r="T562" s="17" t="s">
        <v>2889</v>
      </c>
      <c r="U562" s="17" t="s">
        <v>2890</v>
      </c>
      <c r="V562" s="21"/>
      <c r="W562" s="17"/>
      <c r="X562" s="20">
        <v>0</v>
      </c>
    </row>
    <row r="563" spans="1:24">
      <c r="A563" s="1">
        <v>-11</v>
      </c>
      <c r="B563" s="426" t="s">
        <v>903</v>
      </c>
      <c r="C563" s="1" t="s">
        <v>904</v>
      </c>
      <c r="D563" s="1" t="s">
        <v>905</v>
      </c>
      <c r="E563" s="1">
        <v>23</v>
      </c>
      <c r="F563" s="1" t="str">
        <f>VLOOKUP(E563,'ESTRUTURA_MODULO(hide)'!$A$2:$D$230,2,FALSE)</f>
        <v>Laboratório</v>
      </c>
      <c r="G563" s="1" t="str">
        <f>VLOOKUP(E563,'ESTRUTURA_MODULO(hide)'!$A$2:$D$95,3,FALSE)</f>
        <v xml:space="preserve">Laboratory </v>
      </c>
      <c r="H563" s="1" t="str">
        <f>VLOOKUP(E563,'ESTRUTURA_MODULO(hide)'!$A$2:$D$95,4,FALSE)</f>
        <v>Laboratorio</v>
      </c>
      <c r="I563" s="20">
        <v>0</v>
      </c>
      <c r="J563" s="17" t="s">
        <v>2890</v>
      </c>
      <c r="K563" s="17" t="s">
        <v>2890</v>
      </c>
      <c r="L563" s="17" t="s">
        <v>2890</v>
      </c>
      <c r="M563" s="17" t="s">
        <v>2890</v>
      </c>
      <c r="N563" s="17" t="s">
        <v>2890</v>
      </c>
      <c r="O563" s="17" t="s">
        <v>2890</v>
      </c>
      <c r="P563" s="17" t="s">
        <v>2890</v>
      </c>
      <c r="T563" s="17" t="s">
        <v>2889</v>
      </c>
      <c r="U563" s="17" t="s">
        <v>2890</v>
      </c>
      <c r="V563" s="21"/>
      <c r="W563" s="17"/>
      <c r="X563" s="20">
        <v>0</v>
      </c>
    </row>
    <row r="564" spans="1:24">
      <c r="A564" s="1">
        <v>1950</v>
      </c>
      <c r="B564" s="35" t="s">
        <v>30</v>
      </c>
      <c r="C564" s="1" t="s">
        <v>910</v>
      </c>
      <c r="D564" s="1" t="s">
        <v>911</v>
      </c>
      <c r="E564" s="35">
        <v>23</v>
      </c>
      <c r="F564" s="1" t="str">
        <f>VLOOKUP(E564,'ESTRUTURA_MODULO(hide)'!$A$2:$D$230,2,FALSE)</f>
        <v>Laboratório</v>
      </c>
      <c r="G564" s="1" t="str">
        <f>VLOOKUP(E564,'ESTRUTURA_MODULO(hide)'!$A$2:$D$95,3,FALSE)</f>
        <v xml:space="preserve">Laboratory </v>
      </c>
      <c r="H564" s="1" t="str">
        <f>VLOOKUP(E564,'ESTRUTURA_MODULO(hide)'!$A$2:$D$95,4,FALSE)</f>
        <v>Laboratorio</v>
      </c>
      <c r="I564" s="37">
        <v>12</v>
      </c>
      <c r="J564" s="17" t="s">
        <v>2890</v>
      </c>
      <c r="K564" s="17" t="s">
        <v>2890</v>
      </c>
      <c r="L564" s="17" t="s">
        <v>2889</v>
      </c>
      <c r="M564" s="38" t="s">
        <v>2889</v>
      </c>
      <c r="N564" s="38" t="s">
        <v>2889</v>
      </c>
      <c r="O564" s="17" t="s">
        <v>2890</v>
      </c>
      <c r="P564" s="17" t="s">
        <v>2890</v>
      </c>
      <c r="T564" s="17" t="s">
        <v>2889</v>
      </c>
      <c r="U564" s="17" t="s">
        <v>2890</v>
      </c>
      <c r="V564" s="36"/>
      <c r="W564" s="17"/>
      <c r="X564" s="20">
        <v>20</v>
      </c>
    </row>
    <row r="565" spans="1:24">
      <c r="A565" s="1">
        <v>722</v>
      </c>
      <c r="B565" s="35" t="s">
        <v>37</v>
      </c>
      <c r="C565" s="1" t="s">
        <v>933</v>
      </c>
      <c r="D565" s="1" t="s">
        <v>934</v>
      </c>
      <c r="E565" s="35">
        <v>23</v>
      </c>
      <c r="F565" s="1" t="str">
        <f>VLOOKUP(E565,'ESTRUTURA_MODULO(hide)'!$A$2:$D$230,2,FALSE)</f>
        <v>Laboratório</v>
      </c>
      <c r="G565" s="1" t="str">
        <f>VLOOKUP(E565,'ESTRUTURA_MODULO(hide)'!$A$2:$D$95,3,FALSE)</f>
        <v xml:space="preserve">Laboratory </v>
      </c>
      <c r="H565" s="1" t="str">
        <f>VLOOKUP(E565,'ESTRUTURA_MODULO(hide)'!$A$2:$D$95,4,FALSE)</f>
        <v>Laboratorio</v>
      </c>
      <c r="I565" s="37">
        <v>24</v>
      </c>
      <c r="J565" s="17" t="s">
        <v>2889</v>
      </c>
      <c r="K565" s="17" t="s">
        <v>2889</v>
      </c>
      <c r="L565" s="17" t="s">
        <v>2889</v>
      </c>
      <c r="M565" s="38" t="s">
        <v>2889</v>
      </c>
      <c r="N565" s="38" t="s">
        <v>2889</v>
      </c>
      <c r="O565" s="17" t="s">
        <v>2889</v>
      </c>
      <c r="P565" s="17" t="s">
        <v>2889</v>
      </c>
      <c r="T565" s="17" t="s">
        <v>2889</v>
      </c>
      <c r="U565" s="17" t="s">
        <v>2890</v>
      </c>
      <c r="V565" s="36"/>
      <c r="W565" s="17"/>
      <c r="X565" s="20">
        <v>24</v>
      </c>
    </row>
    <row r="566" spans="1:24">
      <c r="A566" s="1">
        <v>723</v>
      </c>
      <c r="B566" s="35" t="s">
        <v>233</v>
      </c>
      <c r="C566" s="1" t="s">
        <v>901</v>
      </c>
      <c r="D566" s="1" t="s">
        <v>902</v>
      </c>
      <c r="E566" s="35">
        <v>23</v>
      </c>
      <c r="F566" s="1" t="str">
        <f>VLOOKUP(E566,'ESTRUTURA_MODULO(hide)'!$A$2:$D$230,2,FALSE)</f>
        <v>Laboratório</v>
      </c>
      <c r="G566" s="1" t="str">
        <f>VLOOKUP(E566,'ESTRUTURA_MODULO(hide)'!$A$2:$D$95,3,FALSE)</f>
        <v xml:space="preserve">Laboratory </v>
      </c>
      <c r="H566" s="1" t="str">
        <f>VLOOKUP(E566,'ESTRUTURA_MODULO(hide)'!$A$2:$D$95,4,FALSE)</f>
        <v>Laboratorio</v>
      </c>
      <c r="I566" s="37">
        <v>2</v>
      </c>
      <c r="J566" s="17" t="s">
        <v>2889</v>
      </c>
      <c r="K566" s="17" t="s">
        <v>2889</v>
      </c>
      <c r="L566" s="17" t="s">
        <v>2889</v>
      </c>
      <c r="M566" s="38" t="s">
        <v>2889</v>
      </c>
      <c r="N566" s="38" t="s">
        <v>2889</v>
      </c>
      <c r="O566" s="17" t="s">
        <v>2889</v>
      </c>
      <c r="P566" s="17" t="s">
        <v>2889</v>
      </c>
      <c r="T566" s="17" t="s">
        <v>2889</v>
      </c>
      <c r="U566" s="17" t="s">
        <v>2890</v>
      </c>
      <c r="V566" s="36"/>
      <c r="W566" s="17"/>
      <c r="X566" s="20">
        <v>6</v>
      </c>
    </row>
    <row r="567" spans="1:24">
      <c r="A567" s="1">
        <v>718</v>
      </c>
      <c r="B567" s="35" t="s">
        <v>40</v>
      </c>
      <c r="C567" s="1" t="s">
        <v>916</v>
      </c>
      <c r="D567" s="1" t="s">
        <v>917</v>
      </c>
      <c r="E567" s="35">
        <v>23</v>
      </c>
      <c r="F567" s="1" t="str">
        <f>VLOOKUP(E567,'ESTRUTURA_MODULO(hide)'!$A$2:$D$230,2,FALSE)</f>
        <v>Laboratório</v>
      </c>
      <c r="G567" s="1" t="str">
        <f>VLOOKUP(E567,'ESTRUTURA_MODULO(hide)'!$A$2:$D$95,3,FALSE)</f>
        <v xml:space="preserve">Laboratory </v>
      </c>
      <c r="H567" s="1" t="str">
        <f>VLOOKUP(E567,'ESTRUTURA_MODULO(hide)'!$A$2:$D$95,4,FALSE)</f>
        <v>Laboratorio</v>
      </c>
      <c r="I567" s="37">
        <v>4</v>
      </c>
      <c r="J567" s="17" t="s">
        <v>2890</v>
      </c>
      <c r="K567" s="17" t="s">
        <v>2890</v>
      </c>
      <c r="L567" s="17" t="s">
        <v>2890</v>
      </c>
      <c r="M567" s="38" t="s">
        <v>2889</v>
      </c>
      <c r="N567" s="38" t="s">
        <v>2889</v>
      </c>
      <c r="O567" s="17" t="s">
        <v>2890</v>
      </c>
      <c r="P567" s="17" t="s">
        <v>2890</v>
      </c>
      <c r="T567" s="17" t="s">
        <v>2889</v>
      </c>
      <c r="U567" s="17" t="s">
        <v>2890</v>
      </c>
      <c r="V567" s="36"/>
      <c r="W567" s="17"/>
      <c r="X567" s="20">
        <v>8</v>
      </c>
    </row>
    <row r="568" spans="1:24">
      <c r="A568" s="1">
        <v>9032</v>
      </c>
      <c r="B568" s="35" t="s">
        <v>334</v>
      </c>
      <c r="C568" s="1" t="s">
        <v>906</v>
      </c>
      <c r="D568" s="1" t="s">
        <v>907</v>
      </c>
      <c r="E568" s="35">
        <v>23</v>
      </c>
      <c r="F568" s="1" t="str">
        <f>VLOOKUP(E568,'ESTRUTURA_MODULO(hide)'!$A$2:$D$230,2,FALSE)</f>
        <v>Laboratório</v>
      </c>
      <c r="G568" s="1" t="str">
        <f>VLOOKUP(E568,'ESTRUTURA_MODULO(hide)'!$A$2:$D$95,3,FALSE)</f>
        <v xml:space="preserve">Laboratory </v>
      </c>
      <c r="H568" s="1" t="str">
        <f>VLOOKUP(E568,'ESTRUTURA_MODULO(hide)'!$A$2:$D$95,4,FALSE)</f>
        <v>Laboratorio</v>
      </c>
      <c r="I568" s="37">
        <v>2</v>
      </c>
      <c r="J568" s="17" t="s">
        <v>2889</v>
      </c>
      <c r="K568" s="17" t="s">
        <v>2889</v>
      </c>
      <c r="L568" s="17" t="s">
        <v>2889</v>
      </c>
      <c r="M568" s="38" t="s">
        <v>2889</v>
      </c>
      <c r="N568" s="38" t="s">
        <v>2889</v>
      </c>
      <c r="O568" s="17" t="s">
        <v>2889</v>
      </c>
      <c r="P568" s="17" t="s">
        <v>2889</v>
      </c>
      <c r="T568" s="17" t="s">
        <v>2889</v>
      </c>
      <c r="U568" s="17" t="s">
        <v>2890</v>
      </c>
      <c r="V568" s="36"/>
      <c r="W568" s="17"/>
      <c r="X568" s="20">
        <v>6</v>
      </c>
    </row>
    <row r="569" spans="1:24">
      <c r="A569" s="1">
        <v>7012</v>
      </c>
      <c r="B569" s="35" t="s">
        <v>912</v>
      </c>
      <c r="C569" s="1" t="s">
        <v>913</v>
      </c>
      <c r="D569" s="1" t="s">
        <v>914</v>
      </c>
      <c r="E569" s="35">
        <v>23</v>
      </c>
      <c r="F569" s="1" t="str">
        <f>VLOOKUP(E569,'ESTRUTURA_MODULO(hide)'!$A$2:$D$230,2,FALSE)</f>
        <v>Laboratório</v>
      </c>
      <c r="G569" s="1" t="str">
        <f>VLOOKUP(E569,'ESTRUTURA_MODULO(hide)'!$A$2:$D$95,3,FALSE)</f>
        <v xml:space="preserve">Laboratory </v>
      </c>
      <c r="H569" s="1" t="str">
        <f>VLOOKUP(E569,'ESTRUTURA_MODULO(hide)'!$A$2:$D$95,4,FALSE)</f>
        <v>Laboratorio</v>
      </c>
      <c r="I569" s="37">
        <v>4</v>
      </c>
      <c r="J569" s="17" t="s">
        <v>2889</v>
      </c>
      <c r="K569" s="17" t="s">
        <v>2889</v>
      </c>
      <c r="L569" s="17" t="s">
        <v>2889</v>
      </c>
      <c r="M569" s="38" t="s">
        <v>2889</v>
      </c>
      <c r="N569" s="38" t="s">
        <v>2889</v>
      </c>
      <c r="O569" s="17" t="s">
        <v>2889</v>
      </c>
      <c r="P569" s="17" t="s">
        <v>2889</v>
      </c>
      <c r="T569" s="17" t="s">
        <v>2889</v>
      </c>
      <c r="U569" s="17" t="s">
        <v>2890</v>
      </c>
      <c r="V569" s="36"/>
      <c r="W569" s="17"/>
      <c r="X569" s="20">
        <v>8</v>
      </c>
    </row>
    <row r="570" spans="1:24">
      <c r="A570" s="1">
        <v>719</v>
      </c>
      <c r="B570" s="1" t="s">
        <v>38</v>
      </c>
      <c r="C570" s="1" t="s">
        <v>931</v>
      </c>
      <c r="D570" s="1" t="s">
        <v>932</v>
      </c>
      <c r="E570" s="1">
        <v>23</v>
      </c>
      <c r="F570" s="1" t="str">
        <f>VLOOKUP(E570,'ESTRUTURA_MODULO(hide)'!$A$2:$D$230,2,FALSE)</f>
        <v>Laboratório</v>
      </c>
      <c r="G570" s="1" t="str">
        <f>VLOOKUP(E570,'ESTRUTURA_MODULO(hide)'!$A$2:$D$95,3,FALSE)</f>
        <v xml:space="preserve">Laboratory </v>
      </c>
      <c r="H570" s="1" t="str">
        <f>VLOOKUP(E570,'ESTRUTURA_MODULO(hide)'!$A$2:$D$95,4,FALSE)</f>
        <v>Laboratorio</v>
      </c>
      <c r="I570" s="20">
        <v>0</v>
      </c>
      <c r="J570" s="17" t="s">
        <v>2890</v>
      </c>
      <c r="K570" s="17" t="s">
        <v>2890</v>
      </c>
      <c r="L570" s="17" t="s">
        <v>2890</v>
      </c>
      <c r="M570" s="17" t="s">
        <v>2890</v>
      </c>
      <c r="N570" s="17" t="s">
        <v>2890</v>
      </c>
      <c r="O570" s="17" t="s">
        <v>2890</v>
      </c>
      <c r="P570" s="17" t="s">
        <v>2890</v>
      </c>
      <c r="T570" s="17" t="s">
        <v>2889</v>
      </c>
      <c r="U570" s="17" t="s">
        <v>2890</v>
      </c>
      <c r="V570" s="21"/>
      <c r="W570" s="17"/>
      <c r="X570" s="20">
        <v>0</v>
      </c>
    </row>
    <row r="571" spans="1:24">
      <c r="A571" s="1">
        <v>725</v>
      </c>
      <c r="B571" s="35" t="s">
        <v>39</v>
      </c>
      <c r="C571" s="1" t="s">
        <v>929</v>
      </c>
      <c r="D571" s="1" t="s">
        <v>930</v>
      </c>
      <c r="E571" s="35">
        <v>23</v>
      </c>
      <c r="F571" s="1" t="str">
        <f>VLOOKUP(E571,'ESTRUTURA_MODULO(hide)'!$A$2:$D$230,2,FALSE)</f>
        <v>Laboratório</v>
      </c>
      <c r="G571" s="1" t="str">
        <f>VLOOKUP(E571,'ESTRUTURA_MODULO(hide)'!$A$2:$D$95,3,FALSE)</f>
        <v xml:space="preserve">Laboratory </v>
      </c>
      <c r="H571" s="1" t="str">
        <f>VLOOKUP(E571,'ESTRUTURA_MODULO(hide)'!$A$2:$D$95,4,FALSE)</f>
        <v>Laboratorio</v>
      </c>
      <c r="I571" s="37">
        <v>4</v>
      </c>
      <c r="J571" s="17" t="s">
        <v>2890</v>
      </c>
      <c r="K571" s="17" t="s">
        <v>2889</v>
      </c>
      <c r="L571" s="17" t="s">
        <v>2889</v>
      </c>
      <c r="M571" s="38" t="s">
        <v>2889</v>
      </c>
      <c r="N571" s="38" t="s">
        <v>2889</v>
      </c>
      <c r="O571" s="17" t="s">
        <v>2890</v>
      </c>
      <c r="P571" s="17" t="s">
        <v>2889</v>
      </c>
      <c r="T571" s="17" t="s">
        <v>2889</v>
      </c>
      <c r="U571" s="17" t="s">
        <v>2890</v>
      </c>
      <c r="V571" s="36"/>
      <c r="W571" s="17"/>
      <c r="X571" s="20">
        <v>8</v>
      </c>
    </row>
    <row r="572" spans="1:24">
      <c r="A572" s="1">
        <v>9048</v>
      </c>
      <c r="B572" s="35" t="s">
        <v>41</v>
      </c>
      <c r="C572" s="1" t="s">
        <v>908</v>
      </c>
      <c r="D572" s="1" t="s">
        <v>909</v>
      </c>
      <c r="E572" s="35">
        <v>23</v>
      </c>
      <c r="F572" s="1" t="str">
        <f>VLOOKUP(E572,'ESTRUTURA_MODULO(hide)'!$A$2:$D$230,2,FALSE)</f>
        <v>Laboratório</v>
      </c>
      <c r="G572" s="1" t="str">
        <f>VLOOKUP(E572,'ESTRUTURA_MODULO(hide)'!$A$2:$D$95,3,FALSE)</f>
        <v xml:space="preserve">Laboratory </v>
      </c>
      <c r="H572" s="1" t="str">
        <f>VLOOKUP(E572,'ESTRUTURA_MODULO(hide)'!$A$2:$D$95,4,FALSE)</f>
        <v>Laboratorio</v>
      </c>
      <c r="I572" s="37">
        <v>2</v>
      </c>
      <c r="J572" s="17" t="s">
        <v>2890</v>
      </c>
      <c r="K572" s="17" t="s">
        <v>2889</v>
      </c>
      <c r="L572" s="17" t="s">
        <v>2889</v>
      </c>
      <c r="M572" s="38" t="s">
        <v>2889</v>
      </c>
      <c r="N572" s="38" t="s">
        <v>2889</v>
      </c>
      <c r="O572" s="17" t="s">
        <v>2889</v>
      </c>
      <c r="P572" s="17" t="s">
        <v>2889</v>
      </c>
      <c r="T572" s="17" t="s">
        <v>2889</v>
      </c>
      <c r="U572" s="17" t="s">
        <v>2890</v>
      </c>
      <c r="V572" s="36"/>
      <c r="W572" s="17"/>
      <c r="X572" s="20">
        <v>8</v>
      </c>
    </row>
    <row r="573" spans="1:24">
      <c r="A573" s="1">
        <v>56</v>
      </c>
      <c r="B573" s="35" t="s">
        <v>234</v>
      </c>
      <c r="C573" s="1" t="s">
        <v>927</v>
      </c>
      <c r="D573" s="1" t="s">
        <v>928</v>
      </c>
      <c r="E573" s="35">
        <v>23</v>
      </c>
      <c r="F573" s="1" t="str">
        <f>VLOOKUP(E573,'ESTRUTURA_MODULO(hide)'!$A$2:$D$230,2,FALSE)</f>
        <v>Laboratório</v>
      </c>
      <c r="G573" s="1" t="str">
        <f>VLOOKUP(E573,'ESTRUTURA_MODULO(hide)'!$A$2:$D$95,3,FALSE)</f>
        <v xml:space="preserve">Laboratory </v>
      </c>
      <c r="H573" s="1" t="str">
        <f>VLOOKUP(E573,'ESTRUTURA_MODULO(hide)'!$A$2:$D$95,4,FALSE)</f>
        <v>Laboratorio</v>
      </c>
      <c r="I573" s="37">
        <v>2</v>
      </c>
      <c r="J573" s="17" t="s">
        <v>2889</v>
      </c>
      <c r="K573" s="17" t="s">
        <v>2889</v>
      </c>
      <c r="L573" s="17" t="s">
        <v>2889</v>
      </c>
      <c r="M573" s="38" t="s">
        <v>2889</v>
      </c>
      <c r="N573" s="38" t="s">
        <v>2889</v>
      </c>
      <c r="O573" s="17" t="s">
        <v>2889</v>
      </c>
      <c r="P573" s="17" t="s">
        <v>2889</v>
      </c>
      <c r="T573" s="17" t="s">
        <v>2889</v>
      </c>
      <c r="U573" s="17" t="s">
        <v>2890</v>
      </c>
      <c r="V573" s="36"/>
      <c r="W573" s="17"/>
      <c r="X573" s="20">
        <v>6</v>
      </c>
    </row>
    <row r="574" spans="1:24">
      <c r="A574" s="1">
        <v>7008</v>
      </c>
      <c r="B574" s="35" t="s">
        <v>35</v>
      </c>
      <c r="C574" s="1" t="s">
        <v>915</v>
      </c>
      <c r="D574" s="1" t="s">
        <v>35</v>
      </c>
      <c r="E574" s="35">
        <v>23</v>
      </c>
      <c r="F574" s="1" t="str">
        <f>VLOOKUP(E574,'ESTRUTURA_MODULO(hide)'!$A$2:$D$230,2,FALSE)</f>
        <v>Laboratório</v>
      </c>
      <c r="G574" s="1" t="str">
        <f>VLOOKUP(E574,'ESTRUTURA_MODULO(hide)'!$A$2:$D$95,3,FALSE)</f>
        <v xml:space="preserve">Laboratory </v>
      </c>
      <c r="H574" s="1" t="str">
        <f>VLOOKUP(E574,'ESTRUTURA_MODULO(hide)'!$A$2:$D$95,4,FALSE)</f>
        <v>Laboratorio</v>
      </c>
      <c r="I574" s="37">
        <v>2</v>
      </c>
      <c r="J574" s="17" t="s">
        <v>2889</v>
      </c>
      <c r="K574" s="17" t="s">
        <v>2889</v>
      </c>
      <c r="L574" s="17" t="s">
        <v>2889</v>
      </c>
      <c r="M574" s="38" t="s">
        <v>2889</v>
      </c>
      <c r="N574" s="38" t="s">
        <v>2889</v>
      </c>
      <c r="O574" s="17" t="s">
        <v>2889</v>
      </c>
      <c r="P574" s="17" t="s">
        <v>2889</v>
      </c>
      <c r="T574" s="17" t="s">
        <v>2889</v>
      </c>
      <c r="U574" s="17" t="s">
        <v>2890</v>
      </c>
      <c r="V574" s="36"/>
      <c r="W574" s="17"/>
      <c r="X574" s="20">
        <v>6</v>
      </c>
    </row>
    <row r="575" spans="1:24">
      <c r="A575" s="1">
        <v>945</v>
      </c>
      <c r="B575" s="35" t="s">
        <v>31</v>
      </c>
      <c r="C575" s="1" t="s">
        <v>920</v>
      </c>
      <c r="D575" s="1" t="s">
        <v>921</v>
      </c>
      <c r="E575" s="35">
        <v>999</v>
      </c>
      <c r="F575" s="1" t="str">
        <f>VLOOKUP(E575,'ESTRUTURA_MODULO(hide)'!$A$2:$D$230,2,FALSE)</f>
        <v>Anatomia Patológica</v>
      </c>
      <c r="G575" s="1" t="str">
        <f>VLOOKUP(E575,'ESTRUTURA_MODULO(hide)'!$A$2:$D$95,3,FALSE)</f>
        <v>Pathological Anatomy</v>
      </c>
      <c r="H575" s="1" t="str">
        <f>VLOOKUP(E575,'ESTRUTURA_MODULO(hide)'!$A$2:$D$95,4,FALSE)</f>
        <v>Anatomía Patológica</v>
      </c>
      <c r="I575" s="37">
        <v>16</v>
      </c>
      <c r="J575" s="17" t="s">
        <v>2890</v>
      </c>
      <c r="K575" s="17" t="s">
        <v>2889</v>
      </c>
      <c r="L575" s="17" t="s">
        <v>2889</v>
      </c>
      <c r="M575" s="38" t="s">
        <v>2889</v>
      </c>
      <c r="N575" s="38" t="s">
        <v>2889</v>
      </c>
      <c r="O575" s="17" t="s">
        <v>2889</v>
      </c>
      <c r="P575" s="17" t="s">
        <v>2889</v>
      </c>
      <c r="T575" s="17" t="s">
        <v>2889</v>
      </c>
      <c r="U575" s="17" t="s">
        <v>2890</v>
      </c>
      <c r="V575" s="36"/>
      <c r="W575" s="17"/>
      <c r="X575" s="20">
        <v>24</v>
      </c>
    </row>
    <row r="576" spans="1:24">
      <c r="A576" s="1">
        <v>746</v>
      </c>
      <c r="B576" s="35" t="s">
        <v>36</v>
      </c>
      <c r="C576" s="1" t="s">
        <v>918</v>
      </c>
      <c r="D576" s="1" t="s">
        <v>919</v>
      </c>
      <c r="E576" s="35">
        <v>23</v>
      </c>
      <c r="F576" s="1" t="str">
        <f>VLOOKUP(E576,'ESTRUTURA_MODULO(hide)'!$A$2:$D$230,2,FALSE)</f>
        <v>Laboratório</v>
      </c>
      <c r="G576" s="1" t="str">
        <f>VLOOKUP(E576,'ESTRUTURA_MODULO(hide)'!$A$2:$D$95,3,FALSE)</f>
        <v xml:space="preserve">Laboratory </v>
      </c>
      <c r="H576" s="1" t="str">
        <f>VLOOKUP(E576,'ESTRUTURA_MODULO(hide)'!$A$2:$D$95,4,FALSE)</f>
        <v>Laboratorio</v>
      </c>
      <c r="I576" s="37">
        <v>24</v>
      </c>
      <c r="J576" s="17" t="s">
        <v>2889</v>
      </c>
      <c r="K576" s="17" t="s">
        <v>2889</v>
      </c>
      <c r="L576" s="17" t="s">
        <v>2889</v>
      </c>
      <c r="M576" s="38" t="s">
        <v>2889</v>
      </c>
      <c r="N576" s="38" t="s">
        <v>2889</v>
      </c>
      <c r="O576" s="17" t="s">
        <v>2889</v>
      </c>
      <c r="P576" s="17" t="s">
        <v>2889</v>
      </c>
      <c r="T576" s="17" t="s">
        <v>2889</v>
      </c>
      <c r="U576" s="17" t="s">
        <v>2890</v>
      </c>
      <c r="V576" s="36"/>
      <c r="W576" s="17"/>
      <c r="X576" s="20">
        <v>40</v>
      </c>
    </row>
    <row r="577" spans="1:24">
      <c r="A577" s="1">
        <v>450</v>
      </c>
      <c r="B577" s="35" t="s">
        <v>236</v>
      </c>
      <c r="C577" s="1" t="s">
        <v>935</v>
      </c>
      <c r="D577" s="1" t="s">
        <v>936</v>
      </c>
      <c r="E577" s="35">
        <v>24</v>
      </c>
      <c r="F577" s="1" t="str">
        <f>VLOOKUP(E577,'ESTRUTURA_MODULO(hide)'!$A$2:$D$230,2,FALSE)</f>
        <v>Banco de Sangue</v>
      </c>
      <c r="G577" s="1" t="str">
        <f>VLOOKUP(E577,'ESTRUTURA_MODULO(hide)'!$A$2:$D$95,3,FALSE)</f>
        <v>Blood Bank</v>
      </c>
      <c r="H577" s="1" t="str">
        <f>VLOOKUP(E577,'ESTRUTURA_MODULO(hide)'!$A$2:$D$95,4,FALSE)</f>
        <v>Banco de Sangre</v>
      </c>
      <c r="I577" s="37">
        <v>24</v>
      </c>
      <c r="J577" s="17" t="s">
        <v>2890</v>
      </c>
      <c r="K577" s="17" t="s">
        <v>2889</v>
      </c>
      <c r="L577" s="17" t="s">
        <v>2889</v>
      </c>
      <c r="M577" s="38" t="s">
        <v>2889</v>
      </c>
      <c r="N577" s="38" t="s">
        <v>2889</v>
      </c>
      <c r="O577" s="17" t="s">
        <v>2889</v>
      </c>
      <c r="P577" s="17" t="s">
        <v>2889</v>
      </c>
      <c r="T577" s="17" t="s">
        <v>2889</v>
      </c>
      <c r="U577" s="17" t="s">
        <v>2890</v>
      </c>
      <c r="V577" s="36"/>
      <c r="W577" s="17"/>
      <c r="X577" s="20">
        <v>80</v>
      </c>
    </row>
    <row r="578" spans="1:24">
      <c r="A578" s="1">
        <v>10055</v>
      </c>
      <c r="B578" s="1" t="s">
        <v>947</v>
      </c>
      <c r="C578" s="1" t="s">
        <v>948</v>
      </c>
      <c r="D578" s="1" t="s">
        <v>949</v>
      </c>
      <c r="E578" s="1">
        <v>26</v>
      </c>
      <c r="F578" s="1" t="str">
        <f>VLOOKUP(E578,'ESTRUTURA_MODULO(hide)'!$A$2:$D$230,2,FALSE)</f>
        <v>Centro Cirúrgico</v>
      </c>
      <c r="G578" s="1" t="str">
        <f>VLOOKUP(E578,'ESTRUTURA_MODULO(hide)'!$A$2:$D$95,3,FALSE)</f>
        <v>Operating Room</v>
      </c>
      <c r="H578" s="1" t="str">
        <f>VLOOKUP(E578,'ESTRUTURA_MODULO(hide)'!$A$2:$D$95,4,FALSE)</f>
        <v>Centro Quirúrgico</v>
      </c>
      <c r="I578" s="20">
        <v>0</v>
      </c>
      <c r="J578" s="17" t="s">
        <v>2890</v>
      </c>
      <c r="K578" s="17" t="s">
        <v>2890</v>
      </c>
      <c r="L578" s="17" t="s">
        <v>2890</v>
      </c>
      <c r="M578" s="17" t="s">
        <v>2890</v>
      </c>
      <c r="N578" s="17" t="s">
        <v>2890</v>
      </c>
      <c r="O578" s="17" t="s">
        <v>2890</v>
      </c>
      <c r="P578" s="17" t="s">
        <v>2890</v>
      </c>
      <c r="T578" s="17" t="s">
        <v>2889</v>
      </c>
      <c r="U578" s="17" t="s">
        <v>2890</v>
      </c>
      <c r="V578" s="21"/>
      <c r="W578" s="17"/>
      <c r="X578" s="20">
        <v>0</v>
      </c>
    </row>
    <row r="579" spans="1:24">
      <c r="A579" s="1">
        <v>10026</v>
      </c>
      <c r="B579" s="35" t="s">
        <v>241</v>
      </c>
      <c r="C579" s="1" t="s">
        <v>942</v>
      </c>
      <c r="D579" s="1" t="s">
        <v>943</v>
      </c>
      <c r="E579" s="35">
        <v>26</v>
      </c>
      <c r="F579" s="1" t="str">
        <f>VLOOKUP(E579,'ESTRUTURA_MODULO(hide)'!$A$2:$D$230,2,FALSE)</f>
        <v>Centro Cirúrgico</v>
      </c>
      <c r="G579" s="1" t="str">
        <f>VLOOKUP(E579,'ESTRUTURA_MODULO(hide)'!$A$2:$D$95,3,FALSE)</f>
        <v>Operating Room</v>
      </c>
      <c r="H579" s="1" t="str">
        <f>VLOOKUP(E579,'ESTRUTURA_MODULO(hide)'!$A$2:$D$95,4,FALSE)</f>
        <v>Centro Quirúrgico</v>
      </c>
      <c r="I579" s="37">
        <v>12</v>
      </c>
      <c r="J579" s="17" t="s">
        <v>2890</v>
      </c>
      <c r="K579" s="17" t="s">
        <v>2889</v>
      </c>
      <c r="L579" s="17" t="s">
        <v>2889</v>
      </c>
      <c r="M579" s="38" t="s">
        <v>2889</v>
      </c>
      <c r="N579" s="38" t="s">
        <v>2889</v>
      </c>
      <c r="O579" s="17" t="s">
        <v>2890</v>
      </c>
      <c r="P579" s="17" t="s">
        <v>2890</v>
      </c>
      <c r="T579" s="17" t="s">
        <v>2889</v>
      </c>
      <c r="U579" s="17" t="s">
        <v>2890</v>
      </c>
      <c r="V579" s="36"/>
      <c r="W579" s="17"/>
      <c r="X579" s="20">
        <v>24</v>
      </c>
    </row>
    <row r="580" spans="1:24">
      <c r="A580" s="1">
        <v>163</v>
      </c>
      <c r="B580" s="426" t="s">
        <v>1709</v>
      </c>
      <c r="C580" s="1" t="s">
        <v>1710</v>
      </c>
      <c r="D580" s="1" t="s">
        <v>1711</v>
      </c>
      <c r="E580" s="1">
        <v>26</v>
      </c>
      <c r="F580" s="1" t="str">
        <f>VLOOKUP(E580,'ESTRUTURA_MODULO(hide)'!$A$2:$D$230,2,FALSE)</f>
        <v>Centro Cirúrgico</v>
      </c>
      <c r="G580" s="1" t="str">
        <f>VLOOKUP(E580,'ESTRUTURA_MODULO(hide)'!$A$2:$D$95,3,FALSE)</f>
        <v>Operating Room</v>
      </c>
      <c r="H580" s="1" t="str">
        <f>VLOOKUP(E580,'ESTRUTURA_MODULO(hide)'!$A$2:$D$95,4,FALSE)</f>
        <v>Centro Quirúrgico</v>
      </c>
      <c r="I580" s="20">
        <v>0</v>
      </c>
      <c r="J580" s="17" t="s">
        <v>2890</v>
      </c>
      <c r="K580" s="17" t="s">
        <v>2890</v>
      </c>
      <c r="L580" s="17" t="s">
        <v>2890</v>
      </c>
      <c r="M580" s="17" t="s">
        <v>2890</v>
      </c>
      <c r="N580" s="17" t="s">
        <v>2890</v>
      </c>
      <c r="O580" s="17" t="s">
        <v>2890</v>
      </c>
      <c r="P580" s="17" t="s">
        <v>2890</v>
      </c>
      <c r="T580" s="17" t="s">
        <v>2889</v>
      </c>
      <c r="U580" s="17" t="s">
        <v>2890</v>
      </c>
      <c r="V580" s="21"/>
      <c r="W580" s="17"/>
      <c r="X580" s="20">
        <v>0</v>
      </c>
    </row>
    <row r="581" spans="1:24">
      <c r="A581" s="1">
        <v>8010</v>
      </c>
      <c r="B581" s="35" t="s">
        <v>242</v>
      </c>
      <c r="C581" s="1" t="s">
        <v>937</v>
      </c>
      <c r="D581" s="1" t="s">
        <v>938</v>
      </c>
      <c r="E581" s="35">
        <v>26</v>
      </c>
      <c r="F581" s="1" t="str">
        <f>VLOOKUP(E581,'ESTRUTURA_MODULO(hide)'!$A$2:$D$230,2,FALSE)</f>
        <v>Centro Cirúrgico</v>
      </c>
      <c r="G581" s="1" t="str">
        <f>VLOOKUP(E581,'ESTRUTURA_MODULO(hide)'!$A$2:$D$95,3,FALSE)</f>
        <v>Operating Room</v>
      </c>
      <c r="H581" s="1" t="str">
        <f>VLOOKUP(E581,'ESTRUTURA_MODULO(hide)'!$A$2:$D$95,4,FALSE)</f>
        <v>Centro Quirúrgico</v>
      </c>
      <c r="I581" s="37">
        <v>8</v>
      </c>
      <c r="J581" s="17" t="s">
        <v>2890</v>
      </c>
      <c r="K581" s="17" t="s">
        <v>2889</v>
      </c>
      <c r="L581" s="17" t="s">
        <v>2889</v>
      </c>
      <c r="M581" s="38" t="s">
        <v>2889</v>
      </c>
      <c r="N581" s="38" t="s">
        <v>2889</v>
      </c>
      <c r="O581" s="17" t="s">
        <v>2890</v>
      </c>
      <c r="P581" s="17" t="s">
        <v>2890</v>
      </c>
      <c r="T581" s="17" t="s">
        <v>2889</v>
      </c>
      <c r="U581" s="17" t="s">
        <v>2890</v>
      </c>
      <c r="V581" s="36"/>
      <c r="W581" s="17"/>
      <c r="X581" s="20">
        <v>20</v>
      </c>
    </row>
    <row r="582" spans="1:24">
      <c r="A582" s="1">
        <v>873</v>
      </c>
      <c r="B582" s="35" t="s">
        <v>239</v>
      </c>
      <c r="C582" s="1" t="s">
        <v>1857</v>
      </c>
      <c r="D582" s="1" t="s">
        <v>939</v>
      </c>
      <c r="E582" s="35">
        <v>26</v>
      </c>
      <c r="F582" s="1" t="str">
        <f>VLOOKUP(E582,'ESTRUTURA_MODULO(hide)'!$A$2:$D$230,2,FALSE)</f>
        <v>Centro Cirúrgico</v>
      </c>
      <c r="G582" s="1" t="str">
        <f>VLOOKUP(E582,'ESTRUTURA_MODULO(hide)'!$A$2:$D$95,3,FALSE)</f>
        <v>Operating Room</v>
      </c>
      <c r="H582" s="1" t="str">
        <f>VLOOKUP(E582,'ESTRUTURA_MODULO(hide)'!$A$2:$D$95,4,FALSE)</f>
        <v>Centro Quirúrgico</v>
      </c>
      <c r="I582" s="37">
        <v>12</v>
      </c>
      <c r="J582" s="17" t="s">
        <v>2889</v>
      </c>
      <c r="K582" s="17" t="s">
        <v>2889</v>
      </c>
      <c r="L582" s="17" t="s">
        <v>2889</v>
      </c>
      <c r="M582" s="38" t="s">
        <v>2889</v>
      </c>
      <c r="N582" s="38" t="s">
        <v>2889</v>
      </c>
      <c r="O582" s="17" t="s">
        <v>2890</v>
      </c>
      <c r="P582" s="17" t="s">
        <v>2890</v>
      </c>
      <c r="T582" s="17" t="s">
        <v>2889</v>
      </c>
      <c r="U582" s="17" t="s">
        <v>2890</v>
      </c>
      <c r="V582" s="36"/>
      <c r="W582" s="17"/>
      <c r="X582" s="20">
        <v>24</v>
      </c>
    </row>
    <row r="583" spans="1:24">
      <c r="A583" s="1">
        <v>931</v>
      </c>
      <c r="B583" s="426" t="s">
        <v>240</v>
      </c>
      <c r="C583" s="1" t="s">
        <v>950</v>
      </c>
      <c r="D583" s="1" t="s">
        <v>951</v>
      </c>
      <c r="E583" s="1">
        <v>26</v>
      </c>
      <c r="F583" s="1" t="str">
        <f>VLOOKUP(E583,'ESTRUTURA_MODULO(hide)'!$A$2:$D$230,2,FALSE)</f>
        <v>Centro Cirúrgico</v>
      </c>
      <c r="G583" s="1" t="str">
        <f>VLOOKUP(E583,'ESTRUTURA_MODULO(hide)'!$A$2:$D$95,3,FALSE)</f>
        <v>Operating Room</v>
      </c>
      <c r="H583" s="1" t="str">
        <f>VLOOKUP(E583,'ESTRUTURA_MODULO(hide)'!$A$2:$D$95,4,FALSE)</f>
        <v>Centro Quirúrgico</v>
      </c>
      <c r="I583" s="20">
        <v>0</v>
      </c>
      <c r="J583" s="17" t="s">
        <v>2890</v>
      </c>
      <c r="K583" s="17" t="s">
        <v>2890</v>
      </c>
      <c r="L583" s="17" t="s">
        <v>2890</v>
      </c>
      <c r="M583" s="17" t="s">
        <v>2890</v>
      </c>
      <c r="N583" s="17" t="s">
        <v>2890</v>
      </c>
      <c r="O583" s="17" t="s">
        <v>2890</v>
      </c>
      <c r="P583" s="17" t="s">
        <v>2890</v>
      </c>
      <c r="T583" s="17" t="s">
        <v>2889</v>
      </c>
      <c r="U583" s="17" t="s">
        <v>2890</v>
      </c>
      <c r="V583" s="21"/>
      <c r="W583" s="17"/>
      <c r="X583" s="20">
        <v>0</v>
      </c>
    </row>
    <row r="584" spans="1:24">
      <c r="A584" s="1">
        <v>900</v>
      </c>
      <c r="B584" s="35" t="s">
        <v>243</v>
      </c>
      <c r="C584" s="1" t="s">
        <v>940</v>
      </c>
      <c r="D584" s="1" t="s">
        <v>941</v>
      </c>
      <c r="E584" s="35">
        <v>26</v>
      </c>
      <c r="F584" s="1" t="str">
        <f>VLOOKUP(E584,'ESTRUTURA_MODULO(hide)'!$A$2:$D$230,2,FALSE)</f>
        <v>Centro Cirúrgico</v>
      </c>
      <c r="G584" s="1" t="str">
        <f>VLOOKUP(E584,'ESTRUTURA_MODULO(hide)'!$A$2:$D$95,3,FALSE)</f>
        <v>Operating Room</v>
      </c>
      <c r="H584" s="1" t="str">
        <f>VLOOKUP(E584,'ESTRUTURA_MODULO(hide)'!$A$2:$D$95,4,FALSE)</f>
        <v>Centro Quirúrgico</v>
      </c>
      <c r="I584" s="37">
        <v>24</v>
      </c>
      <c r="J584" s="17" t="s">
        <v>2889</v>
      </c>
      <c r="K584" s="17" t="s">
        <v>2889</v>
      </c>
      <c r="L584" s="17" t="s">
        <v>2889</v>
      </c>
      <c r="M584" s="38" t="s">
        <v>2889</v>
      </c>
      <c r="N584" s="38" t="s">
        <v>2889</v>
      </c>
      <c r="O584" s="17" t="s">
        <v>2890</v>
      </c>
      <c r="P584" s="17" t="s">
        <v>2890</v>
      </c>
      <c r="T584" s="17" t="s">
        <v>2889</v>
      </c>
      <c r="U584" s="17" t="s">
        <v>2890</v>
      </c>
      <c r="V584" s="36"/>
      <c r="W584" s="17"/>
      <c r="X584" s="20">
        <v>40</v>
      </c>
    </row>
    <row r="585" spans="1:24">
      <c r="A585" s="1">
        <v>326</v>
      </c>
      <c r="B585" s="426" t="s">
        <v>1673</v>
      </c>
      <c r="C585" s="1" t="s">
        <v>1674</v>
      </c>
      <c r="D585" s="1" t="s">
        <v>1675</v>
      </c>
      <c r="E585" s="1">
        <v>26</v>
      </c>
      <c r="F585" s="1" t="str">
        <f>VLOOKUP(E585,'ESTRUTURA_MODULO(hide)'!$A$2:$D$230,2,FALSE)</f>
        <v>Centro Cirúrgico</v>
      </c>
      <c r="G585" s="1" t="str">
        <f>VLOOKUP(E585,'ESTRUTURA_MODULO(hide)'!$A$2:$D$95,3,FALSE)</f>
        <v>Operating Room</v>
      </c>
      <c r="H585" s="1" t="str">
        <f>VLOOKUP(E585,'ESTRUTURA_MODULO(hide)'!$A$2:$D$95,4,FALSE)</f>
        <v>Centro Quirúrgico</v>
      </c>
      <c r="I585" s="20">
        <v>0</v>
      </c>
      <c r="J585" s="17" t="s">
        <v>2890</v>
      </c>
      <c r="K585" s="17" t="s">
        <v>2890</v>
      </c>
      <c r="L585" s="17" t="s">
        <v>2890</v>
      </c>
      <c r="M585" s="17" t="s">
        <v>2890</v>
      </c>
      <c r="N585" s="17" t="s">
        <v>2890</v>
      </c>
      <c r="O585" s="17" t="s">
        <v>2890</v>
      </c>
      <c r="P585" s="17" t="s">
        <v>2890</v>
      </c>
      <c r="T585" s="17" t="s">
        <v>2889</v>
      </c>
      <c r="U585" s="17" t="s">
        <v>2890</v>
      </c>
      <c r="V585" s="21"/>
      <c r="W585" s="17"/>
      <c r="X585" s="20">
        <v>0</v>
      </c>
    </row>
    <row r="586" spans="1:24">
      <c r="A586" s="1">
        <v>874</v>
      </c>
      <c r="B586" s="35" t="s">
        <v>238</v>
      </c>
      <c r="C586" s="1" t="s">
        <v>1858</v>
      </c>
      <c r="D586" s="1" t="s">
        <v>946</v>
      </c>
      <c r="E586" s="35">
        <v>26</v>
      </c>
      <c r="F586" s="1" t="str">
        <f>VLOOKUP(E586,'ESTRUTURA_MODULO(hide)'!$A$2:$D$230,2,FALSE)</f>
        <v>Centro Cirúrgico</v>
      </c>
      <c r="G586" s="1" t="str">
        <f>VLOOKUP(E586,'ESTRUTURA_MODULO(hide)'!$A$2:$D$95,3,FALSE)</f>
        <v>Operating Room</v>
      </c>
      <c r="H586" s="1" t="str">
        <f>VLOOKUP(E586,'ESTRUTURA_MODULO(hide)'!$A$2:$D$95,4,FALSE)</f>
        <v>Centro Quirúrgico</v>
      </c>
      <c r="I586" s="37">
        <v>12</v>
      </c>
      <c r="J586" s="17" t="s">
        <v>2890</v>
      </c>
      <c r="K586" s="17" t="s">
        <v>2889</v>
      </c>
      <c r="L586" s="17" t="s">
        <v>2889</v>
      </c>
      <c r="M586" s="38" t="s">
        <v>2889</v>
      </c>
      <c r="N586" s="38" t="s">
        <v>2889</v>
      </c>
      <c r="O586" s="17" t="s">
        <v>2890</v>
      </c>
      <c r="P586" s="17" t="s">
        <v>2890</v>
      </c>
      <c r="T586" s="17" t="s">
        <v>2889</v>
      </c>
      <c r="U586" s="17" t="s">
        <v>2890</v>
      </c>
      <c r="V586" s="36"/>
      <c r="W586" s="17"/>
      <c r="X586" s="20">
        <v>24</v>
      </c>
    </row>
    <row r="587" spans="1:24">
      <c r="A587" s="1">
        <v>872</v>
      </c>
      <c r="B587" s="35" t="s">
        <v>244</v>
      </c>
      <c r="C587" s="1" t="s">
        <v>944</v>
      </c>
      <c r="D587" s="1" t="s">
        <v>945</v>
      </c>
      <c r="E587" s="35">
        <v>26</v>
      </c>
      <c r="F587" s="1" t="str">
        <f>VLOOKUP(E587,'ESTRUTURA_MODULO(hide)'!$A$2:$D$230,2,FALSE)</f>
        <v>Centro Cirúrgico</v>
      </c>
      <c r="G587" s="1" t="str">
        <f>VLOOKUP(E587,'ESTRUTURA_MODULO(hide)'!$A$2:$D$95,3,FALSE)</f>
        <v>Operating Room</v>
      </c>
      <c r="H587" s="1" t="str">
        <f>VLOOKUP(E587,'ESTRUTURA_MODULO(hide)'!$A$2:$D$95,4,FALSE)</f>
        <v>Centro Quirúrgico</v>
      </c>
      <c r="I587" s="37">
        <v>40</v>
      </c>
      <c r="J587" s="17" t="s">
        <v>2889</v>
      </c>
      <c r="K587" s="17" t="s">
        <v>2889</v>
      </c>
      <c r="L587" s="17" t="s">
        <v>2889</v>
      </c>
      <c r="M587" s="38" t="s">
        <v>2889</v>
      </c>
      <c r="N587" s="38" t="s">
        <v>2889</v>
      </c>
      <c r="O587" s="17" t="s">
        <v>2890</v>
      </c>
      <c r="P587" s="17" t="s">
        <v>2890</v>
      </c>
      <c r="T587" s="17" t="s">
        <v>2889</v>
      </c>
      <c r="U587" s="17" t="s">
        <v>2890</v>
      </c>
      <c r="V587" s="36"/>
      <c r="W587" s="17"/>
      <c r="X587" s="20">
        <v>80</v>
      </c>
    </row>
    <row r="588" spans="1:24">
      <c r="A588" s="1">
        <v>160</v>
      </c>
      <c r="B588" s="426" t="s">
        <v>1859</v>
      </c>
      <c r="C588" s="1" t="s">
        <v>1860</v>
      </c>
      <c r="D588" s="1" t="s">
        <v>1861</v>
      </c>
      <c r="E588" s="1">
        <v>26</v>
      </c>
      <c r="F588" s="1" t="str">
        <f>VLOOKUP(E588,'ESTRUTURA_MODULO(hide)'!$A$2:$D$230,2,FALSE)</f>
        <v>Centro Cirúrgico</v>
      </c>
      <c r="G588" s="1" t="str">
        <f>VLOOKUP(E588,'ESTRUTURA_MODULO(hide)'!$A$2:$D$95,3,FALSE)</f>
        <v>Operating Room</v>
      </c>
      <c r="H588" s="1" t="str">
        <f>VLOOKUP(E588,'ESTRUTURA_MODULO(hide)'!$A$2:$D$95,4,FALSE)</f>
        <v>Centro Quirúrgico</v>
      </c>
      <c r="I588" s="20">
        <v>0</v>
      </c>
      <c r="J588" s="17" t="s">
        <v>2890</v>
      </c>
      <c r="K588" s="17" t="s">
        <v>2890</v>
      </c>
      <c r="L588" s="17" t="s">
        <v>2890</v>
      </c>
      <c r="M588" s="17" t="s">
        <v>2890</v>
      </c>
      <c r="N588" s="17" t="s">
        <v>2890</v>
      </c>
      <c r="O588" s="17" t="s">
        <v>2890</v>
      </c>
      <c r="P588" s="17" t="s">
        <v>2890</v>
      </c>
      <c r="T588" s="17" t="s">
        <v>2889</v>
      </c>
      <c r="U588" s="17" t="s">
        <v>2890</v>
      </c>
      <c r="V588" s="21"/>
      <c r="W588" s="17"/>
      <c r="X588" s="20">
        <v>0</v>
      </c>
    </row>
    <row r="589" spans="1:24">
      <c r="A589" s="1">
        <v>9930</v>
      </c>
      <c r="B589" s="1" t="s">
        <v>346</v>
      </c>
      <c r="C589" s="1" t="s">
        <v>970</v>
      </c>
      <c r="D589" s="1" t="s">
        <v>971</v>
      </c>
      <c r="E589" s="1">
        <v>28</v>
      </c>
      <c r="F589" s="1" t="str">
        <f>VLOOKUP(E589,'ESTRUTURA_MODULO(hide)'!$A$2:$D$230,2,FALSE)</f>
        <v>Contas a Receber</v>
      </c>
      <c r="G589" s="1" t="str">
        <f>VLOOKUP(E589,'ESTRUTURA_MODULO(hide)'!$A$2:$D$95,3,FALSE)</f>
        <v xml:space="preserve">Accounts receivable </v>
      </c>
      <c r="H589" s="1" t="str">
        <f>VLOOKUP(E589,'ESTRUTURA_MODULO(hide)'!$A$2:$D$95,4,FALSE)</f>
        <v>Cuentas por Cobrar</v>
      </c>
      <c r="I589" s="20">
        <v>0</v>
      </c>
      <c r="J589" s="17" t="s">
        <v>2890</v>
      </c>
      <c r="K589" s="17" t="s">
        <v>2890</v>
      </c>
      <c r="L589" s="17" t="s">
        <v>2890</v>
      </c>
      <c r="M589" s="17" t="s">
        <v>2890</v>
      </c>
      <c r="N589" s="17" t="s">
        <v>2890</v>
      </c>
      <c r="O589" s="17" t="s">
        <v>2890</v>
      </c>
      <c r="P589" s="17" t="s">
        <v>2890</v>
      </c>
      <c r="T589" s="17" t="s">
        <v>2889</v>
      </c>
      <c r="U589" s="17" t="s">
        <v>2890</v>
      </c>
      <c r="V589" s="21"/>
      <c r="W589" s="17"/>
      <c r="X589" s="20">
        <v>0</v>
      </c>
    </row>
    <row r="590" spans="1:24">
      <c r="A590" s="1">
        <v>861</v>
      </c>
      <c r="B590" s="35" t="s">
        <v>332</v>
      </c>
      <c r="C590" s="1" t="s">
        <v>968</v>
      </c>
      <c r="D590" s="1" t="s">
        <v>969</v>
      </c>
      <c r="E590" s="35">
        <v>28</v>
      </c>
      <c r="F590" s="1" t="str">
        <f>VLOOKUP(E590,'ESTRUTURA_MODULO(hide)'!$A$2:$D$230,2,FALSE)</f>
        <v>Contas a Receber</v>
      </c>
      <c r="G590" s="1" t="str">
        <f>VLOOKUP(E590,'ESTRUTURA_MODULO(hide)'!$A$2:$D$95,3,FALSE)</f>
        <v xml:space="preserve">Accounts receivable </v>
      </c>
      <c r="H590" s="1" t="str">
        <f>VLOOKUP(E590,'ESTRUTURA_MODULO(hide)'!$A$2:$D$95,4,FALSE)</f>
        <v>Cuentas por Cobrar</v>
      </c>
      <c r="I590" s="37">
        <v>4</v>
      </c>
      <c r="J590" s="17" t="s">
        <v>2890</v>
      </c>
      <c r="K590" s="17" t="s">
        <v>2889</v>
      </c>
      <c r="L590" s="17" t="s">
        <v>2889</v>
      </c>
      <c r="M590" s="38" t="s">
        <v>2889</v>
      </c>
      <c r="N590" s="38" t="s">
        <v>2889</v>
      </c>
      <c r="O590" s="17" t="s">
        <v>2890</v>
      </c>
      <c r="P590" s="17" t="s">
        <v>2890</v>
      </c>
      <c r="T590" s="17" t="s">
        <v>2889</v>
      </c>
      <c r="U590" s="17" t="s">
        <v>2890</v>
      </c>
      <c r="V590" s="36"/>
      <c r="W590" s="17"/>
      <c r="X590" s="20">
        <v>4</v>
      </c>
    </row>
    <row r="591" spans="1:24">
      <c r="A591" s="1">
        <v>880</v>
      </c>
      <c r="B591" s="35" t="s">
        <v>341</v>
      </c>
      <c r="C591" s="1" t="s">
        <v>966</v>
      </c>
      <c r="D591" s="1" t="s">
        <v>967</v>
      </c>
      <c r="E591" s="35">
        <v>28</v>
      </c>
      <c r="F591" s="1" t="str">
        <f>VLOOKUP(E591,'ESTRUTURA_MODULO(hide)'!$A$2:$D$230,2,FALSE)</f>
        <v>Contas a Receber</v>
      </c>
      <c r="G591" s="1" t="str">
        <f>VLOOKUP(E591,'ESTRUTURA_MODULO(hide)'!$A$2:$D$95,3,FALSE)</f>
        <v xml:space="preserve">Accounts receivable </v>
      </c>
      <c r="H591" s="1" t="str">
        <f>VLOOKUP(E591,'ESTRUTURA_MODULO(hide)'!$A$2:$D$95,4,FALSE)</f>
        <v>Cuentas por Cobrar</v>
      </c>
      <c r="I591" s="37">
        <v>4</v>
      </c>
      <c r="J591" s="17" t="s">
        <v>2890</v>
      </c>
      <c r="K591" s="17" t="s">
        <v>2890</v>
      </c>
      <c r="L591" s="17" t="s">
        <v>2890</v>
      </c>
      <c r="M591" s="38" t="s">
        <v>2889</v>
      </c>
      <c r="N591" s="38" t="s">
        <v>2889</v>
      </c>
      <c r="O591" s="17" t="s">
        <v>2890</v>
      </c>
      <c r="P591" s="17" t="s">
        <v>2890</v>
      </c>
      <c r="T591" s="17" t="s">
        <v>2889</v>
      </c>
      <c r="U591" s="17" t="s">
        <v>2890</v>
      </c>
      <c r="V591" s="36"/>
      <c r="W591" s="17"/>
      <c r="X591" s="20">
        <v>4</v>
      </c>
    </row>
    <row r="592" spans="1:24">
      <c r="A592" s="1">
        <v>334</v>
      </c>
      <c r="B592" s="426" t="s">
        <v>1862</v>
      </c>
      <c r="C592" s="1" t="s">
        <v>1863</v>
      </c>
      <c r="D592" s="1" t="s">
        <v>1864</v>
      </c>
      <c r="E592" s="1">
        <v>28</v>
      </c>
      <c r="F592" s="1" t="str">
        <f>VLOOKUP(E592,'ESTRUTURA_MODULO(hide)'!$A$2:$D$230,2,FALSE)</f>
        <v>Contas a Receber</v>
      </c>
      <c r="G592" s="1" t="str">
        <f>VLOOKUP(E592,'ESTRUTURA_MODULO(hide)'!$A$2:$D$95,3,FALSE)</f>
        <v xml:space="preserve">Accounts receivable </v>
      </c>
      <c r="H592" s="1" t="str">
        <f>VLOOKUP(E592,'ESTRUTURA_MODULO(hide)'!$A$2:$D$95,4,FALSE)</f>
        <v>Cuentas por Cobrar</v>
      </c>
      <c r="I592" s="20">
        <v>0</v>
      </c>
      <c r="J592" s="17" t="s">
        <v>2890</v>
      </c>
      <c r="K592" s="17" t="s">
        <v>2890</v>
      </c>
      <c r="L592" s="17" t="s">
        <v>2890</v>
      </c>
      <c r="M592" s="17" t="s">
        <v>2890</v>
      </c>
      <c r="N592" s="17" t="s">
        <v>2890</v>
      </c>
      <c r="O592" s="17" t="s">
        <v>2890</v>
      </c>
      <c r="P592" s="17" t="s">
        <v>2890</v>
      </c>
      <c r="T592" s="17" t="s">
        <v>2889</v>
      </c>
      <c r="U592" s="17" t="s">
        <v>2890</v>
      </c>
      <c r="V592" s="21"/>
      <c r="W592" s="17"/>
      <c r="X592" s="20">
        <v>0</v>
      </c>
    </row>
    <row r="593" spans="1:24">
      <c r="A593" s="1">
        <v>5516</v>
      </c>
      <c r="B593" s="35" t="s">
        <v>100</v>
      </c>
      <c r="C593" s="1" t="s">
        <v>964</v>
      </c>
      <c r="D593" s="1" t="s">
        <v>965</v>
      </c>
      <c r="E593" s="35">
        <v>28</v>
      </c>
      <c r="F593" s="1" t="str">
        <f>VLOOKUP(E593,'ESTRUTURA_MODULO(hide)'!$A$2:$D$230,2,FALSE)</f>
        <v>Contas a Receber</v>
      </c>
      <c r="G593" s="1" t="str">
        <f>VLOOKUP(E593,'ESTRUTURA_MODULO(hide)'!$A$2:$D$95,3,FALSE)</f>
        <v xml:space="preserve">Accounts receivable </v>
      </c>
      <c r="H593" s="1" t="str">
        <f>VLOOKUP(E593,'ESTRUTURA_MODULO(hide)'!$A$2:$D$95,4,FALSE)</f>
        <v>Cuentas por Cobrar</v>
      </c>
      <c r="I593" s="37">
        <v>4</v>
      </c>
      <c r="J593" s="17" t="s">
        <v>2889</v>
      </c>
      <c r="K593" s="17" t="s">
        <v>2889</v>
      </c>
      <c r="L593" s="17" t="s">
        <v>2889</v>
      </c>
      <c r="M593" s="38" t="s">
        <v>2889</v>
      </c>
      <c r="N593" s="38" t="s">
        <v>2889</v>
      </c>
      <c r="O593" s="17" t="s">
        <v>2889</v>
      </c>
      <c r="P593" s="17" t="s">
        <v>2889</v>
      </c>
      <c r="T593" s="17" t="s">
        <v>2889</v>
      </c>
      <c r="U593" s="17" t="s">
        <v>2890</v>
      </c>
      <c r="V593" s="36"/>
      <c r="W593" s="17"/>
      <c r="X593" s="20">
        <v>16</v>
      </c>
    </row>
    <row r="594" spans="1:24">
      <c r="A594" s="1">
        <v>801</v>
      </c>
      <c r="B594" s="35" t="s">
        <v>99</v>
      </c>
      <c r="C594" s="1" t="s">
        <v>956</v>
      </c>
      <c r="D594" s="1" t="s">
        <v>957</v>
      </c>
      <c r="E594" s="35">
        <v>28</v>
      </c>
      <c r="F594" s="1" t="str">
        <f>VLOOKUP(E594,'ESTRUTURA_MODULO(hide)'!$A$2:$D$230,2,FALSE)</f>
        <v>Contas a Receber</v>
      </c>
      <c r="G594" s="1" t="str">
        <f>VLOOKUP(E594,'ESTRUTURA_MODULO(hide)'!$A$2:$D$95,3,FALSE)</f>
        <v xml:space="preserve">Accounts receivable </v>
      </c>
      <c r="H594" s="1" t="str">
        <f>VLOOKUP(E594,'ESTRUTURA_MODULO(hide)'!$A$2:$D$95,4,FALSE)</f>
        <v>Cuentas por Cobrar</v>
      </c>
      <c r="I594" s="37">
        <v>16</v>
      </c>
      <c r="J594" s="17" t="s">
        <v>2889</v>
      </c>
      <c r="K594" s="17" t="s">
        <v>2889</v>
      </c>
      <c r="L594" s="17" t="s">
        <v>2889</v>
      </c>
      <c r="M594" s="38" t="s">
        <v>2889</v>
      </c>
      <c r="N594" s="38" t="s">
        <v>2889</v>
      </c>
      <c r="O594" s="17" t="s">
        <v>2889</v>
      </c>
      <c r="P594" s="17" t="s">
        <v>2889</v>
      </c>
      <c r="T594" s="17" t="s">
        <v>2889</v>
      </c>
      <c r="U594" s="17" t="s">
        <v>2890</v>
      </c>
      <c r="V594" s="36"/>
      <c r="W594" s="17"/>
      <c r="X594" s="20">
        <v>24</v>
      </c>
    </row>
    <row r="595" spans="1:24">
      <c r="A595" s="1">
        <v>802</v>
      </c>
      <c r="B595" s="35" t="s">
        <v>97</v>
      </c>
      <c r="C595" s="1" t="s">
        <v>952</v>
      </c>
      <c r="D595" s="1" t="s">
        <v>954</v>
      </c>
      <c r="E595" s="35">
        <v>28</v>
      </c>
      <c r="F595" s="1" t="str">
        <f>VLOOKUP(E595,'ESTRUTURA_MODULO(hide)'!$A$2:$D$230,2,FALSE)</f>
        <v>Contas a Receber</v>
      </c>
      <c r="G595" s="1" t="str">
        <f>VLOOKUP(E595,'ESTRUTURA_MODULO(hide)'!$A$2:$D$95,3,FALSE)</f>
        <v xml:space="preserve">Accounts receivable </v>
      </c>
      <c r="H595" s="1" t="str">
        <f>VLOOKUP(E595,'ESTRUTURA_MODULO(hide)'!$A$2:$D$95,4,FALSE)</f>
        <v>Cuentas por Cobrar</v>
      </c>
      <c r="I595" s="37">
        <v>8</v>
      </c>
      <c r="J595" s="17" t="s">
        <v>2889</v>
      </c>
      <c r="K595" s="17" t="s">
        <v>2889</v>
      </c>
      <c r="L595" s="17" t="s">
        <v>2889</v>
      </c>
      <c r="M595" s="38" t="s">
        <v>2889</v>
      </c>
      <c r="N595" s="38" t="s">
        <v>2889</v>
      </c>
      <c r="O595" s="17" t="s">
        <v>2889</v>
      </c>
      <c r="P595" s="17" t="s">
        <v>2889</v>
      </c>
      <c r="T595" s="17" t="s">
        <v>2889</v>
      </c>
      <c r="U595" s="17" t="s">
        <v>2890</v>
      </c>
      <c r="V595" s="36"/>
      <c r="W595" s="17"/>
      <c r="X595" s="20">
        <v>16</v>
      </c>
    </row>
    <row r="596" spans="1:24">
      <c r="A596" s="1">
        <v>5512</v>
      </c>
      <c r="B596" s="35" t="s">
        <v>98</v>
      </c>
      <c r="C596" s="1" t="s">
        <v>960</v>
      </c>
      <c r="D596" s="1" t="s">
        <v>961</v>
      </c>
      <c r="E596" s="35">
        <v>28</v>
      </c>
      <c r="F596" s="1" t="str">
        <f>VLOOKUP(E596,'ESTRUTURA_MODULO(hide)'!$A$2:$D$230,2,FALSE)</f>
        <v>Contas a Receber</v>
      </c>
      <c r="G596" s="1" t="str">
        <f>VLOOKUP(E596,'ESTRUTURA_MODULO(hide)'!$A$2:$D$95,3,FALSE)</f>
        <v xml:space="preserve">Accounts receivable </v>
      </c>
      <c r="H596" s="1" t="str">
        <f>VLOOKUP(E596,'ESTRUTURA_MODULO(hide)'!$A$2:$D$95,4,FALSE)</f>
        <v>Cuentas por Cobrar</v>
      </c>
      <c r="I596" s="37">
        <v>4</v>
      </c>
      <c r="J596" s="17" t="s">
        <v>2890</v>
      </c>
      <c r="K596" s="17" t="s">
        <v>2890</v>
      </c>
      <c r="L596" s="17" t="s">
        <v>2889</v>
      </c>
      <c r="M596" s="38" t="s">
        <v>2889</v>
      </c>
      <c r="N596" s="38" t="s">
        <v>2889</v>
      </c>
      <c r="O596" s="17" t="s">
        <v>2890</v>
      </c>
      <c r="P596" s="17" t="s">
        <v>2890</v>
      </c>
      <c r="T596" s="17" t="s">
        <v>2889</v>
      </c>
      <c r="U596" s="17" t="s">
        <v>2890</v>
      </c>
      <c r="V596" s="36"/>
      <c r="W596" s="17"/>
      <c r="X596" s="20">
        <v>8</v>
      </c>
    </row>
    <row r="597" spans="1:24">
      <c r="A597" s="1">
        <v>812</v>
      </c>
      <c r="B597" s="1" t="s">
        <v>94</v>
      </c>
      <c r="C597" s="1" t="s">
        <v>979</v>
      </c>
      <c r="D597" s="1" t="s">
        <v>980</v>
      </c>
      <c r="E597" s="1">
        <v>28</v>
      </c>
      <c r="F597" s="1" t="str">
        <f>VLOOKUP(E597,'ESTRUTURA_MODULO(hide)'!$A$2:$D$230,2,FALSE)</f>
        <v>Contas a Receber</v>
      </c>
      <c r="G597" s="1" t="str">
        <f>VLOOKUP(E597,'ESTRUTURA_MODULO(hide)'!$A$2:$D$95,3,FALSE)</f>
        <v xml:space="preserve">Accounts receivable </v>
      </c>
      <c r="H597" s="1" t="str">
        <f>VLOOKUP(E597,'ESTRUTURA_MODULO(hide)'!$A$2:$D$95,4,FALSE)</f>
        <v>Cuentas por Cobrar</v>
      </c>
      <c r="I597" s="20">
        <v>0</v>
      </c>
      <c r="J597" s="17" t="s">
        <v>2890</v>
      </c>
      <c r="K597" s="17" t="s">
        <v>2890</v>
      </c>
      <c r="L597" s="17" t="s">
        <v>2890</v>
      </c>
      <c r="M597" s="17" t="s">
        <v>2890</v>
      </c>
      <c r="N597" s="17" t="s">
        <v>2890</v>
      </c>
      <c r="O597" s="17" t="s">
        <v>2890</v>
      </c>
      <c r="P597" s="17" t="s">
        <v>2890</v>
      </c>
      <c r="T597" s="17" t="s">
        <v>2889</v>
      </c>
      <c r="U597" s="17" t="s">
        <v>2890</v>
      </c>
      <c r="V597" s="21"/>
      <c r="W597" s="17"/>
      <c r="X597" s="20">
        <v>0</v>
      </c>
    </row>
    <row r="598" spans="1:24">
      <c r="A598" s="1">
        <v>811</v>
      </c>
      <c r="B598" s="1" t="s">
        <v>96</v>
      </c>
      <c r="C598" s="1" t="s">
        <v>981</v>
      </c>
      <c r="D598" s="1" t="s">
        <v>982</v>
      </c>
      <c r="E598" s="1">
        <v>28</v>
      </c>
      <c r="F598" s="1" t="str">
        <f>VLOOKUP(E598,'ESTRUTURA_MODULO(hide)'!$A$2:$D$230,2,FALSE)</f>
        <v>Contas a Receber</v>
      </c>
      <c r="G598" s="1" t="str">
        <f>VLOOKUP(E598,'ESTRUTURA_MODULO(hide)'!$A$2:$D$95,3,FALSE)</f>
        <v xml:space="preserve">Accounts receivable </v>
      </c>
      <c r="H598" s="1" t="str">
        <f>VLOOKUP(E598,'ESTRUTURA_MODULO(hide)'!$A$2:$D$95,4,FALSE)</f>
        <v>Cuentas por Cobrar</v>
      </c>
      <c r="I598" s="20">
        <v>0</v>
      </c>
      <c r="J598" s="17" t="s">
        <v>2890</v>
      </c>
      <c r="K598" s="17" t="s">
        <v>2890</v>
      </c>
      <c r="L598" s="17" t="s">
        <v>2890</v>
      </c>
      <c r="M598" s="17" t="s">
        <v>2890</v>
      </c>
      <c r="N598" s="17" t="s">
        <v>2890</v>
      </c>
      <c r="O598" s="17" t="s">
        <v>2890</v>
      </c>
      <c r="P598" s="17" t="s">
        <v>2890</v>
      </c>
      <c r="T598" s="17" t="s">
        <v>2889</v>
      </c>
      <c r="U598" s="17" t="s">
        <v>2890</v>
      </c>
      <c r="V598" s="21"/>
      <c r="W598" s="17"/>
      <c r="X598" s="20">
        <v>0</v>
      </c>
    </row>
    <row r="599" spans="1:24">
      <c r="A599" s="1">
        <v>808</v>
      </c>
      <c r="B599" s="426" t="s">
        <v>1865</v>
      </c>
      <c r="C599" s="1" t="s">
        <v>1866</v>
      </c>
      <c r="D599" s="1" t="s">
        <v>1867</v>
      </c>
      <c r="E599" s="1">
        <v>28</v>
      </c>
      <c r="F599" s="1" t="str">
        <f>VLOOKUP(E599,'ESTRUTURA_MODULO(hide)'!$A$2:$D$230,2,FALSE)</f>
        <v>Contas a Receber</v>
      </c>
      <c r="G599" s="1" t="str">
        <f>VLOOKUP(E599,'ESTRUTURA_MODULO(hide)'!$A$2:$D$95,3,FALSE)</f>
        <v xml:space="preserve">Accounts receivable </v>
      </c>
      <c r="H599" s="1" t="str">
        <f>VLOOKUP(E599,'ESTRUTURA_MODULO(hide)'!$A$2:$D$95,4,FALSE)</f>
        <v>Cuentas por Cobrar</v>
      </c>
      <c r="I599" s="20">
        <v>0</v>
      </c>
      <c r="J599" s="17" t="s">
        <v>2890</v>
      </c>
      <c r="K599" s="17" t="s">
        <v>2890</v>
      </c>
      <c r="L599" s="17" t="s">
        <v>2890</v>
      </c>
      <c r="M599" s="17" t="s">
        <v>2890</v>
      </c>
      <c r="N599" s="17" t="s">
        <v>2890</v>
      </c>
      <c r="O599" s="17" t="s">
        <v>2890</v>
      </c>
      <c r="P599" s="17" t="s">
        <v>2890</v>
      </c>
      <c r="T599" s="17" t="s">
        <v>2889</v>
      </c>
      <c r="U599" s="17" t="s">
        <v>2890</v>
      </c>
      <c r="V599" s="21"/>
      <c r="W599" s="17"/>
      <c r="X599" s="20">
        <v>0</v>
      </c>
    </row>
    <row r="600" spans="1:24">
      <c r="A600" s="1">
        <v>860</v>
      </c>
      <c r="B600" s="35" t="s">
        <v>92</v>
      </c>
      <c r="C600" s="1" t="s">
        <v>850</v>
      </c>
      <c r="D600" s="1" t="s">
        <v>978</v>
      </c>
      <c r="E600" s="35">
        <v>28</v>
      </c>
      <c r="F600" s="1" t="str">
        <f>VLOOKUP(E600,'ESTRUTURA_MODULO(hide)'!$A$2:$D$230,2,FALSE)</f>
        <v>Contas a Receber</v>
      </c>
      <c r="G600" s="1" t="str">
        <f>VLOOKUP(E600,'ESTRUTURA_MODULO(hide)'!$A$2:$D$95,3,FALSE)</f>
        <v xml:space="preserve">Accounts receivable </v>
      </c>
      <c r="H600" s="1" t="str">
        <f>VLOOKUP(E600,'ESTRUTURA_MODULO(hide)'!$A$2:$D$95,4,FALSE)</f>
        <v>Cuentas por Cobrar</v>
      </c>
      <c r="I600" s="37">
        <v>16</v>
      </c>
      <c r="J600" s="17" t="s">
        <v>2890</v>
      </c>
      <c r="K600" s="17" t="s">
        <v>2890</v>
      </c>
      <c r="L600" s="17" t="s">
        <v>2889</v>
      </c>
      <c r="M600" s="38" t="s">
        <v>2889</v>
      </c>
      <c r="N600" s="38" t="s">
        <v>2889</v>
      </c>
      <c r="O600" s="17" t="s">
        <v>2890</v>
      </c>
      <c r="P600" s="17" t="s">
        <v>2890</v>
      </c>
      <c r="T600" s="17" t="s">
        <v>2889</v>
      </c>
      <c r="U600" s="17" t="s">
        <v>2890</v>
      </c>
      <c r="V600" s="36"/>
      <c r="W600" s="17"/>
      <c r="X600" s="20">
        <v>16</v>
      </c>
    </row>
    <row r="601" spans="1:24">
      <c r="A601" s="1">
        <v>815</v>
      </c>
      <c r="B601" s="35" t="s">
        <v>93</v>
      </c>
      <c r="C601" s="1" t="s">
        <v>1868</v>
      </c>
      <c r="D601" s="1" t="s">
        <v>977</v>
      </c>
      <c r="E601" s="35">
        <v>28</v>
      </c>
      <c r="F601" s="1" t="str">
        <f>VLOOKUP(E601,'ESTRUTURA_MODULO(hide)'!$A$2:$D$230,2,FALSE)</f>
        <v>Contas a Receber</v>
      </c>
      <c r="G601" s="1" t="str">
        <f>VLOOKUP(E601,'ESTRUTURA_MODULO(hide)'!$A$2:$D$95,3,FALSE)</f>
        <v xml:space="preserve">Accounts receivable </v>
      </c>
      <c r="H601" s="1" t="str">
        <f>VLOOKUP(E601,'ESTRUTURA_MODULO(hide)'!$A$2:$D$95,4,FALSE)</f>
        <v>Cuentas por Cobrar</v>
      </c>
      <c r="I601" s="37">
        <v>24</v>
      </c>
      <c r="J601" s="38" t="s">
        <v>2889</v>
      </c>
      <c r="K601" s="38" t="s">
        <v>2889</v>
      </c>
      <c r="L601" s="17" t="s">
        <v>2889</v>
      </c>
      <c r="M601" s="38" t="s">
        <v>2889</v>
      </c>
      <c r="N601" s="38" t="s">
        <v>2889</v>
      </c>
      <c r="O601" s="17" t="s">
        <v>2890</v>
      </c>
      <c r="P601" s="17" t="s">
        <v>2890</v>
      </c>
      <c r="T601" s="17" t="s">
        <v>2889</v>
      </c>
      <c r="U601" s="17" t="s">
        <v>2890</v>
      </c>
      <c r="V601" s="36"/>
      <c r="W601" s="17"/>
      <c r="X601" s="20">
        <v>24</v>
      </c>
    </row>
    <row r="602" spans="1:24">
      <c r="A602" s="1">
        <v>809</v>
      </c>
      <c r="B602" s="35" t="s">
        <v>974</v>
      </c>
      <c r="C602" s="1" t="s">
        <v>975</v>
      </c>
      <c r="D602" s="1" t="s">
        <v>976</v>
      </c>
      <c r="E602" s="35">
        <v>28</v>
      </c>
      <c r="F602" s="1" t="str">
        <f>VLOOKUP(E602,'ESTRUTURA_MODULO(hide)'!$A$2:$D$230,2,FALSE)</f>
        <v>Contas a Receber</v>
      </c>
      <c r="G602" s="1" t="str">
        <f>VLOOKUP(E602,'ESTRUTURA_MODULO(hide)'!$A$2:$D$95,3,FALSE)</f>
        <v xml:space="preserve">Accounts receivable </v>
      </c>
      <c r="H602" s="1" t="str">
        <f>VLOOKUP(E602,'ESTRUTURA_MODULO(hide)'!$A$2:$D$95,4,FALSE)</f>
        <v>Cuentas por Cobrar</v>
      </c>
      <c r="I602" s="37">
        <v>4</v>
      </c>
      <c r="J602" s="17" t="s">
        <v>2890</v>
      </c>
      <c r="K602" s="17" t="s">
        <v>2889</v>
      </c>
      <c r="L602" s="17" t="s">
        <v>2889</v>
      </c>
      <c r="M602" s="38" t="s">
        <v>2889</v>
      </c>
      <c r="N602" s="38" t="s">
        <v>2889</v>
      </c>
      <c r="O602" s="17" t="s">
        <v>2890</v>
      </c>
      <c r="P602" s="17" t="s">
        <v>2890</v>
      </c>
      <c r="T602" s="17" t="s">
        <v>2889</v>
      </c>
      <c r="U602" s="17" t="s">
        <v>2890</v>
      </c>
      <c r="V602" s="36"/>
      <c r="W602" s="17"/>
      <c r="X602" s="20">
        <v>16</v>
      </c>
    </row>
    <row r="603" spans="1:24">
      <c r="A603" s="1">
        <v>-815</v>
      </c>
      <c r="B603" s="426" t="s">
        <v>101</v>
      </c>
      <c r="C603" s="1" t="s">
        <v>962</v>
      </c>
      <c r="D603" s="1" t="s">
        <v>963</v>
      </c>
      <c r="E603" s="1">
        <v>28</v>
      </c>
      <c r="F603" s="1" t="str">
        <f>VLOOKUP(E603,'ESTRUTURA_MODULO(hide)'!$A$2:$D$230,2,FALSE)</f>
        <v>Contas a Receber</v>
      </c>
      <c r="G603" s="1" t="str">
        <f>VLOOKUP(E603,'ESTRUTURA_MODULO(hide)'!$A$2:$D$95,3,FALSE)</f>
        <v xml:space="preserve">Accounts receivable </v>
      </c>
      <c r="H603" s="1" t="str">
        <f>VLOOKUP(E603,'ESTRUTURA_MODULO(hide)'!$A$2:$D$95,4,FALSE)</f>
        <v>Cuentas por Cobrar</v>
      </c>
      <c r="I603" s="20">
        <v>0</v>
      </c>
      <c r="J603" s="17" t="s">
        <v>2890</v>
      </c>
      <c r="K603" s="17" t="s">
        <v>2890</v>
      </c>
      <c r="L603" s="17" t="s">
        <v>2890</v>
      </c>
      <c r="M603" s="17" t="s">
        <v>2890</v>
      </c>
      <c r="N603" s="17" t="s">
        <v>2890</v>
      </c>
      <c r="O603" s="17" t="s">
        <v>2890</v>
      </c>
      <c r="P603" s="17" t="s">
        <v>2890</v>
      </c>
      <c r="T603" s="17" t="s">
        <v>2889</v>
      </c>
      <c r="U603" s="17" t="s">
        <v>2890</v>
      </c>
      <c r="V603" s="21"/>
      <c r="W603" s="17"/>
      <c r="X603" s="20">
        <v>0</v>
      </c>
    </row>
    <row r="604" spans="1:24">
      <c r="A604" s="1">
        <v>810</v>
      </c>
      <c r="B604" s="35" t="s">
        <v>91</v>
      </c>
      <c r="C604" s="1" t="s">
        <v>972</v>
      </c>
      <c r="D604" s="1" t="s">
        <v>973</v>
      </c>
      <c r="E604" s="35">
        <v>28</v>
      </c>
      <c r="F604" s="1" t="str">
        <f>VLOOKUP(E604,'ESTRUTURA_MODULO(hide)'!$A$2:$D$230,2,FALSE)</f>
        <v>Contas a Receber</v>
      </c>
      <c r="G604" s="1" t="str">
        <f>VLOOKUP(E604,'ESTRUTURA_MODULO(hide)'!$A$2:$D$95,3,FALSE)</f>
        <v xml:space="preserve">Accounts receivable </v>
      </c>
      <c r="H604" s="1" t="str">
        <f>VLOOKUP(E604,'ESTRUTURA_MODULO(hide)'!$A$2:$D$95,4,FALSE)</f>
        <v>Cuentas por Cobrar</v>
      </c>
      <c r="I604" s="37">
        <v>8</v>
      </c>
      <c r="J604" s="17" t="s">
        <v>2889</v>
      </c>
      <c r="K604" s="17" t="s">
        <v>2889</v>
      </c>
      <c r="L604" s="17" t="s">
        <v>2889</v>
      </c>
      <c r="M604" s="38" t="s">
        <v>2889</v>
      </c>
      <c r="N604" s="38" t="s">
        <v>2889</v>
      </c>
      <c r="O604" s="17" t="s">
        <v>2889</v>
      </c>
      <c r="P604" s="17" t="s">
        <v>2889</v>
      </c>
      <c r="T604" s="17" t="s">
        <v>2889</v>
      </c>
      <c r="U604" s="17" t="s">
        <v>2890</v>
      </c>
      <c r="V604" s="36"/>
      <c r="W604" s="17"/>
      <c r="X604" s="20">
        <v>24</v>
      </c>
    </row>
    <row r="605" spans="1:24">
      <c r="A605" s="1">
        <v>859</v>
      </c>
      <c r="B605" s="426" t="s">
        <v>95</v>
      </c>
      <c r="C605" s="1" t="s">
        <v>958</v>
      </c>
      <c r="D605" s="1" t="s">
        <v>959</v>
      </c>
      <c r="E605" s="1">
        <v>28</v>
      </c>
      <c r="F605" s="1" t="str">
        <f>VLOOKUP(E605,'ESTRUTURA_MODULO(hide)'!$A$2:$D$230,2,FALSE)</f>
        <v>Contas a Receber</v>
      </c>
      <c r="G605" s="1" t="str">
        <f>VLOOKUP(E605,'ESTRUTURA_MODULO(hide)'!$A$2:$D$95,3,FALSE)</f>
        <v xml:space="preserve">Accounts receivable </v>
      </c>
      <c r="H605" s="1" t="str">
        <f>VLOOKUP(E605,'ESTRUTURA_MODULO(hide)'!$A$2:$D$95,4,FALSE)</f>
        <v>Cuentas por Cobrar</v>
      </c>
      <c r="I605" s="20">
        <v>0</v>
      </c>
      <c r="J605" s="17" t="s">
        <v>2890</v>
      </c>
      <c r="K605" s="17" t="s">
        <v>2890</v>
      </c>
      <c r="L605" s="17" t="s">
        <v>2890</v>
      </c>
      <c r="M605" s="17" t="s">
        <v>2890</v>
      </c>
      <c r="N605" s="17" t="s">
        <v>2890</v>
      </c>
      <c r="O605" s="17" t="s">
        <v>2890</v>
      </c>
      <c r="P605" s="17" t="s">
        <v>2890</v>
      </c>
      <c r="T605" s="17" t="s">
        <v>2889</v>
      </c>
      <c r="U605" s="17" t="s">
        <v>2890</v>
      </c>
      <c r="V605" s="21"/>
      <c r="W605" s="17"/>
      <c r="X605" s="20">
        <v>0</v>
      </c>
    </row>
    <row r="606" spans="1:24">
      <c r="A606" s="1">
        <v>3020</v>
      </c>
      <c r="B606" s="35" t="s">
        <v>107</v>
      </c>
      <c r="C606" s="1" t="s">
        <v>983</v>
      </c>
      <c r="D606" s="1" t="s">
        <v>985</v>
      </c>
      <c r="E606" s="35">
        <v>29</v>
      </c>
      <c r="F606" s="1" t="str">
        <f>VLOOKUP(E606,'ESTRUTURA_MODULO(hide)'!$A$2:$D$230,2,FALSE)</f>
        <v>Tesouraria</v>
      </c>
      <c r="G606" s="1" t="str">
        <f>VLOOKUP(E606,'ESTRUTURA_MODULO(hide)'!$A$2:$D$95,3,FALSE)</f>
        <v>Treasury</v>
      </c>
      <c r="H606" s="1" t="str">
        <f>VLOOKUP(E606,'ESTRUTURA_MODULO(hide)'!$A$2:$D$95,4,FALSE)</f>
        <v>Tesorería</v>
      </c>
      <c r="I606" s="37">
        <v>16</v>
      </c>
      <c r="J606" s="17" t="s">
        <v>2889</v>
      </c>
      <c r="K606" s="17" t="s">
        <v>2889</v>
      </c>
      <c r="L606" s="17" t="s">
        <v>2889</v>
      </c>
      <c r="M606" s="38" t="s">
        <v>2889</v>
      </c>
      <c r="N606" s="38" t="s">
        <v>2889</v>
      </c>
      <c r="O606" s="17" t="s">
        <v>2889</v>
      </c>
      <c r="P606" s="17" t="s">
        <v>2889</v>
      </c>
      <c r="T606" s="17" t="s">
        <v>2889</v>
      </c>
      <c r="U606" s="17" t="s">
        <v>2890</v>
      </c>
      <c r="V606" s="36"/>
      <c r="W606" s="17"/>
      <c r="X606" s="20">
        <v>24</v>
      </c>
    </row>
    <row r="607" spans="1:24">
      <c r="A607" s="1">
        <v>813</v>
      </c>
      <c r="B607" s="35" t="s">
        <v>14</v>
      </c>
      <c r="C607" s="1" t="s">
        <v>984</v>
      </c>
      <c r="D607" s="1" t="s">
        <v>986</v>
      </c>
      <c r="E607" s="35">
        <v>29</v>
      </c>
      <c r="F607" s="1" t="str">
        <f>VLOOKUP(E607,'ESTRUTURA_MODULO(hide)'!$A$2:$D$230,2,FALSE)</f>
        <v>Tesouraria</v>
      </c>
      <c r="G607" s="1" t="str">
        <f>VLOOKUP(E607,'ESTRUTURA_MODULO(hide)'!$A$2:$D$95,3,FALSE)</f>
        <v>Treasury</v>
      </c>
      <c r="H607" s="1" t="str">
        <f>VLOOKUP(E607,'ESTRUTURA_MODULO(hide)'!$A$2:$D$95,4,FALSE)</f>
        <v>Tesorería</v>
      </c>
      <c r="I607" s="37">
        <v>24</v>
      </c>
      <c r="J607" s="17" t="s">
        <v>2889</v>
      </c>
      <c r="K607" s="17" t="s">
        <v>2889</v>
      </c>
      <c r="L607" s="17" t="s">
        <v>2889</v>
      </c>
      <c r="M607" s="38" t="s">
        <v>2889</v>
      </c>
      <c r="N607" s="38" t="s">
        <v>2889</v>
      </c>
      <c r="O607" s="17" t="s">
        <v>2889</v>
      </c>
      <c r="P607" s="17" t="s">
        <v>2889</v>
      </c>
      <c r="T607" s="17" t="s">
        <v>2889</v>
      </c>
      <c r="U607" s="17" t="s">
        <v>2890</v>
      </c>
      <c r="V607" s="36"/>
      <c r="W607" s="17"/>
      <c r="X607" s="20">
        <v>40</v>
      </c>
    </row>
    <row r="608" spans="1:24">
      <c r="A608" s="1">
        <v>830</v>
      </c>
      <c r="B608" s="35" t="s">
        <v>17</v>
      </c>
      <c r="C608" s="1" t="s">
        <v>987</v>
      </c>
      <c r="D608" s="1" t="s">
        <v>988</v>
      </c>
      <c r="E608" s="35">
        <v>30</v>
      </c>
      <c r="F608" s="1" t="str">
        <f>VLOOKUP(E608,'ESTRUTURA_MODULO(hide)'!$A$2:$D$230,2,FALSE)</f>
        <v>Fluxo de Caixa</v>
      </c>
      <c r="G608" s="1" t="str">
        <f>VLOOKUP(E608,'ESTRUTURA_MODULO(hide)'!$A$2:$D$95,3,FALSE)</f>
        <v>Cash Flow</v>
      </c>
      <c r="H608" s="1" t="str">
        <f>VLOOKUP(E608,'ESTRUTURA_MODULO(hide)'!$A$2:$D$95,4,FALSE)</f>
        <v>Flujo de Efectivo</v>
      </c>
      <c r="I608" s="37">
        <v>40</v>
      </c>
      <c r="J608" s="17" t="s">
        <v>2889</v>
      </c>
      <c r="K608" s="17" t="s">
        <v>2889</v>
      </c>
      <c r="L608" s="17" t="s">
        <v>2889</v>
      </c>
      <c r="M608" s="38" t="s">
        <v>2889</v>
      </c>
      <c r="N608" s="38" t="s">
        <v>2889</v>
      </c>
      <c r="O608" s="17" t="s">
        <v>2889</v>
      </c>
      <c r="P608" s="17" t="s">
        <v>2889</v>
      </c>
      <c r="T608" s="17" t="s">
        <v>2889</v>
      </c>
      <c r="U608" s="17" t="s">
        <v>2890</v>
      </c>
      <c r="V608" s="36"/>
      <c r="W608" s="17"/>
      <c r="X608" s="20">
        <v>60</v>
      </c>
    </row>
    <row r="609" spans="1:24">
      <c r="A609" s="1">
        <v>1142</v>
      </c>
      <c r="B609" s="1" t="s">
        <v>994</v>
      </c>
      <c r="C609" s="1" t="s">
        <v>994</v>
      </c>
      <c r="D609" s="1" t="s">
        <v>994</v>
      </c>
      <c r="E609" s="1">
        <v>31</v>
      </c>
      <c r="F609" s="1" t="str">
        <f>VLOOKUP(E609,'ESTRUTURA_MODULO(hide)'!$A$2:$D$230,2,FALSE)</f>
        <v>SUS AIH</v>
      </c>
      <c r="G609" s="1" t="str">
        <f>VLOOKUP(E609,'ESTRUTURA_MODULO(hide)'!$A$2:$D$95,3,FALSE)</f>
        <v>SUS AHA</v>
      </c>
      <c r="H609" s="1" t="str">
        <f>VLOOKUP(E609,'ESTRUTURA_MODULO(hide)'!$A$2:$D$95,4,FALSE)</f>
        <v>SUS AIH</v>
      </c>
      <c r="I609" s="20">
        <v>0</v>
      </c>
      <c r="J609" s="17" t="s">
        <v>2890</v>
      </c>
      <c r="K609" s="17" t="s">
        <v>2890</v>
      </c>
      <c r="L609" s="17" t="s">
        <v>2890</v>
      </c>
      <c r="M609" s="17" t="s">
        <v>2890</v>
      </c>
      <c r="N609" s="17" t="s">
        <v>2890</v>
      </c>
      <c r="O609" s="17" t="s">
        <v>2890</v>
      </c>
      <c r="P609" s="17" t="s">
        <v>2890</v>
      </c>
      <c r="T609" s="17" t="s">
        <v>2889</v>
      </c>
      <c r="U609" s="17" t="s">
        <v>2890</v>
      </c>
      <c r="V609" s="21"/>
      <c r="W609" s="17"/>
      <c r="X609" s="20">
        <v>0</v>
      </c>
    </row>
    <row r="610" spans="1:24">
      <c r="A610" s="1">
        <v>1138</v>
      </c>
      <c r="B610" s="1" t="s">
        <v>404</v>
      </c>
      <c r="C610" s="1" t="s">
        <v>2873</v>
      </c>
      <c r="D610" s="1" t="s">
        <v>2874</v>
      </c>
      <c r="E610" s="1">
        <v>31</v>
      </c>
      <c r="F610" s="1" t="str">
        <f>VLOOKUP(E610,'ESTRUTURA_MODULO(hide)'!$A$2:$D$230,2,FALSE)</f>
        <v>SUS AIH</v>
      </c>
      <c r="G610" s="1" t="str">
        <f>VLOOKUP(E610,'ESTRUTURA_MODULO(hide)'!$A$2:$D$95,3,FALSE)</f>
        <v>SUS AHA</v>
      </c>
      <c r="H610" s="1" t="str">
        <f>VLOOKUP(E610,'ESTRUTURA_MODULO(hide)'!$A$2:$D$95,4,FALSE)</f>
        <v>SUS AIH</v>
      </c>
      <c r="I610" s="20">
        <v>0</v>
      </c>
      <c r="J610" s="17" t="s">
        <v>2890</v>
      </c>
      <c r="K610" s="17" t="s">
        <v>2890</v>
      </c>
      <c r="L610" s="17" t="s">
        <v>2890</v>
      </c>
      <c r="M610" s="17" t="s">
        <v>2890</v>
      </c>
      <c r="N610" s="17" t="s">
        <v>2890</v>
      </c>
      <c r="O610" s="17" t="s">
        <v>2890</v>
      </c>
      <c r="P610" s="17" t="s">
        <v>2890</v>
      </c>
      <c r="T610" s="17" t="s">
        <v>2889</v>
      </c>
      <c r="U610" s="17" t="s">
        <v>2890</v>
      </c>
      <c r="V610" s="21"/>
      <c r="W610" s="17"/>
      <c r="X610" s="20">
        <v>0</v>
      </c>
    </row>
    <row r="611" spans="1:24">
      <c r="A611" s="1">
        <v>9049</v>
      </c>
      <c r="B611" s="1" t="s">
        <v>329</v>
      </c>
      <c r="C611" s="1" t="s">
        <v>1869</v>
      </c>
      <c r="D611" s="1" t="s">
        <v>2875</v>
      </c>
      <c r="E611" s="1">
        <v>31</v>
      </c>
      <c r="F611" s="1" t="str">
        <f>VLOOKUP(E611,'ESTRUTURA_MODULO(hide)'!$A$2:$D$230,2,FALSE)</f>
        <v>SUS AIH</v>
      </c>
      <c r="G611" s="1" t="str">
        <f>VLOOKUP(E611,'ESTRUTURA_MODULO(hide)'!$A$2:$D$95,3,FALSE)</f>
        <v>SUS AHA</v>
      </c>
      <c r="H611" s="1" t="str">
        <f>VLOOKUP(E611,'ESTRUTURA_MODULO(hide)'!$A$2:$D$95,4,FALSE)</f>
        <v>SUS AIH</v>
      </c>
      <c r="I611" s="20">
        <v>0</v>
      </c>
      <c r="J611" s="17" t="s">
        <v>2890</v>
      </c>
      <c r="K611" s="17" t="s">
        <v>2890</v>
      </c>
      <c r="L611" s="17" t="s">
        <v>2890</v>
      </c>
      <c r="M611" s="17" t="s">
        <v>2890</v>
      </c>
      <c r="N611" s="17" t="s">
        <v>2890</v>
      </c>
      <c r="O611" s="17" t="s">
        <v>2890</v>
      </c>
      <c r="P611" s="17" t="s">
        <v>2890</v>
      </c>
      <c r="T611" s="17" t="s">
        <v>2889</v>
      </c>
      <c r="U611" s="17" t="s">
        <v>2890</v>
      </c>
      <c r="V611" s="21"/>
      <c r="W611" s="17"/>
      <c r="X611" s="20">
        <v>0</v>
      </c>
    </row>
    <row r="612" spans="1:24">
      <c r="A612" s="1">
        <v>3011</v>
      </c>
      <c r="B612" s="1" t="s">
        <v>989</v>
      </c>
      <c r="C612" s="1" t="s">
        <v>1870</v>
      </c>
      <c r="D612" s="1" t="s">
        <v>991</v>
      </c>
      <c r="E612" s="1">
        <v>31</v>
      </c>
      <c r="F612" s="1" t="str">
        <f>VLOOKUP(E612,'ESTRUTURA_MODULO(hide)'!$A$2:$D$230,2,FALSE)</f>
        <v>SUS AIH</v>
      </c>
      <c r="G612" s="1" t="str">
        <f>VLOOKUP(E612,'ESTRUTURA_MODULO(hide)'!$A$2:$D$95,3,FALSE)</f>
        <v>SUS AHA</v>
      </c>
      <c r="H612" s="1" t="str">
        <f>VLOOKUP(E612,'ESTRUTURA_MODULO(hide)'!$A$2:$D$95,4,FALSE)</f>
        <v>SUS AIH</v>
      </c>
      <c r="I612" s="20">
        <v>0</v>
      </c>
      <c r="J612" s="17" t="s">
        <v>2890</v>
      </c>
      <c r="K612" s="17" t="s">
        <v>2890</v>
      </c>
      <c r="L612" s="17" t="s">
        <v>2890</v>
      </c>
      <c r="M612" s="17" t="s">
        <v>2890</v>
      </c>
      <c r="N612" s="17" t="s">
        <v>2890</v>
      </c>
      <c r="O612" s="17" t="s">
        <v>2890</v>
      </c>
      <c r="P612" s="17" t="s">
        <v>2890</v>
      </c>
      <c r="T612" s="17" t="s">
        <v>2889</v>
      </c>
      <c r="U612" s="17" t="s">
        <v>2890</v>
      </c>
      <c r="V612" s="21"/>
      <c r="W612" s="17"/>
      <c r="X612" s="20">
        <v>0</v>
      </c>
    </row>
    <row r="613" spans="1:24">
      <c r="A613" s="1">
        <v>1126</v>
      </c>
      <c r="B613" s="35" t="s">
        <v>247</v>
      </c>
      <c r="C613" s="1" t="s">
        <v>1871</v>
      </c>
      <c r="D613" s="1" t="s">
        <v>2876</v>
      </c>
      <c r="E613" s="35">
        <v>31</v>
      </c>
      <c r="F613" s="1" t="str">
        <f>VLOOKUP(E613,'ESTRUTURA_MODULO(hide)'!$A$2:$D$230,2,FALSE)</f>
        <v>SUS AIH</v>
      </c>
      <c r="G613" s="1" t="str">
        <f>VLOOKUP(E613,'ESTRUTURA_MODULO(hide)'!$A$2:$D$95,3,FALSE)</f>
        <v>SUS AHA</v>
      </c>
      <c r="H613" s="1" t="str">
        <f>VLOOKUP(E613,'ESTRUTURA_MODULO(hide)'!$A$2:$D$95,4,FALSE)</f>
        <v>SUS AIH</v>
      </c>
      <c r="I613" s="37">
        <v>16</v>
      </c>
      <c r="J613" s="17" t="s">
        <v>2889</v>
      </c>
      <c r="K613" s="17" t="s">
        <v>2889</v>
      </c>
      <c r="L613" s="17" t="s">
        <v>2889</v>
      </c>
      <c r="M613" s="38" t="s">
        <v>2889</v>
      </c>
      <c r="N613" s="38" t="s">
        <v>2889</v>
      </c>
      <c r="O613" s="17" t="s">
        <v>2889</v>
      </c>
      <c r="P613" s="17" t="s">
        <v>2889</v>
      </c>
      <c r="T613" s="17" t="s">
        <v>2889</v>
      </c>
      <c r="U613" s="17" t="s">
        <v>2890</v>
      </c>
      <c r="V613" s="36"/>
      <c r="W613" s="17"/>
      <c r="X613" s="20">
        <v>16</v>
      </c>
    </row>
    <row r="614" spans="1:24">
      <c r="A614" s="1">
        <v>1123</v>
      </c>
      <c r="B614" s="35" t="s">
        <v>245</v>
      </c>
      <c r="C614" s="1" t="s">
        <v>990</v>
      </c>
      <c r="D614" s="1" t="s">
        <v>245</v>
      </c>
      <c r="E614" s="35">
        <v>31</v>
      </c>
      <c r="F614" s="1" t="str">
        <f>VLOOKUP(E614,'ESTRUTURA_MODULO(hide)'!$A$2:$D$230,2,FALSE)</f>
        <v>SUS AIH</v>
      </c>
      <c r="G614" s="1" t="str">
        <f>VLOOKUP(E614,'ESTRUTURA_MODULO(hide)'!$A$2:$D$95,3,FALSE)</f>
        <v>SUS AHA</v>
      </c>
      <c r="H614" s="1" t="str">
        <f>VLOOKUP(E614,'ESTRUTURA_MODULO(hide)'!$A$2:$D$95,4,FALSE)</f>
        <v>SUS AIH</v>
      </c>
      <c r="I614" s="37">
        <v>40</v>
      </c>
      <c r="J614" s="17" t="s">
        <v>2889</v>
      </c>
      <c r="K614" s="17" t="s">
        <v>2889</v>
      </c>
      <c r="L614" s="17" t="s">
        <v>2889</v>
      </c>
      <c r="M614" s="38" t="s">
        <v>2889</v>
      </c>
      <c r="N614" s="38" t="s">
        <v>2889</v>
      </c>
      <c r="O614" s="17" t="s">
        <v>2890</v>
      </c>
      <c r="P614" s="17" t="s">
        <v>2890</v>
      </c>
      <c r="T614" s="17" t="s">
        <v>2889</v>
      </c>
      <c r="U614" s="17" t="s">
        <v>2890</v>
      </c>
      <c r="V614" s="36"/>
      <c r="W614" s="17"/>
      <c r="X614" s="20">
        <v>40</v>
      </c>
    </row>
    <row r="615" spans="1:24">
      <c r="A615" s="1">
        <v>1117</v>
      </c>
      <c r="B615" s="1" t="s">
        <v>246</v>
      </c>
      <c r="C615" s="1" t="s">
        <v>992</v>
      </c>
      <c r="D615" s="1" t="s">
        <v>993</v>
      </c>
      <c r="E615" s="1">
        <v>31</v>
      </c>
      <c r="F615" s="1" t="str">
        <f>VLOOKUP(E615,'ESTRUTURA_MODULO(hide)'!$A$2:$D$230,2,FALSE)</f>
        <v>SUS AIH</v>
      </c>
      <c r="G615" s="1" t="str">
        <f>VLOOKUP(E615,'ESTRUTURA_MODULO(hide)'!$A$2:$D$95,3,FALSE)</f>
        <v>SUS AHA</v>
      </c>
      <c r="H615" s="1" t="str">
        <f>VLOOKUP(E615,'ESTRUTURA_MODULO(hide)'!$A$2:$D$95,4,FALSE)</f>
        <v>SUS AIH</v>
      </c>
      <c r="I615" s="20">
        <v>0</v>
      </c>
      <c r="J615" s="17" t="s">
        <v>2890</v>
      </c>
      <c r="K615" s="17" t="s">
        <v>2890</v>
      </c>
      <c r="L615" s="17" t="s">
        <v>2890</v>
      </c>
      <c r="M615" s="17" t="s">
        <v>2890</v>
      </c>
      <c r="N615" s="17" t="s">
        <v>2890</v>
      </c>
      <c r="O615" s="17" t="s">
        <v>2890</v>
      </c>
      <c r="P615" s="17" t="s">
        <v>2890</v>
      </c>
      <c r="T615" s="17" t="s">
        <v>2889</v>
      </c>
      <c r="U615" s="17" t="s">
        <v>2890</v>
      </c>
      <c r="V615" s="21"/>
      <c r="W615" s="17"/>
      <c r="X615" s="20">
        <v>0</v>
      </c>
    </row>
    <row r="616" spans="1:24">
      <c r="A616" s="1">
        <v>1131</v>
      </c>
      <c r="B616" s="35" t="s">
        <v>249</v>
      </c>
      <c r="C616" s="1" t="s">
        <v>1872</v>
      </c>
      <c r="D616" s="35" t="s">
        <v>249</v>
      </c>
      <c r="E616" s="35">
        <v>32</v>
      </c>
      <c r="F616" s="1" t="str">
        <f>VLOOKUP(E616,'ESTRUTURA_MODULO(hide)'!$A$2:$D$230,2,FALSE)</f>
        <v>SUS BPA</v>
      </c>
      <c r="G616" s="1" t="str">
        <f>VLOOKUP(E616,'ESTRUTURA_MODULO(hide)'!$A$2:$D$95,3,FALSE)</f>
        <v xml:space="preserve">SUS BPA </v>
      </c>
      <c r="H616" s="1" t="str">
        <f>VLOOKUP(E616,'ESTRUTURA_MODULO(hide)'!$A$2:$D$95,4,FALSE)</f>
        <v>SUS BPA</v>
      </c>
      <c r="I616" s="37">
        <v>8</v>
      </c>
      <c r="J616" s="17" t="s">
        <v>2889</v>
      </c>
      <c r="K616" s="17" t="s">
        <v>2889</v>
      </c>
      <c r="L616" s="17" t="s">
        <v>2889</v>
      </c>
      <c r="M616" s="38" t="s">
        <v>2889</v>
      </c>
      <c r="N616" s="38" t="s">
        <v>2889</v>
      </c>
      <c r="O616" s="17" t="s">
        <v>2889</v>
      </c>
      <c r="P616" s="17" t="s">
        <v>2889</v>
      </c>
      <c r="T616" s="17" t="s">
        <v>2889</v>
      </c>
      <c r="U616" s="17" t="s">
        <v>2890</v>
      </c>
      <c r="V616" s="36"/>
      <c r="W616" s="17"/>
      <c r="X616" s="20">
        <v>8</v>
      </c>
    </row>
    <row r="617" spans="1:24">
      <c r="A617" s="1">
        <v>1125</v>
      </c>
      <c r="B617" s="35" t="s">
        <v>248</v>
      </c>
      <c r="C617" s="1" t="s">
        <v>995</v>
      </c>
      <c r="D617" s="1" t="s">
        <v>248</v>
      </c>
      <c r="E617" s="35">
        <v>32</v>
      </c>
      <c r="F617" s="1" t="str">
        <f>VLOOKUP(E617,'ESTRUTURA_MODULO(hide)'!$A$2:$D$230,2,FALSE)</f>
        <v>SUS BPA</v>
      </c>
      <c r="G617" s="1" t="str">
        <f>VLOOKUP(E617,'ESTRUTURA_MODULO(hide)'!$A$2:$D$95,3,FALSE)</f>
        <v xml:space="preserve">SUS BPA </v>
      </c>
      <c r="H617" s="1" t="str">
        <f>VLOOKUP(E617,'ESTRUTURA_MODULO(hide)'!$A$2:$D$95,4,FALSE)</f>
        <v>SUS BPA</v>
      </c>
      <c r="I617" s="37">
        <v>16</v>
      </c>
      <c r="J617" s="17" t="s">
        <v>2889</v>
      </c>
      <c r="K617" s="17" t="s">
        <v>2889</v>
      </c>
      <c r="L617" s="17" t="s">
        <v>2889</v>
      </c>
      <c r="M617" s="38" t="s">
        <v>2889</v>
      </c>
      <c r="N617" s="38" t="s">
        <v>2889</v>
      </c>
      <c r="O617" s="17" t="s">
        <v>2889</v>
      </c>
      <c r="P617" s="17" t="s">
        <v>2889</v>
      </c>
      <c r="T617" s="17" t="s">
        <v>2889</v>
      </c>
      <c r="U617" s="17" t="s">
        <v>2890</v>
      </c>
      <c r="V617" s="36"/>
      <c r="W617" s="17"/>
      <c r="X617" s="20">
        <v>16</v>
      </c>
    </row>
    <row r="618" spans="1:24">
      <c r="A618" s="1">
        <v>7045</v>
      </c>
      <c r="B618" s="426" t="s">
        <v>1000</v>
      </c>
      <c r="C618" s="1" t="s">
        <v>1001</v>
      </c>
      <c r="D618" s="1" t="s">
        <v>1002</v>
      </c>
      <c r="E618" s="1">
        <v>36</v>
      </c>
      <c r="F618" s="1" t="str">
        <f>VLOOKUP(E618,'ESTRUTURA_MODULO(hide)'!$A$2:$D$230,2,FALSE)</f>
        <v>Gerenciador do Sistema</v>
      </c>
      <c r="G618" s="1" t="str">
        <f>VLOOKUP(E618,'ESTRUTURA_MODULO(hide)'!$A$2:$D$95,3,FALSE)</f>
        <v>System Manager</v>
      </c>
      <c r="H618" s="1" t="str">
        <f>VLOOKUP(E618,'ESTRUTURA_MODULO(hide)'!$A$2:$D$95,4,FALSE)</f>
        <v>Gestión del sistema</v>
      </c>
      <c r="I618" s="20">
        <v>0</v>
      </c>
      <c r="J618" s="17" t="s">
        <v>2890</v>
      </c>
      <c r="K618" s="17" t="s">
        <v>2890</v>
      </c>
      <c r="L618" s="17" t="s">
        <v>2890</v>
      </c>
      <c r="M618" s="17" t="s">
        <v>2890</v>
      </c>
      <c r="N618" s="17" t="s">
        <v>2890</v>
      </c>
      <c r="O618" s="17" t="s">
        <v>2890</v>
      </c>
      <c r="P618" s="17" t="s">
        <v>2890</v>
      </c>
      <c r="T618" s="17" t="s">
        <v>2889</v>
      </c>
      <c r="U618" s="17" t="s">
        <v>2890</v>
      </c>
      <c r="V618" s="21"/>
      <c r="W618" s="17"/>
      <c r="X618" s="20">
        <v>0</v>
      </c>
    </row>
    <row r="619" spans="1:24">
      <c r="A619" s="1">
        <v>6001</v>
      </c>
      <c r="B619" s="35" t="s">
        <v>251</v>
      </c>
      <c r="C619" s="1" t="s">
        <v>1005</v>
      </c>
      <c r="D619" s="1" t="s">
        <v>1006</v>
      </c>
      <c r="E619" s="35">
        <v>36</v>
      </c>
      <c r="F619" s="1" t="str">
        <f>VLOOKUP(E619,'ESTRUTURA_MODULO(hide)'!$A$2:$D$230,2,FALSE)</f>
        <v>Gerenciador do Sistema</v>
      </c>
      <c r="G619" s="1" t="str">
        <f>VLOOKUP(E619,'ESTRUTURA_MODULO(hide)'!$A$2:$D$95,3,FALSE)</f>
        <v>System Manager</v>
      </c>
      <c r="H619" s="1" t="str">
        <f>VLOOKUP(E619,'ESTRUTURA_MODULO(hide)'!$A$2:$D$95,4,FALSE)</f>
        <v>Gestión del sistema</v>
      </c>
      <c r="I619" s="37">
        <v>32</v>
      </c>
      <c r="J619" s="17" t="s">
        <v>2889</v>
      </c>
      <c r="K619" s="17" t="s">
        <v>2889</v>
      </c>
      <c r="L619" s="17" t="s">
        <v>2889</v>
      </c>
      <c r="M619" s="38" t="s">
        <v>2889</v>
      </c>
      <c r="N619" s="38" t="s">
        <v>2889</v>
      </c>
      <c r="O619" s="17" t="s">
        <v>2889</v>
      </c>
      <c r="P619" s="17" t="s">
        <v>2889</v>
      </c>
      <c r="T619" s="17" t="s">
        <v>2889</v>
      </c>
      <c r="U619" s="17" t="s">
        <v>2890</v>
      </c>
      <c r="V619" s="36"/>
      <c r="W619" s="17"/>
      <c r="X619" s="20">
        <v>60</v>
      </c>
    </row>
    <row r="620" spans="1:24">
      <c r="A620" s="1">
        <v>6000</v>
      </c>
      <c r="B620" s="426" t="s">
        <v>252</v>
      </c>
      <c r="C620" s="1" t="s">
        <v>1003</v>
      </c>
      <c r="D620" s="1" t="s">
        <v>1004</v>
      </c>
      <c r="E620" s="1">
        <v>36</v>
      </c>
      <c r="F620" s="1" t="str">
        <f>VLOOKUP(E620,'ESTRUTURA_MODULO(hide)'!$A$2:$D$230,2,FALSE)</f>
        <v>Gerenciador do Sistema</v>
      </c>
      <c r="G620" s="1" t="str">
        <f>VLOOKUP(E620,'ESTRUTURA_MODULO(hide)'!$A$2:$D$95,3,FALSE)</f>
        <v>System Manager</v>
      </c>
      <c r="H620" s="1" t="str">
        <f>VLOOKUP(E620,'ESTRUTURA_MODULO(hide)'!$A$2:$D$95,4,FALSE)</f>
        <v>Gestión del sistema</v>
      </c>
      <c r="I620" s="20">
        <v>0</v>
      </c>
      <c r="J620" s="17" t="s">
        <v>2890</v>
      </c>
      <c r="K620" s="17" t="s">
        <v>2890</v>
      </c>
      <c r="L620" s="17" t="s">
        <v>2890</v>
      </c>
      <c r="M620" s="17" t="s">
        <v>2890</v>
      </c>
      <c r="N620" s="17" t="s">
        <v>2890</v>
      </c>
      <c r="O620" s="17" t="s">
        <v>2890</v>
      </c>
      <c r="P620" s="17" t="s">
        <v>2890</v>
      </c>
      <c r="T620" s="17" t="s">
        <v>2889</v>
      </c>
      <c r="U620" s="17" t="s">
        <v>2890</v>
      </c>
      <c r="V620" s="21"/>
      <c r="W620" s="17"/>
      <c r="X620" s="20">
        <v>0</v>
      </c>
    </row>
    <row r="621" spans="1:24">
      <c r="A621" s="1">
        <v>990</v>
      </c>
      <c r="B621" s="1" t="s">
        <v>253</v>
      </c>
      <c r="C621" s="1" t="s">
        <v>996</v>
      </c>
      <c r="D621" s="1" t="s">
        <v>998</v>
      </c>
      <c r="E621" s="1">
        <v>36</v>
      </c>
      <c r="F621" s="1" t="str">
        <f>VLOOKUP(E621,'ESTRUTURA_MODULO(hide)'!$A$2:$D$230,2,FALSE)</f>
        <v>Gerenciador do Sistema</v>
      </c>
      <c r="G621" s="1" t="str">
        <f>VLOOKUP(E621,'ESTRUTURA_MODULO(hide)'!$A$2:$D$95,3,FALSE)</f>
        <v>System Manager</v>
      </c>
      <c r="H621" s="1" t="str">
        <f>VLOOKUP(E621,'ESTRUTURA_MODULO(hide)'!$A$2:$D$95,4,FALSE)</f>
        <v>Gestión del sistema</v>
      </c>
      <c r="I621" s="20">
        <v>0</v>
      </c>
      <c r="J621" s="17" t="s">
        <v>2890</v>
      </c>
      <c r="K621" s="17" t="s">
        <v>2890</v>
      </c>
      <c r="L621" s="17" t="s">
        <v>2890</v>
      </c>
      <c r="M621" s="17" t="s">
        <v>2890</v>
      </c>
      <c r="N621" s="17" t="s">
        <v>2890</v>
      </c>
      <c r="O621" s="17" t="s">
        <v>2890</v>
      </c>
      <c r="P621" s="17" t="s">
        <v>2890</v>
      </c>
      <c r="T621" s="17" t="s">
        <v>2889</v>
      </c>
      <c r="U621" s="17" t="s">
        <v>2890</v>
      </c>
      <c r="V621" s="21"/>
      <c r="W621" s="17"/>
      <c r="X621" s="20">
        <v>0</v>
      </c>
    </row>
    <row r="622" spans="1:24">
      <c r="A622" s="1">
        <v>1290</v>
      </c>
      <c r="B622" s="35" t="s">
        <v>254</v>
      </c>
      <c r="C622" s="1" t="s">
        <v>1014</v>
      </c>
      <c r="D622" s="1" t="s">
        <v>1015</v>
      </c>
      <c r="E622" s="35">
        <v>38</v>
      </c>
      <c r="F622" s="1" t="str">
        <f>VLOOKUP(E622,'ESTRUTURA_MODULO(hide)'!$A$2:$D$230,2,FALSE)</f>
        <v>Enfermagem</v>
      </c>
      <c r="G622" s="1" t="str">
        <f>VLOOKUP(E622,'ESTRUTURA_MODULO(hide)'!$A$2:$D$95,3,FALSE)</f>
        <v xml:space="preserve">Nursing </v>
      </c>
      <c r="H622" s="1" t="str">
        <f>VLOOKUP(E622,'ESTRUTURA_MODULO(hide)'!$A$2:$D$95,4,FALSE)</f>
        <v>Enfermería</v>
      </c>
      <c r="I622" s="37">
        <v>8</v>
      </c>
      <c r="J622" s="17" t="s">
        <v>2890</v>
      </c>
      <c r="K622" s="17" t="s">
        <v>2889</v>
      </c>
      <c r="L622" s="17" t="s">
        <v>2889</v>
      </c>
      <c r="M622" s="38" t="s">
        <v>2889</v>
      </c>
      <c r="N622" s="38" t="s">
        <v>2889</v>
      </c>
      <c r="O622" s="17" t="s">
        <v>2890</v>
      </c>
      <c r="P622" s="17" t="s">
        <v>2890</v>
      </c>
      <c r="T622" s="17" t="s">
        <v>2889</v>
      </c>
      <c r="U622" s="17" t="s">
        <v>2890</v>
      </c>
      <c r="V622" s="36"/>
      <c r="W622" s="17"/>
      <c r="X622" s="20">
        <v>12</v>
      </c>
    </row>
    <row r="623" spans="1:24">
      <c r="A623" s="426">
        <v>-1004</v>
      </c>
      <c r="B623" s="427" t="s">
        <v>1007</v>
      </c>
      <c r="C623" s="426" t="s">
        <v>1008</v>
      </c>
      <c r="D623" s="426" t="s">
        <v>1010</v>
      </c>
      <c r="E623" s="35">
        <v>38</v>
      </c>
      <c r="F623" s="1" t="str">
        <f>VLOOKUP(E623,'ESTRUTURA_MODULO(hide)'!$A$2:$D$230,2,FALSE)</f>
        <v>Enfermagem</v>
      </c>
      <c r="G623" s="1" t="str">
        <f>VLOOKUP(E623,'ESTRUTURA_MODULO(hide)'!$A$2:$D$95,3,FALSE)</f>
        <v xml:space="preserve">Nursing </v>
      </c>
      <c r="H623" s="1" t="str">
        <f>VLOOKUP(E623,'ESTRUTURA_MODULO(hide)'!$A$2:$D$95,4,FALSE)</f>
        <v>Enfermería</v>
      </c>
      <c r="I623" s="37">
        <v>24</v>
      </c>
      <c r="J623" s="17" t="s">
        <v>2890</v>
      </c>
      <c r="K623" s="17" t="s">
        <v>2889</v>
      </c>
      <c r="L623" s="17" t="s">
        <v>2889</v>
      </c>
      <c r="M623" s="38" t="s">
        <v>2889</v>
      </c>
      <c r="N623" s="38" t="s">
        <v>2889</v>
      </c>
      <c r="O623" s="17" t="s">
        <v>2890</v>
      </c>
      <c r="P623" s="17" t="s">
        <v>2890</v>
      </c>
      <c r="T623" s="17" t="s">
        <v>2889</v>
      </c>
      <c r="U623" s="17" t="s">
        <v>2890</v>
      </c>
      <c r="V623" s="36"/>
      <c r="W623" s="17"/>
      <c r="X623" s="20">
        <v>40</v>
      </c>
    </row>
    <row r="624" spans="1:24">
      <c r="A624" s="1">
        <v>82</v>
      </c>
      <c r="B624" s="426" t="s">
        <v>1873</v>
      </c>
      <c r="C624" s="1" t="s">
        <v>1874</v>
      </c>
      <c r="D624" s="1" t="s">
        <v>1875</v>
      </c>
      <c r="E624" s="1">
        <v>38</v>
      </c>
      <c r="F624" s="1" t="str">
        <f>VLOOKUP(E624,'ESTRUTURA_MODULO(hide)'!$A$2:$D$230,2,FALSE)</f>
        <v>Enfermagem</v>
      </c>
      <c r="G624" s="1" t="str">
        <f>VLOOKUP(E624,'ESTRUTURA_MODULO(hide)'!$A$2:$D$95,3,FALSE)</f>
        <v xml:space="preserve">Nursing </v>
      </c>
      <c r="H624" s="1" t="str">
        <f>VLOOKUP(E624,'ESTRUTURA_MODULO(hide)'!$A$2:$D$95,4,FALSE)</f>
        <v>Enfermería</v>
      </c>
      <c r="I624" s="20">
        <v>0</v>
      </c>
      <c r="J624" s="17" t="s">
        <v>2890</v>
      </c>
      <c r="K624" s="17" t="s">
        <v>2890</v>
      </c>
      <c r="L624" s="17" t="s">
        <v>2890</v>
      </c>
      <c r="M624" s="17" t="s">
        <v>2890</v>
      </c>
      <c r="N624" s="17" t="s">
        <v>2890</v>
      </c>
      <c r="O624" s="17" t="s">
        <v>2890</v>
      </c>
      <c r="P624" s="17" t="s">
        <v>2890</v>
      </c>
      <c r="T624" s="17" t="s">
        <v>2889</v>
      </c>
      <c r="U624" s="17" t="s">
        <v>2890</v>
      </c>
      <c r="V624" s="21"/>
      <c r="W624" s="17"/>
      <c r="X624" s="20">
        <v>0</v>
      </c>
    </row>
    <row r="625" spans="1:24">
      <c r="A625" s="1">
        <v>7015</v>
      </c>
      <c r="B625" s="35" t="s">
        <v>255</v>
      </c>
      <c r="C625" s="1" t="s">
        <v>1012</v>
      </c>
      <c r="D625" s="1" t="s">
        <v>1013</v>
      </c>
      <c r="E625" s="35">
        <v>38</v>
      </c>
      <c r="F625" s="1" t="str">
        <f>VLOOKUP(E625,'ESTRUTURA_MODULO(hide)'!$A$2:$D$230,2,FALSE)</f>
        <v>Enfermagem</v>
      </c>
      <c r="G625" s="1" t="str">
        <f>VLOOKUP(E625,'ESTRUTURA_MODULO(hide)'!$A$2:$D$95,3,FALSE)</f>
        <v xml:space="preserve">Nursing </v>
      </c>
      <c r="H625" s="1" t="str">
        <f>VLOOKUP(E625,'ESTRUTURA_MODULO(hide)'!$A$2:$D$95,4,FALSE)</f>
        <v>Enfermería</v>
      </c>
      <c r="I625" s="37">
        <v>16</v>
      </c>
      <c r="J625" s="17" t="s">
        <v>2890</v>
      </c>
      <c r="K625" s="17" t="s">
        <v>2889</v>
      </c>
      <c r="L625" s="17" t="s">
        <v>2889</v>
      </c>
      <c r="M625" s="38" t="s">
        <v>2889</v>
      </c>
      <c r="N625" s="38" t="s">
        <v>2889</v>
      </c>
      <c r="O625" s="17" t="s">
        <v>2890</v>
      </c>
      <c r="P625" s="17" t="s">
        <v>2890</v>
      </c>
      <c r="T625" s="17" t="s">
        <v>2889</v>
      </c>
      <c r="U625" s="17" t="s">
        <v>2890</v>
      </c>
      <c r="V625" s="36"/>
      <c r="W625" s="17"/>
      <c r="X625" s="20">
        <v>24</v>
      </c>
    </row>
    <row r="626" spans="1:24">
      <c r="A626" s="1">
        <v>932</v>
      </c>
      <c r="B626" s="35" t="s">
        <v>256</v>
      </c>
      <c r="C626" s="1" t="s">
        <v>1019</v>
      </c>
      <c r="D626" s="1" t="s">
        <v>1020</v>
      </c>
      <c r="E626" s="35">
        <v>38</v>
      </c>
      <c r="F626" s="1" t="str">
        <f>VLOOKUP(E626,'ESTRUTURA_MODULO(hide)'!$A$2:$D$230,2,FALSE)</f>
        <v>Enfermagem</v>
      </c>
      <c r="G626" s="1" t="str">
        <f>VLOOKUP(E626,'ESTRUTURA_MODULO(hide)'!$A$2:$D$95,3,FALSE)</f>
        <v xml:space="preserve">Nursing </v>
      </c>
      <c r="H626" s="1" t="str">
        <f>VLOOKUP(E626,'ESTRUTURA_MODULO(hide)'!$A$2:$D$95,4,FALSE)</f>
        <v>Enfermería</v>
      </c>
      <c r="I626" s="37">
        <v>4</v>
      </c>
      <c r="J626" s="17" t="s">
        <v>2890</v>
      </c>
      <c r="K626" s="17" t="s">
        <v>2890</v>
      </c>
      <c r="L626" s="17" t="s">
        <v>2890</v>
      </c>
      <c r="M626" s="38" t="s">
        <v>2889</v>
      </c>
      <c r="N626" s="38" t="s">
        <v>2889</v>
      </c>
      <c r="O626" s="17" t="s">
        <v>2890</v>
      </c>
      <c r="P626" s="17" t="s">
        <v>2890</v>
      </c>
      <c r="T626" s="17" t="s">
        <v>2889</v>
      </c>
      <c r="U626" s="17" t="s">
        <v>2890</v>
      </c>
      <c r="V626" s="36"/>
      <c r="W626" s="17"/>
      <c r="X626" s="20">
        <v>16</v>
      </c>
    </row>
    <row r="627" spans="1:24">
      <c r="A627" s="1">
        <v>1113</v>
      </c>
      <c r="B627" s="35" t="s">
        <v>1016</v>
      </c>
      <c r="C627" s="1" t="s">
        <v>1017</v>
      </c>
      <c r="D627" s="1" t="s">
        <v>1018</v>
      </c>
      <c r="E627" s="35">
        <v>38</v>
      </c>
      <c r="F627" s="1" t="str">
        <f>VLOOKUP(E627,'ESTRUTURA_MODULO(hide)'!$A$2:$D$230,2,FALSE)</f>
        <v>Enfermagem</v>
      </c>
      <c r="G627" s="1" t="str">
        <f>VLOOKUP(E627,'ESTRUTURA_MODULO(hide)'!$A$2:$D$95,3,FALSE)</f>
        <v xml:space="preserve">Nursing </v>
      </c>
      <c r="H627" s="1" t="str">
        <f>VLOOKUP(E627,'ESTRUTURA_MODULO(hide)'!$A$2:$D$95,4,FALSE)</f>
        <v>Enfermería</v>
      </c>
      <c r="I627" s="37">
        <v>40</v>
      </c>
      <c r="J627" s="17" t="s">
        <v>2889</v>
      </c>
      <c r="K627" s="17" t="s">
        <v>2889</v>
      </c>
      <c r="L627" s="17" t="s">
        <v>2889</v>
      </c>
      <c r="M627" s="38" t="s">
        <v>2889</v>
      </c>
      <c r="N627" s="38" t="s">
        <v>2889</v>
      </c>
      <c r="O627" s="17" t="s">
        <v>2890</v>
      </c>
      <c r="P627" s="17" t="s">
        <v>2890</v>
      </c>
      <c r="T627" s="17" t="s">
        <v>2890</v>
      </c>
      <c r="U627" s="17" t="s">
        <v>2890</v>
      </c>
      <c r="V627" s="36"/>
      <c r="W627" s="17"/>
      <c r="X627" s="20">
        <v>60</v>
      </c>
    </row>
    <row r="628" spans="1:24">
      <c r="A628" s="1">
        <v>10028</v>
      </c>
      <c r="B628" s="426" t="s">
        <v>348</v>
      </c>
      <c r="C628" s="1" t="s">
        <v>1030</v>
      </c>
      <c r="D628" s="1" t="s">
        <v>1031</v>
      </c>
      <c r="E628" s="1">
        <v>71</v>
      </c>
      <c r="F628" s="1" t="str">
        <f>VLOOKUP(E628,'ESTRUTURA_MODULO(hide)'!$A$2:$D$230,2,FALSE)</f>
        <v>Nutrição</v>
      </c>
      <c r="G628" s="1" t="str">
        <f>VLOOKUP(E628,'ESTRUTURA_MODULO(hide)'!$A$2:$D$95,3,FALSE)</f>
        <v xml:space="preserve">Nutrition </v>
      </c>
      <c r="H628" s="1" t="str">
        <f>VLOOKUP(E628,'ESTRUTURA_MODULO(hide)'!$A$2:$D$95,4,FALSE)</f>
        <v>Nutrición</v>
      </c>
      <c r="I628" s="20">
        <v>0</v>
      </c>
      <c r="J628" s="17" t="s">
        <v>2890</v>
      </c>
      <c r="K628" s="17" t="s">
        <v>2890</v>
      </c>
      <c r="L628" s="17" t="s">
        <v>2890</v>
      </c>
      <c r="M628" s="17" t="s">
        <v>2890</v>
      </c>
      <c r="N628" s="17" t="s">
        <v>2890</v>
      </c>
      <c r="O628" s="17" t="s">
        <v>2890</v>
      </c>
      <c r="P628" s="17" t="s">
        <v>2890</v>
      </c>
      <c r="T628" s="17" t="s">
        <v>2889</v>
      </c>
      <c r="U628" s="17" t="s">
        <v>2890</v>
      </c>
      <c r="V628" s="21"/>
      <c r="W628" s="17"/>
      <c r="X628" s="20">
        <v>0</v>
      </c>
    </row>
    <row r="629" spans="1:24">
      <c r="A629" s="1">
        <v>1003</v>
      </c>
      <c r="B629" s="35" t="s">
        <v>259</v>
      </c>
      <c r="C629" s="1" t="s">
        <v>1028</v>
      </c>
      <c r="D629" s="1" t="s">
        <v>1029</v>
      </c>
      <c r="E629" s="35">
        <v>71</v>
      </c>
      <c r="F629" s="1" t="str">
        <f>VLOOKUP(E629,'ESTRUTURA_MODULO(hide)'!$A$2:$D$230,2,FALSE)</f>
        <v>Nutrição</v>
      </c>
      <c r="G629" s="1" t="str">
        <f>VLOOKUP(E629,'ESTRUTURA_MODULO(hide)'!$A$2:$D$95,3,FALSE)</f>
        <v xml:space="preserve">Nutrition </v>
      </c>
      <c r="H629" s="1" t="str">
        <f>VLOOKUP(E629,'ESTRUTURA_MODULO(hide)'!$A$2:$D$95,4,FALSE)</f>
        <v>Nutrición</v>
      </c>
      <c r="I629" s="37">
        <v>40</v>
      </c>
      <c r="J629" s="17" t="s">
        <v>2889</v>
      </c>
      <c r="K629" s="17" t="s">
        <v>2889</v>
      </c>
      <c r="L629" s="17" t="s">
        <v>2889</v>
      </c>
      <c r="M629" s="38" t="s">
        <v>2889</v>
      </c>
      <c r="N629" s="38" t="s">
        <v>2889</v>
      </c>
      <c r="O629" s="17" t="s">
        <v>2889</v>
      </c>
      <c r="P629" s="17" t="s">
        <v>2889</v>
      </c>
      <c r="T629" s="17" t="s">
        <v>2889</v>
      </c>
      <c r="U629" s="17" t="s">
        <v>2890</v>
      </c>
      <c r="V629" s="36"/>
      <c r="W629" s="17"/>
      <c r="X629" s="20">
        <v>40</v>
      </c>
    </row>
    <row r="630" spans="1:24">
      <c r="A630" s="1">
        <v>1133</v>
      </c>
      <c r="B630" s="35" t="s">
        <v>258</v>
      </c>
      <c r="C630" s="1" t="s">
        <v>1025</v>
      </c>
      <c r="D630" s="1" t="s">
        <v>1026</v>
      </c>
      <c r="E630" s="35">
        <v>71</v>
      </c>
      <c r="F630" s="1" t="str">
        <f>VLOOKUP(E630,'ESTRUTURA_MODULO(hide)'!$A$2:$D$230,2,FALSE)</f>
        <v>Nutrição</v>
      </c>
      <c r="G630" s="1" t="str">
        <f>VLOOKUP(E630,'ESTRUTURA_MODULO(hide)'!$A$2:$D$95,3,FALSE)</f>
        <v xml:space="preserve">Nutrition </v>
      </c>
      <c r="H630" s="1" t="str">
        <f>VLOOKUP(E630,'ESTRUTURA_MODULO(hide)'!$A$2:$D$95,4,FALSE)</f>
        <v>Nutrición</v>
      </c>
      <c r="I630" s="37">
        <v>16</v>
      </c>
      <c r="J630" s="17" t="s">
        <v>2889</v>
      </c>
      <c r="K630" s="17" t="s">
        <v>2889</v>
      </c>
      <c r="L630" s="17" t="s">
        <v>2889</v>
      </c>
      <c r="M630" s="38" t="s">
        <v>2889</v>
      </c>
      <c r="N630" s="38" t="s">
        <v>2889</v>
      </c>
      <c r="O630" s="17" t="s">
        <v>2889</v>
      </c>
      <c r="P630" s="17" t="s">
        <v>2889</v>
      </c>
      <c r="T630" s="17" t="s">
        <v>2889</v>
      </c>
      <c r="U630" s="17" t="s">
        <v>2890</v>
      </c>
      <c r="V630" s="36"/>
      <c r="W630" s="17"/>
      <c r="X630" s="20">
        <v>40</v>
      </c>
    </row>
    <row r="631" spans="1:24">
      <c r="A631" s="1">
        <v>912</v>
      </c>
      <c r="B631" s="268" t="s">
        <v>257</v>
      </c>
      <c r="C631" s="1" t="s">
        <v>1022</v>
      </c>
      <c r="D631" s="1" t="s">
        <v>1024</v>
      </c>
      <c r="E631" s="1">
        <v>71</v>
      </c>
      <c r="F631" s="1" t="str">
        <f>VLOOKUP(E631,'ESTRUTURA_MODULO(hide)'!$A$2:$D$230,2,FALSE)</f>
        <v>Nutrição</v>
      </c>
      <c r="G631" s="1" t="str">
        <f>VLOOKUP(E631,'ESTRUTURA_MODULO(hide)'!$A$2:$D$95,3,FALSE)</f>
        <v xml:space="preserve">Nutrition </v>
      </c>
      <c r="H631" s="1" t="str">
        <f>VLOOKUP(E631,'ESTRUTURA_MODULO(hide)'!$A$2:$D$95,4,FALSE)</f>
        <v>Nutrición</v>
      </c>
      <c r="I631" s="20">
        <v>0</v>
      </c>
      <c r="J631" s="17" t="s">
        <v>2890</v>
      </c>
      <c r="K631" s="17" t="s">
        <v>2890</v>
      </c>
      <c r="L631" s="17" t="s">
        <v>2890</v>
      </c>
      <c r="M631" s="17" t="s">
        <v>2890</v>
      </c>
      <c r="N631" s="17" t="s">
        <v>2890</v>
      </c>
      <c r="O631" s="17" t="s">
        <v>2890</v>
      </c>
      <c r="P631" s="17" t="s">
        <v>2890</v>
      </c>
      <c r="T631" s="17" t="s">
        <v>2889</v>
      </c>
      <c r="U631" s="17" t="s">
        <v>2890</v>
      </c>
      <c r="V631" s="21"/>
      <c r="W631" s="17"/>
      <c r="X631" s="20">
        <v>0</v>
      </c>
    </row>
    <row r="632" spans="1:24">
      <c r="A632" s="1">
        <v>7026</v>
      </c>
      <c r="B632" s="35" t="s">
        <v>260</v>
      </c>
      <c r="C632" s="1" t="s">
        <v>1021</v>
      </c>
      <c r="D632" s="1" t="s">
        <v>1023</v>
      </c>
      <c r="E632" s="35">
        <v>71</v>
      </c>
      <c r="F632" s="1" t="str">
        <f>VLOOKUP(E632,'ESTRUTURA_MODULO(hide)'!$A$2:$D$230,2,FALSE)</f>
        <v>Nutrição</v>
      </c>
      <c r="G632" s="1" t="str">
        <f>VLOOKUP(E632,'ESTRUTURA_MODULO(hide)'!$A$2:$D$95,3,FALSE)</f>
        <v xml:space="preserve">Nutrition </v>
      </c>
      <c r="H632" s="1" t="str">
        <f>VLOOKUP(E632,'ESTRUTURA_MODULO(hide)'!$A$2:$D$95,4,FALSE)</f>
        <v>Nutrición</v>
      </c>
      <c r="I632" s="37">
        <v>4</v>
      </c>
      <c r="J632" s="17" t="s">
        <v>2890</v>
      </c>
      <c r="K632" s="17" t="s">
        <v>2890</v>
      </c>
      <c r="L632" s="17" t="s">
        <v>2890</v>
      </c>
      <c r="M632" s="38" t="s">
        <v>2889</v>
      </c>
      <c r="N632" s="38" t="s">
        <v>2889</v>
      </c>
      <c r="O632" s="17" t="s">
        <v>2890</v>
      </c>
      <c r="P632" s="17" t="s">
        <v>2890</v>
      </c>
      <c r="T632" s="17" t="s">
        <v>2889</v>
      </c>
      <c r="U632" s="17" t="s">
        <v>2890</v>
      </c>
      <c r="V632" s="36"/>
      <c r="W632" s="17"/>
      <c r="X632" s="20">
        <v>8</v>
      </c>
    </row>
    <row r="633" spans="1:24">
      <c r="A633" s="1">
        <v>1000</v>
      </c>
      <c r="B633" s="426" t="s">
        <v>261</v>
      </c>
      <c r="C633" s="1" t="s">
        <v>1027</v>
      </c>
      <c r="D633" s="1" t="s">
        <v>261</v>
      </c>
      <c r="E633" s="1">
        <v>71</v>
      </c>
      <c r="F633" s="1" t="str">
        <f>VLOOKUP(E633,'ESTRUTURA_MODULO(hide)'!$A$2:$D$230,2,FALSE)</f>
        <v>Nutrição</v>
      </c>
      <c r="G633" s="1" t="str">
        <f>VLOOKUP(E633,'ESTRUTURA_MODULO(hide)'!$A$2:$D$95,3,FALSE)</f>
        <v xml:space="preserve">Nutrition </v>
      </c>
      <c r="H633" s="1" t="str">
        <f>VLOOKUP(E633,'ESTRUTURA_MODULO(hide)'!$A$2:$D$95,4,FALSE)</f>
        <v>Nutrición</v>
      </c>
      <c r="I633" s="20">
        <v>0</v>
      </c>
      <c r="J633" s="17" t="s">
        <v>2890</v>
      </c>
      <c r="K633" s="17" t="s">
        <v>2890</v>
      </c>
      <c r="L633" s="17" t="s">
        <v>2890</v>
      </c>
      <c r="M633" s="17" t="s">
        <v>2890</v>
      </c>
      <c r="N633" s="17" t="s">
        <v>2890</v>
      </c>
      <c r="O633" s="17" t="s">
        <v>2890</v>
      </c>
      <c r="P633" s="17" t="s">
        <v>2890</v>
      </c>
      <c r="T633" s="17" t="s">
        <v>2889</v>
      </c>
      <c r="U633" s="17" t="s">
        <v>2890</v>
      </c>
      <c r="V633" s="21"/>
      <c r="W633" s="17"/>
      <c r="X633" s="20">
        <v>0</v>
      </c>
    </row>
    <row r="634" spans="1:24">
      <c r="A634" s="1">
        <v>9901</v>
      </c>
      <c r="B634" s="35" t="s">
        <v>340</v>
      </c>
      <c r="C634" s="1" t="s">
        <v>1185</v>
      </c>
      <c r="D634" s="1" t="s">
        <v>1186</v>
      </c>
      <c r="E634" s="35">
        <v>212</v>
      </c>
      <c r="F634" s="1" t="str">
        <f>VLOOKUP(E634,'ESTRUTURA_MODULO(hide)'!$A$2:$D$230,2,FALSE)</f>
        <v>Hemodiálise</v>
      </c>
      <c r="G634" s="1" t="str">
        <f>VLOOKUP(E634,'ESTRUTURA_MODULO(hide)'!$A$2:$D$95,3,FALSE)</f>
        <v>Hemodialysis</v>
      </c>
      <c r="H634" s="1" t="str">
        <f>VLOOKUP(E634,'ESTRUTURA_MODULO(hide)'!$A$2:$D$95,4,FALSE)</f>
        <v>Hemodiálisis</v>
      </c>
      <c r="I634" s="37">
        <v>4</v>
      </c>
      <c r="J634" s="17" t="s">
        <v>2890</v>
      </c>
      <c r="K634" s="17" t="s">
        <v>2889</v>
      </c>
      <c r="L634" s="17" t="s">
        <v>2889</v>
      </c>
      <c r="M634" s="38" t="s">
        <v>2889</v>
      </c>
      <c r="N634" s="38" t="s">
        <v>2889</v>
      </c>
      <c r="O634" s="17" t="s">
        <v>2890</v>
      </c>
      <c r="P634" s="17" t="s">
        <v>2890</v>
      </c>
      <c r="T634" s="17" t="s">
        <v>2889</v>
      </c>
      <c r="U634" s="17" t="s">
        <v>2890</v>
      </c>
      <c r="V634" s="36"/>
      <c r="W634" s="17"/>
      <c r="X634" s="20">
        <v>8</v>
      </c>
    </row>
    <row r="635" spans="1:24">
      <c r="A635" s="1">
        <v>7009</v>
      </c>
      <c r="B635" s="35" t="s">
        <v>324</v>
      </c>
      <c r="C635" s="1" t="s">
        <v>1183</v>
      </c>
      <c r="D635" s="1" t="s">
        <v>1184</v>
      </c>
      <c r="E635" s="35">
        <v>212</v>
      </c>
      <c r="F635" s="1" t="str">
        <f>VLOOKUP(E635,'ESTRUTURA_MODULO(hide)'!$A$2:$D$230,2,FALSE)</f>
        <v>Hemodiálise</v>
      </c>
      <c r="G635" s="1" t="str">
        <f>VLOOKUP(E635,'ESTRUTURA_MODULO(hide)'!$A$2:$D$95,3,FALSE)</f>
        <v>Hemodialysis</v>
      </c>
      <c r="H635" s="1" t="str">
        <f>VLOOKUP(E635,'ESTRUTURA_MODULO(hide)'!$A$2:$D$95,4,FALSE)</f>
        <v>Hemodiálisis</v>
      </c>
      <c r="I635" s="37">
        <v>40</v>
      </c>
      <c r="J635" s="17" t="s">
        <v>2890</v>
      </c>
      <c r="K635" s="17" t="s">
        <v>2889</v>
      </c>
      <c r="L635" s="17" t="s">
        <v>2889</v>
      </c>
      <c r="M635" s="38" t="s">
        <v>2889</v>
      </c>
      <c r="N635" s="38" t="s">
        <v>2889</v>
      </c>
      <c r="O635" s="17" t="s">
        <v>2889</v>
      </c>
      <c r="P635" s="17" t="s">
        <v>2889</v>
      </c>
      <c r="T635" s="17" t="s">
        <v>2889</v>
      </c>
      <c r="U635" s="17" t="s">
        <v>2890</v>
      </c>
      <c r="V635" s="36"/>
      <c r="W635" s="17"/>
      <c r="X635" s="20">
        <v>80</v>
      </c>
    </row>
    <row r="636" spans="1:24">
      <c r="A636" s="1">
        <v>867</v>
      </c>
      <c r="B636" s="35" t="s">
        <v>421</v>
      </c>
      <c r="C636" s="1" t="s">
        <v>1513</v>
      </c>
      <c r="D636" s="1" t="s">
        <v>1514</v>
      </c>
      <c r="E636" s="35">
        <v>391</v>
      </c>
      <c r="F636" s="1" t="str">
        <f>VLOOKUP(E636,'ESTRUTURA_MODULO(hide)'!$A$2:$D$230,2,FALSE)</f>
        <v>Home Care</v>
      </c>
      <c r="G636" s="1" t="str">
        <f>VLOOKUP(E636,'ESTRUTURA_MODULO(hide)'!$A$2:$D$95,3,FALSE)</f>
        <v>Home Care</v>
      </c>
      <c r="H636" s="1" t="str">
        <f>VLOOKUP(E636,'ESTRUTURA_MODULO(hide)'!$A$2:$D$95,4,FALSE)</f>
        <v>Home Care</v>
      </c>
      <c r="I636" s="37">
        <v>32</v>
      </c>
      <c r="J636" s="17" t="s">
        <v>2890</v>
      </c>
      <c r="K636" s="17" t="s">
        <v>2889</v>
      </c>
      <c r="L636" s="17" t="s">
        <v>2889</v>
      </c>
      <c r="M636" s="38" t="s">
        <v>2889</v>
      </c>
      <c r="N636" s="38" t="s">
        <v>2889</v>
      </c>
      <c r="O636" s="17" t="s">
        <v>2889</v>
      </c>
      <c r="P636" s="17" t="s">
        <v>2889</v>
      </c>
      <c r="T636" s="17" t="s">
        <v>2889</v>
      </c>
      <c r="U636" s="17" t="s">
        <v>2890</v>
      </c>
      <c r="V636" s="36"/>
      <c r="W636" s="17"/>
      <c r="X636" s="20">
        <v>60</v>
      </c>
    </row>
    <row r="637" spans="1:24">
      <c r="A637" s="1">
        <v>3030</v>
      </c>
      <c r="B637" s="35" t="s">
        <v>422</v>
      </c>
      <c r="C637" s="1" t="s">
        <v>1515</v>
      </c>
      <c r="D637" s="1" t="s">
        <v>1516</v>
      </c>
      <c r="E637" s="35">
        <v>451</v>
      </c>
      <c r="F637" s="1" t="str">
        <f>VLOOKUP(E637,'ESTRUTURA_MODULO(hide)'!$A$2:$D$230,2,FALSE)</f>
        <v>Radioterapia</v>
      </c>
      <c r="G637" s="1" t="str">
        <f>VLOOKUP(E637,'ESTRUTURA_MODULO(hide)'!$A$2:$D$95,3,FALSE)</f>
        <v>Radiotherapy</v>
      </c>
      <c r="H637" s="1" t="str">
        <f>VLOOKUP(E637,'ESTRUTURA_MODULO(hide)'!$A$2:$D$95,4,FALSE)</f>
        <v>Radioterapia</v>
      </c>
      <c r="I637" s="37">
        <v>40</v>
      </c>
      <c r="J637" s="17" t="s">
        <v>2889</v>
      </c>
      <c r="K637" s="17" t="s">
        <v>2889</v>
      </c>
      <c r="L637" s="17" t="s">
        <v>2889</v>
      </c>
      <c r="M637" s="38" t="s">
        <v>2889</v>
      </c>
      <c r="N637" s="38" t="s">
        <v>2889</v>
      </c>
      <c r="O637" s="17" t="s">
        <v>2889</v>
      </c>
      <c r="P637" s="17" t="s">
        <v>2889</v>
      </c>
      <c r="T637" s="17" t="s">
        <v>2889</v>
      </c>
      <c r="U637" s="17" t="s">
        <v>2890</v>
      </c>
      <c r="V637" s="36"/>
      <c r="W637" s="17"/>
      <c r="X637" s="20">
        <v>80</v>
      </c>
    </row>
    <row r="638" spans="1:24">
      <c r="A638" s="1">
        <v>8014</v>
      </c>
      <c r="B638" s="35" t="s">
        <v>427</v>
      </c>
      <c r="C638" s="1" t="s">
        <v>1519</v>
      </c>
      <c r="D638" s="1" t="s">
        <v>1520</v>
      </c>
      <c r="E638" s="35">
        <v>455</v>
      </c>
      <c r="F638" s="1" t="str">
        <f>VLOOKUP(E638,'ESTRUTURA_MODULO(hide)'!$A$2:$D$230,2,FALSE)</f>
        <v>Visitas</v>
      </c>
      <c r="G638" s="1" t="str">
        <f>VLOOKUP(E638,'ESTRUTURA_MODULO(hide)'!$A$2:$D$95,3,FALSE)</f>
        <v>Visits</v>
      </c>
      <c r="H638" s="1" t="str">
        <f>VLOOKUP(E638,'ESTRUTURA_MODULO(hide)'!$A$2:$D$95,4,FALSE)</f>
        <v>Visitas</v>
      </c>
      <c r="I638" s="37">
        <v>24</v>
      </c>
      <c r="J638" s="17" t="s">
        <v>2889</v>
      </c>
      <c r="K638" s="17" t="s">
        <v>2889</v>
      </c>
      <c r="L638" s="17" t="s">
        <v>2889</v>
      </c>
      <c r="M638" s="38" t="s">
        <v>2889</v>
      </c>
      <c r="N638" s="38" t="s">
        <v>2889</v>
      </c>
      <c r="O638" s="17" t="s">
        <v>2890</v>
      </c>
      <c r="P638" s="17" t="s">
        <v>2890</v>
      </c>
      <c r="T638" s="17" t="s">
        <v>2889</v>
      </c>
      <c r="U638" s="17" t="s">
        <v>2890</v>
      </c>
      <c r="V638" s="36"/>
      <c r="W638" s="17"/>
      <c r="X638" s="20">
        <v>40</v>
      </c>
    </row>
    <row r="639" spans="1:24">
      <c r="A639" s="1">
        <v>7024</v>
      </c>
      <c r="B639" s="35" t="s">
        <v>424</v>
      </c>
      <c r="C639" s="1" t="s">
        <v>424</v>
      </c>
      <c r="D639" s="1" t="s">
        <v>424</v>
      </c>
      <c r="E639" s="35">
        <v>453</v>
      </c>
      <c r="F639" s="1" t="str">
        <f>VLOOKUP(E639,'ESTRUTURA_MODULO(hide)'!$A$2:$D$230,2,FALSE)</f>
        <v>BSC</v>
      </c>
      <c r="G639" s="1" t="str">
        <f>VLOOKUP(E639,'ESTRUTURA_MODULO(hide)'!$A$2:$D$95,3,FALSE)</f>
        <v xml:space="preserve">BSC </v>
      </c>
      <c r="H639" s="1" t="str">
        <f>VLOOKUP(E639,'ESTRUTURA_MODULO(hide)'!$A$2:$D$95,4,FALSE)</f>
        <v>BSC</v>
      </c>
      <c r="I639" s="37">
        <v>40</v>
      </c>
      <c r="J639" s="17" t="s">
        <v>2889</v>
      </c>
      <c r="K639" s="17" t="s">
        <v>2889</v>
      </c>
      <c r="L639" s="17" t="s">
        <v>2889</v>
      </c>
      <c r="M639" s="38" t="s">
        <v>2889</v>
      </c>
      <c r="N639" s="38" t="s">
        <v>2889</v>
      </c>
      <c r="O639" s="17" t="s">
        <v>2889</v>
      </c>
      <c r="P639" s="17" t="s">
        <v>2889</v>
      </c>
      <c r="T639" s="17" t="s">
        <v>2889</v>
      </c>
      <c r="U639" s="17" t="s">
        <v>2890</v>
      </c>
      <c r="V639" s="36"/>
      <c r="W639" s="17"/>
      <c r="X639" s="20">
        <v>60</v>
      </c>
    </row>
    <row r="640" spans="1:24">
      <c r="A640" s="1">
        <v>7001</v>
      </c>
      <c r="B640" s="426" t="s">
        <v>425</v>
      </c>
      <c r="C640" s="1" t="s">
        <v>1517</v>
      </c>
      <c r="D640" s="1" t="s">
        <v>1518</v>
      </c>
      <c r="E640" s="1">
        <v>454</v>
      </c>
      <c r="F640" s="1" t="str">
        <f>VLOOKUP(E640,'ESTRUTURA_MODULO(hide)'!$A$2:$D$230,2,FALSE)</f>
        <v>Planejamento Estratégico</v>
      </c>
      <c r="G640" s="1" t="str">
        <f>VLOOKUP(E640,'ESTRUTURA_MODULO(hide)'!$A$2:$D$95,3,FALSE)</f>
        <v>Strategic Planning</v>
      </c>
      <c r="H640" s="1" t="str">
        <f>VLOOKUP(E640,'ESTRUTURA_MODULO(hide)'!$A$2:$D$95,4,FALSE)</f>
        <v>Planificación Estratégica</v>
      </c>
      <c r="I640" s="20">
        <v>0</v>
      </c>
      <c r="J640" s="17" t="s">
        <v>2890</v>
      </c>
      <c r="K640" s="17" t="s">
        <v>2890</v>
      </c>
      <c r="L640" s="17" t="s">
        <v>2890</v>
      </c>
      <c r="M640" s="17" t="s">
        <v>2890</v>
      </c>
      <c r="N640" s="17" t="s">
        <v>2890</v>
      </c>
      <c r="O640" s="17" t="s">
        <v>2890</v>
      </c>
      <c r="P640" s="17" t="s">
        <v>2890</v>
      </c>
      <c r="T640" s="17" t="s">
        <v>2889</v>
      </c>
      <c r="U640" s="17" t="s">
        <v>2890</v>
      </c>
      <c r="V640" s="21"/>
      <c r="W640" s="17"/>
      <c r="X640" s="20">
        <v>0</v>
      </c>
    </row>
    <row r="641" spans="1:24">
      <c r="A641" s="1">
        <v>7027</v>
      </c>
      <c r="B641" s="35" t="s">
        <v>428</v>
      </c>
      <c r="C641" s="1" t="s">
        <v>1521</v>
      </c>
      <c r="D641" s="1" t="s">
        <v>1522</v>
      </c>
      <c r="E641" s="35">
        <v>456</v>
      </c>
      <c r="F641" s="1" t="str">
        <f>VLOOKUP(E641,'ESTRUTURA_MODULO(hide)'!$A$2:$D$230,2,FALSE)</f>
        <v>Projetos de Investimento</v>
      </c>
      <c r="G641" s="1" t="str">
        <f>VLOOKUP(E641,'ESTRUTURA_MODULO(hide)'!$A$2:$D$95,3,FALSE)</f>
        <v>Investment Projects</v>
      </c>
      <c r="H641" s="1" t="str">
        <f>VLOOKUP(E641,'ESTRUTURA_MODULO(hide)'!$A$2:$D$95,4,FALSE)</f>
        <v>Proyectos de Inversión</v>
      </c>
      <c r="I641" s="37">
        <v>40</v>
      </c>
      <c r="J641" s="17" t="s">
        <v>2890</v>
      </c>
      <c r="K641" s="17" t="s">
        <v>2889</v>
      </c>
      <c r="L641" s="17" t="s">
        <v>2889</v>
      </c>
      <c r="M641" s="38" t="s">
        <v>2889</v>
      </c>
      <c r="N641" s="38" t="s">
        <v>2889</v>
      </c>
      <c r="O641" s="17" t="s">
        <v>2889</v>
      </c>
      <c r="P641" s="17" t="s">
        <v>2889</v>
      </c>
      <c r="T641" s="17" t="s">
        <v>2889</v>
      </c>
      <c r="U641" s="17" t="s">
        <v>2890</v>
      </c>
      <c r="V641" s="36"/>
      <c r="W641" s="17"/>
      <c r="X641" s="20">
        <v>40</v>
      </c>
    </row>
    <row r="642" spans="1:24">
      <c r="A642" s="1">
        <v>928</v>
      </c>
      <c r="B642" s="35" t="s">
        <v>125</v>
      </c>
      <c r="C642" s="1" t="s">
        <v>1523</v>
      </c>
      <c r="D642" s="1" t="s">
        <v>1524</v>
      </c>
      <c r="E642" s="35">
        <v>456</v>
      </c>
      <c r="F642" s="1" t="str">
        <f>VLOOKUP(E642,'ESTRUTURA_MODULO(hide)'!$A$2:$D$230,2,FALSE)</f>
        <v>Projetos de Investimento</v>
      </c>
      <c r="G642" s="1" t="str">
        <f>VLOOKUP(E642,'ESTRUTURA_MODULO(hide)'!$A$2:$D$95,3,FALSE)</f>
        <v>Investment Projects</v>
      </c>
      <c r="H642" s="1" t="str">
        <f>VLOOKUP(E642,'ESTRUTURA_MODULO(hide)'!$A$2:$D$95,4,FALSE)</f>
        <v>Proyectos de Inversión</v>
      </c>
      <c r="I642" s="37">
        <v>40</v>
      </c>
      <c r="J642" s="17" t="s">
        <v>2890</v>
      </c>
      <c r="K642" s="17" t="s">
        <v>2890</v>
      </c>
      <c r="L642" s="17" t="s">
        <v>2889</v>
      </c>
      <c r="M642" s="38" t="s">
        <v>2889</v>
      </c>
      <c r="N642" s="38" t="s">
        <v>2889</v>
      </c>
      <c r="O642" s="17" t="s">
        <v>2890</v>
      </c>
      <c r="P642" s="17" t="s">
        <v>2890</v>
      </c>
      <c r="T642" s="17" t="s">
        <v>2889</v>
      </c>
      <c r="U642" s="17" t="s">
        <v>2890</v>
      </c>
      <c r="V642" s="36"/>
      <c r="W642" s="17"/>
      <c r="X642" s="20">
        <v>40</v>
      </c>
    </row>
    <row r="643" spans="1:24">
      <c r="A643" s="1">
        <v>260</v>
      </c>
      <c r="B643" s="35" t="s">
        <v>439</v>
      </c>
      <c r="C643" s="1" t="s">
        <v>1554</v>
      </c>
      <c r="D643" s="1" t="s">
        <v>1555</v>
      </c>
      <c r="E643" s="35">
        <v>631</v>
      </c>
      <c r="F643" s="1" t="str">
        <f>VLOOKUP(E643,'ESTRUTURA_MODULO(hide)'!$A$2:$D$230,2,FALSE)</f>
        <v>Relatórios</v>
      </c>
      <c r="G643" s="1" t="str">
        <f>VLOOKUP(E643,'ESTRUTURA_MODULO(hide)'!$A$2:$D$95,3,FALSE)</f>
        <v>Reports</v>
      </c>
      <c r="H643" s="1" t="str">
        <f>VLOOKUP(E643,'ESTRUTURA_MODULO(hide)'!$A$2:$D$95,4,FALSE)</f>
        <v>Informes</v>
      </c>
      <c r="I643" s="37">
        <v>32</v>
      </c>
      <c r="J643" s="17" t="s">
        <v>2889</v>
      </c>
      <c r="K643" s="17" t="s">
        <v>2889</v>
      </c>
      <c r="L643" s="17" t="s">
        <v>2889</v>
      </c>
      <c r="M643" s="38" t="s">
        <v>2889</v>
      </c>
      <c r="N643" s="38" t="s">
        <v>2889</v>
      </c>
      <c r="O643" s="17" t="s">
        <v>2889</v>
      </c>
      <c r="P643" s="17" t="s">
        <v>2889</v>
      </c>
      <c r="T643" s="17" t="s">
        <v>2889</v>
      </c>
      <c r="U643" s="17" t="s">
        <v>2890</v>
      </c>
      <c r="V643" s="36"/>
      <c r="W643" s="17"/>
      <c r="X643" s="20">
        <v>60</v>
      </c>
    </row>
    <row r="644" spans="1:24">
      <c r="A644" s="1">
        <v>-751</v>
      </c>
      <c r="B644" s="426" t="s">
        <v>1556</v>
      </c>
      <c r="C644" s="1" t="s">
        <v>1558</v>
      </c>
      <c r="D644" s="1" t="s">
        <v>1559</v>
      </c>
      <c r="E644" s="1">
        <v>671</v>
      </c>
      <c r="F644" s="1" t="str">
        <f>VLOOKUP(E644,'ESTRUTURA_MODULO(hide)'!$A$2:$D$230,2,FALSE)</f>
        <v>Teste</v>
      </c>
      <c r="G644" s="1" t="str">
        <f>VLOOKUP(E644,'ESTRUTURA_MODULO(hide)'!$A$2:$D$95,3,FALSE)</f>
        <v>Test</v>
      </c>
      <c r="H644" s="1" t="str">
        <f>VLOOKUP(E644,'ESTRUTURA_MODULO(hide)'!$A$2:$D$95,4,FALSE)</f>
        <v>Prueba</v>
      </c>
      <c r="I644" s="20">
        <v>0</v>
      </c>
      <c r="J644" s="17" t="s">
        <v>2890</v>
      </c>
      <c r="K644" s="17" t="s">
        <v>2890</v>
      </c>
      <c r="L644" s="17" t="s">
        <v>2890</v>
      </c>
      <c r="M644" s="17" t="s">
        <v>2890</v>
      </c>
      <c r="N644" s="17" t="s">
        <v>2890</v>
      </c>
      <c r="O644" s="17" t="s">
        <v>2890</v>
      </c>
      <c r="P644" s="17" t="s">
        <v>2890</v>
      </c>
      <c r="T644" s="17" t="s">
        <v>2889</v>
      </c>
      <c r="U644" s="17" t="s">
        <v>2890</v>
      </c>
      <c r="V644" s="21"/>
      <c r="W644" s="17"/>
      <c r="X644" s="20">
        <v>0</v>
      </c>
    </row>
    <row r="645" spans="1:24">
      <c r="A645" s="1">
        <v>7006</v>
      </c>
      <c r="B645" s="35" t="s">
        <v>441</v>
      </c>
      <c r="C645" s="1" t="s">
        <v>1560</v>
      </c>
      <c r="D645" s="1" t="s">
        <v>1561</v>
      </c>
      <c r="E645" s="35">
        <v>681</v>
      </c>
      <c r="F645" s="1" t="str">
        <f>VLOOKUP(E645,'ESTRUTURA_MODULO(hide)'!$A$2:$D$230,2,FALSE)</f>
        <v>Transplantes</v>
      </c>
      <c r="G645" s="1" t="str">
        <f>VLOOKUP(E645,'ESTRUTURA_MODULO(hide)'!$A$2:$D$95,3,FALSE)</f>
        <v>Transplants</v>
      </c>
      <c r="H645" s="1" t="str">
        <f>VLOOKUP(E645,'ESTRUTURA_MODULO(hide)'!$A$2:$D$95,4,FALSE)</f>
        <v>Trasplantes</v>
      </c>
      <c r="I645" s="37">
        <v>40</v>
      </c>
      <c r="J645" s="17" t="s">
        <v>2890</v>
      </c>
      <c r="K645" s="17" t="s">
        <v>2889</v>
      </c>
      <c r="L645" s="17" t="s">
        <v>2889</v>
      </c>
      <c r="M645" s="38" t="s">
        <v>2889</v>
      </c>
      <c r="N645" s="38" t="s">
        <v>2889</v>
      </c>
      <c r="O645" s="17" t="s">
        <v>2889</v>
      </c>
      <c r="P645" s="17" t="s">
        <v>2889</v>
      </c>
      <c r="T645" s="17" t="s">
        <v>2889</v>
      </c>
      <c r="U645" s="17" t="s">
        <v>2890</v>
      </c>
      <c r="V645" s="36"/>
      <c r="W645" s="17"/>
      <c r="X645" s="20">
        <v>60</v>
      </c>
    </row>
    <row r="646" spans="1:24">
      <c r="A646" s="1">
        <v>9909</v>
      </c>
      <c r="B646" s="35" t="s">
        <v>443</v>
      </c>
      <c r="C646" s="1" t="s">
        <v>1566</v>
      </c>
      <c r="D646" s="1" t="s">
        <v>1567</v>
      </c>
      <c r="E646" s="35">
        <v>685</v>
      </c>
      <c r="F646" s="1" t="str">
        <f>VLOOKUP(E646,'ESTRUTURA_MODULO(hide)'!$A$2:$D$230,2,FALSE)</f>
        <v>Fiscal</v>
      </c>
      <c r="G646" s="1" t="str">
        <f>VLOOKUP(E646,'ESTRUTURA_MODULO(hide)'!$A$2:$D$95,3,FALSE)</f>
        <v xml:space="preserve">Bidding </v>
      </c>
      <c r="H646" s="1" t="str">
        <f>VLOOKUP(E646,'ESTRUTURA_MODULO(hide)'!$A$2:$D$95,4,FALSE)</f>
        <v>Fiscal</v>
      </c>
      <c r="I646" s="37">
        <v>24</v>
      </c>
      <c r="J646" s="17" t="s">
        <v>2889</v>
      </c>
      <c r="K646" s="17" t="s">
        <v>2889</v>
      </c>
      <c r="L646" s="17" t="s">
        <v>2889</v>
      </c>
      <c r="M646" s="38" t="s">
        <v>2889</v>
      </c>
      <c r="N646" s="38" t="s">
        <v>2889</v>
      </c>
      <c r="O646" s="17" t="s">
        <v>2889</v>
      </c>
      <c r="P646" s="17" t="s">
        <v>2889</v>
      </c>
      <c r="T646" s="17" t="s">
        <v>2889</v>
      </c>
      <c r="U646" s="17" t="s">
        <v>2890</v>
      </c>
      <c r="V646" s="36"/>
      <c r="W646" s="17"/>
      <c r="X646" s="20">
        <v>24</v>
      </c>
    </row>
    <row r="647" spans="1:24">
      <c r="A647" s="1">
        <v>9899</v>
      </c>
      <c r="B647" s="35" t="s">
        <v>442</v>
      </c>
      <c r="C647" s="1" t="s">
        <v>442</v>
      </c>
      <c r="D647" s="1" t="s">
        <v>442</v>
      </c>
      <c r="E647" s="35">
        <v>685</v>
      </c>
      <c r="F647" s="1" t="str">
        <f>VLOOKUP(E647,'ESTRUTURA_MODULO(hide)'!$A$2:$D$230,2,FALSE)</f>
        <v>Fiscal</v>
      </c>
      <c r="G647" s="1" t="str">
        <f>VLOOKUP(E647,'ESTRUTURA_MODULO(hide)'!$A$2:$D$95,3,FALSE)</f>
        <v xml:space="preserve">Bidding </v>
      </c>
      <c r="H647" s="1" t="str">
        <f>VLOOKUP(E647,'ESTRUTURA_MODULO(hide)'!$A$2:$D$95,4,FALSE)</f>
        <v>Fiscal</v>
      </c>
      <c r="I647" s="37">
        <v>24</v>
      </c>
      <c r="J647" s="17" t="s">
        <v>2890</v>
      </c>
      <c r="K647" s="17" t="s">
        <v>2889</v>
      </c>
      <c r="L647" s="17" t="s">
        <v>2889</v>
      </c>
      <c r="M647" s="38" t="s">
        <v>2889</v>
      </c>
      <c r="N647" s="38" t="s">
        <v>2889</v>
      </c>
      <c r="O647" s="17" t="s">
        <v>2890</v>
      </c>
      <c r="P647" s="17" t="s">
        <v>2890</v>
      </c>
      <c r="T647" s="17" t="s">
        <v>2889</v>
      </c>
      <c r="U647" s="17" t="s">
        <v>2890</v>
      </c>
      <c r="V647" s="36"/>
      <c r="W647" s="17"/>
      <c r="X647" s="20">
        <v>32</v>
      </c>
    </row>
    <row r="648" spans="1:24">
      <c r="A648" s="1">
        <v>3050</v>
      </c>
      <c r="B648" s="35" t="s">
        <v>123</v>
      </c>
      <c r="C648" s="1" t="s">
        <v>1562</v>
      </c>
      <c r="D648" s="1" t="s">
        <v>1563</v>
      </c>
      <c r="E648" s="35">
        <v>685</v>
      </c>
      <c r="F648" s="1" t="str">
        <f>VLOOKUP(E648,'ESTRUTURA_MODULO(hide)'!$A$2:$D$230,2,FALSE)</f>
        <v>Fiscal</v>
      </c>
      <c r="G648" s="1" t="str">
        <f>VLOOKUP(E648,'ESTRUTURA_MODULO(hide)'!$A$2:$D$95,3,FALSE)</f>
        <v xml:space="preserve">Bidding </v>
      </c>
      <c r="H648" s="1" t="str">
        <f>VLOOKUP(E648,'ESTRUTURA_MODULO(hide)'!$A$2:$D$95,4,FALSE)</f>
        <v>Fiscal</v>
      </c>
      <c r="I648" s="37">
        <v>12</v>
      </c>
      <c r="J648" s="17" t="s">
        <v>2889</v>
      </c>
      <c r="K648" s="17" t="s">
        <v>2889</v>
      </c>
      <c r="L648" s="17" t="s">
        <v>2889</v>
      </c>
      <c r="M648" s="38" t="s">
        <v>2889</v>
      </c>
      <c r="N648" s="38" t="s">
        <v>2889</v>
      </c>
      <c r="O648" s="17" t="s">
        <v>2889</v>
      </c>
      <c r="P648" s="17" t="s">
        <v>2889</v>
      </c>
      <c r="T648" s="17" t="s">
        <v>2889</v>
      </c>
      <c r="U648" s="17" t="s">
        <v>2890</v>
      </c>
      <c r="V648" s="36"/>
      <c r="W648" s="17"/>
      <c r="X648" s="20">
        <v>32</v>
      </c>
    </row>
    <row r="649" spans="1:24">
      <c r="A649" s="1">
        <v>5500</v>
      </c>
      <c r="B649" s="35" t="s">
        <v>444</v>
      </c>
      <c r="C649" s="1" t="s">
        <v>1564</v>
      </c>
      <c r="D649" s="1" t="s">
        <v>1565</v>
      </c>
      <c r="E649" s="35">
        <v>685</v>
      </c>
      <c r="F649" s="1" t="str">
        <f>VLOOKUP(E649,'ESTRUTURA_MODULO(hide)'!$A$2:$D$230,2,FALSE)</f>
        <v>Fiscal</v>
      </c>
      <c r="G649" s="1" t="str">
        <f>VLOOKUP(E649,'ESTRUTURA_MODULO(hide)'!$A$2:$D$95,3,FALSE)</f>
        <v xml:space="preserve">Bidding </v>
      </c>
      <c r="H649" s="1" t="str">
        <f>VLOOKUP(E649,'ESTRUTURA_MODULO(hide)'!$A$2:$D$95,4,FALSE)</f>
        <v>Fiscal</v>
      </c>
      <c r="I649" s="37">
        <v>40</v>
      </c>
      <c r="J649" s="17" t="s">
        <v>2889</v>
      </c>
      <c r="K649" s="17" t="s">
        <v>2889</v>
      </c>
      <c r="L649" s="17" t="s">
        <v>2889</v>
      </c>
      <c r="M649" s="38" t="s">
        <v>2889</v>
      </c>
      <c r="N649" s="38" t="s">
        <v>2889</v>
      </c>
      <c r="O649" s="17" t="s">
        <v>2889</v>
      </c>
      <c r="P649" s="17" t="s">
        <v>2889</v>
      </c>
      <c r="T649" s="17" t="s">
        <v>2889</v>
      </c>
      <c r="U649" s="17" t="s">
        <v>2890</v>
      </c>
      <c r="V649" s="36"/>
      <c r="W649" s="17"/>
      <c r="X649" s="20">
        <v>60</v>
      </c>
    </row>
    <row r="650" spans="1:24">
      <c r="A650" s="1">
        <v>20000</v>
      </c>
      <c r="B650" s="426" t="s">
        <v>1572</v>
      </c>
      <c r="C650" s="1" t="s">
        <v>1572</v>
      </c>
      <c r="D650" s="1" t="s">
        <v>1572</v>
      </c>
      <c r="E650" s="1">
        <v>800</v>
      </c>
      <c r="F650" s="1" t="str">
        <f>VLOOKUP(E650,'ESTRUTURA_MODULO(hide)'!$A$2:$D$230,2,FALSE)</f>
        <v>PACS DCX 2.3 L1 SP2</v>
      </c>
      <c r="G650" s="1" t="str">
        <f>VLOOKUP(E650,'ESTRUTURA_MODULO(hide)'!$A$2:$D$95,3,FALSE)</f>
        <v>PACS DCX 2.3 L1 SP2</v>
      </c>
      <c r="H650" s="1" t="str">
        <f>VLOOKUP(E650,'ESTRUTURA_MODULO(hide)'!$A$2:$D$95,4,FALSE)</f>
        <v>PACS DCX 2.3 L1 SP2</v>
      </c>
      <c r="I650" s="20">
        <v>0</v>
      </c>
      <c r="J650" s="17" t="s">
        <v>2890</v>
      </c>
      <c r="K650" s="17" t="s">
        <v>2890</v>
      </c>
      <c r="L650" s="17" t="s">
        <v>2890</v>
      </c>
      <c r="M650" s="17" t="s">
        <v>2890</v>
      </c>
      <c r="N650" s="17" t="s">
        <v>2890</v>
      </c>
      <c r="O650" s="17" t="s">
        <v>2890</v>
      </c>
      <c r="P650" s="17" t="s">
        <v>2890</v>
      </c>
      <c r="T650" s="17" t="s">
        <v>2889</v>
      </c>
      <c r="U650" s="17" t="s">
        <v>2890</v>
      </c>
      <c r="V650" s="21"/>
      <c r="W650" s="17"/>
      <c r="X650" s="20">
        <v>0</v>
      </c>
    </row>
    <row r="651" spans="1:24">
      <c r="A651" s="1">
        <v>1274</v>
      </c>
      <c r="B651" s="35" t="s">
        <v>1569</v>
      </c>
      <c r="C651" s="1" t="s">
        <v>1570</v>
      </c>
      <c r="D651" s="1" t="s">
        <v>1571</v>
      </c>
      <c r="E651" s="35">
        <v>693</v>
      </c>
      <c r="F651" s="1" t="str">
        <f>VLOOKUP(E651,'ESTRUTURA_MODULO(hide)'!$A$2:$D$230,2,FALSE)</f>
        <v>Call Center</v>
      </c>
      <c r="G651" s="1" t="str">
        <f>VLOOKUP(E651,'ESTRUTURA_MODULO(hide)'!$A$2:$D$95,3,FALSE)</f>
        <v>Call Center</v>
      </c>
      <c r="H651" s="1" t="str">
        <f>VLOOKUP(E651,'ESTRUTURA_MODULO(hide)'!$A$2:$D$95,4,FALSE)</f>
        <v>Call Center</v>
      </c>
      <c r="I651" s="37">
        <v>24</v>
      </c>
      <c r="J651" s="17" t="s">
        <v>2890</v>
      </c>
      <c r="K651" s="17" t="s">
        <v>2890</v>
      </c>
      <c r="L651" s="17" t="s">
        <v>2890</v>
      </c>
      <c r="M651" s="38" t="s">
        <v>2890</v>
      </c>
      <c r="N651" s="38" t="s">
        <v>2890</v>
      </c>
      <c r="O651" s="17" t="s">
        <v>2890</v>
      </c>
      <c r="P651" s="17" t="s">
        <v>2890</v>
      </c>
      <c r="Q651" s="17" t="s">
        <v>2889</v>
      </c>
      <c r="R651" s="17" t="s">
        <v>2889</v>
      </c>
      <c r="S651" s="17" t="s">
        <v>2889</v>
      </c>
      <c r="T651" s="17" t="s">
        <v>2889</v>
      </c>
      <c r="U651" s="17" t="s">
        <v>2890</v>
      </c>
      <c r="V651" s="36"/>
      <c r="W651" s="17"/>
      <c r="X651" s="20">
        <v>0</v>
      </c>
    </row>
    <row r="652" spans="1:24">
      <c r="A652" s="1">
        <v>20001</v>
      </c>
      <c r="B652" s="426" t="s">
        <v>386</v>
      </c>
      <c r="C652" s="1" t="s">
        <v>386</v>
      </c>
      <c r="D652" s="1" t="s">
        <v>386</v>
      </c>
      <c r="E652" s="1">
        <v>720</v>
      </c>
      <c r="F652" s="1" t="str">
        <f>VLOOKUP(E652,'ESTRUTURA_MODULO(hide)'!$A$2:$D$230,2,FALSE)</f>
        <v>PACS</v>
      </c>
      <c r="G652" s="1" t="str">
        <f>VLOOKUP(E652,'ESTRUTURA_MODULO(hide)'!$A$2:$D$95,3,FALSE)</f>
        <v>PACS</v>
      </c>
      <c r="H652" s="1" t="str">
        <f>VLOOKUP(E652,'ESTRUTURA_MODULO(hide)'!$A$2:$D$95,4,FALSE)</f>
        <v>PACS</v>
      </c>
      <c r="I652" s="20">
        <v>0</v>
      </c>
      <c r="J652" s="17" t="s">
        <v>2890</v>
      </c>
      <c r="K652" s="17" t="s">
        <v>2890</v>
      </c>
      <c r="L652" s="17" t="s">
        <v>2890</v>
      </c>
      <c r="M652" s="17" t="s">
        <v>2890</v>
      </c>
      <c r="N652" s="17" t="s">
        <v>2890</v>
      </c>
      <c r="O652" s="17" t="s">
        <v>2890</v>
      </c>
      <c r="P652" s="17" t="s">
        <v>2890</v>
      </c>
      <c r="T652" s="17" t="s">
        <v>2889</v>
      </c>
      <c r="U652" s="17" t="s">
        <v>2890</v>
      </c>
      <c r="V652" s="21"/>
      <c r="W652" s="17"/>
      <c r="X652" s="20">
        <v>0</v>
      </c>
    </row>
    <row r="653" spans="1:24">
      <c r="A653" s="1">
        <v>10158</v>
      </c>
      <c r="B653" s="35" t="s">
        <v>1877</v>
      </c>
      <c r="C653" s="1" t="s">
        <v>1879</v>
      </c>
      <c r="D653" s="1" t="s">
        <v>1877</v>
      </c>
      <c r="E653" s="35">
        <v>904</v>
      </c>
      <c r="F653" s="1" t="str">
        <f>VLOOKUP(E653,'ESTRUTURA_MODULO(hide)'!$A$2:$D$230,2,FALSE)</f>
        <v>Medicina Preventiva</v>
      </c>
      <c r="G653" s="1" t="str">
        <f>VLOOKUP(E653,'ESTRUTURA_MODULO(hide)'!$A$2:$D$95,3,FALSE)</f>
        <v>Health and Disease Management</v>
      </c>
      <c r="H653" s="1" t="str">
        <f>VLOOKUP(E653,'ESTRUTURA_MODULO(hide)'!$A$2:$D$95,4,FALSE)</f>
        <v>Medicina Preventiva</v>
      </c>
      <c r="I653" s="40">
        <v>16</v>
      </c>
      <c r="J653" s="17" t="s">
        <v>2890</v>
      </c>
      <c r="K653" s="17" t="s">
        <v>2889</v>
      </c>
      <c r="L653" s="17" t="s">
        <v>2889</v>
      </c>
      <c r="M653" s="38" t="s">
        <v>2889</v>
      </c>
      <c r="N653" s="38" t="s">
        <v>2889</v>
      </c>
      <c r="O653" s="17" t="s">
        <v>2889</v>
      </c>
      <c r="P653" s="17" t="s">
        <v>2889</v>
      </c>
      <c r="T653" s="17" t="s">
        <v>2889</v>
      </c>
      <c r="U653" s="17" t="s">
        <v>2890</v>
      </c>
      <c r="V653" s="36"/>
      <c r="W653" s="17"/>
      <c r="X653" s="20">
        <v>16</v>
      </c>
    </row>
    <row r="654" spans="1:24">
      <c r="A654" s="1">
        <v>10159</v>
      </c>
      <c r="B654" s="35" t="s">
        <v>1880</v>
      </c>
      <c r="C654" s="1" t="s">
        <v>1881</v>
      </c>
      <c r="D654" s="1" t="s">
        <v>1882</v>
      </c>
      <c r="E654" s="35">
        <v>904</v>
      </c>
      <c r="F654" s="1" t="str">
        <f>VLOOKUP(E654,'ESTRUTURA_MODULO(hide)'!$A$2:$D$230,2,FALSE)</f>
        <v>Medicina Preventiva</v>
      </c>
      <c r="G654" s="1" t="str">
        <f>VLOOKUP(E654,'ESTRUTURA_MODULO(hide)'!$A$2:$D$95,3,FALSE)</f>
        <v>Health and Disease Management</v>
      </c>
      <c r="H654" s="1" t="str">
        <f>VLOOKUP(E654,'ESTRUTURA_MODULO(hide)'!$A$2:$D$95,4,FALSE)</f>
        <v>Medicina Preventiva</v>
      </c>
      <c r="I654" s="40">
        <v>12</v>
      </c>
      <c r="J654" s="17" t="s">
        <v>2890</v>
      </c>
      <c r="K654" s="17" t="s">
        <v>2889</v>
      </c>
      <c r="L654" s="17" t="s">
        <v>2889</v>
      </c>
      <c r="M654" s="38" t="s">
        <v>2889</v>
      </c>
      <c r="N654" s="38" t="s">
        <v>2889</v>
      </c>
      <c r="O654" s="17" t="s">
        <v>2889</v>
      </c>
      <c r="P654" s="17" t="s">
        <v>2889</v>
      </c>
      <c r="T654" s="17" t="s">
        <v>2889</v>
      </c>
      <c r="U654" s="17" t="s">
        <v>2890</v>
      </c>
      <c r="V654" s="36"/>
      <c r="W654" s="17"/>
      <c r="X654" s="20">
        <v>12</v>
      </c>
    </row>
    <row r="655" spans="1:24">
      <c r="A655" s="1">
        <v>10157</v>
      </c>
      <c r="B655" s="35" t="s">
        <v>1883</v>
      </c>
      <c r="C655" s="1" t="s">
        <v>1884</v>
      </c>
      <c r="D655" s="1" t="s">
        <v>1885</v>
      </c>
      <c r="E655" s="35">
        <v>904</v>
      </c>
      <c r="F655" s="1" t="str">
        <f>VLOOKUP(E655,'ESTRUTURA_MODULO(hide)'!$A$2:$D$230,2,FALSE)</f>
        <v>Medicina Preventiva</v>
      </c>
      <c r="G655" s="1" t="str">
        <f>VLOOKUP(E655,'ESTRUTURA_MODULO(hide)'!$A$2:$D$95,3,FALSE)</f>
        <v>Health and Disease Management</v>
      </c>
      <c r="H655" s="1" t="str">
        <f>VLOOKUP(E655,'ESTRUTURA_MODULO(hide)'!$A$2:$D$95,4,FALSE)</f>
        <v>Medicina Preventiva</v>
      </c>
      <c r="I655" s="40">
        <v>12</v>
      </c>
      <c r="J655" s="17" t="s">
        <v>2890</v>
      </c>
      <c r="K655" s="17" t="s">
        <v>2889</v>
      </c>
      <c r="L655" s="17" t="s">
        <v>2889</v>
      </c>
      <c r="M655" s="38" t="s">
        <v>2889</v>
      </c>
      <c r="N655" s="38" t="s">
        <v>2889</v>
      </c>
      <c r="O655" s="17" t="s">
        <v>2889</v>
      </c>
      <c r="P655" s="17" t="s">
        <v>2889</v>
      </c>
      <c r="T655" s="17" t="s">
        <v>2889</v>
      </c>
      <c r="U655" s="17" t="s">
        <v>2890</v>
      </c>
      <c r="V655" s="36"/>
      <c r="W655" s="17"/>
      <c r="X655" s="20">
        <v>12</v>
      </c>
    </row>
    <row r="656" spans="1:24">
      <c r="A656" s="1">
        <v>10156</v>
      </c>
      <c r="B656" s="35" t="s">
        <v>1886</v>
      </c>
      <c r="C656" s="1" t="s">
        <v>1887</v>
      </c>
      <c r="D656" s="1" t="s">
        <v>1888</v>
      </c>
      <c r="E656" s="35">
        <v>904</v>
      </c>
      <c r="F656" s="1" t="str">
        <f>VLOOKUP(E656,'ESTRUTURA_MODULO(hide)'!$A$2:$D$230,2,FALSE)</f>
        <v>Medicina Preventiva</v>
      </c>
      <c r="G656" s="1" t="str">
        <f>VLOOKUP(E656,'ESTRUTURA_MODULO(hide)'!$A$2:$D$95,3,FALSE)</f>
        <v>Health and Disease Management</v>
      </c>
      <c r="H656" s="1" t="str">
        <f>VLOOKUP(E656,'ESTRUTURA_MODULO(hide)'!$A$2:$D$95,4,FALSE)</f>
        <v>Medicina Preventiva</v>
      </c>
      <c r="I656" s="40">
        <v>16</v>
      </c>
      <c r="J656" s="17" t="s">
        <v>2890</v>
      </c>
      <c r="K656" s="17" t="s">
        <v>2889</v>
      </c>
      <c r="L656" s="17" t="s">
        <v>2889</v>
      </c>
      <c r="M656" s="38" t="s">
        <v>2889</v>
      </c>
      <c r="N656" s="38" t="s">
        <v>2889</v>
      </c>
      <c r="O656" s="17" t="s">
        <v>2889</v>
      </c>
      <c r="P656" s="17" t="s">
        <v>2889</v>
      </c>
      <c r="T656" s="17" t="s">
        <v>2889</v>
      </c>
      <c r="U656" s="17" t="s">
        <v>2890</v>
      </c>
      <c r="V656" s="36"/>
      <c r="W656" s="17"/>
      <c r="X656" s="20">
        <v>16</v>
      </c>
    </row>
    <row r="657" spans="1:24">
      <c r="A657" s="1">
        <v>10155</v>
      </c>
      <c r="B657" s="35" t="s">
        <v>1889</v>
      </c>
      <c r="C657" s="1" t="s">
        <v>1890</v>
      </c>
      <c r="D657" s="1" t="s">
        <v>1891</v>
      </c>
      <c r="E657" s="35">
        <v>904</v>
      </c>
      <c r="F657" s="1" t="str">
        <f>VLOOKUP(E657,'ESTRUTURA_MODULO(hide)'!$A$2:$D$230,2,FALSE)</f>
        <v>Medicina Preventiva</v>
      </c>
      <c r="G657" s="1" t="str">
        <f>VLOOKUP(E657,'ESTRUTURA_MODULO(hide)'!$A$2:$D$95,3,FALSE)</f>
        <v>Health and Disease Management</v>
      </c>
      <c r="H657" s="1" t="str">
        <f>VLOOKUP(E657,'ESTRUTURA_MODULO(hide)'!$A$2:$D$95,4,FALSE)</f>
        <v>Medicina Preventiva</v>
      </c>
      <c r="I657" s="40">
        <v>16</v>
      </c>
      <c r="J657" s="17" t="s">
        <v>2890</v>
      </c>
      <c r="K657" s="17" t="s">
        <v>2889</v>
      </c>
      <c r="L657" s="17" t="s">
        <v>2889</v>
      </c>
      <c r="M657" s="38" t="s">
        <v>2889</v>
      </c>
      <c r="N657" s="38" t="s">
        <v>2889</v>
      </c>
      <c r="O657" s="17" t="s">
        <v>2889</v>
      </c>
      <c r="P657" s="17" t="s">
        <v>2889</v>
      </c>
      <c r="T657" s="17" t="s">
        <v>2889</v>
      </c>
      <c r="U657" s="17" t="s">
        <v>2890</v>
      </c>
      <c r="V657" s="36"/>
      <c r="W657" s="17"/>
      <c r="X657" s="20">
        <v>16</v>
      </c>
    </row>
    <row r="658" spans="1:24">
      <c r="A658" s="1">
        <v>10154</v>
      </c>
      <c r="B658" s="35" t="s">
        <v>1892</v>
      </c>
      <c r="C658" s="1" t="s">
        <v>1893</v>
      </c>
      <c r="D658" s="1" t="s">
        <v>1894</v>
      </c>
      <c r="E658" s="35">
        <v>904</v>
      </c>
      <c r="F658" s="1" t="str">
        <f>VLOOKUP(E658,'ESTRUTURA_MODULO(hide)'!$A$2:$D$230,2,FALSE)</f>
        <v>Medicina Preventiva</v>
      </c>
      <c r="G658" s="1" t="str">
        <f>VLOOKUP(E658,'ESTRUTURA_MODULO(hide)'!$A$2:$D$95,3,FALSE)</f>
        <v>Health and Disease Management</v>
      </c>
      <c r="H658" s="1" t="str">
        <f>VLOOKUP(E658,'ESTRUTURA_MODULO(hide)'!$A$2:$D$95,4,FALSE)</f>
        <v>Medicina Preventiva</v>
      </c>
      <c r="I658" s="40">
        <v>12</v>
      </c>
      <c r="J658" s="17" t="s">
        <v>2890</v>
      </c>
      <c r="K658" s="17" t="s">
        <v>2889</v>
      </c>
      <c r="L658" s="17" t="s">
        <v>2889</v>
      </c>
      <c r="M658" s="38" t="s">
        <v>2889</v>
      </c>
      <c r="N658" s="38" t="s">
        <v>2889</v>
      </c>
      <c r="O658" s="17" t="s">
        <v>2889</v>
      </c>
      <c r="P658" s="17" t="s">
        <v>2889</v>
      </c>
      <c r="T658" s="17" t="s">
        <v>2889</v>
      </c>
      <c r="U658" s="17" t="s">
        <v>2890</v>
      </c>
      <c r="V658" s="36"/>
      <c r="W658" s="17"/>
      <c r="X658" s="20">
        <v>12</v>
      </c>
    </row>
    <row r="659" spans="1:24">
      <c r="A659" s="1">
        <v>10153</v>
      </c>
      <c r="B659" s="35" t="s">
        <v>1895</v>
      </c>
      <c r="C659" s="1" t="s">
        <v>1896</v>
      </c>
      <c r="D659" s="1" t="s">
        <v>1897</v>
      </c>
      <c r="E659" s="35">
        <v>904</v>
      </c>
      <c r="F659" s="1" t="str">
        <f>VLOOKUP(E659,'ESTRUTURA_MODULO(hide)'!$A$2:$D$230,2,FALSE)</f>
        <v>Medicina Preventiva</v>
      </c>
      <c r="G659" s="1" t="str">
        <f>VLOOKUP(E659,'ESTRUTURA_MODULO(hide)'!$A$2:$D$95,3,FALSE)</f>
        <v>Health and Disease Management</v>
      </c>
      <c r="H659" s="1" t="str">
        <f>VLOOKUP(E659,'ESTRUTURA_MODULO(hide)'!$A$2:$D$95,4,FALSE)</f>
        <v>Medicina Preventiva</v>
      </c>
      <c r="I659" s="40">
        <v>12</v>
      </c>
      <c r="J659" s="17" t="s">
        <v>2890</v>
      </c>
      <c r="K659" s="17" t="s">
        <v>2889</v>
      </c>
      <c r="L659" s="17" t="s">
        <v>2889</v>
      </c>
      <c r="M659" s="38" t="s">
        <v>2889</v>
      </c>
      <c r="N659" s="38" t="s">
        <v>2889</v>
      </c>
      <c r="O659" s="17" t="s">
        <v>2889</v>
      </c>
      <c r="P659" s="17" t="s">
        <v>2889</v>
      </c>
      <c r="T659" s="17" t="s">
        <v>2889</v>
      </c>
      <c r="U659" s="17" t="s">
        <v>2890</v>
      </c>
      <c r="V659" s="36"/>
      <c r="W659" s="17"/>
      <c r="X659" s="20">
        <v>12</v>
      </c>
    </row>
    <row r="660" spans="1:24">
      <c r="A660" s="1">
        <v>10152</v>
      </c>
      <c r="B660" s="35" t="s">
        <v>1898</v>
      </c>
      <c r="C660" s="1" t="s">
        <v>1899</v>
      </c>
      <c r="D660" s="1" t="s">
        <v>1898</v>
      </c>
      <c r="E660" s="35">
        <v>904</v>
      </c>
      <c r="F660" s="1" t="str">
        <f>VLOOKUP(E660,'ESTRUTURA_MODULO(hide)'!$A$2:$D$230,2,FALSE)</f>
        <v>Medicina Preventiva</v>
      </c>
      <c r="G660" s="1" t="str">
        <f>VLOOKUP(E660,'ESTRUTURA_MODULO(hide)'!$A$2:$D$95,3,FALSE)</f>
        <v>Health and Disease Management</v>
      </c>
      <c r="H660" s="1" t="str">
        <f>VLOOKUP(E660,'ESTRUTURA_MODULO(hide)'!$A$2:$D$95,4,FALSE)</f>
        <v>Medicina Preventiva</v>
      </c>
      <c r="I660" s="40">
        <v>16</v>
      </c>
      <c r="J660" s="17" t="s">
        <v>2890</v>
      </c>
      <c r="K660" s="17" t="s">
        <v>2889</v>
      </c>
      <c r="L660" s="17" t="s">
        <v>2889</v>
      </c>
      <c r="M660" s="38" t="s">
        <v>2889</v>
      </c>
      <c r="N660" s="38" t="s">
        <v>2889</v>
      </c>
      <c r="O660" s="17" t="s">
        <v>2889</v>
      </c>
      <c r="P660" s="17" t="s">
        <v>2889</v>
      </c>
      <c r="T660" s="17" t="s">
        <v>2889</v>
      </c>
      <c r="U660" s="17" t="s">
        <v>2890</v>
      </c>
      <c r="V660" s="36"/>
      <c r="W660" s="17"/>
      <c r="X660" s="20">
        <v>16</v>
      </c>
    </row>
    <row r="661" spans="1:24">
      <c r="A661" s="1">
        <v>10151</v>
      </c>
      <c r="B661" s="35" t="s">
        <v>1900</v>
      </c>
      <c r="C661" s="1" t="s">
        <v>1901</v>
      </c>
      <c r="D661" s="1" t="s">
        <v>1902</v>
      </c>
      <c r="E661" s="35">
        <v>904</v>
      </c>
      <c r="F661" s="1" t="str">
        <f>VLOOKUP(E661,'ESTRUTURA_MODULO(hide)'!$A$2:$D$230,2,FALSE)</f>
        <v>Medicina Preventiva</v>
      </c>
      <c r="G661" s="1" t="str">
        <f>VLOOKUP(E661,'ESTRUTURA_MODULO(hide)'!$A$2:$D$95,3,FALSE)</f>
        <v>Health and Disease Management</v>
      </c>
      <c r="H661" s="1" t="str">
        <f>VLOOKUP(E661,'ESTRUTURA_MODULO(hide)'!$A$2:$D$95,4,FALSE)</f>
        <v>Medicina Preventiva</v>
      </c>
      <c r="I661" s="40">
        <v>16</v>
      </c>
      <c r="J661" s="17" t="s">
        <v>2890</v>
      </c>
      <c r="K661" s="17" t="s">
        <v>2889</v>
      </c>
      <c r="L661" s="17" t="s">
        <v>2889</v>
      </c>
      <c r="M661" s="38" t="s">
        <v>2889</v>
      </c>
      <c r="N661" s="38" t="s">
        <v>2889</v>
      </c>
      <c r="O661" s="17" t="s">
        <v>2889</v>
      </c>
      <c r="P661" s="17" t="s">
        <v>2889</v>
      </c>
      <c r="T661" s="17" t="s">
        <v>2889</v>
      </c>
      <c r="U661" s="17" t="s">
        <v>2890</v>
      </c>
      <c r="V661" s="36"/>
      <c r="W661" s="17"/>
      <c r="X661" s="20">
        <v>16</v>
      </c>
    </row>
    <row r="662" spans="1:24">
      <c r="A662" s="1">
        <v>10150</v>
      </c>
      <c r="B662" s="35" t="s">
        <v>1903</v>
      </c>
      <c r="C662" s="1" t="s">
        <v>1904</v>
      </c>
      <c r="D662" s="1" t="s">
        <v>1905</v>
      </c>
      <c r="E662" s="35">
        <v>904</v>
      </c>
      <c r="F662" s="1" t="str">
        <f>VLOOKUP(E662,'ESTRUTURA_MODULO(hide)'!$A$2:$D$230,2,FALSE)</f>
        <v>Medicina Preventiva</v>
      </c>
      <c r="G662" s="1" t="str">
        <f>VLOOKUP(E662,'ESTRUTURA_MODULO(hide)'!$A$2:$D$95,3,FALSE)</f>
        <v>Health and Disease Management</v>
      </c>
      <c r="H662" s="1" t="str">
        <f>VLOOKUP(E662,'ESTRUTURA_MODULO(hide)'!$A$2:$D$95,4,FALSE)</f>
        <v>Medicina Preventiva</v>
      </c>
      <c r="I662" s="40">
        <v>12</v>
      </c>
      <c r="J662" s="17" t="s">
        <v>2890</v>
      </c>
      <c r="K662" s="17" t="s">
        <v>2889</v>
      </c>
      <c r="L662" s="17" t="s">
        <v>2889</v>
      </c>
      <c r="M662" s="38" t="s">
        <v>2889</v>
      </c>
      <c r="N662" s="38" t="s">
        <v>2889</v>
      </c>
      <c r="O662" s="17" t="s">
        <v>2889</v>
      </c>
      <c r="P662" s="17" t="s">
        <v>2889</v>
      </c>
      <c r="T662" s="17" t="s">
        <v>2889</v>
      </c>
      <c r="U662" s="17" t="s">
        <v>2890</v>
      </c>
      <c r="V662" s="36"/>
      <c r="W662" s="17"/>
      <c r="X662" s="20">
        <v>12</v>
      </c>
    </row>
    <row r="663" spans="1:24">
      <c r="A663" s="1">
        <v>10200</v>
      </c>
      <c r="B663" s="35" t="s">
        <v>1906</v>
      </c>
      <c r="C663" s="1" t="s">
        <v>1907</v>
      </c>
      <c r="D663" s="1" t="s">
        <v>1908</v>
      </c>
      <c r="E663" s="35">
        <v>904</v>
      </c>
      <c r="F663" s="1" t="str">
        <f>VLOOKUP(E663,'ESTRUTURA_MODULO(hide)'!$A$2:$D$230,2,FALSE)</f>
        <v>Medicina Preventiva</v>
      </c>
      <c r="G663" s="1" t="str">
        <f>VLOOKUP(E663,'ESTRUTURA_MODULO(hide)'!$A$2:$D$95,3,FALSE)</f>
        <v>Health and Disease Management</v>
      </c>
      <c r="H663" s="1" t="str">
        <f>VLOOKUP(E663,'ESTRUTURA_MODULO(hide)'!$A$2:$D$95,4,FALSE)</f>
        <v>Medicina Preventiva</v>
      </c>
      <c r="I663" s="40">
        <v>12</v>
      </c>
      <c r="J663" s="17" t="s">
        <v>2890</v>
      </c>
      <c r="K663" s="17" t="s">
        <v>2889</v>
      </c>
      <c r="L663" s="17" t="s">
        <v>2889</v>
      </c>
      <c r="M663" s="38" t="s">
        <v>2889</v>
      </c>
      <c r="N663" s="38" t="s">
        <v>2889</v>
      </c>
      <c r="O663" s="17" t="s">
        <v>2889</v>
      </c>
      <c r="P663" s="17" t="s">
        <v>2889</v>
      </c>
      <c r="T663" s="17" t="s">
        <v>2889</v>
      </c>
      <c r="U663" s="17" t="s">
        <v>2890</v>
      </c>
      <c r="V663" s="36"/>
      <c r="W663" s="17"/>
      <c r="X663" s="20">
        <v>12</v>
      </c>
    </row>
    <row r="664" spans="1:24">
      <c r="A664" s="1">
        <v>10161</v>
      </c>
      <c r="B664" s="35" t="s">
        <v>1909</v>
      </c>
      <c r="C664" s="1" t="s">
        <v>1910</v>
      </c>
      <c r="D664" s="1" t="s">
        <v>1911</v>
      </c>
      <c r="E664" s="35">
        <v>904</v>
      </c>
      <c r="F664" s="1" t="str">
        <f>VLOOKUP(E664,'ESTRUTURA_MODULO(hide)'!$A$2:$D$230,2,FALSE)</f>
        <v>Medicina Preventiva</v>
      </c>
      <c r="G664" s="1" t="str">
        <f>VLOOKUP(E664,'ESTRUTURA_MODULO(hide)'!$A$2:$D$95,3,FALSE)</f>
        <v>Health and Disease Management</v>
      </c>
      <c r="H664" s="1" t="str">
        <f>VLOOKUP(E664,'ESTRUTURA_MODULO(hide)'!$A$2:$D$95,4,FALSE)</f>
        <v>Medicina Preventiva</v>
      </c>
      <c r="I664" s="40">
        <v>12</v>
      </c>
      <c r="J664" s="17" t="s">
        <v>2890</v>
      </c>
      <c r="K664" s="17" t="s">
        <v>2889</v>
      </c>
      <c r="L664" s="17" t="s">
        <v>2889</v>
      </c>
      <c r="M664" s="38" t="s">
        <v>2889</v>
      </c>
      <c r="N664" s="38" t="s">
        <v>2889</v>
      </c>
      <c r="O664" s="17" t="s">
        <v>2889</v>
      </c>
      <c r="P664" s="17" t="s">
        <v>2889</v>
      </c>
      <c r="T664" s="17" t="s">
        <v>2889</v>
      </c>
      <c r="U664" s="17" t="s">
        <v>2890</v>
      </c>
      <c r="V664" s="36"/>
      <c r="W664" s="17"/>
      <c r="X664" s="20">
        <v>12</v>
      </c>
    </row>
    <row r="665" spans="1:24">
      <c r="A665" s="1">
        <v>10160</v>
      </c>
      <c r="B665" s="35" t="s">
        <v>1912</v>
      </c>
      <c r="C665" s="1" t="s">
        <v>1913</v>
      </c>
      <c r="D665" s="1" t="s">
        <v>1914</v>
      </c>
      <c r="E665" s="35">
        <v>904</v>
      </c>
      <c r="F665" s="1" t="str">
        <f>VLOOKUP(E665,'ESTRUTURA_MODULO(hide)'!$A$2:$D$230,2,FALSE)</f>
        <v>Medicina Preventiva</v>
      </c>
      <c r="G665" s="1" t="str">
        <f>VLOOKUP(E665,'ESTRUTURA_MODULO(hide)'!$A$2:$D$95,3,FALSE)</f>
        <v>Health and Disease Management</v>
      </c>
      <c r="H665" s="1" t="str">
        <f>VLOOKUP(E665,'ESTRUTURA_MODULO(hide)'!$A$2:$D$95,4,FALSE)</f>
        <v>Medicina Preventiva</v>
      </c>
      <c r="I665" s="40">
        <v>16</v>
      </c>
      <c r="J665" s="17" t="s">
        <v>2890</v>
      </c>
      <c r="K665" s="17" t="s">
        <v>2889</v>
      </c>
      <c r="L665" s="17" t="s">
        <v>2889</v>
      </c>
      <c r="M665" s="38" t="s">
        <v>2889</v>
      </c>
      <c r="N665" s="38" t="s">
        <v>2889</v>
      </c>
      <c r="O665" s="17" t="s">
        <v>2889</v>
      </c>
      <c r="P665" s="17" t="s">
        <v>2889</v>
      </c>
      <c r="T665" s="17" t="s">
        <v>2889</v>
      </c>
      <c r="U665" s="17" t="s">
        <v>2890</v>
      </c>
      <c r="V665" s="36"/>
      <c r="W665" s="17"/>
      <c r="X665" s="20">
        <v>16</v>
      </c>
    </row>
    <row r="666" spans="1:24">
      <c r="A666" s="1">
        <v>355</v>
      </c>
      <c r="B666" s="35" t="s">
        <v>380</v>
      </c>
      <c r="C666" s="1" t="s">
        <v>380</v>
      </c>
      <c r="D666" s="1" t="s">
        <v>380</v>
      </c>
      <c r="E666" s="35">
        <v>870</v>
      </c>
      <c r="F666" s="1" t="str">
        <f>VLOOKUP(E666,'ESTRUTURA_MODULO(hide)'!$A$2:$D$230,2,FALSE)</f>
        <v>Suporte a Decisão Clínica</v>
      </c>
      <c r="G666" s="1" t="str">
        <f>VLOOKUP(E666,'ESTRUTURA_MODULO(hide)'!$A$2:$D$95,3,FALSE)</f>
        <v>Clinical Decision Support</v>
      </c>
      <c r="H666" s="1" t="str">
        <f>VLOOKUP(E666,'ESTRUTURA_MODULO(hide)'!$A$2:$D$95,4,FALSE)</f>
        <v>Soporte a la Decisión Clínica</v>
      </c>
      <c r="I666" s="37">
        <v>40</v>
      </c>
      <c r="J666" s="17" t="s">
        <v>2889</v>
      </c>
      <c r="K666" s="17" t="s">
        <v>2889</v>
      </c>
      <c r="L666" s="17" t="s">
        <v>2889</v>
      </c>
      <c r="M666" s="38" t="s">
        <v>2889</v>
      </c>
      <c r="N666" s="38" t="s">
        <v>2889</v>
      </c>
      <c r="O666" s="17" t="s">
        <v>2890</v>
      </c>
      <c r="P666" s="17" t="s">
        <v>2890</v>
      </c>
      <c r="T666" s="17" t="s">
        <v>2889</v>
      </c>
      <c r="U666" s="17" t="s">
        <v>2890</v>
      </c>
      <c r="V666" s="36"/>
      <c r="W666" s="17"/>
      <c r="X666" s="20">
        <v>80</v>
      </c>
    </row>
    <row r="667" spans="1:24">
      <c r="A667" s="1">
        <v>354</v>
      </c>
      <c r="B667" s="35" t="s">
        <v>405</v>
      </c>
      <c r="C667" s="1" t="s">
        <v>1574</v>
      </c>
      <c r="D667" s="1" t="s">
        <v>1575</v>
      </c>
      <c r="E667" s="35">
        <v>870</v>
      </c>
      <c r="F667" s="1" t="str">
        <f>VLOOKUP(E667,'ESTRUTURA_MODULO(hide)'!$A$2:$D$230,2,FALSE)</f>
        <v>Suporte a Decisão Clínica</v>
      </c>
      <c r="G667" s="1" t="str">
        <f>VLOOKUP(E667,'ESTRUTURA_MODULO(hide)'!$A$2:$D$95,3,FALSE)</f>
        <v>Clinical Decision Support</v>
      </c>
      <c r="H667" s="1" t="str">
        <f>VLOOKUP(E667,'ESTRUTURA_MODULO(hide)'!$A$2:$D$95,4,FALSE)</f>
        <v>Soporte a la Decisión Clínica</v>
      </c>
      <c r="I667" s="37">
        <v>40</v>
      </c>
      <c r="J667" s="17" t="s">
        <v>2889</v>
      </c>
      <c r="K667" s="17" t="s">
        <v>2889</v>
      </c>
      <c r="L667" s="17" t="s">
        <v>2889</v>
      </c>
      <c r="M667" s="38" t="s">
        <v>2889</v>
      </c>
      <c r="N667" s="38" t="s">
        <v>2889</v>
      </c>
      <c r="O667" s="17" t="s">
        <v>2890</v>
      </c>
      <c r="P667" s="17" t="s">
        <v>2890</v>
      </c>
      <c r="T667" s="17" t="s">
        <v>2889</v>
      </c>
      <c r="U667" s="17" t="s">
        <v>2890</v>
      </c>
      <c r="V667" s="36"/>
      <c r="W667" s="17"/>
      <c r="X667" s="20">
        <v>80</v>
      </c>
    </row>
    <row r="668" spans="1:24">
      <c r="A668" s="1">
        <v>2815</v>
      </c>
      <c r="B668" s="428" t="s">
        <v>2029</v>
      </c>
      <c r="C668" s="1" t="s">
        <v>2877</v>
      </c>
      <c r="D668" s="1" t="s">
        <v>2882</v>
      </c>
      <c r="E668" s="35">
        <v>89</v>
      </c>
      <c r="F668" s="1" t="str">
        <f>VLOOKUP(E668,'ESTRUTURA_MODULO(hide)'!$A$2:$D$230,2,FALSE)</f>
        <v>Pronto Atendimento</v>
      </c>
      <c r="G668" s="1" t="str">
        <f>VLOOKUP(E668,'ESTRUTURA_MODULO(hide)'!$A$2:$D$95,3,FALSE)</f>
        <v>Emergency Department</v>
      </c>
      <c r="H668" s="1" t="str">
        <f>VLOOKUP(E668,'ESTRUTURA_MODULO(hide)'!$A$2:$D$95,4,FALSE)</f>
        <v>Urgencias</v>
      </c>
      <c r="I668" s="37">
        <v>40</v>
      </c>
      <c r="J668" s="17" t="s">
        <v>2889</v>
      </c>
      <c r="K668" s="17" t="s">
        <v>2889</v>
      </c>
      <c r="L668" s="17" t="s">
        <v>2889</v>
      </c>
      <c r="M668" s="38" t="s">
        <v>2889</v>
      </c>
      <c r="N668" s="38" t="s">
        <v>2889</v>
      </c>
      <c r="O668" s="17" t="s">
        <v>2890</v>
      </c>
      <c r="P668" s="17" t="s">
        <v>2890</v>
      </c>
      <c r="T668" s="17" t="s">
        <v>2889</v>
      </c>
      <c r="U668" s="17" t="s">
        <v>2890</v>
      </c>
      <c r="V668" s="36" t="s">
        <v>282</v>
      </c>
      <c r="W668" s="17"/>
      <c r="X668" s="20">
        <v>40</v>
      </c>
    </row>
    <row r="669" spans="1:24">
      <c r="A669" s="1">
        <v>9902</v>
      </c>
      <c r="B669" s="35" t="s">
        <v>2031</v>
      </c>
      <c r="C669" s="1" t="s">
        <v>2878</v>
      </c>
      <c r="D669" s="1" t="s">
        <v>2883</v>
      </c>
      <c r="E669" s="35">
        <v>945</v>
      </c>
      <c r="F669" s="1" t="str">
        <f>VLOOKUP(E669,'ESTRUTURA_MODULO(hide)'!$A$2:$D$230,2,FALSE)</f>
        <v>Banco de Leite</v>
      </c>
      <c r="G669" s="1" t="str">
        <f>VLOOKUP(E669,'ESTRUTURA_MODULO(hide)'!$A$2:$D$95,3,FALSE)</f>
        <v>Milk Bank</v>
      </c>
      <c r="H669" s="1" t="str">
        <f>VLOOKUP(E669,'ESTRUTURA_MODULO(hide)'!$A$2:$D$95,4,FALSE)</f>
        <v>Banco de Leche</v>
      </c>
      <c r="I669" s="41">
        <v>40</v>
      </c>
      <c r="J669" s="17" t="s">
        <v>2889</v>
      </c>
      <c r="K669" s="17" t="s">
        <v>2889</v>
      </c>
      <c r="L669" s="17" t="s">
        <v>2889</v>
      </c>
      <c r="M669" s="38" t="s">
        <v>2889</v>
      </c>
      <c r="N669" s="38" t="s">
        <v>2889</v>
      </c>
      <c r="O669" s="17" t="s">
        <v>2889</v>
      </c>
      <c r="P669" s="17" t="s">
        <v>2889</v>
      </c>
      <c r="T669" s="17" t="s">
        <v>2889</v>
      </c>
      <c r="U669" s="17" t="s">
        <v>2890</v>
      </c>
      <c r="V669" s="36" t="s">
        <v>2035</v>
      </c>
      <c r="W669" s="17"/>
      <c r="X669" s="20">
        <v>40</v>
      </c>
    </row>
    <row r="670" spans="1:24">
      <c r="A670" s="34">
        <v>211</v>
      </c>
      <c r="B670" s="429" t="s">
        <v>2038</v>
      </c>
      <c r="C670" s="42" t="s">
        <v>2038</v>
      </c>
      <c r="D670" s="42" t="s">
        <v>2038</v>
      </c>
      <c r="E670" s="43">
        <v>36</v>
      </c>
      <c r="F670" s="1" t="str">
        <f>VLOOKUP(E670,'ESTRUTURA_MODULO(hide)'!$A$2:$D$230,2,FALSE)</f>
        <v>Gerenciador do Sistema</v>
      </c>
      <c r="G670" s="1" t="str">
        <f>VLOOKUP(E670,'ESTRUTURA_MODULO(hide)'!$A$2:$D$95,3,FALSE)</f>
        <v>System Manager</v>
      </c>
      <c r="H670" s="1" t="str">
        <f>VLOOKUP(E670,'ESTRUTURA_MODULO(hide)'!$A$2:$D$95,4,FALSE)</f>
        <v>Gestión del sistema</v>
      </c>
      <c r="I670" s="45">
        <v>40</v>
      </c>
      <c r="J670" s="17" t="str">
        <f>IF('General Information'!$C$19="Java","Yes","No")</f>
        <v>No</v>
      </c>
      <c r="K670" s="17" t="str">
        <f>IF('General Information'!$C$19="Java","Yes","No")</f>
        <v>No</v>
      </c>
      <c r="L670" s="17" t="str">
        <f>IF('General Information'!$C$19="Java","Yes","No")</f>
        <v>No</v>
      </c>
      <c r="M670" s="17" t="str">
        <f>IF('General Information'!$C$19="Java","Yes","No")</f>
        <v>No</v>
      </c>
      <c r="N670" s="17" t="str">
        <f>IF('General Information'!$C$19="Java","Yes","No")</f>
        <v>No</v>
      </c>
      <c r="O670" s="17" t="s">
        <v>2890</v>
      </c>
      <c r="P670" s="17" t="s">
        <v>2890</v>
      </c>
      <c r="T670" s="17" t="s">
        <v>2889</v>
      </c>
      <c r="U670" s="17" t="s">
        <v>2890</v>
      </c>
      <c r="V670" s="43" t="s">
        <v>2036</v>
      </c>
      <c r="W670" s="17"/>
      <c r="X670" s="20">
        <v>40</v>
      </c>
    </row>
    <row r="671" spans="1:24">
      <c r="A671" s="34">
        <v>373</v>
      </c>
      <c r="B671" s="44" t="s">
        <v>2032</v>
      </c>
      <c r="C671" s="1" t="s">
        <v>2879</v>
      </c>
      <c r="D671" s="1" t="s">
        <v>2884</v>
      </c>
      <c r="E671" s="43">
        <v>71</v>
      </c>
      <c r="F671" s="1" t="str">
        <f>VLOOKUP(E671,'ESTRUTURA_MODULO(hide)'!$A$2:$D$230,2,FALSE)</f>
        <v>Nutrição</v>
      </c>
      <c r="G671" s="1" t="str">
        <f>VLOOKUP(E671,'ESTRUTURA_MODULO(hide)'!$A$2:$D$95,3,FALSE)</f>
        <v xml:space="preserve">Nutrition </v>
      </c>
      <c r="H671" s="1" t="str">
        <f>VLOOKUP(E671,'ESTRUTURA_MODULO(hide)'!$A$2:$D$95,4,FALSE)</f>
        <v>Nutrición</v>
      </c>
      <c r="I671" s="41">
        <v>40</v>
      </c>
      <c r="J671" s="17" t="s">
        <v>2889</v>
      </c>
      <c r="K671" s="17" t="s">
        <v>2889</v>
      </c>
      <c r="L671" s="17" t="s">
        <v>2889</v>
      </c>
      <c r="M671" s="38" t="s">
        <v>2889</v>
      </c>
      <c r="N671" s="38" t="s">
        <v>2889</v>
      </c>
      <c r="O671" s="17" t="s">
        <v>2890</v>
      </c>
      <c r="P671" s="17" t="s">
        <v>2890</v>
      </c>
      <c r="T671" s="17" t="s">
        <v>2889</v>
      </c>
      <c r="U671" s="17" t="s">
        <v>2890</v>
      </c>
      <c r="V671" s="43" t="s">
        <v>257</v>
      </c>
      <c r="W671" s="17"/>
      <c r="X671" s="20">
        <v>40</v>
      </c>
    </row>
    <row r="672" spans="1:24">
      <c r="A672" s="47">
        <v>3291</v>
      </c>
      <c r="B672" s="43" t="s">
        <v>2041</v>
      </c>
      <c r="C672" s="43" t="s">
        <v>2041</v>
      </c>
      <c r="D672" s="43" t="s">
        <v>2041</v>
      </c>
      <c r="E672" s="43">
        <v>36</v>
      </c>
      <c r="F672" s="1" t="str">
        <f>VLOOKUP(E672,'ESTRUTURA_MODULO(hide)'!$A$2:$D$230,2,FALSE)</f>
        <v>Gerenciador do Sistema</v>
      </c>
      <c r="G672" s="1" t="str">
        <f>VLOOKUP(E672,'ESTRUTURA_MODULO(hide)'!$A$2:$D$95,3,FALSE)</f>
        <v>System Manager</v>
      </c>
      <c r="H672" s="1" t="str">
        <f>VLOOKUP(E672,'ESTRUTURA_MODULO(hide)'!$A$2:$D$95,4,FALSE)</f>
        <v>Gestión del sistema</v>
      </c>
      <c r="I672" s="45">
        <v>40</v>
      </c>
      <c r="J672" s="17" t="s">
        <v>2890</v>
      </c>
      <c r="K672" s="17" t="s">
        <v>2890</v>
      </c>
      <c r="L672" s="17" t="s">
        <v>2890</v>
      </c>
      <c r="M672" s="38" t="s">
        <v>2890</v>
      </c>
      <c r="N672" s="38" t="s">
        <v>2890</v>
      </c>
      <c r="O672" s="17" t="s">
        <v>2890</v>
      </c>
      <c r="P672" s="17" t="s">
        <v>2890</v>
      </c>
      <c r="T672" s="17" t="s">
        <v>2889</v>
      </c>
      <c r="U672" s="17" t="s">
        <v>2890</v>
      </c>
      <c r="V672" s="43" t="s">
        <v>2036</v>
      </c>
      <c r="W672" s="17"/>
      <c r="X672" s="20">
        <v>40</v>
      </c>
    </row>
    <row r="673" spans="1:24">
      <c r="A673" s="34">
        <v>9113</v>
      </c>
      <c r="B673" s="42" t="s">
        <v>2043</v>
      </c>
      <c r="C673" s="1" t="s">
        <v>2880</v>
      </c>
      <c r="D673" s="1" t="s">
        <v>2885</v>
      </c>
      <c r="E673" s="43">
        <v>283</v>
      </c>
      <c r="F673" s="1" t="str">
        <f>VLOOKUP(E673,'ESTRUTURA_MODULO(hide)'!$A$2:$D$230,2,FALSE)</f>
        <v>Tasy Web Suite</v>
      </c>
      <c r="G673" s="1" t="str">
        <f>VLOOKUP(E673,'ESTRUTURA_MODULO(hide)'!$A$2:$D$95,3,FALSE)</f>
        <v>Tasy Web Suite</v>
      </c>
      <c r="H673" s="1" t="str">
        <f>VLOOKUP(E673,'ESTRUTURA_MODULO(hide)'!$A$2:$D$95,4,FALSE)</f>
        <v>Tasy Web Suite</v>
      </c>
      <c r="I673" s="45">
        <v>40</v>
      </c>
      <c r="J673" s="17" t="s">
        <v>2889</v>
      </c>
      <c r="K673" s="17" t="s">
        <v>2889</v>
      </c>
      <c r="L673" s="17" t="s">
        <v>2889</v>
      </c>
      <c r="M673" s="38" t="s">
        <v>2889</v>
      </c>
      <c r="N673" s="38" t="s">
        <v>2889</v>
      </c>
      <c r="O673" s="17" t="s">
        <v>2889</v>
      </c>
      <c r="P673" s="17" t="s">
        <v>2889</v>
      </c>
      <c r="T673" s="17" t="s">
        <v>2889</v>
      </c>
      <c r="U673" s="17" t="s">
        <v>2890</v>
      </c>
      <c r="V673" s="43" t="s">
        <v>2042</v>
      </c>
      <c r="W673" s="17"/>
      <c r="X673" s="20">
        <v>60</v>
      </c>
    </row>
    <row r="674" spans="1:24">
      <c r="A674" s="34">
        <v>99030</v>
      </c>
      <c r="B674" s="429" t="s">
        <v>2039</v>
      </c>
      <c r="C674" s="42" t="s">
        <v>2039</v>
      </c>
      <c r="D674" s="42" t="s">
        <v>2039</v>
      </c>
      <c r="E674" s="43">
        <v>36</v>
      </c>
      <c r="F674" s="1" t="str">
        <f>VLOOKUP(E674,'ESTRUTURA_MODULO(hide)'!$A$2:$D$230,2,FALSE)</f>
        <v>Gerenciador do Sistema</v>
      </c>
      <c r="G674" s="1" t="str">
        <f>VLOOKUP(E674,'ESTRUTURA_MODULO(hide)'!$A$2:$D$95,3,FALSE)</f>
        <v>System Manager</v>
      </c>
      <c r="H674" s="1" t="str">
        <f>VLOOKUP(E674,'ESTRUTURA_MODULO(hide)'!$A$2:$D$95,4,FALSE)</f>
        <v>Gestión del sistema</v>
      </c>
      <c r="I674" s="46">
        <v>40</v>
      </c>
      <c r="J674" s="17" t="s">
        <v>2890</v>
      </c>
      <c r="K674" s="17" t="s">
        <v>2890</v>
      </c>
      <c r="L674" s="17" t="s">
        <v>2890</v>
      </c>
      <c r="M674" s="38" t="s">
        <v>2889</v>
      </c>
      <c r="N674" s="38" t="s">
        <v>2889</v>
      </c>
      <c r="O674" s="17" t="s">
        <v>2890</v>
      </c>
      <c r="P674" s="17" t="s">
        <v>2890</v>
      </c>
      <c r="T674" s="17" t="s">
        <v>2889</v>
      </c>
      <c r="U674" s="17" t="s">
        <v>2890</v>
      </c>
      <c r="V674" s="43" t="s">
        <v>2036</v>
      </c>
      <c r="W674" s="17"/>
      <c r="X674" s="20">
        <v>40</v>
      </c>
    </row>
    <row r="675" spans="1:24">
      <c r="A675" s="34">
        <v>240</v>
      </c>
      <c r="B675" s="427" t="s">
        <v>2040</v>
      </c>
      <c r="C675" s="43" t="s">
        <v>2040</v>
      </c>
      <c r="D675" s="43" t="s">
        <v>2040</v>
      </c>
      <c r="E675" s="43">
        <v>36</v>
      </c>
      <c r="F675" s="1" t="str">
        <f>VLOOKUP(E675,'ESTRUTURA_MODULO(hide)'!$A$2:$D$230,2,FALSE)</f>
        <v>Gerenciador do Sistema</v>
      </c>
      <c r="G675" s="1" t="str">
        <f>VLOOKUP(E675,'ESTRUTURA_MODULO(hide)'!$A$2:$D$95,3,FALSE)</f>
        <v>System Manager</v>
      </c>
      <c r="H675" s="1" t="str">
        <f>VLOOKUP(E675,'ESTRUTURA_MODULO(hide)'!$A$2:$D$95,4,FALSE)</f>
        <v>Gestión del sistema</v>
      </c>
      <c r="I675" s="46">
        <v>4</v>
      </c>
      <c r="J675" s="17" t="s">
        <v>2890</v>
      </c>
      <c r="K675" s="17" t="s">
        <v>2890</v>
      </c>
      <c r="L675" s="17" t="s">
        <v>2890</v>
      </c>
      <c r="M675" s="38" t="s">
        <v>2889</v>
      </c>
      <c r="N675" s="38" t="s">
        <v>2889</v>
      </c>
      <c r="O675" s="17" t="s">
        <v>2890</v>
      </c>
      <c r="P675" s="17" t="s">
        <v>2890</v>
      </c>
      <c r="T675" s="17" t="s">
        <v>2889</v>
      </c>
      <c r="U675" s="17" t="s">
        <v>2890</v>
      </c>
      <c r="V675" s="43" t="s">
        <v>2036</v>
      </c>
      <c r="W675" s="17"/>
      <c r="X675" s="20">
        <v>4</v>
      </c>
    </row>
    <row r="676" spans="1:24">
      <c r="A676" s="1">
        <v>9114</v>
      </c>
      <c r="B676" s="35" t="s">
        <v>2044</v>
      </c>
      <c r="C676" s="1" t="s">
        <v>2881</v>
      </c>
      <c r="D676" s="1" t="s">
        <v>2886</v>
      </c>
      <c r="E676" s="35">
        <v>283</v>
      </c>
      <c r="F676" s="1" t="str">
        <f>VLOOKUP(E676,'ESTRUTURA_MODULO(hide)'!$A$2:$D$230,2,FALSE)</f>
        <v>Tasy Web Suite</v>
      </c>
      <c r="G676" s="1" t="str">
        <f>VLOOKUP(E676,'ESTRUTURA_MODULO(hide)'!$A$2:$D$95,3,FALSE)</f>
        <v>Tasy Web Suite</v>
      </c>
      <c r="H676" s="1" t="str">
        <f>VLOOKUP(E676,'ESTRUTURA_MODULO(hide)'!$A$2:$D$95,4,FALSE)</f>
        <v>Tasy Web Suite</v>
      </c>
      <c r="I676" s="37">
        <v>40</v>
      </c>
      <c r="J676" s="17" t="s">
        <v>2890</v>
      </c>
      <c r="K676" s="17" t="s">
        <v>2889</v>
      </c>
      <c r="L676" s="17" t="s">
        <v>2889</v>
      </c>
      <c r="M676" s="38" t="s">
        <v>2889</v>
      </c>
      <c r="N676" s="38" t="s">
        <v>2889</v>
      </c>
      <c r="O676" s="17" t="s">
        <v>2889</v>
      </c>
      <c r="P676" s="17" t="s">
        <v>2889</v>
      </c>
      <c r="T676" s="17" t="s">
        <v>2889</v>
      </c>
      <c r="U676" s="17" t="s">
        <v>2890</v>
      </c>
      <c r="V676" s="36" t="s">
        <v>2042</v>
      </c>
      <c r="W676" s="17"/>
      <c r="X676" s="20">
        <v>60</v>
      </c>
    </row>
    <row r="677" spans="1:24">
      <c r="A677" s="1">
        <v>28122</v>
      </c>
      <c r="B677" s="59" t="s">
        <v>2786</v>
      </c>
      <c r="C677" s="208" t="s">
        <v>2787</v>
      </c>
      <c r="D677" s="1" t="s">
        <v>2788</v>
      </c>
      <c r="E677" s="1">
        <v>22</v>
      </c>
      <c r="F677" s="1" t="str">
        <f>VLOOKUP(E677,'ESTRUTURA_MODULO(hide)'!$A$2:$D$230,2,FALSE)</f>
        <v>Consultório Médico (Ambulatório)</v>
      </c>
      <c r="G677" s="1" t="str">
        <f>VLOOKUP(E677,'ESTRUTURA_MODULO(hide)'!$A$2:$D$95,3,FALSE)</f>
        <v>Physician's office (Ambulatory)</v>
      </c>
      <c r="H677" s="1" t="str">
        <f>VLOOKUP(E677,'ESTRUTURA_MODULO(hide)'!$A$2:$D$95,4,FALSE)</f>
        <v>Consultório Médico (Ambulatorio)</v>
      </c>
      <c r="I677" s="20">
        <v>80</v>
      </c>
      <c r="J677" s="17" t="s">
        <v>2889</v>
      </c>
      <c r="K677" s="17" t="s">
        <v>2890</v>
      </c>
      <c r="L677" s="17" t="s">
        <v>2889</v>
      </c>
      <c r="M677" s="17" t="s">
        <v>2889</v>
      </c>
      <c r="N677" s="17" t="s">
        <v>2889</v>
      </c>
      <c r="O677" s="17" t="s">
        <v>2889</v>
      </c>
      <c r="P677" s="17" t="s">
        <v>2889</v>
      </c>
      <c r="T677" s="17" t="s">
        <v>2890</v>
      </c>
      <c r="U677" s="17" t="s">
        <v>2890</v>
      </c>
      <c r="V677" s="246"/>
      <c r="W677" s="17"/>
      <c r="X677" s="20">
        <v>80</v>
      </c>
    </row>
    <row r="678" spans="1:24">
      <c r="A678" s="1">
        <v>28188</v>
      </c>
      <c r="B678" s="1" t="s">
        <v>2799</v>
      </c>
      <c r="C678" s="1" t="s">
        <v>2800</v>
      </c>
      <c r="D678" s="1" t="s">
        <v>2801</v>
      </c>
      <c r="E678" s="35">
        <v>88</v>
      </c>
      <c r="F678" s="1" t="str">
        <f>VLOOKUP(E678,'ESTRUTURA_MODULO(hide)'!$A$2:$D$230,2,FALSE)</f>
        <v>Prontuário Eletrônico</v>
      </c>
      <c r="G678" s="1" t="str">
        <f>VLOOKUP(E678,'ESTRUTURA_MODULO(hide)'!$A$2:$D$95,3,FALSE)</f>
        <v>Electronic Medical Record</v>
      </c>
      <c r="H678" s="1" t="str">
        <f>VLOOKUP(E678,'ESTRUTURA_MODULO(hide)'!$A$2:$D$95,4,FALSE)</f>
        <v>Expediente electrónico</v>
      </c>
      <c r="I678" s="37">
        <v>120</v>
      </c>
      <c r="J678" s="241" t="s">
        <v>2890</v>
      </c>
      <c r="K678" s="241" t="str">
        <f>IF(VLOOKUP($W$678,Questions!$B:$L,3,FALSE)="Yes","Yes","No")</f>
        <v>No</v>
      </c>
      <c r="L678" s="241" t="str">
        <f>IF(VLOOKUP($W$678,Questions!$B:$L,3,FALSE)="Yes","Yes","No")</f>
        <v>No</v>
      </c>
      <c r="M678" s="241" t="str">
        <f>IF(VLOOKUP($W$678,Questions!$B:$L,3,FALSE)="Yes","Yes","No")</f>
        <v>No</v>
      </c>
      <c r="N678" s="241" t="str">
        <f>IF(VLOOKUP($W$678,Questions!$B:$L,3,FALSE)="Yes","Yes","No")</f>
        <v>No</v>
      </c>
      <c r="O678" s="241" t="str">
        <f>IF(VLOOKUP($W$678,Questions!$B:$L,3,FALSE)="Yes","Yes","No")</f>
        <v>No</v>
      </c>
      <c r="P678" s="241" t="str">
        <f>IF(VLOOKUP($W$678,Questions!$B:$L,3,FALSE)="Yes","Yes","No")</f>
        <v>No</v>
      </c>
      <c r="Q678" s="241"/>
      <c r="R678" s="241"/>
      <c r="S678" s="241"/>
      <c r="T678" s="241" t="s">
        <v>2890</v>
      </c>
      <c r="U678" s="241" t="s">
        <v>2890</v>
      </c>
      <c r="V678" s="242"/>
      <c r="W678" s="241">
        <v>61</v>
      </c>
      <c r="X678" s="20">
        <v>120</v>
      </c>
    </row>
    <row r="679" spans="1:24">
      <c r="A679" s="1">
        <v>99072</v>
      </c>
      <c r="B679" s="1" t="s">
        <v>2130</v>
      </c>
      <c r="C679" s="1" t="s">
        <v>2856</v>
      </c>
      <c r="D679" s="1" t="s">
        <v>2552</v>
      </c>
      <c r="E679" s="35">
        <v>36</v>
      </c>
      <c r="F679" s="1" t="str">
        <f>VLOOKUP(E679,'ESTRUTURA_MODULO(hide)'!$A$2:$D$230,2,FALSE)</f>
        <v>Gerenciador do Sistema</v>
      </c>
      <c r="G679" s="1" t="str">
        <f>VLOOKUP(E679,'ESTRUTURA_MODULO(hide)'!$A$2:$D$95,3,FALSE)</f>
        <v>System Manager</v>
      </c>
      <c r="H679" s="1" t="str">
        <f>VLOOKUP(E679,'ESTRUTURA_MODULO(hide)'!$A$2:$D$95,4,FALSE)</f>
        <v>Gestión del sistema</v>
      </c>
      <c r="I679" s="256">
        <f>SUM(Integrations!M12:M73,0)</f>
        <v>0</v>
      </c>
      <c r="J679" s="241" t="s">
        <v>2890</v>
      </c>
      <c r="K679" s="241" t="str">
        <f t="shared" ref="K679:P679" si="0">IF($I$679&gt;0,"Yes","No")</f>
        <v>No</v>
      </c>
      <c r="L679" s="241" t="str">
        <f t="shared" si="0"/>
        <v>No</v>
      </c>
      <c r="M679" s="241" t="str">
        <f t="shared" si="0"/>
        <v>No</v>
      </c>
      <c r="N679" s="241" t="str">
        <f t="shared" si="0"/>
        <v>No</v>
      </c>
      <c r="O679" s="241" t="str">
        <f t="shared" si="0"/>
        <v>No</v>
      </c>
      <c r="P679" s="241" t="str">
        <f t="shared" si="0"/>
        <v>No</v>
      </c>
      <c r="Q679" s="241"/>
      <c r="R679" s="241"/>
      <c r="S679" s="241"/>
      <c r="T679" s="17" t="s">
        <v>2889</v>
      </c>
      <c r="U679" s="17" t="s">
        <v>2890</v>
      </c>
      <c r="W679" s="17"/>
      <c r="X679" s="20">
        <v>0</v>
      </c>
    </row>
    <row r="680" spans="1:24">
      <c r="A680" s="1">
        <v>2811</v>
      </c>
      <c r="B680" s="1" t="s">
        <v>5292</v>
      </c>
      <c r="C680" s="1" t="s">
        <v>5291</v>
      </c>
      <c r="D680" s="1" t="s">
        <v>5290</v>
      </c>
      <c r="E680" s="35">
        <v>88</v>
      </c>
      <c r="F680" s="1" t="str">
        <f>VLOOKUP(E680,'ESTRUTURA_MODULO(hide)'!$A$2:$D$230,2,FALSE)</f>
        <v>Prontuário Eletrônico</v>
      </c>
      <c r="G680" s="1" t="str">
        <f>VLOOKUP(E680,'ESTRUTURA_MODULO(hide)'!$A$2:$D$95,3,FALSE)</f>
        <v>Electronic Medical Record</v>
      </c>
      <c r="H680" s="1" t="str">
        <f>VLOOKUP(E680,'ESTRUTURA_MODULO(hide)'!$A$2:$D$95,4,FALSE)</f>
        <v>Expediente electrónico</v>
      </c>
      <c r="I680" s="12">
        <v>20</v>
      </c>
      <c r="J680" s="17" t="s">
        <v>2889</v>
      </c>
      <c r="K680" s="17" t="s">
        <v>2889</v>
      </c>
      <c r="L680" s="17" t="s">
        <v>2889</v>
      </c>
      <c r="M680" s="17" t="s">
        <v>2889</v>
      </c>
      <c r="N680" s="17" t="s">
        <v>2889</v>
      </c>
      <c r="O680" s="17" t="s">
        <v>2890</v>
      </c>
      <c r="P680" s="17" t="s">
        <v>2890</v>
      </c>
      <c r="T680" s="17" t="s">
        <v>2889</v>
      </c>
      <c r="U680" s="17" t="s">
        <v>2890</v>
      </c>
      <c r="W680" s="17"/>
      <c r="X680" s="20">
        <f>I680</f>
        <v>20</v>
      </c>
    </row>
    <row r="681" spans="1:24">
      <c r="A681" s="1">
        <v>4051</v>
      </c>
      <c r="B681" s="1" t="s">
        <v>5586</v>
      </c>
      <c r="C681" s="1" t="s">
        <v>5585</v>
      </c>
      <c r="D681" s="1" t="s">
        <v>5584</v>
      </c>
      <c r="E681" s="35">
        <v>90</v>
      </c>
      <c r="F681" s="1" t="str">
        <f>VLOOKUP(E681,'ESTRUTURA_MODULO(hide)'!$A$2:$D$230,2,FALSE)</f>
        <v>Quimioterapia</v>
      </c>
      <c r="G681" s="1" t="str">
        <f>VLOOKUP(E681,'ESTRUTURA_MODULO(hide)'!$A$2:$D$95,3,FALSE)</f>
        <v>Chemotherapy</v>
      </c>
      <c r="H681" s="1" t="str">
        <f>VLOOKUP(E681,'ESTRUTURA_MODULO(hide)'!$A$2:$D$95,4,FALSE)</f>
        <v>Quimioterapia</v>
      </c>
      <c r="I681" s="12">
        <v>16</v>
      </c>
      <c r="J681" s="17" t="s">
        <v>2889</v>
      </c>
      <c r="K681" s="17" t="s">
        <v>2889</v>
      </c>
      <c r="L681" s="17" t="s">
        <v>2889</v>
      </c>
      <c r="M681" s="17" t="s">
        <v>2889</v>
      </c>
      <c r="N681" s="17" t="s">
        <v>2889</v>
      </c>
      <c r="O681" s="17" t="s">
        <v>2889</v>
      </c>
      <c r="P681" s="17" t="s">
        <v>2889</v>
      </c>
      <c r="T681" s="17" t="s">
        <v>2889</v>
      </c>
      <c r="U681" s="17" t="s">
        <v>2890</v>
      </c>
      <c r="W681" s="17"/>
      <c r="X681" s="20">
        <f>I681</f>
        <v>16</v>
      </c>
    </row>
    <row r="682" spans="1:24">
      <c r="A682" s="1">
        <v>381</v>
      </c>
      <c r="B682" s="1" t="s">
        <v>4994</v>
      </c>
      <c r="C682" s="1" t="s">
        <v>4993</v>
      </c>
      <c r="D682" s="1" t="s">
        <v>4992</v>
      </c>
      <c r="E682" s="1">
        <v>22</v>
      </c>
      <c r="F682" s="1" t="str">
        <f>VLOOKUP(E682,'ESTRUTURA_MODULO(hide)'!$A$2:$D$230,2,FALSE)</f>
        <v>Consultório Médico (Ambulatório)</v>
      </c>
      <c r="G682" s="1" t="str">
        <f>VLOOKUP(E682,'ESTRUTURA_MODULO(hide)'!$A$2:$D$95,3,FALSE)</f>
        <v>Physician's office (Ambulatory)</v>
      </c>
      <c r="H682" s="1" t="str">
        <f>VLOOKUP(E682,'ESTRUTURA_MODULO(hide)'!$A$2:$D$95,4,FALSE)</f>
        <v>Consultório Médico (Ambulatorio)</v>
      </c>
      <c r="I682" s="12">
        <v>40</v>
      </c>
      <c r="J682" s="17" t="s">
        <v>2890</v>
      </c>
      <c r="K682" s="17" t="s">
        <v>2889</v>
      </c>
      <c r="L682" s="17" t="s">
        <v>2889</v>
      </c>
      <c r="M682" s="17" t="s">
        <v>2889</v>
      </c>
      <c r="N682" s="17" t="s">
        <v>2889</v>
      </c>
      <c r="O682" s="17" t="s">
        <v>2889</v>
      </c>
      <c r="P682" s="17" t="s">
        <v>2889</v>
      </c>
      <c r="T682" s="17" t="s">
        <v>2889</v>
      </c>
      <c r="U682" s="17" t="s">
        <v>2890</v>
      </c>
      <c r="W682" s="17"/>
      <c r="X682" s="20">
        <f>I682</f>
        <v>40</v>
      </c>
    </row>
    <row r="683" spans="1:24">
      <c r="A683" s="1">
        <v>13410</v>
      </c>
      <c r="B683" s="1" t="s">
        <v>5083</v>
      </c>
      <c r="C683" s="1" t="s">
        <v>5082</v>
      </c>
      <c r="D683" s="1" t="s">
        <v>5803</v>
      </c>
      <c r="E683" s="1">
        <v>88</v>
      </c>
      <c r="F683" s="1" t="str">
        <f>VLOOKUP(E683,'ESTRUTURA_MODULO(hide)'!$A$2:$D$230,2,FALSE)</f>
        <v>Prontuário Eletrônico</v>
      </c>
      <c r="G683" s="1" t="str">
        <f>VLOOKUP(E683,'ESTRUTURA_MODULO(hide)'!$A$2:$D$95,3,FALSE)</f>
        <v>Electronic Medical Record</v>
      </c>
      <c r="H683" s="1" t="str">
        <f>VLOOKUP(E683,'ESTRUTURA_MODULO(hide)'!$A$2:$D$95,4,FALSE)</f>
        <v>Expediente electrónico</v>
      </c>
      <c r="I683" s="12">
        <v>40</v>
      </c>
      <c r="J683" s="17" t="s">
        <v>2889</v>
      </c>
      <c r="K683" s="17" t="s">
        <v>2889</v>
      </c>
      <c r="L683" s="17" t="s">
        <v>2889</v>
      </c>
      <c r="M683" s="17" t="s">
        <v>2889</v>
      </c>
      <c r="N683" s="17" t="s">
        <v>2889</v>
      </c>
      <c r="O683" s="17" t="s">
        <v>2889</v>
      </c>
      <c r="P683" s="17" t="s">
        <v>2889</v>
      </c>
      <c r="T683" s="17" t="s">
        <v>2889</v>
      </c>
      <c r="U683" s="17" t="s">
        <v>2890</v>
      </c>
      <c r="W683" s="17"/>
      <c r="X683" s="20">
        <v>40</v>
      </c>
    </row>
    <row r="684" spans="1:24">
      <c r="A684" s="1">
        <v>8000</v>
      </c>
      <c r="B684" s="1" t="s">
        <v>6257</v>
      </c>
      <c r="C684" s="1" t="s">
        <v>6319</v>
      </c>
      <c r="D684" s="1" t="s">
        <v>6318</v>
      </c>
      <c r="E684" s="1">
        <v>84</v>
      </c>
      <c r="F684" s="1" t="str">
        <f>VLOOKUP(E684,'ESTRUTURA_MODULO(hide)'!$A$2:$D$230,2,FALSE)</f>
        <v>Orçamento Contábil</v>
      </c>
      <c r="G684" s="1" t="str">
        <f>VLOOKUP(E684,'ESTRUTURA_MODULO(hide)'!$A$2:$D$95,3,FALSE)</f>
        <v>Accounting Budget</v>
      </c>
      <c r="H684" s="1" t="str">
        <f>VLOOKUP(E684,'ESTRUTURA_MODULO(hide)'!$A$2:$D$95,4,FALSE)</f>
        <v>Presupuesto Contable</v>
      </c>
      <c r="I684" s="12">
        <v>4</v>
      </c>
      <c r="J684" s="17" t="str">
        <f>IF(Questions!$D$36="Yes","Yes","No")</f>
        <v>No</v>
      </c>
      <c r="K684" s="17" t="str">
        <f>IF(Questions!$D$36="Yes","Yes","No")</f>
        <v>No</v>
      </c>
      <c r="L684" s="17" t="str">
        <f>IF(Questions!$D$36="Yes","Yes","No")</f>
        <v>No</v>
      </c>
      <c r="M684" s="17" t="str">
        <f>IF(Questions!$D$36="Yes","Yes","No")</f>
        <v>No</v>
      </c>
      <c r="N684" s="17" t="str">
        <f>IF(Questions!$D$36="Yes","Yes","No")</f>
        <v>No</v>
      </c>
      <c r="O684" s="17" t="str">
        <f>IF(Questions!$D$36="Yes","Yes","No")</f>
        <v>No</v>
      </c>
      <c r="P684" s="17" t="str">
        <f>IF(Questions!$D$36="Yes","Yes","No")</f>
        <v>No</v>
      </c>
      <c r="Q684" s="17" t="str">
        <f>IF(Questions!$D$36="Yes","Yes","No")</f>
        <v>No</v>
      </c>
      <c r="R684" s="17" t="str">
        <f>IF(Questions!$D$36="Yes","Yes","No")</f>
        <v>No</v>
      </c>
      <c r="S684" s="17" t="str">
        <f>IF(Questions!$D$36="Yes","Yes","No")</f>
        <v>No</v>
      </c>
      <c r="T684" s="17" t="s">
        <v>2889</v>
      </c>
      <c r="U684" s="17" t="s">
        <v>2890</v>
      </c>
      <c r="W684" s="17">
        <f>Questions!B36</f>
        <v>114</v>
      </c>
    </row>
    <row r="685" spans="1:24" s="500" customFormat="1">
      <c r="A685" s="423"/>
      <c r="B685" s="423" t="s">
        <v>5064</v>
      </c>
      <c r="C685" s="423"/>
      <c r="D685" s="423"/>
      <c r="E685" s="423">
        <v>88</v>
      </c>
      <c r="F685" s="423" t="str">
        <f>VLOOKUP(E685,'ESTRUTURA_MODULO(hide)'!$A$2:$D$230,2,FALSE)</f>
        <v>Prontuário Eletrônico</v>
      </c>
      <c r="G685" s="423"/>
      <c r="H685" s="423"/>
      <c r="I685" s="256">
        <v>20</v>
      </c>
      <c r="J685" s="241" t="str">
        <f>IF(J28="Yes","Yes","No")</f>
        <v>No</v>
      </c>
      <c r="K685" s="241" t="str">
        <f t="shared" ref="K685:P685" si="1">IF(K28="Yes","Yes","No")</f>
        <v>Yes</v>
      </c>
      <c r="L685" s="241" t="str">
        <f t="shared" si="1"/>
        <v>Yes</v>
      </c>
      <c r="M685" s="241" t="str">
        <f t="shared" si="1"/>
        <v>No</v>
      </c>
      <c r="N685" s="241" t="str">
        <f t="shared" si="1"/>
        <v>Yes</v>
      </c>
      <c r="O685" s="241" t="str">
        <f t="shared" si="1"/>
        <v>No</v>
      </c>
      <c r="P685" s="241" t="str">
        <f t="shared" si="1"/>
        <v>Yes</v>
      </c>
      <c r="Q685" s="241"/>
      <c r="R685" s="241"/>
      <c r="S685" s="241"/>
      <c r="T685" s="241"/>
      <c r="U685" s="241"/>
      <c r="V685" s="423"/>
      <c r="W685" s="241"/>
      <c r="X685" s="256"/>
    </row>
    <row r="686" spans="1:24">
      <c r="A686" s="1">
        <v>343</v>
      </c>
      <c r="B686" s="1" t="str">
        <f>VLOOKUP(A686,Folha4!$1:$1048576,2,)</f>
        <v>OPS - Gestão de Dados Atuariais</v>
      </c>
      <c r="D686" s="180"/>
      <c r="E686" s="1">
        <f>VLOOKUP(A686,Folha4!$1:$1048576,6,)</f>
        <v>1</v>
      </c>
      <c r="F686" s="1" t="str">
        <f>VLOOKUP(E686,'ESTRUTURA_MODULO(hide)'!$A$1:$B$106,2,FALSE)</f>
        <v>Instalação do Produto</v>
      </c>
      <c r="I686" s="12">
        <v>24</v>
      </c>
      <c r="N686" s="17" t="str">
        <f>IF('General Information'!$C$18="Ambos (Prestador + OPS)","Yes",IF('General Information'!$C$18="Tasy Prestador","Yes","No"))</f>
        <v>No</v>
      </c>
      <c r="Q686" s="17" t="s">
        <v>2889</v>
      </c>
      <c r="R686" s="17" t="s">
        <v>2889</v>
      </c>
      <c r="S686" s="17" t="s">
        <v>2889</v>
      </c>
      <c r="W686" s="17"/>
    </row>
    <row r="687" spans="1:24">
      <c r="A687" s="1">
        <v>1367</v>
      </c>
      <c r="B687" s="1" t="str">
        <f>VLOOKUP(A687,Folha4!$1:$1048576,2,)</f>
        <v>OPS - Atualização do Movimento Contábil</v>
      </c>
      <c r="D687" s="180"/>
      <c r="E687" s="1">
        <f>VLOOKUP(A687,Folha4!$1:$1048576,6,)</f>
        <v>11</v>
      </c>
      <c r="F687" s="1" t="str">
        <f>VLOOKUP(E687,'ESTRUTURA_MODULO(hide)'!$A$1:$B$106,2,FALSE)</f>
        <v>Contabilidade</v>
      </c>
      <c r="I687" s="12">
        <f>VLOOKUP(A687,Folha4!$1:$1048576,11,)</f>
        <v>8</v>
      </c>
      <c r="N687" s="17" t="str">
        <f>IF('General Information'!$C$18="Ambos (Prestador + OPS)","Yes",IF('General Information'!$C$18="Tasy Prestador","Yes","No"))</f>
        <v>No</v>
      </c>
      <c r="Q687" s="17" t="s">
        <v>2889</v>
      </c>
      <c r="R687" s="17" t="s">
        <v>2889</v>
      </c>
      <c r="S687" s="17" t="s">
        <v>2889</v>
      </c>
      <c r="W687" s="17"/>
    </row>
    <row r="688" spans="1:24">
      <c r="A688" s="1">
        <v>1313</v>
      </c>
      <c r="B688" s="1" t="str">
        <f>VLOOKUP(A688,Folha4!$1:$1048576,2,)</f>
        <v>OPS - Critérios Contábeis</v>
      </c>
      <c r="D688" s="180"/>
      <c r="E688" s="1">
        <f>VLOOKUP(A688,Folha4!$1:$1048576,6,)</f>
        <v>11</v>
      </c>
      <c r="F688" s="1" t="str">
        <f>VLOOKUP(E688,'ESTRUTURA_MODULO(hide)'!$A$1:$B$106,2,FALSE)</f>
        <v>Contabilidade</v>
      </c>
      <c r="I688" s="12">
        <f>VLOOKUP(A688,Folha4!$1:$1048576,11,)</f>
        <v>40</v>
      </c>
      <c r="N688" s="17" t="str">
        <f>IF('General Information'!$C$18="Ambos (Prestador + OPS)","Yes",IF('General Information'!$C$18="Tasy Prestador","Yes","No"))</f>
        <v>No</v>
      </c>
      <c r="Q688" s="17" t="s">
        <v>2889</v>
      </c>
      <c r="R688" s="17" t="s">
        <v>2889</v>
      </c>
      <c r="S688" s="17" t="s">
        <v>2889</v>
      </c>
      <c r="W688" s="17"/>
    </row>
    <row r="689" spans="1:23">
      <c r="A689" s="1">
        <v>1353</v>
      </c>
      <c r="B689" s="1" t="str">
        <f>VLOOKUP(A689,Folha4!$1:$1048576,2,)</f>
        <v>OPS - Envio de arquivo GISS</v>
      </c>
      <c r="D689" s="180"/>
      <c r="E689" s="1">
        <f>VLOOKUP(A689,Folha4!$1:$1048576,6,)</f>
        <v>11</v>
      </c>
      <c r="F689" s="1" t="str">
        <f>VLOOKUP(E689,'ESTRUTURA_MODULO(hide)'!$A$1:$B$106,2,FALSE)</f>
        <v>Contabilidade</v>
      </c>
      <c r="I689" s="12">
        <f>VLOOKUP(A689,Folha4!$1:$1048576,11,)</f>
        <v>12</v>
      </c>
      <c r="N689" s="17" t="str">
        <f>IF('General Information'!$C$18="Ambos (Prestador + OPS)","Yes",IF('General Information'!$C$18="Tasy Prestador","Yes","No"))</f>
        <v>No</v>
      </c>
      <c r="Q689" s="17" t="s">
        <v>2890</v>
      </c>
      <c r="R689" s="17" t="s">
        <v>2890</v>
      </c>
      <c r="S689" s="17" t="s">
        <v>2890</v>
      </c>
      <c r="W689" s="17"/>
    </row>
    <row r="690" spans="1:23">
      <c r="A690" s="1">
        <v>1262</v>
      </c>
      <c r="B690" s="1" t="str">
        <f>VLOOKUP(A690,Folha4!$1:$1048576,2,)</f>
        <v>OPS - Transferência Eletrônica de Dados (TED)</v>
      </c>
      <c r="D690" s="180"/>
      <c r="E690" s="1">
        <f>VLOOKUP(A690,Folha4!$1:$1048576,6,)</f>
        <v>12</v>
      </c>
      <c r="F690" s="1" t="str">
        <f>VLOOKUP(E690,'ESTRUTURA_MODULO(hide)'!$A$1:$B$106,2,FALSE)</f>
        <v>Contas a Pagar</v>
      </c>
      <c r="I690" s="12">
        <f>VLOOKUP(A690,Folha4!$1:$1048576,11,)</f>
        <v>4</v>
      </c>
      <c r="N690" s="17" t="str">
        <f>IF('General Information'!$C$18="Ambos (Prestador + OPS)","Yes",IF('General Information'!$C$18="Tasy Prestador","Yes","No"))</f>
        <v>No</v>
      </c>
      <c r="Q690" s="17" t="s">
        <v>2890</v>
      </c>
      <c r="R690" s="17" t="s">
        <v>2890</v>
      </c>
      <c r="S690" s="17" t="s">
        <v>2890</v>
      </c>
      <c r="W690" s="17"/>
    </row>
    <row r="691" spans="1:23">
      <c r="A691" s="1">
        <v>1397</v>
      </c>
      <c r="B691" s="1" t="str">
        <f>VLOOKUP(A691,Folha4!$1:$1048576,2,)</f>
        <v>OPS - Auditoria Concorrente</v>
      </c>
      <c r="D691" s="180"/>
      <c r="E691" s="1">
        <f>VLOOKUP(A691,Folha4!$1:$1048576,6,)</f>
        <v>283</v>
      </c>
      <c r="F691" s="1" t="str">
        <f>VLOOKUP(E691,'ESTRUTURA_MODULO(hide)'!$A$1:$B$106,2,FALSE)</f>
        <v>Tasy Web Suite</v>
      </c>
      <c r="I691" s="12">
        <f>VLOOKUP(A691,Folha4!$1:$1048576,11,)</f>
        <v>56</v>
      </c>
      <c r="N691" s="17" t="str">
        <f>IF('General Information'!$C$18="Ambos (Prestador + OPS)","Yes",IF('General Information'!$C$18="Tasy Prestador","Yes","No"))</f>
        <v>No</v>
      </c>
      <c r="Q691" s="17" t="str">
        <f>IF(Questions!D56="No","No","Yes")</f>
        <v>Yes</v>
      </c>
      <c r="R691" s="17" t="str">
        <f>IF(Questions!E56="No","No","Yes")</f>
        <v>Yes</v>
      </c>
      <c r="S691" s="17" t="str">
        <f>IF(Questions!F56="No","No","Yes")</f>
        <v>Yes</v>
      </c>
      <c r="W691" s="17">
        <f>Questions!B56</f>
        <v>105</v>
      </c>
    </row>
    <row r="692" spans="1:23">
      <c r="A692" s="1">
        <v>1395</v>
      </c>
      <c r="B692" s="1" t="str">
        <f>VLOOKUP(A692,Folha4!$1:$1048576,2,)</f>
        <v>OPS - Solicitação de Proposta Online</v>
      </c>
      <c r="D692" s="180"/>
      <c r="E692" s="1">
        <f>VLOOKUP(A692,Folha4!$1:$1048576,6,)</f>
        <v>283</v>
      </c>
      <c r="F692" s="1" t="str">
        <f>VLOOKUP(E692,'ESTRUTURA_MODULO(hide)'!$A$1:$B$106,2,FALSE)</f>
        <v>Tasy Web Suite</v>
      </c>
      <c r="I692" s="12">
        <v>80</v>
      </c>
      <c r="N692" s="17" t="str">
        <f>IF('General Information'!$C$18="Ambos (Prestador + OPS)","Yes",IF('General Information'!$C$18="Tasy Prestador","Yes","No"))</f>
        <v>No</v>
      </c>
      <c r="Q692" s="17" t="s">
        <v>2889</v>
      </c>
      <c r="R692" s="17" t="s">
        <v>2889</v>
      </c>
      <c r="S692" s="17" t="s">
        <v>2889</v>
      </c>
      <c r="W692" s="17"/>
    </row>
    <row r="693" spans="1:23">
      <c r="A693" s="1">
        <v>349</v>
      </c>
      <c r="B693" s="1" t="str">
        <f>VLOOKUP(A693,Folha4!$1:$1048576,2,)</f>
        <v>OPS - Aviso de Cobrança (A520)</v>
      </c>
      <c r="D693" s="180"/>
      <c r="E693" s="1">
        <f>VLOOKUP(A693,Folha4!$1:$1048576,6,)</f>
        <v>283</v>
      </c>
      <c r="F693" s="1" t="str">
        <f>VLOOKUP(E693,'ESTRUTURA_MODULO(hide)'!$A$1:$B$106,2,FALSE)</f>
        <v>Tasy Web Suite</v>
      </c>
      <c r="I693" s="12" t="e">
        <f>VLOOKUP(A693,Folha4!$1:$1048576,11,)</f>
        <v>#N/A</v>
      </c>
      <c r="N693" s="17" t="str">
        <f>IF('General Information'!$C$18="Ambos (Prestador + OPS)","Yes",IF('General Information'!$C$18="Tasy Prestador","Yes","No"))</f>
        <v>No</v>
      </c>
      <c r="Q693" s="17" t="s">
        <v>2890</v>
      </c>
      <c r="R693" s="17" t="s">
        <v>2889</v>
      </c>
      <c r="S693" s="17" t="s">
        <v>2890</v>
      </c>
      <c r="W693" s="17"/>
    </row>
    <row r="694" spans="1:23">
      <c r="A694" s="1">
        <v>1315</v>
      </c>
      <c r="B694" s="1" t="str">
        <f>VLOOKUP(A694,Folha4!$1:$1048576,2,)</f>
        <v>OPS - Manutenção de Tabelas de Preço</v>
      </c>
      <c r="D694" s="180"/>
      <c r="E694" s="1">
        <f>VLOOKUP(A694,Folha4!$1:$1048576,6,)</f>
        <v>372</v>
      </c>
      <c r="F694" s="1" t="str">
        <f>VLOOKUP(E694,'ESTRUTURA_MODULO(hide)'!$A$1:$B$106,2,FALSE)</f>
        <v>Produtos</v>
      </c>
      <c r="I694" s="12">
        <f>VLOOKUP(A694,Folha4!$1:$1048576,11,)</f>
        <v>0</v>
      </c>
      <c r="N694" s="17" t="str">
        <f>IF('General Information'!$C$18="Ambos (Prestador + OPS)","Yes",IF('General Information'!$C$18="Tasy Prestador","Yes","No"))</f>
        <v>No</v>
      </c>
      <c r="Q694" s="17" t="s">
        <v>2890</v>
      </c>
      <c r="R694" s="17" t="s">
        <v>2890</v>
      </c>
      <c r="S694" s="17" t="s">
        <v>2890</v>
      </c>
      <c r="W694" s="17"/>
    </row>
    <row r="695" spans="1:23">
      <c r="A695" s="1">
        <v>1344</v>
      </c>
      <c r="B695" s="1" t="str">
        <f>VLOOKUP(A695,Folha4!$1:$1048576,2,)</f>
        <v>OPS - Localizador de Grupos de Produtos</v>
      </c>
      <c r="D695" s="180"/>
      <c r="E695" s="1">
        <f>VLOOKUP(A695,Folha4!$1:$1048576,6,)</f>
        <v>372</v>
      </c>
      <c r="F695" s="1" t="str">
        <f>VLOOKUP(E695,'ESTRUTURA_MODULO(hide)'!$A$1:$B$106,2,FALSE)</f>
        <v>Produtos</v>
      </c>
      <c r="I695" s="12">
        <f>VLOOKUP(A695,Folha4!$1:$1048576,11,)</f>
        <v>0</v>
      </c>
      <c r="N695" s="17" t="str">
        <f>IF('General Information'!$C$18="Ambos (Prestador + OPS)","Yes",IF('General Information'!$C$18="Tasy Prestador","Yes","No"))</f>
        <v>No</v>
      </c>
      <c r="Q695" s="17" t="s">
        <v>2890</v>
      </c>
      <c r="R695" s="17" t="s">
        <v>2890</v>
      </c>
      <c r="S695" s="17" t="s">
        <v>2890</v>
      </c>
      <c r="W695" s="17"/>
    </row>
    <row r="696" spans="1:23">
      <c r="A696" s="1">
        <v>1219</v>
      </c>
      <c r="B696" s="1" t="str">
        <f>VLOOKUP(A696,Folha4!$1:$1048576,2,)</f>
        <v>OPS - Localizador de Produtos de Saúde</v>
      </c>
      <c r="D696" s="180"/>
      <c r="E696" s="1">
        <f>VLOOKUP(A696,Folha4!$1:$1048576,6,)</f>
        <v>372</v>
      </c>
      <c r="F696" s="1" t="str">
        <f>VLOOKUP(E696,'ESTRUTURA_MODULO(hide)'!$A$1:$B$106,2,FALSE)</f>
        <v>Produtos</v>
      </c>
      <c r="I696" s="12">
        <f>VLOOKUP(A696,Folha4!$1:$1048576,11,)</f>
        <v>0</v>
      </c>
      <c r="N696" s="17" t="str">
        <f>IF('General Information'!$C$18="Ambos (Prestador + OPS)","Yes",IF('General Information'!$C$18="Tasy Prestador","Yes","No"))</f>
        <v>No</v>
      </c>
      <c r="Q696" s="17" t="s">
        <v>2890</v>
      </c>
      <c r="R696" s="17" t="s">
        <v>2890</v>
      </c>
      <c r="S696" s="17" t="s">
        <v>2890</v>
      </c>
      <c r="W696" s="17"/>
    </row>
    <row r="697" spans="1:23">
      <c r="A697" s="1">
        <v>1264</v>
      </c>
      <c r="B697" s="1" t="str">
        <f>VLOOKUP(A697,Folha4!$1:$1048576,2,)</f>
        <v>OPS - Serviços e Coberturas Adicionais</v>
      </c>
      <c r="D697" s="180"/>
      <c r="E697" s="1">
        <f>VLOOKUP(A697,Folha4!$1:$1048576,6,)</f>
        <v>372</v>
      </c>
      <c r="F697" s="1" t="str">
        <f>VLOOKUP(E697,'ESTRUTURA_MODULO(hide)'!$A$1:$B$106,2,FALSE)</f>
        <v>Produtos</v>
      </c>
      <c r="I697" s="12">
        <f>VLOOKUP(A697,Folha4!$1:$1048576,11,)</f>
        <v>12</v>
      </c>
      <c r="N697" s="17" t="str">
        <f>IF('General Information'!$C$18="Ambos (Prestador + OPS)","Yes",IF('General Information'!$C$18="Tasy Prestador","Yes","No"))</f>
        <v>No</v>
      </c>
      <c r="Q697" s="17" t="s">
        <v>2889</v>
      </c>
      <c r="R697" s="17" t="s">
        <v>2889</v>
      </c>
      <c r="S697" s="17" t="s">
        <v>2889</v>
      </c>
      <c r="W697" s="17"/>
    </row>
    <row r="698" spans="1:23">
      <c r="A698" s="1">
        <v>1225</v>
      </c>
      <c r="B698" s="1" t="str">
        <f>VLOOKUP(A698,Folha4!$1:$1048576,2,)</f>
        <v>OPS - Gestão de Operadoras</v>
      </c>
      <c r="D698" s="180"/>
      <c r="E698" s="1">
        <f>VLOOKUP(A698,Folha4!$1:$1048576,6,)</f>
        <v>372</v>
      </c>
      <c r="F698" s="1" t="str">
        <f>VLOOKUP(E698,'ESTRUTURA_MODULO(hide)'!$A$1:$B$106,2,FALSE)</f>
        <v>Produtos</v>
      </c>
      <c r="I698" s="12">
        <f>VLOOKUP(A698,Folha4!$1:$1048576,11,)</f>
        <v>16</v>
      </c>
      <c r="N698" s="17" t="str">
        <f>IF('General Information'!$C$18="Ambos (Prestador + OPS)","Yes",IF('General Information'!$C$18="Tasy Prestador","Yes","No"))</f>
        <v>No</v>
      </c>
      <c r="Q698" s="17" t="s">
        <v>2889</v>
      </c>
      <c r="R698" s="17" t="s">
        <v>2889</v>
      </c>
      <c r="S698" s="17" t="s">
        <v>2889</v>
      </c>
      <c r="W698" s="17"/>
    </row>
    <row r="699" spans="1:23">
      <c r="A699" s="1">
        <v>1201</v>
      </c>
      <c r="B699" s="1" t="str">
        <f>VLOOKUP(A699,Folha4!$1:$1048576,2,)</f>
        <v>OPS - Cadastro de Produtos</v>
      </c>
      <c r="D699" s="180"/>
      <c r="E699" s="1">
        <f>VLOOKUP(A699,Folha4!$1:$1048576,6,)</f>
        <v>372</v>
      </c>
      <c r="F699" s="1" t="str">
        <f>VLOOKUP(E699,'ESTRUTURA_MODULO(hide)'!$A$1:$B$106,2,FALSE)</f>
        <v>Produtos</v>
      </c>
      <c r="I699" s="12">
        <f>VLOOKUP(A699,Folha4!$1:$1048576,11,)</f>
        <v>24</v>
      </c>
      <c r="N699" s="17" t="str">
        <f>IF('General Information'!$C$18="Ambos (Prestador + OPS)","Yes",IF('General Information'!$C$18="Tasy Prestador","Yes","No"))</f>
        <v>No</v>
      </c>
      <c r="Q699" s="17" t="s">
        <v>2889</v>
      </c>
      <c r="R699" s="17" t="s">
        <v>2889</v>
      </c>
      <c r="S699" s="17" t="s">
        <v>2889</v>
      </c>
      <c r="W699" s="17"/>
    </row>
    <row r="700" spans="1:23">
      <c r="A700" s="1">
        <v>1206</v>
      </c>
      <c r="B700" s="1" t="str">
        <f>VLOOKUP(A700,Folha4!$1:$1048576,2,)</f>
        <v>OPS - Gestão de Vendedores e Comissões</v>
      </c>
      <c r="D700" s="180"/>
      <c r="E700" s="1">
        <f>VLOOKUP(A700,Folha4!$1:$1048576,6,)</f>
        <v>374</v>
      </c>
      <c r="F700" s="1" t="str">
        <f>VLOOKUP(E700,'ESTRUTURA_MODULO(hide)'!$A$1:$B$106,2,FALSE)</f>
        <v>Comercial</v>
      </c>
      <c r="I700" s="12">
        <f>VLOOKUP(A700,Folha4!$1:$1048576,11,)</f>
        <v>16</v>
      </c>
      <c r="N700" s="17" t="str">
        <f>IF('General Information'!$C$18="Ambos (Prestador + OPS)","Yes",IF('General Information'!$C$18="Tasy Prestador","Yes","No"))</f>
        <v>No</v>
      </c>
      <c r="Q700" s="17" t="s">
        <v>2890</v>
      </c>
      <c r="R700" s="17" t="s">
        <v>2889</v>
      </c>
      <c r="S700" s="17" t="s">
        <v>2889</v>
      </c>
      <c r="W700" s="17"/>
    </row>
    <row r="701" spans="1:23">
      <c r="A701" s="1">
        <v>1233</v>
      </c>
      <c r="B701" s="1" t="str">
        <f>VLOOKUP(A701,Folha4!$1:$1048576,2,)</f>
        <v>OPS - Simulador de Preços</v>
      </c>
      <c r="D701" s="180"/>
      <c r="E701" s="1">
        <f>VLOOKUP(A701,Folha4!$1:$1048576,6,)</f>
        <v>374</v>
      </c>
      <c r="F701" s="1" t="str">
        <f>VLOOKUP(E701,'ESTRUTURA_MODULO(hide)'!$A$1:$B$106,2,FALSE)</f>
        <v>Comercial</v>
      </c>
      <c r="I701" s="12">
        <f>VLOOKUP(A701,Folha4!$1:$1048576,11,)</f>
        <v>4</v>
      </c>
      <c r="N701" s="17" t="str">
        <f>IF('General Information'!$C$18="Ambos (Prestador + OPS)","Yes",IF('General Information'!$C$18="Tasy Prestador","Yes","No"))</f>
        <v>No</v>
      </c>
      <c r="Q701" s="17" t="s">
        <v>2890</v>
      </c>
      <c r="R701" s="17" t="s">
        <v>2890</v>
      </c>
      <c r="S701" s="17" t="s">
        <v>2890</v>
      </c>
      <c r="W701" s="17"/>
    </row>
    <row r="702" spans="1:23">
      <c r="A702" s="1">
        <v>1234</v>
      </c>
      <c r="B702" s="1" t="str">
        <f>VLOOKUP(A702,Folha4!$1:$1048576,2,)</f>
        <v>OPS - Declaração de Saúde</v>
      </c>
      <c r="D702" s="180"/>
      <c r="E702" s="1">
        <f>VLOOKUP(A702,Folha4!$1:$1048576,6,)</f>
        <v>374</v>
      </c>
      <c r="F702" s="1" t="str">
        <f>VLOOKUP(E702,'ESTRUTURA_MODULO(hide)'!$A$1:$B$106,2,FALSE)</f>
        <v>Comercial</v>
      </c>
      <c r="I702" s="12">
        <f>VLOOKUP(A702,Folha4!$1:$1048576,11,)</f>
        <v>4</v>
      </c>
      <c r="N702" s="17" t="str">
        <f>IF('General Information'!$C$18="Ambos (Prestador + OPS)","Yes",IF('General Information'!$C$18="Tasy Prestador","Yes","No"))</f>
        <v>No</v>
      </c>
      <c r="Q702" s="17" t="s">
        <v>2890</v>
      </c>
      <c r="R702" s="17" t="s">
        <v>2890</v>
      </c>
      <c r="S702" s="17" t="s">
        <v>2890</v>
      </c>
      <c r="W702" s="17"/>
    </row>
    <row r="703" spans="1:23">
      <c r="A703" s="1">
        <v>1232</v>
      </c>
      <c r="B703" s="1" t="str">
        <f>VLOOKUP(A703,Folha4!$1:$1048576,2,)</f>
        <v>OPS - Proposta de Adesão Eletrônica</v>
      </c>
      <c r="D703" s="180"/>
      <c r="E703" s="1">
        <f>VLOOKUP(A703,Folha4!$1:$1048576,6,)</f>
        <v>374</v>
      </c>
      <c r="F703" s="1" t="str">
        <f>VLOOKUP(E703,'ESTRUTURA_MODULO(hide)'!$A$1:$B$106,2,FALSE)</f>
        <v>Comercial</v>
      </c>
      <c r="I703" s="12">
        <f>VLOOKUP(A703,Folha4!$1:$1048576,11,)</f>
        <v>40</v>
      </c>
      <c r="N703" s="17" t="str">
        <f>IF('General Information'!$C$18="Ambos (Prestador + OPS)","Yes",IF('General Information'!$C$18="Tasy Prestador","Yes","No"))</f>
        <v>No</v>
      </c>
      <c r="Q703" s="17" t="s">
        <v>2890</v>
      </c>
      <c r="R703" s="17" t="s">
        <v>2889</v>
      </c>
      <c r="S703" s="17" t="s">
        <v>2889</v>
      </c>
      <c r="W703" s="17"/>
    </row>
    <row r="704" spans="1:23">
      <c r="A704" s="1">
        <v>1242</v>
      </c>
      <c r="B704" s="1" t="str">
        <f>VLOOKUP(A704,Folha4!$1:$1048576,2,)</f>
        <v>OPS - Portabilidade</v>
      </c>
      <c r="D704" s="180"/>
      <c r="E704" s="1">
        <f>VLOOKUP(A704,Folha4!$1:$1048576,6,)</f>
        <v>374</v>
      </c>
      <c r="F704" s="1" t="str">
        <f>VLOOKUP(E704,'ESTRUTURA_MODULO(hide)'!$A$1:$B$106,2,FALSE)</f>
        <v>Comercial</v>
      </c>
      <c r="I704" s="12">
        <f>VLOOKUP(A704,Folha4!$1:$1048576,11,)</f>
        <v>4</v>
      </c>
      <c r="N704" s="17" t="str">
        <f>IF('General Information'!$C$18="Ambos (Prestador + OPS)","Yes",IF('General Information'!$C$18="Tasy Prestador","Yes","No"))</f>
        <v>No</v>
      </c>
      <c r="Q704" s="17" t="s">
        <v>2890</v>
      </c>
      <c r="R704" s="17" t="s">
        <v>2890</v>
      </c>
      <c r="S704" s="17" t="s">
        <v>2890</v>
      </c>
      <c r="W704" s="17"/>
    </row>
    <row r="705" spans="1:23">
      <c r="A705" s="1">
        <v>1235</v>
      </c>
      <c r="B705" s="1" t="str">
        <f>VLOOKUP(A705,Folha4!$1:$1048576,2,)</f>
        <v>OPS - Controle de Perícia Médica</v>
      </c>
      <c r="D705" s="180"/>
      <c r="E705" s="1">
        <f>VLOOKUP(A705,Folha4!$1:$1048576,6,)</f>
        <v>374</v>
      </c>
      <c r="F705" s="1" t="str">
        <f>VLOOKUP(E705,'ESTRUTURA_MODULO(hide)'!$A$1:$B$106,2,FALSE)</f>
        <v>Comercial</v>
      </c>
      <c r="I705" s="12">
        <f>VLOOKUP(A705,Folha4!$1:$1048576,11,)</f>
        <v>4</v>
      </c>
      <c r="N705" s="17" t="str">
        <f>IF('General Information'!$C$18="Ambos (Prestador + OPS)","Yes",IF('General Information'!$C$18="Tasy Prestador","Yes","No"))</f>
        <v>No</v>
      </c>
      <c r="Q705" s="17" t="s">
        <v>2890</v>
      </c>
      <c r="R705" s="17" t="s">
        <v>2890</v>
      </c>
      <c r="S705" s="17" t="s">
        <v>2890</v>
      </c>
      <c r="W705" s="17"/>
    </row>
    <row r="706" spans="1:23">
      <c r="A706" s="1">
        <v>1307</v>
      </c>
      <c r="B706" s="1" t="str">
        <f>VLOOKUP(A706,Folha4!$1:$1048576,2,)</f>
        <v>OPS - Doenças e Lesões Preexistentes (DLP)</v>
      </c>
      <c r="D706" s="180"/>
      <c r="E706" s="1">
        <f>VLOOKUP(A706,Folha4!$1:$1048576,6,)</f>
        <v>374</v>
      </c>
      <c r="F706" s="1" t="str">
        <f>VLOOKUP(E706,'ESTRUTURA_MODULO(hide)'!$A$1:$B$106,2,FALSE)</f>
        <v>Comercial</v>
      </c>
      <c r="I706" s="12">
        <f>VLOOKUP(A706,Folha4!$1:$1048576,11,)</f>
        <v>4</v>
      </c>
      <c r="N706" s="17" t="str">
        <f>IF('General Information'!$C$18="Ambos (Prestador + OPS)","Yes",IF('General Information'!$C$18="Tasy Prestador","Yes","No"))</f>
        <v>No</v>
      </c>
      <c r="Q706" s="17" t="s">
        <v>2890</v>
      </c>
      <c r="R706" s="17" t="s">
        <v>2890</v>
      </c>
      <c r="S706" s="17" t="s">
        <v>2890</v>
      </c>
      <c r="W706" s="17"/>
    </row>
    <row r="707" spans="1:23">
      <c r="A707" s="1">
        <v>1339</v>
      </c>
      <c r="B707" s="1" t="str">
        <f>VLOOKUP(A707,Folha4!$1:$1048576,2,)</f>
        <v>OPS - Controle de Comissões de Venda</v>
      </c>
      <c r="D707" s="180"/>
      <c r="E707" s="1">
        <f>VLOOKUP(A707,Folha4!$1:$1048576,6,)</f>
        <v>374</v>
      </c>
      <c r="F707" s="1" t="str">
        <f>VLOOKUP(E707,'ESTRUTURA_MODULO(hide)'!$A$1:$B$106,2,FALSE)</f>
        <v>Comercial</v>
      </c>
      <c r="I707" s="12">
        <f>VLOOKUP(A707,Folha4!$1:$1048576,11,)</f>
        <v>8</v>
      </c>
      <c r="N707" s="17" t="str">
        <f>IF('General Information'!$C$18="Ambos (Prestador + OPS)","Yes",IF('General Information'!$C$18="Tasy Prestador","Yes","No"))</f>
        <v>No</v>
      </c>
      <c r="Q707" s="17" t="s">
        <v>2890</v>
      </c>
      <c r="R707" s="17" t="s">
        <v>2890</v>
      </c>
      <c r="S707" s="17" t="s">
        <v>2890</v>
      </c>
      <c r="W707" s="17"/>
    </row>
    <row r="708" spans="1:23">
      <c r="A708" s="1">
        <v>1296</v>
      </c>
      <c r="B708" s="1" t="str">
        <f>VLOOKUP(A708,Folha4!$1:$1048576,2,)</f>
        <v>OPS - Agravo</v>
      </c>
      <c r="D708" s="180"/>
      <c r="E708" s="1">
        <f>VLOOKUP(A708,Folha4!$1:$1048576,6,)</f>
        <v>374</v>
      </c>
      <c r="F708" s="1" t="str">
        <f>VLOOKUP(E708,'ESTRUTURA_MODULO(hide)'!$A$1:$B$106,2,FALSE)</f>
        <v>Comercial</v>
      </c>
      <c r="I708" s="12">
        <f>VLOOKUP(A708,Folha4!$1:$1048576,11,)</f>
        <v>4</v>
      </c>
      <c r="N708" s="17" t="str">
        <f>IF('General Information'!$C$18="Ambos (Prestador + OPS)","Yes",IF('General Information'!$C$18="Tasy Prestador","Yes","No"))</f>
        <v>No</v>
      </c>
      <c r="Q708" s="17" t="s">
        <v>2890</v>
      </c>
      <c r="R708" s="17" t="s">
        <v>2890</v>
      </c>
      <c r="S708" s="17" t="s">
        <v>2890</v>
      </c>
      <c r="W708" s="17"/>
    </row>
    <row r="709" spans="1:23">
      <c r="A709" s="1">
        <v>1236</v>
      </c>
      <c r="B709" s="1" t="str">
        <f>VLOOKUP(A709,Folha4!$1:$1048576,2,)</f>
        <v>OPS - Análise para Adesão de Beneficiários</v>
      </c>
      <c r="D709" s="180"/>
      <c r="E709" s="1">
        <f>VLOOKUP(A709,Folha4!$1:$1048576,6,)</f>
        <v>374</v>
      </c>
      <c r="F709" s="1" t="str">
        <f>VLOOKUP(E709,'ESTRUTURA_MODULO(hide)'!$A$1:$B$106,2,FALSE)</f>
        <v>Comercial</v>
      </c>
      <c r="I709" s="12">
        <f>VLOOKUP(A709,Folha4!$1:$1048576,11,)</f>
        <v>6</v>
      </c>
      <c r="N709" s="17" t="str">
        <f>IF('General Information'!$C$18="Ambos (Prestador + OPS)","Yes",IF('General Information'!$C$18="Tasy Prestador","Yes","No"))</f>
        <v>No</v>
      </c>
      <c r="Q709" s="17" t="s">
        <v>2890</v>
      </c>
      <c r="R709" s="17" t="s">
        <v>2889</v>
      </c>
      <c r="S709" s="17" t="s">
        <v>2889</v>
      </c>
      <c r="W709" s="17"/>
    </row>
    <row r="710" spans="1:23">
      <c r="A710" s="1">
        <v>1237</v>
      </c>
      <c r="B710" s="1" t="str">
        <f>VLOOKUP(A710,Folha4!$1:$1048576,2,)</f>
        <v>OPS - Gestão Comercial</v>
      </c>
      <c r="D710" s="180"/>
      <c r="E710" s="1">
        <f>VLOOKUP(A710,Folha4!$1:$1048576,6,)</f>
        <v>374</v>
      </c>
      <c r="F710" s="1" t="str">
        <f>VLOOKUP(E710,'ESTRUTURA_MODULO(hide)'!$A$1:$B$106,2,FALSE)</f>
        <v>Comercial</v>
      </c>
      <c r="I710" s="12">
        <f>VLOOKUP(A710,Folha4!$1:$1048576,11,)</f>
        <v>24</v>
      </c>
      <c r="N710" s="17" t="str">
        <f>IF('General Information'!$C$18="Ambos (Prestador + OPS)","Yes",IF('General Information'!$C$18="Tasy Prestador","Yes","No"))</f>
        <v>No</v>
      </c>
      <c r="Q710" s="17" t="s">
        <v>2890</v>
      </c>
      <c r="R710" s="17" t="s">
        <v>2889</v>
      </c>
      <c r="S710" s="17" t="s">
        <v>2889</v>
      </c>
      <c r="W710" s="17"/>
    </row>
    <row r="711" spans="1:23">
      <c r="A711" s="1">
        <v>1226</v>
      </c>
      <c r="B711" s="1" t="str">
        <f>VLOOKUP(A711,Folha4!$1:$1048576,2,)</f>
        <v>OPS - Controle de Carteira de Identificação</v>
      </c>
      <c r="D711" s="180"/>
      <c r="E711" s="1">
        <f>VLOOKUP(A711,Folha4!$1:$1048576,6,)</f>
        <v>375</v>
      </c>
      <c r="F711" s="1" t="str">
        <f>VLOOKUP(E711,'ESTRUTURA_MODULO(hide)'!$A$1:$B$106,2,FALSE)</f>
        <v>Contratos e Beneficiários</v>
      </c>
      <c r="I711" s="12">
        <f>VLOOKUP(A711,Folha4!$1:$1048576,11,)</f>
        <v>12</v>
      </c>
      <c r="N711" s="17" t="str">
        <f>IF('General Information'!$C$18="Ambos (Prestador + OPS)","Yes",IF('General Information'!$C$18="Tasy Prestador","Yes","No"))</f>
        <v>No</v>
      </c>
      <c r="Q711" s="17" t="s">
        <v>2889</v>
      </c>
      <c r="R711" s="17" t="s">
        <v>2889</v>
      </c>
      <c r="S711" s="17" t="s">
        <v>2889</v>
      </c>
      <c r="W711" s="17"/>
    </row>
    <row r="712" spans="1:23">
      <c r="A712" s="1">
        <v>1273</v>
      </c>
      <c r="B712" s="1" t="str">
        <f>VLOOKUP(A712,Folha4!$1:$1048576,2,)</f>
        <v>OPS - Identificação de Beneficiários</v>
      </c>
      <c r="D712" s="180"/>
      <c r="E712" s="1">
        <f>VLOOKUP(A712,Folha4!$1:$1048576,6,)</f>
        <v>375</v>
      </c>
      <c r="F712" s="1" t="str">
        <f>VLOOKUP(E712,'ESTRUTURA_MODULO(hide)'!$A$1:$B$106,2,FALSE)</f>
        <v>Contratos e Beneficiários</v>
      </c>
      <c r="I712" s="12">
        <f>VLOOKUP(A712,Folha4!$1:$1048576,11,)</f>
        <v>4</v>
      </c>
      <c r="N712" s="17" t="str">
        <f>IF('General Information'!$C$18="Ambos (Prestador + OPS)","Yes",IF('General Information'!$C$18="Tasy Prestador","Yes","No"))</f>
        <v>No</v>
      </c>
      <c r="Q712" s="17" t="s">
        <v>2890</v>
      </c>
      <c r="R712" s="17" t="s">
        <v>2890</v>
      </c>
      <c r="S712" s="17" t="s">
        <v>2890</v>
      </c>
      <c r="W712" s="17"/>
    </row>
    <row r="713" spans="1:23">
      <c r="A713" s="1">
        <v>1216</v>
      </c>
      <c r="B713" s="1" t="str">
        <f>VLOOKUP(A713,Folha4!$1:$1048576,2,)</f>
        <v>OPS - Localizador de Beneficiários</v>
      </c>
      <c r="D713" s="180"/>
      <c r="E713" s="1">
        <f>VLOOKUP(A713,Folha4!$1:$1048576,6,)</f>
        <v>375</v>
      </c>
      <c r="F713" s="1" t="str">
        <f>VLOOKUP(E713,'ESTRUTURA_MODULO(hide)'!$A$1:$B$106,2,FALSE)</f>
        <v>Contratos e Beneficiários</v>
      </c>
      <c r="I713" s="12">
        <f>VLOOKUP(A713,Folha4!$1:$1048576,11,)</f>
        <v>0</v>
      </c>
      <c r="N713" s="17" t="str">
        <f>IF('General Information'!$C$18="Ambos (Prestador + OPS)","Yes",IF('General Information'!$C$18="Tasy Prestador","Yes","No"))</f>
        <v>No</v>
      </c>
      <c r="Q713" s="17" t="s">
        <v>2890</v>
      </c>
      <c r="R713" s="17" t="s">
        <v>2890</v>
      </c>
      <c r="S713" s="17" t="s">
        <v>2890</v>
      </c>
      <c r="W713" s="17"/>
    </row>
    <row r="714" spans="1:23">
      <c r="A714" s="1">
        <v>1268</v>
      </c>
      <c r="B714" s="1" t="str">
        <f>VLOOKUP(A714,Folha4!$1:$1048576,2,)</f>
        <v>OPS - Revisão de Cadastros de Pessoas</v>
      </c>
      <c r="D714" s="180"/>
      <c r="E714" s="1">
        <f>VLOOKUP(A714,Folha4!$1:$1048576,6,)</f>
        <v>375</v>
      </c>
      <c r="F714" s="1" t="str">
        <f>VLOOKUP(E714,'ESTRUTURA_MODULO(hide)'!$A$1:$B$106,2,FALSE)</f>
        <v>Contratos e Beneficiários</v>
      </c>
      <c r="I714" s="12">
        <f>VLOOKUP(A714,Folha4!$1:$1048576,11,)</f>
        <v>6</v>
      </c>
      <c r="N714" s="17" t="str">
        <f>IF('General Information'!$C$18="Ambos (Prestador + OPS)","Yes",IF('General Information'!$C$18="Tasy Prestador","Yes","No"))</f>
        <v>No</v>
      </c>
      <c r="Q714" s="17" t="s">
        <v>2890</v>
      </c>
      <c r="R714" s="17" t="s">
        <v>2890</v>
      </c>
      <c r="S714" s="17" t="s">
        <v>2890</v>
      </c>
      <c r="W714" s="17"/>
    </row>
    <row r="715" spans="1:23">
      <c r="A715" s="1">
        <v>1228</v>
      </c>
      <c r="B715" s="1" t="str">
        <f>VLOOKUP(A715,Folha4!$1:$1048576,2,)</f>
        <v>OPS - Mala Direta para Correspondência</v>
      </c>
      <c r="D715" s="180"/>
      <c r="E715" s="1">
        <f>VLOOKUP(A715,Folha4!$1:$1048576,6,)</f>
        <v>375</v>
      </c>
      <c r="F715" s="1" t="str">
        <f>VLOOKUP(E715,'ESTRUTURA_MODULO(hide)'!$A$1:$B$106,2,FALSE)</f>
        <v>Contratos e Beneficiários</v>
      </c>
      <c r="I715" s="12">
        <f>VLOOKUP(A715,Folha4!$1:$1048576,11,)</f>
        <v>6</v>
      </c>
      <c r="N715" s="17" t="str">
        <f>IF('General Information'!$C$18="Ambos (Prestador + OPS)","Yes",IF('General Information'!$C$18="Tasy Prestador","Yes","No"))</f>
        <v>No</v>
      </c>
      <c r="Q715" s="17" t="s">
        <v>2889</v>
      </c>
      <c r="R715" s="17" t="s">
        <v>2889</v>
      </c>
      <c r="S715" s="17" t="s">
        <v>2889</v>
      </c>
      <c r="W715" s="17"/>
    </row>
    <row r="716" spans="1:23">
      <c r="A716" s="1">
        <v>1265</v>
      </c>
      <c r="B716" s="1" t="str">
        <f>VLOOKUP(A716,Folha4!$1:$1048576,2,)</f>
        <v>OPS - Bonificações</v>
      </c>
      <c r="D716" s="180"/>
      <c r="E716" s="1">
        <f>VLOOKUP(A716,Folha4!$1:$1048576,6,)</f>
        <v>375</v>
      </c>
      <c r="F716" s="1" t="str">
        <f>VLOOKUP(E716,'ESTRUTURA_MODULO(hide)'!$A$1:$B$106,2,FALSE)</f>
        <v>Contratos e Beneficiários</v>
      </c>
      <c r="I716" s="12">
        <f>VLOOKUP(A716,Folha4!$1:$1048576,11,)</f>
        <v>4</v>
      </c>
      <c r="N716" s="17" t="str">
        <f>IF('General Information'!$C$18="Ambos (Prestador + OPS)","Yes",IF('General Information'!$C$18="Tasy Prestador","Yes","No"))</f>
        <v>No</v>
      </c>
      <c r="Q716" s="17" t="s">
        <v>2890</v>
      </c>
      <c r="R716" s="17" t="s">
        <v>2890</v>
      </c>
      <c r="S716" s="17" t="s">
        <v>2890</v>
      </c>
      <c r="W716" s="17"/>
    </row>
    <row r="717" spans="1:23">
      <c r="A717" s="1">
        <v>1221</v>
      </c>
      <c r="B717" s="1" t="str">
        <f>VLOOKUP(A717,Folha4!$1:$1048576,2,)</f>
        <v>OPS - Localizador de Tabelas de Preços</v>
      </c>
      <c r="D717" s="180"/>
      <c r="E717" s="1">
        <f>VLOOKUP(A717,Folha4!$1:$1048576,6,)</f>
        <v>375</v>
      </c>
      <c r="F717" s="1" t="str">
        <f>VLOOKUP(E717,'ESTRUTURA_MODULO(hide)'!$A$1:$B$106,2,FALSE)</f>
        <v>Contratos e Beneficiários</v>
      </c>
      <c r="I717" s="12">
        <f>VLOOKUP(A717,Folha4!$1:$1048576,11,)</f>
        <v>0</v>
      </c>
      <c r="N717" s="17" t="str">
        <f>IF('General Information'!$C$18="Ambos (Prestador + OPS)","Yes",IF('General Information'!$C$18="Tasy Prestador","Yes","No"))</f>
        <v>No</v>
      </c>
      <c r="Q717" s="17" t="s">
        <v>2890</v>
      </c>
      <c r="R717" s="17" t="s">
        <v>2890</v>
      </c>
      <c r="S717" s="17" t="s">
        <v>2890</v>
      </c>
      <c r="W717" s="17"/>
    </row>
    <row r="718" spans="1:23">
      <c r="A718" s="1">
        <v>1220</v>
      </c>
      <c r="B718" s="1" t="str">
        <f>VLOOKUP(A718,Folha4!$1:$1048576,2,)</f>
        <v>OPS - Cadastro Pessoa Física</v>
      </c>
      <c r="D718" s="180"/>
      <c r="E718" s="1">
        <f>VLOOKUP(A718,Folha4!$1:$1048576,6,)</f>
        <v>375</v>
      </c>
      <c r="F718" s="1" t="str">
        <f>VLOOKUP(E718,'ESTRUTURA_MODULO(hide)'!$A$1:$B$106,2,FALSE)</f>
        <v>Contratos e Beneficiários</v>
      </c>
      <c r="I718" s="12">
        <f>VLOOKUP(A718,Folha4!$1:$1048576,11,)</f>
        <v>8</v>
      </c>
      <c r="N718" s="17" t="str">
        <f>IF('General Information'!$C$18="Ambos (Prestador + OPS)","Yes",IF('General Information'!$C$18="Tasy Prestador","Yes","No"))</f>
        <v>No</v>
      </c>
      <c r="Q718" s="17" t="s">
        <v>2890</v>
      </c>
      <c r="R718" s="17" t="s">
        <v>2890</v>
      </c>
      <c r="S718" s="17" t="s">
        <v>2890</v>
      </c>
      <c r="W718" s="17"/>
    </row>
    <row r="719" spans="1:23">
      <c r="A719" s="1">
        <v>1215</v>
      </c>
      <c r="B719" s="1" t="str">
        <f>VLOOKUP(A719,Folha4!$1:$1048576,2,)</f>
        <v>OPS - Dossiê Beneficiário</v>
      </c>
      <c r="D719" s="180"/>
      <c r="E719" s="1">
        <f>VLOOKUP(A719,Folha4!$1:$1048576,6,)</f>
        <v>375</v>
      </c>
      <c r="F719" s="1" t="str">
        <f>VLOOKUP(E719,'ESTRUTURA_MODULO(hide)'!$A$1:$B$106,2,FALSE)</f>
        <v>Contratos e Beneficiários</v>
      </c>
      <c r="I719" s="12">
        <f>VLOOKUP(A719,Folha4!$1:$1048576,11,)</f>
        <v>4</v>
      </c>
      <c r="N719" s="17" t="str">
        <f>IF('General Information'!$C$18="Ambos (Prestador + OPS)","Yes",IF('General Information'!$C$18="Tasy Prestador","Yes","No"))</f>
        <v>No</v>
      </c>
      <c r="Q719" s="17" t="s">
        <v>2889</v>
      </c>
      <c r="R719" s="17" t="s">
        <v>2889</v>
      </c>
      <c r="S719" s="17" t="s">
        <v>2889</v>
      </c>
      <c r="W719" s="17"/>
    </row>
    <row r="720" spans="1:23">
      <c r="A720" s="1">
        <v>1287</v>
      </c>
      <c r="B720" s="1" t="str">
        <f>VLOOKUP(A720,Folha4!$1:$1048576,2,)</f>
        <v>OPS - Localizador de Serviços e Coberturas Adicionais</v>
      </c>
      <c r="D720" s="180"/>
      <c r="E720" s="1">
        <f>VLOOKUP(A720,Folha4!$1:$1048576,6,)</f>
        <v>375</v>
      </c>
      <c r="F720" s="1" t="str">
        <f>VLOOKUP(E720,'ESTRUTURA_MODULO(hide)'!$A$1:$B$106,2,FALSE)</f>
        <v>Contratos e Beneficiários</v>
      </c>
      <c r="I720" s="12">
        <f>VLOOKUP(A720,Folha4!$1:$1048576,11,)</f>
        <v>0</v>
      </c>
      <c r="N720" s="17" t="str">
        <f>IF('General Information'!$C$18="Ambos (Prestador + OPS)","Yes",IF('General Information'!$C$18="Tasy Prestador","Yes","No"))</f>
        <v>No</v>
      </c>
      <c r="Q720" s="17" t="s">
        <v>2890</v>
      </c>
      <c r="R720" s="17" t="s">
        <v>2890</v>
      </c>
      <c r="S720" s="17" t="s">
        <v>2890</v>
      </c>
      <c r="W720" s="17"/>
    </row>
    <row r="721" spans="1:23">
      <c r="A721" s="1">
        <v>1345</v>
      </c>
      <c r="B721" s="1" t="str">
        <f>VLOOKUP(A721,Folha4!$1:$1048576,2,)</f>
        <v>OPS - Localizador de Grupos de Contratos</v>
      </c>
      <c r="D721" s="180"/>
      <c r="E721" s="1">
        <f>VLOOKUP(A721,Folha4!$1:$1048576,6,)</f>
        <v>375</v>
      </c>
      <c r="F721" s="1" t="str">
        <f>VLOOKUP(E721,'ESTRUTURA_MODULO(hide)'!$A$1:$B$106,2,FALSE)</f>
        <v>Contratos e Beneficiários</v>
      </c>
      <c r="I721" s="12">
        <f>VLOOKUP(A721,Folha4!$1:$1048576,11,)</f>
        <v>0</v>
      </c>
      <c r="N721" s="17" t="str">
        <f>IF('General Information'!$C$18="Ambos (Prestador + OPS)","Yes",IF('General Information'!$C$18="Tasy Prestador","Yes","No"))</f>
        <v>No</v>
      </c>
      <c r="Q721" s="17" t="s">
        <v>2890</v>
      </c>
      <c r="R721" s="17" t="s">
        <v>2890</v>
      </c>
      <c r="S721" s="17" t="s">
        <v>2890</v>
      </c>
      <c r="W721" s="17"/>
    </row>
    <row r="722" spans="1:23">
      <c r="A722" s="1">
        <v>1347</v>
      </c>
      <c r="B722" s="1" t="str">
        <f>VLOOKUP(A722,Folha4!$1:$1048576,2,)</f>
        <v>OPS - Relacionamento com o Cliente (PJ)</v>
      </c>
      <c r="D722" s="180"/>
      <c r="E722" s="1">
        <f>VLOOKUP(A722,Folha4!$1:$1048576,6,)</f>
        <v>375</v>
      </c>
      <c r="F722" s="1" t="str">
        <f>VLOOKUP(E722,'ESTRUTURA_MODULO(hide)'!$A$1:$B$106,2,FALSE)</f>
        <v>Contratos e Beneficiários</v>
      </c>
      <c r="I722" s="12">
        <f>VLOOKUP(A722,Folha4!$1:$1048576,11,)</f>
        <v>16</v>
      </c>
      <c r="N722" s="17" t="str">
        <f>IF('General Information'!$C$18="Ambos (Prestador + OPS)","Yes",IF('General Information'!$C$18="Tasy Prestador","Yes","No"))</f>
        <v>No</v>
      </c>
      <c r="Q722" s="17" t="s">
        <v>2890</v>
      </c>
      <c r="R722" s="17" t="s">
        <v>2890</v>
      </c>
      <c r="S722" s="17" t="s">
        <v>2890</v>
      </c>
      <c r="W722" s="17"/>
    </row>
    <row r="723" spans="1:23">
      <c r="A723" s="1">
        <v>1202</v>
      </c>
      <c r="B723" s="1" t="str">
        <f>VLOOKUP(A723,Folha4!$1:$1048576,2,)</f>
        <v>OPS - Gestão de Contratos</v>
      </c>
      <c r="D723" s="180"/>
      <c r="E723" s="1">
        <f>VLOOKUP(A723,Folha4!$1:$1048576,6,)</f>
        <v>375</v>
      </c>
      <c r="F723" s="1" t="str">
        <f>VLOOKUP(E723,'ESTRUTURA_MODULO(hide)'!$A$1:$B$106,2,FALSE)</f>
        <v>Contratos e Beneficiários</v>
      </c>
      <c r="I723" s="12">
        <f>VLOOKUP(A723,Folha4!$1:$1048576,11,)</f>
        <v>40</v>
      </c>
      <c r="N723" s="17" t="str">
        <f>IF('General Information'!$C$18="Ambos (Prestador + OPS)","Yes",IF('General Information'!$C$18="Tasy Prestador","Yes","No"))</f>
        <v>No</v>
      </c>
      <c r="Q723" s="17" t="s">
        <v>2889</v>
      </c>
      <c r="R723" s="17" t="s">
        <v>2889</v>
      </c>
      <c r="S723" s="17" t="s">
        <v>2889</v>
      </c>
      <c r="W723" s="17"/>
    </row>
    <row r="724" spans="1:23">
      <c r="A724" s="1">
        <v>1280</v>
      </c>
      <c r="B724" s="1" t="str">
        <f>VLOOKUP(A724,Folha4!$1:$1048576,2,)</f>
        <v>OPS - Análise de Resultados</v>
      </c>
      <c r="D724" s="180"/>
      <c r="E724" s="1">
        <f>VLOOKUP(A724,Folha4!$1:$1048576,6,)</f>
        <v>375</v>
      </c>
      <c r="F724" s="1" t="str">
        <f>VLOOKUP(E724,'ESTRUTURA_MODULO(hide)'!$A$1:$B$106,2,FALSE)</f>
        <v>Contratos e Beneficiários</v>
      </c>
      <c r="I724" s="12">
        <f>VLOOKUP(A724,Folha4!$1:$1048576,11,)</f>
        <v>24</v>
      </c>
      <c r="N724" s="17" t="str">
        <f>IF('General Information'!$C$18="Ambos (Prestador + OPS)","Yes",IF('General Information'!$C$18="Tasy Prestador","Yes","No"))</f>
        <v>No</v>
      </c>
      <c r="Q724" s="17" t="s">
        <v>2890</v>
      </c>
      <c r="R724" s="17" t="s">
        <v>2890</v>
      </c>
      <c r="S724" s="17" t="s">
        <v>2890</v>
      </c>
      <c r="W724" s="17"/>
    </row>
    <row r="725" spans="1:23">
      <c r="A725" s="1">
        <v>1338</v>
      </c>
      <c r="B725" s="1" t="str">
        <f>VLOOKUP(A725,Folha4!$1:$1048576,2,)</f>
        <v>OPS - RPC - Reajuste de Planos Coletivos</v>
      </c>
      <c r="D725" s="180"/>
      <c r="E725" s="1">
        <f>VLOOKUP(A725,Folha4!$1:$1048576,6,)</f>
        <v>375</v>
      </c>
      <c r="F725" s="1" t="str">
        <f>VLOOKUP(E725,'ESTRUTURA_MODULO(hide)'!$A$1:$B$106,2,FALSE)</f>
        <v>Contratos e Beneficiários</v>
      </c>
      <c r="I725" s="12">
        <f>VLOOKUP(A725,Folha4!$1:$1048576,11,)</f>
        <v>12</v>
      </c>
      <c r="N725" s="17" t="str">
        <f>IF('General Information'!$C$18="Ambos (Prestador + OPS)","Yes",IF('General Information'!$C$18="Tasy Prestador","Yes","No"))</f>
        <v>No</v>
      </c>
      <c r="Q725" s="17" t="s">
        <v>2890</v>
      </c>
      <c r="R725" s="17" t="s">
        <v>2890</v>
      </c>
      <c r="S725" s="17" t="s">
        <v>2890</v>
      </c>
      <c r="W725" s="17"/>
    </row>
    <row r="726" spans="1:23">
      <c r="A726" s="1">
        <v>1320</v>
      </c>
      <c r="B726" s="1" t="str">
        <f>VLOOKUP(A726,Folha4!$1:$1048576,2,)</f>
        <v>OPS - Manutenção de Bonificações</v>
      </c>
      <c r="D726" s="180"/>
      <c r="E726" s="1">
        <f>VLOOKUP(A726,Folha4!$1:$1048576,6,)</f>
        <v>375</v>
      </c>
      <c r="F726" s="1" t="str">
        <f>VLOOKUP(E726,'ESTRUTURA_MODULO(hide)'!$A$1:$B$106,2,FALSE)</f>
        <v>Contratos e Beneficiários</v>
      </c>
      <c r="I726" s="12">
        <f>VLOOKUP(A726,Folha4!$1:$1048576,11,)</f>
        <v>0</v>
      </c>
      <c r="N726" s="17" t="str">
        <f>IF('General Information'!$C$18="Ambos (Prestador + OPS)","Yes",IF('General Information'!$C$18="Tasy Prestador","Yes","No"))</f>
        <v>No</v>
      </c>
      <c r="Q726" s="17" t="s">
        <v>2890</v>
      </c>
      <c r="R726" s="17" t="s">
        <v>2890</v>
      </c>
      <c r="S726" s="17" t="s">
        <v>2890</v>
      </c>
      <c r="W726" s="17"/>
    </row>
    <row r="727" spans="1:23">
      <c r="A727" s="1">
        <v>347</v>
      </c>
      <c r="B727" s="1" t="str">
        <f>VLOOKUP(A727,Folha4!$1:$1048576,2,)</f>
        <v>OPS - Programação de Reajuste Coletivo</v>
      </c>
      <c r="D727" s="180"/>
      <c r="E727" s="1">
        <f>VLOOKUP(A727,Folha4!$1:$1048576,6,)</f>
        <v>375</v>
      </c>
      <c r="F727" s="1" t="str">
        <f>VLOOKUP(E727,'ESTRUTURA_MODULO(hide)'!$A$1:$B$106,2,FALSE)</f>
        <v>Contratos e Beneficiários</v>
      </c>
      <c r="I727" s="12">
        <f>VLOOKUP(A727,Folha4!$1:$1048576,11,)</f>
        <v>8</v>
      </c>
      <c r="N727" s="17" t="str">
        <f>IF('General Information'!$C$18="Ambos (Prestador + OPS)","Yes",IF('General Information'!$C$18="Tasy Prestador","Yes","No"))</f>
        <v>No</v>
      </c>
      <c r="Q727" s="17" t="s">
        <v>2890</v>
      </c>
      <c r="R727" s="17" t="s">
        <v>2890</v>
      </c>
      <c r="S727" s="17" t="s">
        <v>2890</v>
      </c>
      <c r="W727" s="17"/>
    </row>
    <row r="728" spans="1:23">
      <c r="A728" s="1">
        <v>1288</v>
      </c>
      <c r="B728" s="1" t="str">
        <f>VLOOKUP(A728,Folha4!$1:$1048576,2,)</f>
        <v>OPS - Manutenção de Carências</v>
      </c>
      <c r="D728" s="180"/>
      <c r="E728" s="1">
        <f>VLOOKUP(A728,Folha4!$1:$1048576,6,)</f>
        <v>375</v>
      </c>
      <c r="F728" s="1" t="str">
        <f>VLOOKUP(E728,'ESTRUTURA_MODULO(hide)'!$A$1:$B$106,2,FALSE)</f>
        <v>Contratos e Beneficiários</v>
      </c>
      <c r="I728" s="12">
        <f>VLOOKUP(A728,Folha4!$1:$1048576,11,)</f>
        <v>0</v>
      </c>
      <c r="N728" s="17" t="str">
        <f>IF('General Information'!$C$18="Ambos (Prestador + OPS)","Yes",IF('General Information'!$C$18="Tasy Prestador","Yes","No"))</f>
        <v>No</v>
      </c>
      <c r="Q728" s="17" t="s">
        <v>2890</v>
      </c>
      <c r="R728" s="17" t="s">
        <v>2890</v>
      </c>
      <c r="S728" s="17" t="s">
        <v>2890</v>
      </c>
      <c r="W728" s="17"/>
    </row>
    <row r="729" spans="1:23">
      <c r="A729" s="1">
        <v>210</v>
      </c>
      <c r="B729" s="1" t="str">
        <f>VLOOKUP(A729,Folha4!$1:$1048576,2,)</f>
        <v>OPS - Reajuste de Preços de Beneficiários (Nova)</v>
      </c>
      <c r="D729" s="180"/>
      <c r="E729" s="1">
        <f>VLOOKUP(A729,Folha4!$1:$1048576,6,)</f>
        <v>375</v>
      </c>
      <c r="F729" s="1" t="str">
        <f>VLOOKUP(E729,'ESTRUTURA_MODULO(hide)'!$A$1:$B$106,2,FALSE)</f>
        <v>Contratos e Beneficiários</v>
      </c>
      <c r="I729" s="12">
        <f>VLOOKUP(A729,Folha4!$1:$1048576,11,)</f>
        <v>32</v>
      </c>
      <c r="N729" s="17" t="str">
        <f>IF('General Information'!$C$18="Ambos (Prestador + OPS)","Yes",IF('General Information'!$C$18="Tasy Prestador","Yes","No"))</f>
        <v>No</v>
      </c>
      <c r="Q729" s="17" t="s">
        <v>2889</v>
      </c>
      <c r="R729" s="17" t="s">
        <v>2889</v>
      </c>
      <c r="S729" s="17" t="s">
        <v>2889</v>
      </c>
      <c r="W729" s="17"/>
    </row>
    <row r="730" spans="1:23">
      <c r="A730" s="1">
        <v>268</v>
      </c>
      <c r="B730" s="1" t="str">
        <f>VLOOKUP(A730,Folha4!$1:$1048576,2,)</f>
        <v>OPS - Gestão de Rescisão de Contrato</v>
      </c>
      <c r="D730" s="180"/>
      <c r="E730" s="1">
        <f>VLOOKUP(A730,Folha4!$1:$1048576,6,)</f>
        <v>375</v>
      </c>
      <c r="F730" s="1" t="str">
        <f>VLOOKUP(E730,'ESTRUTURA_MODULO(hide)'!$A$1:$B$106,2,FALSE)</f>
        <v>Contratos e Beneficiários</v>
      </c>
      <c r="I730" s="12">
        <f>VLOOKUP(A730,Folha4!$1:$1048576,11,)</f>
        <v>16</v>
      </c>
      <c r="N730" s="17" t="str">
        <f>IF('General Information'!$C$18="Ambos (Prestador + OPS)","Yes",IF('General Information'!$C$18="Tasy Prestador","Yes","No"))</f>
        <v>No</v>
      </c>
      <c r="Q730" s="17" t="s">
        <v>2890</v>
      </c>
      <c r="R730" s="17" t="s">
        <v>2890</v>
      </c>
      <c r="S730" s="17" t="s">
        <v>2890</v>
      </c>
      <c r="W730" s="17"/>
    </row>
    <row r="731" spans="1:23">
      <c r="A731" s="1">
        <v>1308</v>
      </c>
      <c r="B731" s="1" t="str">
        <f>VLOOKUP(A731,Folha4!$1:$1048576,2,)</f>
        <v>OPS - Produção - Digitação de Consultas</v>
      </c>
      <c r="D731" s="180"/>
      <c r="E731" s="1">
        <f>VLOOKUP(A731,Folha4!$1:$1048576,6,)</f>
        <v>377</v>
      </c>
      <c r="F731" s="1" t="str">
        <f>VLOOKUP(E731,'ESTRUTURA_MODULO(hide)'!$A$1:$B$106,2,FALSE)</f>
        <v>Produção de Contas Médicas</v>
      </c>
      <c r="I731" s="12">
        <f>VLOOKUP(A731,Folha4!$1:$1048576,11,)</f>
        <v>4</v>
      </c>
      <c r="N731" s="17" t="str">
        <f>IF('General Information'!$C$18="Ambos (Prestador + OPS)","Yes",IF('General Information'!$C$18="Tasy Prestador","Yes","No"))</f>
        <v>No</v>
      </c>
      <c r="Q731" s="17" t="s">
        <v>2890</v>
      </c>
      <c r="R731" s="17" t="s">
        <v>2890</v>
      </c>
      <c r="S731" s="17" t="s">
        <v>2890</v>
      </c>
      <c r="W731" s="17"/>
    </row>
    <row r="732" spans="1:23">
      <c r="A732" s="1">
        <v>1309</v>
      </c>
      <c r="B732" s="1" t="str">
        <f>VLOOKUP(A732,Folha4!$1:$1048576,2,)</f>
        <v>OPS - Produção - Digitação de SP/SADT</v>
      </c>
      <c r="D732" s="180"/>
      <c r="E732" s="1">
        <f>VLOOKUP(A732,Folha4!$1:$1048576,6,)</f>
        <v>377</v>
      </c>
      <c r="F732" s="1" t="str">
        <f>VLOOKUP(E732,'ESTRUTURA_MODULO(hide)'!$A$1:$B$106,2,FALSE)</f>
        <v>Produção de Contas Médicas</v>
      </c>
      <c r="I732" s="12">
        <f>VLOOKUP(A732,Folha4!$1:$1048576,11,)</f>
        <v>4</v>
      </c>
      <c r="N732" s="17" t="str">
        <f>IF('General Information'!$C$18="Ambos (Prestador + OPS)","Yes",IF('General Information'!$C$18="Tasy Prestador","Yes","No"))</f>
        <v>No</v>
      </c>
      <c r="Q732" s="17" t="s">
        <v>2890</v>
      </c>
      <c r="R732" s="17" t="s">
        <v>2890</v>
      </c>
      <c r="S732" s="17" t="s">
        <v>2890</v>
      </c>
      <c r="W732" s="17"/>
    </row>
    <row r="733" spans="1:23">
      <c r="A733" s="1">
        <v>1310</v>
      </c>
      <c r="B733" s="1" t="str">
        <f>VLOOKUP(A733,Folha4!$1:$1048576,2,)</f>
        <v>OPS - Produção - Digitação de Internações</v>
      </c>
      <c r="D733" s="180"/>
      <c r="E733" s="1">
        <f>VLOOKUP(A733,Folha4!$1:$1048576,6,)</f>
        <v>377</v>
      </c>
      <c r="F733" s="1" t="str">
        <f>VLOOKUP(E733,'ESTRUTURA_MODULO(hide)'!$A$1:$B$106,2,FALSE)</f>
        <v>Produção de Contas Médicas</v>
      </c>
      <c r="I733" s="12">
        <f>VLOOKUP(A733,Folha4!$1:$1048576,11,)</f>
        <v>4</v>
      </c>
      <c r="N733" s="17" t="str">
        <f>IF('General Information'!$C$18="Ambos (Prestador + OPS)","Yes",IF('General Information'!$C$18="Tasy Prestador","Yes","No"))</f>
        <v>No</v>
      </c>
      <c r="Q733" s="17" t="s">
        <v>2890</v>
      </c>
      <c r="R733" s="17" t="s">
        <v>2890</v>
      </c>
      <c r="S733" s="17" t="s">
        <v>2890</v>
      </c>
      <c r="W733" s="17"/>
    </row>
    <row r="734" spans="1:23">
      <c r="A734" s="1">
        <v>1238</v>
      </c>
      <c r="B734" s="1" t="str">
        <f>VLOOKUP(A734,Folha4!$1:$1048576,2,)</f>
        <v>OPS - Controle de Processos de Ressarcimento</v>
      </c>
      <c r="D734" s="180"/>
      <c r="E734" s="1">
        <f>VLOOKUP(A734,Folha4!$1:$1048576,6,)</f>
        <v>377</v>
      </c>
      <c r="F734" s="1" t="str">
        <f>VLOOKUP(E734,'ESTRUTURA_MODULO(hide)'!$A$1:$B$106,2,FALSE)</f>
        <v>Produção de Contas Médicas</v>
      </c>
      <c r="I734" s="12">
        <f>VLOOKUP(A734,Folha4!$1:$1048576,11,)</f>
        <v>16</v>
      </c>
      <c r="N734" s="17" t="str">
        <f>IF('General Information'!$C$18="Ambos (Prestador + OPS)","Yes",IF('General Information'!$C$18="Tasy Prestador","Yes","No"))</f>
        <v>No</v>
      </c>
      <c r="Q734" s="17" t="s">
        <v>2890</v>
      </c>
      <c r="R734" s="17" t="s">
        <v>2890</v>
      </c>
      <c r="S734" s="17" t="s">
        <v>2890</v>
      </c>
      <c r="W734" s="17"/>
    </row>
    <row r="735" spans="1:23">
      <c r="A735" s="1">
        <v>1229</v>
      </c>
      <c r="B735" s="1" t="str">
        <f>VLOOKUP(A735,Folha4!$1:$1048576,2,)</f>
        <v>OPS - Controle de Reembolsos</v>
      </c>
      <c r="D735" s="180"/>
      <c r="E735" s="1">
        <f>VLOOKUP(A735,Folha4!$1:$1048576,6,)</f>
        <v>377</v>
      </c>
      <c r="F735" s="1" t="str">
        <f>VLOOKUP(E735,'ESTRUTURA_MODULO(hide)'!$A$1:$B$106,2,FALSE)</f>
        <v>Produção de Contas Médicas</v>
      </c>
      <c r="I735" s="12">
        <f>VLOOKUP(A735,Folha4!$1:$1048576,11,)</f>
        <v>16</v>
      </c>
      <c r="N735" s="17" t="str">
        <f>IF('General Information'!$C$18="Ambos (Prestador + OPS)","Yes",IF('General Information'!$C$18="Tasy Prestador","Yes","No"))</f>
        <v>No</v>
      </c>
      <c r="Q735" s="17" t="s">
        <v>2890</v>
      </c>
      <c r="R735" s="17" t="s">
        <v>2890</v>
      </c>
      <c r="S735" s="17" t="s">
        <v>2890</v>
      </c>
      <c r="W735" s="17"/>
    </row>
    <row r="736" spans="1:23">
      <c r="A736" s="1">
        <v>1208</v>
      </c>
      <c r="B736" s="1" t="str">
        <f>VLOOKUP(A736,Folha4!$1:$1048576,2,)</f>
        <v>OPS - Gestão de Contas Médicas</v>
      </c>
      <c r="D736" s="180"/>
      <c r="E736" s="1">
        <f>VLOOKUP(A736,Folha4!$1:$1048576,6,)</f>
        <v>377</v>
      </c>
      <c r="F736" s="1" t="str">
        <f>VLOOKUP(E736,'ESTRUTURA_MODULO(hide)'!$A$1:$B$106,2,FALSE)</f>
        <v>Produção de Contas Médicas</v>
      </c>
      <c r="I736" s="12">
        <f>VLOOKUP(A736,Folha4!$1:$1048576,11,)</f>
        <v>16</v>
      </c>
      <c r="N736" s="17" t="str">
        <f>IF('General Information'!$C$18="Ambos (Prestador + OPS)","Yes",IF('General Information'!$C$18="Tasy Prestador","Yes","No"))</f>
        <v>No</v>
      </c>
      <c r="Q736" s="17" t="s">
        <v>2889</v>
      </c>
      <c r="R736" s="17" t="s">
        <v>2889</v>
      </c>
      <c r="S736" s="17" t="s">
        <v>2889</v>
      </c>
      <c r="W736" s="17"/>
    </row>
    <row r="737" spans="1:23">
      <c r="A737" s="1">
        <v>1317</v>
      </c>
      <c r="B737" s="423" t="str">
        <f>VLOOKUP(A737,Folha4!$1:$1048576,2,)</f>
        <v>OPS - Análise de Contas Médicas</v>
      </c>
      <c r="D737" s="180"/>
      <c r="E737" s="1">
        <f>VLOOKUP(A737,Folha4!$1:$1048576,6,)</f>
        <v>377</v>
      </c>
      <c r="F737" s="1" t="str">
        <f>VLOOKUP(E737,'ESTRUTURA_MODULO(hide)'!$A$1:$B$106,2,FALSE)</f>
        <v>Produção de Contas Médicas</v>
      </c>
      <c r="I737" s="12">
        <v>32</v>
      </c>
      <c r="N737" s="17" t="str">
        <f>IF('General Information'!$C$18="Ambos (Prestador + OPS)","Yes",IF('General Information'!$C$18="Tasy Prestador","Yes","No"))</f>
        <v>No</v>
      </c>
      <c r="Q737" s="17" t="s">
        <v>2890</v>
      </c>
      <c r="R737" s="17" t="s">
        <v>2890</v>
      </c>
      <c r="S737" s="17" t="s">
        <v>2890</v>
      </c>
      <c r="W737" s="17"/>
    </row>
    <row r="738" spans="1:23">
      <c r="A738" s="1">
        <v>1391</v>
      </c>
      <c r="B738" s="1" t="str">
        <f>VLOOKUP(A738,Folha4!$1:$1048576,2,)</f>
        <v>OPS - Odontograma</v>
      </c>
      <c r="D738" s="180"/>
      <c r="E738" s="1">
        <f>VLOOKUP(A738,Folha4!$1:$1048576,6,)</f>
        <v>377</v>
      </c>
      <c r="F738" s="1" t="str">
        <f>VLOOKUP(E738,'ESTRUTURA_MODULO(hide)'!$A$1:$B$106,2,FALSE)</f>
        <v>Produção de Contas Médicas</v>
      </c>
      <c r="I738" s="12">
        <v>40</v>
      </c>
      <c r="N738" s="17" t="str">
        <f>IF('General Information'!$C$18="Ambos (Prestador + OPS)","Yes",IF('General Information'!$C$18="Tasy Prestador","Yes","No"))</f>
        <v>No</v>
      </c>
      <c r="Q738" s="17" t="s">
        <v>2890</v>
      </c>
      <c r="R738" s="17" t="s">
        <v>2890</v>
      </c>
      <c r="S738" s="17" t="s">
        <v>2890</v>
      </c>
      <c r="W738" s="17"/>
    </row>
    <row r="739" spans="1:23">
      <c r="A739" s="1">
        <v>1383</v>
      </c>
      <c r="B739" s="1" t="str">
        <f>VLOOKUP(A739,Folha4!$1:$1048576,2,)</f>
        <v>OPS - Produção - Processos de Contas Médicas</v>
      </c>
      <c r="D739" s="180"/>
      <c r="E739" s="1">
        <f>VLOOKUP(A739,Folha4!$1:$1048576,6,)</f>
        <v>377</v>
      </c>
      <c r="F739" s="1" t="str">
        <f>VLOOKUP(E739,'ESTRUTURA_MODULO(hide)'!$A$1:$B$106,2,FALSE)</f>
        <v>Produção de Contas Médicas</v>
      </c>
      <c r="I739" s="12">
        <f>VLOOKUP(A739,Folha4!$1:$1048576,11,)</f>
        <v>16</v>
      </c>
      <c r="N739" s="17" t="str">
        <f>IF('General Information'!$C$18="Ambos (Prestador + OPS)","Yes",IF('General Information'!$C$18="Tasy Prestador","Yes","No"))</f>
        <v>No</v>
      </c>
      <c r="Q739" s="17" t="s">
        <v>2890</v>
      </c>
      <c r="R739" s="17" t="s">
        <v>2890</v>
      </c>
      <c r="S739" s="17" t="s">
        <v>2890</v>
      </c>
      <c r="W739" s="17"/>
    </row>
    <row r="740" spans="1:23">
      <c r="A740" s="1">
        <v>1378</v>
      </c>
      <c r="B740" s="1" t="str">
        <f>VLOOKUP(A740,Folha4!$1:$1048576,2,)</f>
        <v>OPS - Produção - Recurso de Glosa</v>
      </c>
      <c r="D740" s="180"/>
      <c r="E740" s="1">
        <f>VLOOKUP(A740,Folha4!$1:$1048576,6,)</f>
        <v>377</v>
      </c>
      <c r="F740" s="1" t="str">
        <f>VLOOKUP(E740,'ESTRUTURA_MODULO(hide)'!$A$1:$B$106,2,FALSE)</f>
        <v>Produção de Contas Médicas</v>
      </c>
      <c r="I740" s="12">
        <f>VLOOKUP(A740,Folha4!$1:$1048576,11,)</f>
        <v>24</v>
      </c>
      <c r="N740" s="17" t="str">
        <f>IF('General Information'!$C$18="Ambos (Prestador + OPS)","Yes",IF('General Information'!$C$18="Tasy Prestador","Yes","No"))</f>
        <v>No</v>
      </c>
      <c r="Q740" s="17" t="s">
        <v>2889</v>
      </c>
      <c r="R740" s="17" t="s">
        <v>2889</v>
      </c>
      <c r="S740" s="17" t="s">
        <v>2889</v>
      </c>
      <c r="W740" s="17"/>
    </row>
    <row r="741" spans="1:23">
      <c r="A741" s="1">
        <v>107</v>
      </c>
      <c r="B741" s="1" t="str">
        <f>VLOOKUP(A741,Folha4!$1:$1048576,2,)</f>
        <v>OPS - Pagamentos de Prestadores</v>
      </c>
      <c r="D741" s="180"/>
      <c r="E741" s="1">
        <f>VLOOKUP(A741,Folha4!$1:$1048576,6,)</f>
        <v>377</v>
      </c>
      <c r="F741" s="1" t="str">
        <f>VLOOKUP(E741,'ESTRUTURA_MODULO(hide)'!$A$1:$B$106,2,FALSE)</f>
        <v>Produção de Contas Médicas</v>
      </c>
      <c r="I741" s="12">
        <v>40</v>
      </c>
      <c r="N741" s="17" t="str">
        <f>IF('General Information'!$C$18="Ambos (Prestador + OPS)","Yes",IF('General Information'!$C$18="Tasy Prestador","Yes","No"))</f>
        <v>No</v>
      </c>
      <c r="Q741" s="17" t="s">
        <v>2889</v>
      </c>
      <c r="R741" s="17" t="s">
        <v>2889</v>
      </c>
      <c r="S741" s="17" t="s">
        <v>2889</v>
      </c>
      <c r="W741" s="17"/>
    </row>
    <row r="742" spans="1:23">
      <c r="A742" s="1">
        <v>1285</v>
      </c>
      <c r="B742" s="1" t="str">
        <f>VLOOKUP(A742,Folha4!$1:$1048576,2,)</f>
        <v>OPS - Controle de Produção Médica</v>
      </c>
      <c r="D742" s="180"/>
      <c r="E742" s="1">
        <f>VLOOKUP(A742,Folha4!$1:$1048576,6,)</f>
        <v>377</v>
      </c>
      <c r="F742" s="1" t="str">
        <f>VLOOKUP(E742,'ESTRUTURA_MODULO(hide)'!$A$1:$B$106,2,FALSE)</f>
        <v>Produção de Contas Médicas</v>
      </c>
      <c r="I742" s="12">
        <f>VLOOKUP(A742,Folha4!$1:$1048576,11,)</f>
        <v>16</v>
      </c>
      <c r="N742" s="17" t="str">
        <f>IF('General Information'!$C$18="Ambos (Prestador + OPS)","Yes",IF('General Information'!$C$18="Tasy Prestador","Yes","No"))</f>
        <v>No</v>
      </c>
      <c r="Q742" s="17" t="s">
        <v>2890</v>
      </c>
      <c r="R742" s="17" t="s">
        <v>2890</v>
      </c>
      <c r="S742" s="17" t="s">
        <v>2890</v>
      </c>
      <c r="W742" s="17"/>
    </row>
    <row r="743" spans="1:23">
      <c r="A743" s="1">
        <v>1322</v>
      </c>
      <c r="B743" s="1" t="str">
        <f>VLOOKUP(A743,Folha4!$1:$1048576,2,)</f>
        <v>OPS - Registro de Devolução de Guias de Cobrança</v>
      </c>
      <c r="D743" s="180"/>
      <c r="E743" s="1">
        <f>VLOOKUP(A743,Folha4!$1:$1048576,6,)</f>
        <v>377</v>
      </c>
      <c r="F743" s="1" t="str">
        <f>VLOOKUP(E743,'ESTRUTURA_MODULO(hide)'!$A$1:$B$106,2,FALSE)</f>
        <v>Produção de Contas Médicas</v>
      </c>
      <c r="I743" s="12">
        <f>VLOOKUP(A743,Folha4!$1:$1048576,11,)</f>
        <v>8</v>
      </c>
      <c r="N743" s="17" t="str">
        <f>IF('General Information'!$C$18="Ambos (Prestador + OPS)","Yes",IF('General Information'!$C$18="Tasy Prestador","Yes","No"))</f>
        <v>No</v>
      </c>
      <c r="Q743" s="17" t="s">
        <v>2890</v>
      </c>
      <c r="R743" s="17" t="s">
        <v>2890</v>
      </c>
      <c r="S743" s="17" t="s">
        <v>2890</v>
      </c>
      <c r="W743" s="17"/>
    </row>
    <row r="744" spans="1:23">
      <c r="A744" s="1">
        <v>1314</v>
      </c>
      <c r="B744" s="1" t="str">
        <f>VLOOKUP(A744,Folha4!$1:$1048576,2,)</f>
        <v>OPS - Produção - Ajuste de Valorização</v>
      </c>
      <c r="D744" s="180"/>
      <c r="E744" s="1">
        <f>VLOOKUP(A744,Folha4!$1:$1048576,6,)</f>
        <v>377</v>
      </c>
      <c r="F744" s="1" t="str">
        <f>VLOOKUP(E744,'ESTRUTURA_MODULO(hide)'!$A$1:$B$106,2,FALSE)</f>
        <v>Produção de Contas Médicas</v>
      </c>
      <c r="I744" s="12">
        <v>24</v>
      </c>
      <c r="N744" s="17" t="str">
        <f>IF('General Information'!$C$18="Ambos (Prestador + OPS)","Yes",IF('General Information'!$C$18="Tasy Prestador","Yes","No"))</f>
        <v>No</v>
      </c>
      <c r="Q744" s="17" t="s">
        <v>2890</v>
      </c>
      <c r="R744" s="17" t="s">
        <v>2890</v>
      </c>
      <c r="S744" s="17" t="s">
        <v>2890</v>
      </c>
      <c r="W744" s="17"/>
    </row>
    <row r="745" spans="1:23">
      <c r="A745" s="1">
        <v>1283</v>
      </c>
      <c r="B745" s="1" t="str">
        <f>VLOOKUP(A745,Folha4!$1:$1048576,2,)</f>
        <v>OPS - Controle de Eventos e Ocorrências Financeiras</v>
      </c>
      <c r="D745" s="180"/>
      <c r="E745" s="1">
        <f>VLOOKUP(A745,Folha4!$1:$1048576,6,)</f>
        <v>377</v>
      </c>
      <c r="F745" s="1" t="str">
        <f>VLOOKUP(E745,'ESTRUTURA_MODULO(hide)'!$A$1:$B$106,2,FALSE)</f>
        <v>Produção de Contas Médicas</v>
      </c>
      <c r="I745" s="12">
        <f>VLOOKUP(A745,Folha4!$1:$1048576,11,)</f>
        <v>8</v>
      </c>
      <c r="N745" s="17" t="str">
        <f>IF('General Information'!$C$18="Ambos (Prestador + OPS)","Yes",IF('General Information'!$C$18="Tasy Prestador","Yes","No"))</f>
        <v>No</v>
      </c>
      <c r="Q745" s="17" t="s">
        <v>2890</v>
      </c>
      <c r="R745" s="17" t="s">
        <v>2890</v>
      </c>
      <c r="S745" s="17" t="s">
        <v>2890</v>
      </c>
      <c r="W745" s="17"/>
    </row>
    <row r="746" spans="1:23">
      <c r="A746" s="1">
        <v>1269</v>
      </c>
      <c r="B746" s="1" t="str">
        <f>VLOOKUP(A746,Folha4!$1:$1048576,2,)</f>
        <v>OPS - Localizador de Pagadores</v>
      </c>
      <c r="D746" s="180"/>
      <c r="E746" s="1">
        <f>VLOOKUP(A746,Folha4!$1:$1048576,6,)</f>
        <v>379</v>
      </c>
      <c r="F746" s="1" t="str">
        <f>VLOOKUP(E746,'ESTRUTURA_MODULO(hide)'!$A$1:$B$106,2,FALSE)</f>
        <v>Mensalidades</v>
      </c>
      <c r="I746" s="12">
        <f>VLOOKUP(A746,Folha4!$1:$1048576,11,)</f>
        <v>0</v>
      </c>
      <c r="N746" s="17" t="str">
        <f>IF('General Information'!$C$18="Ambos (Prestador + OPS)","Yes",IF('General Information'!$C$18="Tasy Prestador","Yes","No"))</f>
        <v>No</v>
      </c>
      <c r="Q746" s="17" t="s">
        <v>2890</v>
      </c>
      <c r="R746" s="17" t="s">
        <v>2890</v>
      </c>
      <c r="S746" s="17" t="s">
        <v>2890</v>
      </c>
      <c r="W746" s="17"/>
    </row>
    <row r="747" spans="1:23">
      <c r="A747" s="1">
        <v>1205</v>
      </c>
      <c r="B747" s="1" t="str">
        <f>VLOOKUP(A747,Folha4!$1:$1048576,2,)</f>
        <v>OPS - Mensalidade</v>
      </c>
      <c r="D747" s="180"/>
      <c r="E747" s="1">
        <f>VLOOKUP(A747,Folha4!$1:$1048576,6,)</f>
        <v>379</v>
      </c>
      <c r="F747" s="1" t="str">
        <f>VLOOKUP(E747,'ESTRUTURA_MODULO(hide)'!$A$1:$B$106,2,FALSE)</f>
        <v>Mensalidades</v>
      </c>
      <c r="I747" s="12">
        <f>VLOOKUP(A747,Folha4!$1:$1048576,11,)</f>
        <v>40</v>
      </c>
      <c r="N747" s="17" t="str">
        <f>IF('General Information'!$C$18="Ambos (Prestador + OPS)","Yes",IF('General Information'!$C$18="Tasy Prestador","Yes","No"))</f>
        <v>No</v>
      </c>
      <c r="Q747" s="17" t="s">
        <v>2889</v>
      </c>
      <c r="R747" s="17" t="s">
        <v>2889</v>
      </c>
      <c r="S747" s="17" t="s">
        <v>2889</v>
      </c>
      <c r="W747" s="17"/>
    </row>
    <row r="748" spans="1:23">
      <c r="A748" s="1">
        <v>1241</v>
      </c>
      <c r="B748" s="1" t="str">
        <f>VLOOKUP(A748,Folha4!$1:$1048576,2,)</f>
        <v>OPS - Controle de Notificações de Atraso</v>
      </c>
      <c r="D748" s="180"/>
      <c r="E748" s="1">
        <f>VLOOKUP(A748,Folha4!$1:$1048576,6,)</f>
        <v>379</v>
      </c>
      <c r="F748" s="1" t="str">
        <f>VLOOKUP(E748,'ESTRUTURA_MODULO(hide)'!$A$1:$B$106,2,FALSE)</f>
        <v>Mensalidades</v>
      </c>
      <c r="I748" s="12">
        <f>VLOOKUP(A748,Folha4!$1:$1048576,11,)</f>
        <v>12</v>
      </c>
      <c r="N748" s="17" t="str">
        <f>IF('General Information'!$C$18="Ambos (Prestador + OPS)","Yes",IF('General Information'!$C$18="Tasy Prestador","Yes","No"))</f>
        <v>No</v>
      </c>
      <c r="Q748" s="17" t="s">
        <v>2890</v>
      </c>
      <c r="R748" s="17" t="s">
        <v>2890</v>
      </c>
      <c r="S748" s="17" t="s">
        <v>2890</v>
      </c>
      <c r="W748" s="17"/>
    </row>
    <row r="749" spans="1:23">
      <c r="A749" s="1">
        <v>1260</v>
      </c>
      <c r="B749" s="1" t="str">
        <f>VLOOKUP(A749,Folha4!$1:$1048576,2,)</f>
        <v>OPS - Lançamentos Programados</v>
      </c>
      <c r="D749" s="180"/>
      <c r="E749" s="1">
        <f>VLOOKUP(A749,Folha4!$1:$1048576,6,)</f>
        <v>379</v>
      </c>
      <c r="F749" s="1" t="str">
        <f>VLOOKUP(E749,'ESTRUTURA_MODULO(hide)'!$A$1:$B$106,2,FALSE)</f>
        <v>Mensalidades</v>
      </c>
      <c r="I749" s="12">
        <f>VLOOKUP(A749,Folha4!$1:$1048576,11,)</f>
        <v>4</v>
      </c>
      <c r="N749" s="17" t="str">
        <f>IF('General Information'!$C$18="Ambos (Prestador + OPS)","Yes",IF('General Information'!$C$18="Tasy Prestador","Yes","No"))</f>
        <v>No</v>
      </c>
      <c r="Q749" s="17" t="s">
        <v>2889</v>
      </c>
      <c r="R749" s="17" t="s">
        <v>2889</v>
      </c>
      <c r="S749" s="17" t="s">
        <v>2889</v>
      </c>
      <c r="W749" s="17"/>
    </row>
    <row r="750" spans="1:23">
      <c r="A750" s="1">
        <v>1384</v>
      </c>
      <c r="B750" s="1" t="str">
        <f>VLOOKUP(A750,Folha4!$1:$1048576,2,)</f>
        <v>OPS - Geração de Boletos</v>
      </c>
      <c r="D750" s="180"/>
      <c r="E750" s="1">
        <f>VLOOKUP(A750,Folha4!$1:$1048576,6,)</f>
        <v>379</v>
      </c>
      <c r="F750" s="1" t="str">
        <f>VLOOKUP(E750,'ESTRUTURA_MODULO(hide)'!$A$1:$B$106,2,FALSE)</f>
        <v>Mensalidades</v>
      </c>
      <c r="I750" s="12">
        <f>VLOOKUP(A750,Folha4!$1:$1048576,11,)</f>
        <v>0</v>
      </c>
      <c r="N750" s="17" t="str">
        <f>IF('General Information'!$C$18="Ambos (Prestador + OPS)","Yes",IF('General Information'!$C$18="Tasy Prestador","Yes","No"))</f>
        <v>No</v>
      </c>
      <c r="Q750" s="17" t="s">
        <v>2890</v>
      </c>
      <c r="R750" s="17" t="s">
        <v>2890</v>
      </c>
      <c r="S750" s="17" t="s">
        <v>2890</v>
      </c>
      <c r="W750" s="17"/>
    </row>
    <row r="751" spans="1:23">
      <c r="A751" s="1">
        <v>1389</v>
      </c>
      <c r="B751" s="1" t="str">
        <f>VLOOKUP(A751,Folha4!$1:$1048576,2,)</f>
        <v>OPS - AME - Arquivos de Mensalidade Empresarial</v>
      </c>
      <c r="D751" s="180"/>
      <c r="E751" s="1">
        <f>VLOOKUP(A751,Folha4!$1:$1048576,6,)</f>
        <v>379</v>
      </c>
      <c r="F751" s="1" t="str">
        <f>VLOOKUP(E751,'ESTRUTURA_MODULO(hide)'!$A$1:$B$106,2,FALSE)</f>
        <v>Mensalidades</v>
      </c>
      <c r="I751" s="12">
        <v>24</v>
      </c>
      <c r="N751" s="17" t="str">
        <f>IF('General Information'!$C$18="Ambos (Prestador + OPS)","Yes",IF('General Information'!$C$18="Tasy Prestador","Yes","No"))</f>
        <v>No</v>
      </c>
      <c r="Q751" s="17" t="s">
        <v>2889</v>
      </c>
      <c r="R751" s="17" t="s">
        <v>2889</v>
      </c>
      <c r="S751" s="17" t="s">
        <v>2889</v>
      </c>
      <c r="W751" s="17"/>
    </row>
    <row r="752" spans="1:23">
      <c r="A752" s="1">
        <v>261</v>
      </c>
      <c r="B752" s="1" t="str">
        <f>VLOOKUP(A752,Folha4!$1:$1048576,2,)</f>
        <v>OPS - Gestão de Envio de E-mails</v>
      </c>
      <c r="D752" s="180"/>
      <c r="E752" s="1">
        <f>VLOOKUP(A752,Folha4!$1:$1048576,6,)</f>
        <v>379</v>
      </c>
      <c r="F752" s="1" t="str">
        <f>VLOOKUP(E752,'ESTRUTURA_MODULO(hide)'!$A$1:$B$106,2,FALSE)</f>
        <v>Mensalidades</v>
      </c>
      <c r="I752" s="12">
        <f>VLOOKUP(A752,Folha4!$1:$1048576,11,)</f>
        <v>8</v>
      </c>
      <c r="N752" s="17" t="str">
        <f>IF('General Information'!$C$18="Ambos (Prestador + OPS)","Yes",IF('General Information'!$C$18="Tasy Prestador","Yes","No"))</f>
        <v>No</v>
      </c>
      <c r="Q752" s="17" t="s">
        <v>2890</v>
      </c>
      <c r="R752" s="17" t="s">
        <v>2890</v>
      </c>
      <c r="S752" s="17" t="s">
        <v>2890</v>
      </c>
      <c r="W752" s="17"/>
    </row>
    <row r="753" spans="1:23">
      <c r="A753" s="1">
        <v>1245</v>
      </c>
      <c r="B753" s="1" t="str">
        <f>VLOOKUP(A753,Folha4!$1:$1048576,2,)</f>
        <v>OPS - Valores Pendentes</v>
      </c>
      <c r="D753" s="180"/>
      <c r="E753" s="1">
        <f>VLOOKUP(A753,Folha4!$1:$1048576,6,)</f>
        <v>379</v>
      </c>
      <c r="F753" s="1" t="str">
        <f>VLOOKUP(E753,'ESTRUTURA_MODULO(hide)'!$A$1:$B$106,2,FALSE)</f>
        <v>Mensalidades</v>
      </c>
      <c r="I753" s="12">
        <f>VLOOKUP(A753,Folha4!$1:$1048576,11,)</f>
        <v>4</v>
      </c>
      <c r="N753" s="17" t="str">
        <f>IF('General Information'!$C$18="Ambos (Prestador + OPS)","Yes",IF('General Information'!$C$18="Tasy Prestador","Yes","No"))</f>
        <v>No</v>
      </c>
      <c r="Q753" s="17" t="s">
        <v>2890</v>
      </c>
      <c r="R753" s="17" t="s">
        <v>2890</v>
      </c>
      <c r="S753" s="17" t="s">
        <v>2890</v>
      </c>
      <c r="W753" s="17"/>
    </row>
    <row r="754" spans="1:23">
      <c r="A754" s="1">
        <v>1354</v>
      </c>
      <c r="B754" s="1" t="str">
        <f>VLOOKUP(A754,Folha4!$1:$1048576,2,)</f>
        <v>OPS - Manutenção do Cadastro do Pagador</v>
      </c>
      <c r="D754" s="180"/>
      <c r="E754" s="1">
        <f>VLOOKUP(A754,Folha4!$1:$1048576,6,)</f>
        <v>379</v>
      </c>
      <c r="F754" s="1" t="str">
        <f>VLOOKUP(E754,'ESTRUTURA_MODULO(hide)'!$A$1:$B$106,2,FALSE)</f>
        <v>Mensalidades</v>
      </c>
      <c r="I754" s="12">
        <f>VLOOKUP(A754,Folha4!$1:$1048576,11,)</f>
        <v>4</v>
      </c>
      <c r="N754" s="17" t="str">
        <f>IF('General Information'!$C$18="Ambos (Prestador + OPS)","Yes",IF('General Information'!$C$18="Tasy Prestador","Yes","No"))</f>
        <v>No</v>
      </c>
      <c r="Q754" s="17" t="s">
        <v>2890</v>
      </c>
      <c r="R754" s="17" t="s">
        <v>2890</v>
      </c>
      <c r="S754" s="17" t="s">
        <v>2890</v>
      </c>
      <c r="W754" s="17"/>
    </row>
    <row r="755" spans="1:23">
      <c r="A755" s="1">
        <v>1386</v>
      </c>
      <c r="B755" s="1" t="str">
        <f>VLOOKUP(A755,Folha4!$1:$1048576,2,)</f>
        <v>OPS - Monitoramento ANS - Envio de dados para ANS</v>
      </c>
      <c r="D755" s="180"/>
      <c r="E755" s="1">
        <f>VLOOKUP(A755,Folha4!$1:$1048576,6,)</f>
        <v>380</v>
      </c>
      <c r="F755" s="1" t="str">
        <f>VLOOKUP(E755,'ESTRUTURA_MODULO(hide)'!$A$1:$B$106,2,FALSE)</f>
        <v>Informações ANS</v>
      </c>
      <c r="I755" s="12">
        <f>VLOOKUP(A755,Folha4!$1:$1048576,11,)</f>
        <v>32</v>
      </c>
      <c r="N755" s="17" t="str">
        <f>IF('General Information'!$C$18="Ambos (Prestador + OPS)","Yes",IF('General Information'!$C$18="Tasy Prestador","Yes","No"))</f>
        <v>No</v>
      </c>
      <c r="Q755" s="17" t="s">
        <v>2889</v>
      </c>
      <c r="R755" s="17" t="s">
        <v>2889</v>
      </c>
      <c r="S755" s="17" t="s">
        <v>2889</v>
      </c>
      <c r="W755" s="17"/>
    </row>
    <row r="756" spans="1:23">
      <c r="A756" s="1">
        <v>280</v>
      </c>
      <c r="B756" s="1" t="str">
        <f>VLOOKUP(A756,Folha4!$1:$1048576,2,)</f>
        <v>OPS - SIB ANS - Sistema de Informação de Beneficiários</v>
      </c>
      <c r="D756" s="180"/>
      <c r="E756" s="1">
        <f>VLOOKUP(A756,Folha4!$1:$1048576,6,)</f>
        <v>380</v>
      </c>
      <c r="F756" s="1" t="str">
        <f>VLOOKUP(E756,'ESTRUTURA_MODULO(hide)'!$A$1:$B$106,2,FALSE)</f>
        <v>Informações ANS</v>
      </c>
      <c r="I756" s="12">
        <f>VLOOKUP(A756,Folha4!$1:$1048576,11,)</f>
        <v>40</v>
      </c>
      <c r="N756" s="17" t="str">
        <f>IF('General Information'!$C$18="Ambos (Prestador + OPS)","Yes",IF('General Information'!$C$18="Tasy Prestador","Yes","No"))</f>
        <v>No</v>
      </c>
      <c r="Q756" s="17" t="s">
        <v>2889</v>
      </c>
      <c r="R756" s="17" t="s">
        <v>2889</v>
      </c>
      <c r="S756" s="17" t="s">
        <v>2889</v>
      </c>
      <c r="W756" s="17"/>
    </row>
    <row r="757" spans="1:23">
      <c r="A757" s="1">
        <v>1239</v>
      </c>
      <c r="B757" s="1" t="str">
        <f>VLOOKUP(A757,Folha4!$1:$1048576,2,)</f>
        <v>OPS - Taxa de Saúde Suplementar</v>
      </c>
      <c r="D757" s="180"/>
      <c r="E757" s="1">
        <f>VLOOKUP(A757,Folha4!$1:$1048576,6,)</f>
        <v>380</v>
      </c>
      <c r="F757" s="1" t="str">
        <f>VLOOKUP(E757,'ESTRUTURA_MODULO(hide)'!$A$1:$B$106,2,FALSE)</f>
        <v>Informações ANS</v>
      </c>
      <c r="I757" s="12">
        <f>VLOOKUP(A757,Folha4!$1:$1048576,11,)</f>
        <v>8</v>
      </c>
      <c r="N757" s="17" t="str">
        <f>IF('General Information'!$C$18="Ambos (Prestador + OPS)","Yes",IF('General Information'!$C$18="Tasy Prestador","Yes","No"))</f>
        <v>No</v>
      </c>
      <c r="Q757" s="17" t="s">
        <v>2890</v>
      </c>
      <c r="R757" s="17" t="s">
        <v>2890</v>
      </c>
      <c r="S757" s="17" t="s">
        <v>2890</v>
      </c>
      <c r="W757" s="17"/>
    </row>
    <row r="758" spans="1:23">
      <c r="A758" s="1">
        <v>1227</v>
      </c>
      <c r="B758" s="1" t="str">
        <f>VLOOKUP(A758,Folha4!$1:$1048576,2,)</f>
        <v>OPS - DIOPS - Documento de Informações Periódicas</v>
      </c>
      <c r="D758" s="180"/>
      <c r="E758" s="1">
        <f>VLOOKUP(A758,Folha4!$1:$1048576,6,)</f>
        <v>380</v>
      </c>
      <c r="F758" s="1" t="str">
        <f>VLOOKUP(E758,'ESTRUTURA_MODULO(hide)'!$A$1:$B$106,2,FALSE)</f>
        <v>Informações ANS</v>
      </c>
      <c r="I758" s="12">
        <f>VLOOKUP(A758,Folha4!$1:$1048576,11,)</f>
        <v>48</v>
      </c>
      <c r="N758" s="17" t="str">
        <f>IF('General Information'!$C$18="Ambos (Prestador + OPS)","Yes",IF('General Information'!$C$18="Tasy Prestador","Yes","No"))</f>
        <v>No</v>
      </c>
      <c r="Q758" s="17" t="s">
        <v>2889</v>
      </c>
      <c r="R758" s="17" t="s">
        <v>2889</v>
      </c>
      <c r="S758" s="17" t="s">
        <v>2889</v>
      </c>
      <c r="W758" s="17"/>
    </row>
    <row r="759" spans="1:23">
      <c r="A759" s="1">
        <v>1259</v>
      </c>
      <c r="B759" s="1" t="str">
        <f>VLOOKUP(A759,Folha4!$1:$1048576,2,)</f>
        <v>OPS - Provisões Técnicas</v>
      </c>
      <c r="D759" s="180"/>
      <c r="E759" s="1">
        <f>VLOOKUP(A759,Folha4!$1:$1048576,6,)</f>
        <v>380</v>
      </c>
      <c r="F759" s="1" t="str">
        <f>VLOOKUP(E759,'ESTRUTURA_MODULO(hide)'!$A$1:$B$106,2,FALSE)</f>
        <v>Informações ANS</v>
      </c>
      <c r="I759" s="12">
        <f>VLOOKUP(A759,Folha4!$1:$1048576,11,)</f>
        <v>24</v>
      </c>
      <c r="N759" s="17" t="str">
        <f>IF('General Information'!$C$18="Ambos (Prestador + OPS)","Yes",IF('General Information'!$C$18="Tasy Prestador","Yes","No"))</f>
        <v>No</v>
      </c>
      <c r="Q759" s="17" t="s">
        <v>2889</v>
      </c>
      <c r="R759" s="17" t="s">
        <v>2889</v>
      </c>
      <c r="S759" s="17" t="s">
        <v>2889</v>
      </c>
      <c r="W759" s="17"/>
    </row>
    <row r="760" spans="1:23">
      <c r="A760" s="1">
        <v>1375</v>
      </c>
      <c r="B760" s="1" t="str">
        <f>VLOOKUP(A760,Folha4!$1:$1048576,2,)</f>
        <v>OPS - Registro de Planos de Saúde (RPS)</v>
      </c>
      <c r="D760" s="180"/>
      <c r="E760" s="1">
        <f>VLOOKUP(A760,Folha4!$1:$1048576,6,)</f>
        <v>380</v>
      </c>
      <c r="F760" s="1" t="str">
        <f>VLOOKUP(E760,'ESTRUTURA_MODULO(hide)'!$A$1:$B$106,2,FALSE)</f>
        <v>Informações ANS</v>
      </c>
      <c r="I760" s="12">
        <f>VLOOKUP(A760,Folha4!$1:$1048576,11,)</f>
        <v>16</v>
      </c>
      <c r="N760" s="17" t="str">
        <f>IF('General Information'!$C$18="Ambos (Prestador + OPS)","Yes",IF('General Information'!$C$18="Tasy Prestador","Yes","No"))</f>
        <v>No</v>
      </c>
      <c r="Q760" s="17" t="s">
        <v>2890</v>
      </c>
      <c r="R760" s="17" t="s">
        <v>2890</v>
      </c>
      <c r="S760" s="17" t="s">
        <v>2890</v>
      </c>
      <c r="W760" s="17"/>
    </row>
    <row r="761" spans="1:23">
      <c r="A761" s="1">
        <v>1380</v>
      </c>
      <c r="B761" s="1" t="str">
        <f>VLOOKUP(A761,Folha4!$1:$1048576,2,)</f>
        <v>OPS - Radar TISS</v>
      </c>
      <c r="D761" s="180"/>
      <c r="E761" s="1">
        <f>VLOOKUP(A761,Folha4!$1:$1048576,6,)</f>
        <v>380</v>
      </c>
      <c r="F761" s="1" t="str">
        <f>VLOOKUP(E761,'ESTRUTURA_MODULO(hide)'!$A$1:$B$106,2,FALSE)</f>
        <v>Informações ANS</v>
      </c>
      <c r="I761" s="12">
        <f>VLOOKUP(A761,Folha4!$1:$1048576,11,)</f>
        <v>0</v>
      </c>
      <c r="N761" s="17" t="str">
        <f>IF('General Information'!$C$18="Ambos (Prestador + OPS)","Yes",IF('General Information'!$C$18="Tasy Prestador","Yes","No"))</f>
        <v>No</v>
      </c>
      <c r="Q761" s="17" t="s">
        <v>2890</v>
      </c>
      <c r="R761" s="17" t="s">
        <v>2890</v>
      </c>
      <c r="S761" s="17" t="s">
        <v>2890</v>
      </c>
      <c r="W761" s="17"/>
    </row>
    <row r="762" spans="1:23">
      <c r="A762" s="1">
        <v>1231</v>
      </c>
      <c r="B762" s="1" t="str">
        <f>VLOOKUP(A762,Folha4!$1:$1048576,2,)</f>
        <v>OPS - SIP - Sistema de Informações de Produtos</v>
      </c>
      <c r="D762" s="180"/>
      <c r="E762" s="1">
        <f>VLOOKUP(A762,Folha4!$1:$1048576,6,)</f>
        <v>380</v>
      </c>
      <c r="F762" s="1" t="str">
        <f>VLOOKUP(E762,'ESTRUTURA_MODULO(hide)'!$A$1:$B$106,2,FALSE)</f>
        <v>Informações ANS</v>
      </c>
      <c r="I762" s="12">
        <f>VLOOKUP(A762,Folha4!$1:$1048576,11,)</f>
        <v>32</v>
      </c>
      <c r="N762" s="17" t="str">
        <f>IF('General Information'!$C$18="Ambos (Prestador + OPS)","Yes",IF('General Information'!$C$18="Tasy Prestador","Yes","No"))</f>
        <v>No</v>
      </c>
      <c r="Q762" s="17" t="s">
        <v>2889</v>
      </c>
      <c r="R762" s="17" t="s">
        <v>2889</v>
      </c>
      <c r="S762" s="17" t="s">
        <v>2889</v>
      </c>
      <c r="W762" s="17"/>
    </row>
    <row r="763" spans="1:23">
      <c r="A763" s="1">
        <v>1370</v>
      </c>
      <c r="B763" s="1" t="str">
        <f>VLOOKUP(A763,Folha4!$1:$1048576,2,)</f>
        <v>OPS - Envio de Informações Cadastrais de Prestadores Médicos (CPM)</v>
      </c>
      <c r="D763" s="180"/>
      <c r="E763" s="1">
        <f>VLOOKUP(A763,Folha4!$1:$1048576,6,)</f>
        <v>380</v>
      </c>
      <c r="F763" s="1" t="str">
        <f>VLOOKUP(E763,'ESTRUTURA_MODULO(hide)'!$A$1:$B$106,2,FALSE)</f>
        <v>Informações ANS</v>
      </c>
      <c r="I763" s="12">
        <f>VLOOKUP(A763,Folha4!$1:$1048576,11,)</f>
        <v>0</v>
      </c>
      <c r="N763" s="17" t="str">
        <f>IF('General Information'!$C$18="Ambos (Prestador + OPS)","Yes",IF('General Information'!$C$18="Tasy Prestador","Yes","No"))</f>
        <v>No</v>
      </c>
      <c r="Q763" s="17" t="s">
        <v>2890</v>
      </c>
      <c r="R763" s="17" t="s">
        <v>2890</v>
      </c>
      <c r="S763" s="17" t="s">
        <v>2890</v>
      </c>
      <c r="W763" s="17"/>
    </row>
    <row r="764" spans="1:23">
      <c r="A764" s="1">
        <v>110</v>
      </c>
      <c r="B764" s="1" t="str">
        <f>VLOOKUP(A764,Folha4!$1:$1048576,2,)</f>
        <v>OPS - Portal Web</v>
      </c>
      <c r="D764" s="180"/>
      <c r="E764" s="1">
        <f>VLOOKUP(A764,Folha4!$1:$1048576,6,)</f>
        <v>381</v>
      </c>
      <c r="F764" s="1" t="str">
        <f>VLOOKUP(E764,'ESTRUTURA_MODULO(hide)'!$A$1:$B$106,2,FALSE)</f>
        <v>Portal Web</v>
      </c>
      <c r="I764" s="12">
        <f>VLOOKUP(A764,Folha4!$1:$1048576,11,)</f>
        <v>4</v>
      </c>
      <c r="N764" s="17" t="str">
        <f>IF('General Information'!$C$18="Ambos (Prestador + OPS)","Yes",IF('General Information'!$C$18="Tasy Prestador","Yes","No"))</f>
        <v>No</v>
      </c>
      <c r="Q764" s="17" t="s">
        <v>2889</v>
      </c>
      <c r="R764" s="17" t="s">
        <v>2889</v>
      </c>
      <c r="S764" s="17" t="s">
        <v>2889</v>
      </c>
      <c r="W764" s="17"/>
    </row>
    <row r="765" spans="1:23">
      <c r="A765" s="1">
        <v>1278</v>
      </c>
      <c r="B765" s="1" t="str">
        <f>VLOOKUP(A765,Folha4!$1:$1048576,2,)</f>
        <v>OPS - Gestão de Contratos Coletivos para Relacionamento</v>
      </c>
      <c r="D765" s="180"/>
      <c r="E765" s="1">
        <f>VLOOKUP(A765,Folha4!$1:$1048576,6,)</f>
        <v>582</v>
      </c>
      <c r="F765" s="1" t="str">
        <f>VLOOKUP(E765,'ESTRUTURA_MODULO(hide)'!$A$1:$B$106,2,FALSE)</f>
        <v>Relacionamento</v>
      </c>
      <c r="I765" s="12">
        <f>VLOOKUP(A765,Folha4!$1:$1048576,11,)</f>
        <v>16</v>
      </c>
      <c r="N765" s="17" t="str">
        <f>IF('General Information'!$C$18="Ambos (Prestador + OPS)","Yes",IF('General Information'!$C$18="Tasy Prestador","Yes","No"))</f>
        <v>No</v>
      </c>
      <c r="Q765" s="17" t="s">
        <v>2890</v>
      </c>
      <c r="R765" s="17" t="s">
        <v>2890</v>
      </c>
      <c r="S765" s="17" t="s">
        <v>2890</v>
      </c>
      <c r="W765" s="17"/>
    </row>
    <row r="766" spans="1:23">
      <c r="A766" s="1">
        <v>1387</v>
      </c>
      <c r="B766" s="1" t="str">
        <f>VLOOKUP(A766,Folha4!$1:$1048576,2,)</f>
        <v>OPS - Escriturações de Quotas de Cooperados</v>
      </c>
      <c r="D766" s="180"/>
      <c r="E766" s="1">
        <f>VLOOKUP(A766,Folha4!$1:$1048576,6,)</f>
        <v>583</v>
      </c>
      <c r="F766" s="1" t="str">
        <f>VLOOKUP(E766,'ESTRUTURA_MODULO(hide)'!$A$1:$B$106,2,FALSE)</f>
        <v>Gestão de Cooperados</v>
      </c>
      <c r="I766" s="12">
        <f>VLOOKUP(A766,Folha4!$1:$1048576,11,)</f>
        <v>12</v>
      </c>
      <c r="N766" s="17" t="str">
        <f>IF('General Information'!$C$18="Ambos (Prestador + OPS)","Yes",IF('General Information'!$C$18="Tasy Prestador","Yes","No"))</f>
        <v>No</v>
      </c>
      <c r="Q766" s="17" t="s">
        <v>2890</v>
      </c>
      <c r="R766" s="17" t="s">
        <v>2889</v>
      </c>
      <c r="S766" s="17" t="s">
        <v>2890</v>
      </c>
      <c r="W766" s="17"/>
    </row>
    <row r="767" spans="1:23">
      <c r="A767" s="1">
        <v>1279</v>
      </c>
      <c r="B767" s="1" t="str">
        <f>VLOOKUP(A767,Folha4!$1:$1048576,2,)</f>
        <v>OPS - Gestão de Cooperados</v>
      </c>
      <c r="D767" s="180"/>
      <c r="E767" s="1">
        <f>VLOOKUP(A767,Folha4!$1:$1048576,6,)</f>
        <v>583</v>
      </c>
      <c r="F767" s="1" t="str">
        <f>VLOOKUP(E767,'ESTRUTURA_MODULO(hide)'!$A$1:$B$106,2,FALSE)</f>
        <v>Gestão de Cooperados</v>
      </c>
      <c r="I767" s="12">
        <f>VLOOKUP(A767,Folha4!$1:$1048576,11,)</f>
        <v>16</v>
      </c>
      <c r="N767" s="17" t="str">
        <f>IF('General Information'!$C$18="Ambos (Prestador + OPS)","Yes",IF('General Information'!$C$18="Tasy Prestador","Yes","No"))</f>
        <v>No</v>
      </c>
      <c r="Q767" s="17" t="s">
        <v>2889</v>
      </c>
      <c r="R767" s="17" t="s">
        <v>2889</v>
      </c>
      <c r="S767" s="17" t="s">
        <v>2889</v>
      </c>
      <c r="W767" s="17"/>
    </row>
    <row r="768" spans="1:23">
      <c r="A768" s="1">
        <v>1328</v>
      </c>
      <c r="B768" s="1" t="str">
        <f>VLOOKUP(A768,Folha4!$1:$1048576,2,)</f>
        <v>OPS - Geração do SEFIP e E-Social</v>
      </c>
      <c r="D768" s="180"/>
      <c r="E768" s="1">
        <f>VLOOKUP(A768,Folha4!$1:$1048576,6,)</f>
        <v>685</v>
      </c>
      <c r="F768" s="1" t="str">
        <f>VLOOKUP(E768,'ESTRUTURA_MODULO(hide)'!$A$1:$B$106,2,FALSE)</f>
        <v>Fiscal</v>
      </c>
      <c r="I768" s="12">
        <v>48</v>
      </c>
      <c r="N768" s="17" t="str">
        <f>IF('General Information'!$C$18="Ambos (Prestador + OPS)","Yes",IF('General Information'!$C$18="Tasy Prestador","Yes","No"))</f>
        <v>No</v>
      </c>
      <c r="Q768" s="17" t="s">
        <v>2889</v>
      </c>
      <c r="R768" s="17" t="s">
        <v>2889</v>
      </c>
      <c r="S768" s="17" t="s">
        <v>2889</v>
      </c>
      <c r="W768" s="17"/>
    </row>
    <row r="769" spans="1:23">
      <c r="A769" s="1">
        <v>1203</v>
      </c>
      <c r="B769" s="1" t="str">
        <f>VLOOKUP(A769,Folha4!$1:$1048576,2,)</f>
        <v>OPS - Prestadores</v>
      </c>
      <c r="D769" s="180"/>
      <c r="E769" s="1">
        <f>VLOOKUP(A769,Folha4!$1:$1048576,6,)</f>
        <v>690</v>
      </c>
      <c r="F769" s="1" t="str">
        <f>VLOOKUP(E769,'ESTRUTURA_MODULO(hide)'!$A$1:$B$106,2,FALSE)</f>
        <v>Prestadores</v>
      </c>
      <c r="I769" s="12">
        <f>VLOOKUP(A769,Folha4!$1:$1048576,11,)</f>
        <v>40</v>
      </c>
      <c r="N769" s="17" t="str">
        <f>IF('General Information'!$C$18="Ambos (Prestador + OPS)","Yes",IF('General Information'!$C$18="Tasy Prestador","Yes","No"))</f>
        <v>No</v>
      </c>
      <c r="Q769" s="17" t="s">
        <v>2889</v>
      </c>
      <c r="R769" s="17" t="s">
        <v>2889</v>
      </c>
      <c r="S769" s="17" t="s">
        <v>2889</v>
      </c>
      <c r="W769" s="17"/>
    </row>
    <row r="770" spans="1:23">
      <c r="A770" s="1">
        <v>1346</v>
      </c>
      <c r="B770" s="1" t="str">
        <f>VLOOKUP(A770,Folha4!$1:$1048576,2,)</f>
        <v>OPS - Localizador de Grupos de Prestadores</v>
      </c>
      <c r="D770" s="180"/>
      <c r="E770" s="1">
        <f>VLOOKUP(A770,Folha4!$1:$1048576,6,)</f>
        <v>690</v>
      </c>
      <c r="F770" s="1" t="str">
        <f>VLOOKUP(E770,'ESTRUTURA_MODULO(hide)'!$A$1:$B$106,2,FALSE)</f>
        <v>Prestadores</v>
      </c>
      <c r="I770" s="12">
        <f>VLOOKUP(A770,Folha4!$1:$1048576,11,)</f>
        <v>0</v>
      </c>
      <c r="N770" s="17" t="str">
        <f>IF('General Information'!$C$18="Ambos (Prestador + OPS)","Yes",IF('General Information'!$C$18="Tasy Prestador","Yes","No"))</f>
        <v>No</v>
      </c>
      <c r="Q770" s="17" t="s">
        <v>2890</v>
      </c>
      <c r="R770" s="17" t="s">
        <v>2890</v>
      </c>
      <c r="S770" s="17" t="s">
        <v>2890</v>
      </c>
      <c r="W770" s="17"/>
    </row>
    <row r="771" spans="1:23">
      <c r="A771" s="1">
        <v>1363</v>
      </c>
      <c r="B771" s="1" t="str">
        <f>VLOOKUP(A771,Folha4!$1:$1048576,2,)</f>
        <v>OPS - Manutenção de Conversões de Itens</v>
      </c>
      <c r="D771" s="180"/>
      <c r="E771" s="1">
        <f>VLOOKUP(A771,Folha4!$1:$1048576,6,)</f>
        <v>690</v>
      </c>
      <c r="F771" s="1" t="str">
        <f>VLOOKUP(E771,'ESTRUTURA_MODULO(hide)'!$A$1:$B$106,2,FALSE)</f>
        <v>Prestadores</v>
      </c>
      <c r="I771" s="12">
        <f>VLOOKUP(A771,Folha4!$1:$1048576,11,)</f>
        <v>8</v>
      </c>
      <c r="N771" s="17" t="str">
        <f>IF('General Information'!$C$18="Ambos (Prestador + OPS)","Yes",IF('General Information'!$C$18="Tasy Prestador","Yes","No"))</f>
        <v>No</v>
      </c>
      <c r="Q771" s="17" t="s">
        <v>2890</v>
      </c>
      <c r="R771" s="17" t="s">
        <v>2890</v>
      </c>
      <c r="S771" s="17" t="s">
        <v>2890</v>
      </c>
      <c r="W771" s="17"/>
    </row>
    <row r="772" spans="1:23">
      <c r="A772" s="1">
        <v>1336</v>
      </c>
      <c r="B772" s="1" t="str">
        <f>VLOOKUP(A772,Folha4!$1:$1048576,2,)</f>
        <v>OPS - Localizador de Grupos de Serviços</v>
      </c>
      <c r="D772" s="180"/>
      <c r="E772" s="1">
        <f>VLOOKUP(A772,Folha4!$1:$1048576,6,)</f>
        <v>690</v>
      </c>
      <c r="F772" s="1" t="str">
        <f>VLOOKUP(E772,'ESTRUTURA_MODULO(hide)'!$A$1:$B$106,2,FALSE)</f>
        <v>Prestadores</v>
      </c>
      <c r="I772" s="12">
        <f>VLOOKUP(A772,Folha4!$1:$1048576,11,)</f>
        <v>0</v>
      </c>
      <c r="N772" s="17" t="str">
        <f>IF('General Information'!$C$18="Ambos (Prestador + OPS)","Yes",IF('General Information'!$C$18="Tasy Prestador","Yes","No"))</f>
        <v>No</v>
      </c>
      <c r="Q772" s="17" t="s">
        <v>2890</v>
      </c>
      <c r="R772" s="17" t="s">
        <v>2890</v>
      </c>
      <c r="S772" s="17" t="s">
        <v>2890</v>
      </c>
      <c r="W772" s="17"/>
    </row>
    <row r="773" spans="1:23">
      <c r="A773" s="1">
        <v>1321</v>
      </c>
      <c r="B773" s="1" t="str">
        <f>VLOOKUP(A773,Folha4!$1:$1048576,2,)</f>
        <v>OPS - Gestão de Pacotes</v>
      </c>
      <c r="D773" s="180"/>
      <c r="E773" s="1">
        <f>VLOOKUP(A773,Folha4!$1:$1048576,6,)</f>
        <v>690</v>
      </c>
      <c r="F773" s="1" t="str">
        <f>VLOOKUP(E773,'ESTRUTURA_MODULO(hide)'!$A$1:$B$106,2,FALSE)</f>
        <v>Prestadores</v>
      </c>
      <c r="I773" s="12">
        <f>VLOOKUP(A773,Folha4!$1:$1048576,11,)</f>
        <v>32</v>
      </c>
      <c r="N773" s="17" t="str">
        <f>IF('General Information'!$C$18="Ambos (Prestador + OPS)","Yes",IF('General Information'!$C$18="Tasy Prestador","Yes","No"))</f>
        <v>No</v>
      </c>
      <c r="Q773" s="17" t="s">
        <v>2889</v>
      </c>
      <c r="R773" s="17" t="s">
        <v>2889</v>
      </c>
      <c r="S773" s="17" t="s">
        <v>2889</v>
      </c>
      <c r="W773" s="17"/>
    </row>
    <row r="774" spans="1:23">
      <c r="A774" s="1">
        <v>1341</v>
      </c>
      <c r="B774" s="1" t="str">
        <f>VLOOKUP(A774,Folha4!$1:$1048576,2,)</f>
        <v>OPS - Controle de Locais de Atendimento</v>
      </c>
      <c r="D774" s="180"/>
      <c r="E774" s="1">
        <f>VLOOKUP(A774,Folha4!$1:$1048576,6,)</f>
        <v>690</v>
      </c>
      <c r="F774" s="1" t="str">
        <f>VLOOKUP(E774,'ESTRUTURA_MODULO(hide)'!$A$1:$B$106,2,FALSE)</f>
        <v>Prestadores</v>
      </c>
      <c r="I774" s="12">
        <f>VLOOKUP(A774,Folha4!$1:$1048576,11,)</f>
        <v>4</v>
      </c>
      <c r="N774" s="17" t="str">
        <f>IF('General Information'!$C$18="Ambos (Prestador + OPS)","Yes",IF('General Information'!$C$18="Tasy Prestador","Yes","No"))</f>
        <v>No</v>
      </c>
      <c r="Q774" s="17" t="s">
        <v>2890</v>
      </c>
      <c r="R774" s="17" t="s">
        <v>2890</v>
      </c>
      <c r="S774" s="17" t="s">
        <v>2890</v>
      </c>
      <c r="W774" s="17"/>
    </row>
    <row r="775" spans="1:23">
      <c r="A775" s="1">
        <v>1323</v>
      </c>
      <c r="B775" s="1" t="str">
        <f>VLOOKUP(A775,Folha4!$1:$1048576,2,)</f>
        <v>OPS - Movimentação Cadastral de Prestador (A400)</v>
      </c>
      <c r="D775" s="180"/>
      <c r="E775" s="1">
        <f>VLOOKUP(A775,Folha4!$1:$1048576,6,)</f>
        <v>690</v>
      </c>
      <c r="F775" s="1" t="str">
        <f>VLOOKUP(E775,'ESTRUTURA_MODULO(hide)'!$A$1:$B$106,2,FALSE)</f>
        <v>Prestadores</v>
      </c>
      <c r="I775" s="12">
        <v>48</v>
      </c>
      <c r="N775" s="17" t="str">
        <f>IF('General Information'!$C$18="Ambos (Prestador + OPS)","Yes",IF('General Information'!$C$18="Tasy Prestador","Yes","No"))</f>
        <v>No</v>
      </c>
      <c r="Q775" s="17" t="s">
        <v>2889</v>
      </c>
      <c r="R775" s="17" t="s">
        <v>2889</v>
      </c>
      <c r="S775" s="17" t="s">
        <v>2889</v>
      </c>
      <c r="W775" s="17"/>
    </row>
    <row r="776" spans="1:23">
      <c r="A776" s="1">
        <v>1212</v>
      </c>
      <c r="B776" s="1" t="str">
        <f>VLOOKUP(A776,Folha4!$1:$1048576,2,)</f>
        <v>OPS - Tabelas de Preços</v>
      </c>
      <c r="D776" s="180"/>
      <c r="E776" s="1">
        <f>VLOOKUP(A776,Folha4!$1:$1048576,6,)</f>
        <v>690</v>
      </c>
      <c r="F776" s="1" t="str">
        <f>VLOOKUP(E776,'ESTRUTURA_MODULO(hide)'!$A$1:$B$106,2,FALSE)</f>
        <v>Prestadores</v>
      </c>
      <c r="I776" s="12">
        <f>VLOOKUP(A776,Folha4!$1:$1048576,11,)</f>
        <v>16</v>
      </c>
      <c r="N776" s="17" t="str">
        <f>IF('General Information'!$C$18="Ambos (Prestador + OPS)","Yes",IF('General Information'!$C$18="Tasy Prestador","Yes","No"))</f>
        <v>No</v>
      </c>
      <c r="Q776" s="17" t="s">
        <v>2889</v>
      </c>
      <c r="R776" s="17" t="s">
        <v>2889</v>
      </c>
      <c r="S776" s="17" t="s">
        <v>2889</v>
      </c>
      <c r="W776" s="17"/>
    </row>
    <row r="777" spans="1:23">
      <c r="A777" s="1">
        <v>1222</v>
      </c>
      <c r="B777" s="1" t="str">
        <f>VLOOKUP(A777,Folha4!$1:$1048576,2,)</f>
        <v>OPS - Localizador de Prestadores</v>
      </c>
      <c r="D777" s="180"/>
      <c r="E777" s="1">
        <f>VLOOKUP(A777,Folha4!$1:$1048576,6,)</f>
        <v>690</v>
      </c>
      <c r="F777" s="1" t="str">
        <f>VLOOKUP(E777,'ESTRUTURA_MODULO(hide)'!$A$1:$B$106,2,FALSE)</f>
        <v>Prestadores</v>
      </c>
      <c r="I777" s="12">
        <f>VLOOKUP(A777,Folha4!$1:$1048576,11,)</f>
        <v>0</v>
      </c>
      <c r="N777" s="17" t="str">
        <f>IF('General Information'!$C$18="Ambos (Prestador + OPS)","Yes",IF('General Information'!$C$18="Tasy Prestador","Yes","No"))</f>
        <v>No</v>
      </c>
      <c r="Q777" s="17" t="s">
        <v>2890</v>
      </c>
      <c r="R777" s="17" t="s">
        <v>2890</v>
      </c>
      <c r="S777" s="17" t="s">
        <v>2890</v>
      </c>
      <c r="W777" s="17"/>
    </row>
    <row r="778" spans="1:23">
      <c r="A778" s="1">
        <v>1230</v>
      </c>
      <c r="B778" s="1" t="str">
        <f>VLOOKUP(A778,Folha4!$1:$1048576,2,)</f>
        <v>OPS - Guia Médico</v>
      </c>
      <c r="D778" s="180"/>
      <c r="E778" s="1">
        <f>VLOOKUP(A778,Folha4!$1:$1048576,6,)</f>
        <v>690</v>
      </c>
      <c r="F778" s="1" t="str">
        <f>VLOOKUP(E778,'ESTRUTURA_MODULO(hide)'!$A$1:$B$106,2,FALSE)</f>
        <v>Prestadores</v>
      </c>
      <c r="I778" s="12">
        <f>VLOOKUP(A778,Folha4!$1:$1048576,11,)</f>
        <v>16</v>
      </c>
      <c r="N778" s="17" t="str">
        <f>IF('General Information'!$C$18="Ambos (Prestador + OPS)","Yes",IF('General Information'!$C$18="Tasy Prestador","Yes","No"))</f>
        <v>No</v>
      </c>
      <c r="Q778" s="17" t="s">
        <v>2889</v>
      </c>
      <c r="R778" s="17" t="s">
        <v>2889</v>
      </c>
      <c r="S778" s="17" t="s">
        <v>2889</v>
      </c>
      <c r="W778" s="17"/>
    </row>
    <row r="779" spans="1:23">
      <c r="A779" s="1">
        <v>1211</v>
      </c>
      <c r="B779" s="1" t="str">
        <f>VLOOKUP(A779,Folha4!$1:$1048576,2,)</f>
        <v>OPS - Cadastro de Materiais</v>
      </c>
      <c r="D779" s="180"/>
      <c r="E779" s="1">
        <f>VLOOKUP(A779,Folha4!$1:$1048576,6,)</f>
        <v>690</v>
      </c>
      <c r="F779" s="1" t="str">
        <f>VLOOKUP(E779,'ESTRUTURA_MODULO(hide)'!$A$1:$B$106,2,FALSE)</f>
        <v>Prestadores</v>
      </c>
      <c r="I779" s="12">
        <f>VLOOKUP(A779,Folha4!$1:$1048576,11,)</f>
        <v>32</v>
      </c>
      <c r="N779" s="17" t="str">
        <f>IF('General Information'!$C$18="Ambos (Prestador + OPS)","Yes",IF('General Information'!$C$18="Tasy Prestador","Yes","No"))</f>
        <v>No</v>
      </c>
      <c r="Q779" s="17" t="s">
        <v>2889</v>
      </c>
      <c r="R779" s="17" t="s">
        <v>2889</v>
      </c>
      <c r="S779" s="17" t="s">
        <v>2889</v>
      </c>
      <c r="W779" s="17"/>
    </row>
    <row r="780" spans="1:23">
      <c r="A780" s="1">
        <v>1210</v>
      </c>
      <c r="B780" s="1" t="str">
        <f>VLOOKUP(A780,Folha4!$1:$1048576,2,)</f>
        <v>OPS - Consulta de Preços</v>
      </c>
      <c r="D780" s="180"/>
      <c r="E780" s="1">
        <f>VLOOKUP(A780,Folha4!$1:$1048576,6,)</f>
        <v>690</v>
      </c>
      <c r="F780" s="1" t="str">
        <f>VLOOKUP(E780,'ESTRUTURA_MODULO(hide)'!$A$1:$B$106,2,FALSE)</f>
        <v>Prestadores</v>
      </c>
      <c r="I780" s="12">
        <f>VLOOKUP(A780,Folha4!$1:$1048576,11,)</f>
        <v>2</v>
      </c>
      <c r="N780" s="17" t="str">
        <f>IF('General Information'!$C$18="Ambos (Prestador + OPS)","Yes",IF('General Information'!$C$18="Tasy Prestador","Yes","No"))</f>
        <v>No</v>
      </c>
      <c r="Q780" s="17" t="s">
        <v>2890</v>
      </c>
      <c r="R780" s="17" t="s">
        <v>2890</v>
      </c>
      <c r="S780" s="17" t="s">
        <v>2890</v>
      </c>
      <c r="W780" s="17"/>
    </row>
    <row r="781" spans="1:23">
      <c r="A781" s="1">
        <v>1243</v>
      </c>
      <c r="B781" s="1" t="str">
        <f>VLOOKUP(A781,Folha4!$1:$1048576,2,)</f>
        <v>OPS - Cargas</v>
      </c>
      <c r="D781" s="180"/>
      <c r="E781" s="1">
        <f>VLOOKUP(A781,Folha4!$1:$1048576,6,)</f>
        <v>690</v>
      </c>
      <c r="F781" s="1" t="str">
        <f>VLOOKUP(E781,'ESTRUTURA_MODULO(hide)'!$A$1:$B$106,2,FALSE)</f>
        <v>Prestadores</v>
      </c>
      <c r="I781" s="12">
        <f>VLOOKUP(A781,Folha4!$1:$1048576,11,)</f>
        <v>0</v>
      </c>
      <c r="N781" s="17" t="str">
        <f>IF('General Information'!$C$18="Ambos (Prestador + OPS)","Yes",IF('General Information'!$C$18="Tasy Prestador","Yes","No"))</f>
        <v>No</v>
      </c>
      <c r="Q781" s="17" t="s">
        <v>2890</v>
      </c>
      <c r="R781" s="17" t="s">
        <v>2890</v>
      </c>
      <c r="S781" s="17" t="s">
        <v>2890</v>
      </c>
      <c r="W781" s="17"/>
    </row>
    <row r="782" spans="1:23">
      <c r="A782" s="1">
        <v>1360</v>
      </c>
      <c r="B782" s="1" t="str">
        <f>VLOOKUP(A782,Folha4!$1:$1048576,2,)</f>
        <v>OPS - Localizador de Operadoras</v>
      </c>
      <c r="D782" s="180"/>
      <c r="E782" s="1">
        <f>VLOOKUP(A782,Folha4!$1:$1048576,6,)</f>
        <v>690</v>
      </c>
      <c r="F782" s="1" t="str">
        <f>VLOOKUP(E782,'ESTRUTURA_MODULO(hide)'!$A$1:$B$106,2,FALSE)</f>
        <v>Prestadores</v>
      </c>
      <c r="I782" s="12">
        <f>VLOOKUP(A782,Folha4!$1:$1048576,11,)</f>
        <v>0</v>
      </c>
      <c r="N782" s="17" t="str">
        <f>IF('General Information'!$C$18="Ambos (Prestador + OPS)","Yes",IF('General Information'!$C$18="Tasy Prestador","Yes","No"))</f>
        <v>No</v>
      </c>
      <c r="Q782" s="17" t="s">
        <v>2890</v>
      </c>
      <c r="R782" s="17" t="s">
        <v>2890</v>
      </c>
      <c r="S782" s="17" t="s">
        <v>2890</v>
      </c>
      <c r="W782" s="17"/>
    </row>
    <row r="783" spans="1:23">
      <c r="A783" s="1">
        <v>1261</v>
      </c>
      <c r="B783" s="1" t="str">
        <f>VLOOKUP(A783,Folha4!$1:$1048576,2,)</f>
        <v>OPS - Cooperativas Médicas</v>
      </c>
      <c r="D783" s="180"/>
      <c r="E783" s="1">
        <f>VLOOKUP(A783,Folha4!$1:$1048576,6,)</f>
        <v>690</v>
      </c>
      <c r="F783" s="1" t="str">
        <f>VLOOKUP(E783,'ESTRUTURA_MODULO(hide)'!$A$1:$B$106,2,FALSE)</f>
        <v>Prestadores</v>
      </c>
      <c r="I783" s="12">
        <f>VLOOKUP(A783,Folha4!$1:$1048576,11,)</f>
        <v>8</v>
      </c>
      <c r="N783" s="17" t="str">
        <f>IF('General Information'!$C$18="Ambos (Prestador + OPS)","Yes",IF('General Information'!$C$18="Tasy Prestador","Yes","No"))</f>
        <v>No</v>
      </c>
      <c r="Q783" s="17" t="s">
        <v>2889</v>
      </c>
      <c r="R783" s="17" t="s">
        <v>2889</v>
      </c>
      <c r="S783" s="17" t="s">
        <v>2889</v>
      </c>
      <c r="W783" s="17"/>
    </row>
    <row r="784" spans="1:23">
      <c r="A784" s="1">
        <v>1337</v>
      </c>
      <c r="B784" s="1" t="str">
        <f>VLOOKUP(A784,Folha4!$1:$1048576,2,)</f>
        <v>OPS - Processo Judicial</v>
      </c>
      <c r="D784" s="180"/>
      <c r="E784" s="1">
        <f>VLOOKUP(A784,Folha4!$1:$1048576,6,)</f>
        <v>691</v>
      </c>
      <c r="F784" s="1" t="str">
        <f>VLOOKUP(E784,'ESTRUTURA_MODULO(hide)'!$A$1:$B$106,2,FALSE)</f>
        <v>Autorizações</v>
      </c>
      <c r="I784" s="12">
        <f>VLOOKUP(A784,Folha4!$1:$1048576,11,)</f>
        <v>24</v>
      </c>
      <c r="N784" s="17" t="str">
        <f>IF('General Information'!$C$18="Ambos (Prestador + OPS)","Yes",IF('General Information'!$C$18="Tasy Prestador","Yes","No"))</f>
        <v>No</v>
      </c>
      <c r="Q784" s="17" t="s">
        <v>2889</v>
      </c>
      <c r="R784" s="17" t="s">
        <v>2889</v>
      </c>
      <c r="S784" s="17" t="s">
        <v>2889</v>
      </c>
      <c r="W784" s="17"/>
    </row>
    <row r="785" spans="1:23">
      <c r="A785" s="1">
        <v>1204</v>
      </c>
      <c r="B785" s="1" t="str">
        <f>VLOOKUP(A785,Folha4!$1:$1048576,2,)</f>
        <v>OPS - Autorizações</v>
      </c>
      <c r="D785" s="180"/>
      <c r="E785" s="1">
        <f>VLOOKUP(A785,Folha4!$1:$1048576,6,)</f>
        <v>691</v>
      </c>
      <c r="F785" s="1" t="str">
        <f>VLOOKUP(E785,'ESTRUTURA_MODULO(hide)'!$A$1:$B$106,2,FALSE)</f>
        <v>Autorizações</v>
      </c>
      <c r="I785" s="12">
        <f>VLOOKUP(A785,Folha4!$1:$1048576,11,)</f>
        <v>40</v>
      </c>
      <c r="N785" s="17" t="str">
        <f>IF('General Information'!$C$18="Ambos (Prestador + OPS)","Yes",IF('General Information'!$C$18="Tasy Prestador","Yes","No"))</f>
        <v>No</v>
      </c>
      <c r="Q785" s="17" t="s">
        <v>2889</v>
      </c>
      <c r="R785" s="17" t="s">
        <v>2889</v>
      </c>
      <c r="S785" s="17" t="s">
        <v>2889</v>
      </c>
      <c r="W785" s="17"/>
    </row>
    <row r="786" spans="1:23">
      <c r="A786" s="1">
        <v>1213</v>
      </c>
      <c r="B786" s="1" t="str">
        <f>VLOOKUP(A786,Folha4!$1:$1048576,2,)</f>
        <v>OPS - Solicitações Elegibilidade TISS</v>
      </c>
      <c r="D786" s="180"/>
      <c r="E786" s="1">
        <f>VLOOKUP(A786,Folha4!$1:$1048576,6,)</f>
        <v>691</v>
      </c>
      <c r="F786" s="1" t="str">
        <f>VLOOKUP(E786,'ESTRUTURA_MODULO(hide)'!$A$1:$B$106,2,FALSE)</f>
        <v>Autorizações</v>
      </c>
      <c r="I786" s="12">
        <f>VLOOKUP(A786,Folha4!$1:$1048576,11,)</f>
        <v>4</v>
      </c>
      <c r="N786" s="17" t="str">
        <f>IF('General Information'!$C$18="Ambos (Prestador + OPS)","Yes",IF('General Information'!$C$18="Tasy Prestador","Yes","No"))</f>
        <v>No</v>
      </c>
      <c r="Q786" s="17" t="s">
        <v>2890</v>
      </c>
      <c r="R786" s="17" t="s">
        <v>2890</v>
      </c>
      <c r="S786" s="17" t="s">
        <v>2890</v>
      </c>
      <c r="W786" s="17"/>
    </row>
    <row r="787" spans="1:23">
      <c r="A787" s="1">
        <v>1291</v>
      </c>
      <c r="B787" s="1" t="str">
        <f>VLOOKUP(A787,Folha4!$1:$1048576,2,)</f>
        <v>OPS - Execução da Requisição para Autorização</v>
      </c>
      <c r="D787" s="180"/>
      <c r="E787" s="1">
        <f>VLOOKUP(A787,Folha4!$1:$1048576,6,)</f>
        <v>691</v>
      </c>
      <c r="F787" s="1" t="str">
        <f>VLOOKUP(E787,'ESTRUTURA_MODULO(hide)'!$A$1:$B$106,2,FALSE)</f>
        <v>Autorizações</v>
      </c>
      <c r="I787" s="12">
        <f>VLOOKUP(A787,Folha4!$1:$1048576,11,)</f>
        <v>40</v>
      </c>
      <c r="N787" s="17" t="str">
        <f>IF('General Information'!$C$18="Ambos (Prestador + OPS)","Yes",IF('General Information'!$C$18="Tasy Prestador","Yes","No"))</f>
        <v>No</v>
      </c>
      <c r="Q787" s="17" t="s">
        <v>2889</v>
      </c>
      <c r="R787" s="17" t="s">
        <v>2889</v>
      </c>
      <c r="S787" s="17" t="s">
        <v>2889</v>
      </c>
      <c r="W787" s="17"/>
    </row>
    <row r="788" spans="1:23">
      <c r="A788" s="1">
        <v>1374</v>
      </c>
      <c r="B788" s="1" t="str">
        <f>VLOOKUP(A788,Folha4!$1:$1048576,2,)</f>
        <v>OPS - Autorização Anexo Guias</v>
      </c>
      <c r="D788" s="180"/>
      <c r="E788" s="1">
        <f>VLOOKUP(A788,Folha4!$1:$1048576,6,)</f>
        <v>691</v>
      </c>
      <c r="F788" s="1" t="str">
        <f>VLOOKUP(E788,'ESTRUTURA_MODULO(hide)'!$A$1:$B$106,2,FALSE)</f>
        <v>Autorizações</v>
      </c>
      <c r="I788" s="12">
        <f>VLOOKUP(A788,Folha4!$1:$1048576,11,)</f>
        <v>4</v>
      </c>
      <c r="N788" s="17" t="str">
        <f>IF('General Information'!$C$18="Ambos (Prestador + OPS)","Yes",IF('General Information'!$C$18="Tasy Prestador","Yes","No"))</f>
        <v>No</v>
      </c>
      <c r="Q788" s="17" t="s">
        <v>2890</v>
      </c>
      <c r="R788" s="17" t="s">
        <v>2890</v>
      </c>
      <c r="S788" s="17" t="s">
        <v>2890</v>
      </c>
      <c r="W788" s="17"/>
    </row>
    <row r="789" spans="1:23">
      <c r="A789" s="1">
        <v>1385</v>
      </c>
      <c r="B789" s="1" t="str">
        <f>VLOOKUP(A789,Folha4!$1:$1048576,2,)</f>
        <v>OPS - Emissão de Requisição/Guia em Lote</v>
      </c>
      <c r="D789" s="180"/>
      <c r="E789" s="1">
        <f>VLOOKUP(A789,Folha4!$1:$1048576,6,)</f>
        <v>691</v>
      </c>
      <c r="F789" s="1" t="str">
        <f>VLOOKUP(E789,'ESTRUTURA_MODULO(hide)'!$A$1:$B$106,2,FALSE)</f>
        <v>Autorizações</v>
      </c>
      <c r="I789" s="12">
        <f>VLOOKUP(A789,Folha4!$1:$1048576,11,)</f>
        <v>8</v>
      </c>
      <c r="N789" s="17" t="str">
        <f>IF('General Information'!$C$18="Ambos (Prestador + OPS)","Yes",IF('General Information'!$C$18="Tasy Prestador","Yes","No"))</f>
        <v>No</v>
      </c>
      <c r="Q789" s="17" t="s">
        <v>2890</v>
      </c>
      <c r="R789" s="17" t="s">
        <v>2890</v>
      </c>
      <c r="S789" s="17" t="s">
        <v>2890</v>
      </c>
      <c r="W789" s="17"/>
    </row>
    <row r="790" spans="1:23">
      <c r="A790" s="1">
        <v>1362</v>
      </c>
      <c r="B790" s="1" t="str">
        <f>VLOOKUP(A790,Folha4!$1:$1048576,2,)</f>
        <v>OPS - Controle de Liberação de Atendimento Web</v>
      </c>
      <c r="D790" s="180"/>
      <c r="E790" s="1">
        <f>VLOOKUP(A790,Folha4!$1:$1048576,6,)</f>
        <v>691</v>
      </c>
      <c r="F790" s="1" t="str">
        <f>VLOOKUP(E790,'ESTRUTURA_MODULO(hide)'!$A$1:$B$106,2,FALSE)</f>
        <v>Autorizações</v>
      </c>
      <c r="I790" s="12">
        <f>VLOOKUP(A790,Folha4!$1:$1048576,11,)</f>
        <v>4</v>
      </c>
      <c r="N790" s="17" t="str">
        <f>IF('General Information'!$C$18="Ambos (Prestador + OPS)","Yes",IF('General Information'!$C$18="Tasy Prestador","Yes","No"))</f>
        <v>No</v>
      </c>
      <c r="Q790" s="17" t="s">
        <v>2890</v>
      </c>
      <c r="R790" s="17" t="s">
        <v>2890</v>
      </c>
      <c r="S790" s="17" t="s">
        <v>2890</v>
      </c>
      <c r="W790" s="17"/>
    </row>
    <row r="791" spans="1:23">
      <c r="A791" s="1">
        <v>1371</v>
      </c>
      <c r="B791" s="1" t="str">
        <f>VLOOKUP(A791,Folha4!$1:$1048576,2,)</f>
        <v>OPS - Comunicação de Internação ou Alta do Beneficiário</v>
      </c>
      <c r="D791" s="180"/>
      <c r="E791" s="1">
        <f>VLOOKUP(A791,Folha4!$1:$1048576,6,)</f>
        <v>691</v>
      </c>
      <c r="F791" s="1" t="str">
        <f>VLOOKUP(E791,'ESTRUTURA_MODULO(hide)'!$A$1:$B$106,2,FALSE)</f>
        <v>Autorizações</v>
      </c>
      <c r="I791" s="12">
        <f>VLOOKUP(A791,Folha4!$1:$1048576,11,)</f>
        <v>4</v>
      </c>
      <c r="N791" s="17" t="str">
        <f>IF('General Information'!$C$18="Ambos (Prestador + OPS)","Yes",IF('General Information'!$C$18="Tasy Prestador","Yes","No"))</f>
        <v>No</v>
      </c>
      <c r="Q791" s="17" t="s">
        <v>2890</v>
      </c>
      <c r="R791" s="17" t="s">
        <v>2890</v>
      </c>
      <c r="S791" s="17" t="s">
        <v>2890</v>
      </c>
      <c r="W791" s="17"/>
    </row>
    <row r="792" spans="1:23">
      <c r="A792" s="1">
        <v>1240</v>
      </c>
      <c r="B792" s="1" t="str">
        <f>VLOOKUP(A792,Folha4!$1:$1048576,2,)</f>
        <v>OPS - Comunicação de Acidente de Trabalho (CAT)</v>
      </c>
      <c r="D792" s="180"/>
      <c r="E792" s="1">
        <f>VLOOKUP(A792,Folha4!$1:$1048576,6,)</f>
        <v>691</v>
      </c>
      <c r="F792" s="1" t="str">
        <f>VLOOKUP(E792,'ESTRUTURA_MODULO(hide)'!$A$1:$B$106,2,FALSE)</f>
        <v>Autorizações</v>
      </c>
      <c r="I792" s="12">
        <f>VLOOKUP(A792,Folha4!$1:$1048576,11,)</f>
        <v>4</v>
      </c>
      <c r="N792" s="17" t="str">
        <f>IF('General Information'!$C$18="Ambos (Prestador + OPS)","Yes",IF('General Information'!$C$18="Tasy Prestador","Yes","No"))</f>
        <v>No</v>
      </c>
      <c r="Q792" s="17" t="s">
        <v>2890</v>
      </c>
      <c r="R792" s="17" t="s">
        <v>2890</v>
      </c>
      <c r="S792" s="17" t="s">
        <v>2890</v>
      </c>
      <c r="W792" s="17"/>
    </row>
    <row r="793" spans="1:23">
      <c r="A793" s="1">
        <v>1271</v>
      </c>
      <c r="B793" s="1" t="str">
        <f>VLOOKUP(A793,Folha4!$1:$1048576,2,)</f>
        <v>OPS - Requisições para Autorização</v>
      </c>
      <c r="D793" s="180"/>
      <c r="E793" s="1">
        <f>VLOOKUP(A793,Folha4!$1:$1048576,6,)</f>
        <v>691</v>
      </c>
      <c r="F793" s="1" t="str">
        <f>VLOOKUP(E793,'ESTRUTURA_MODULO(hide)'!$A$1:$B$106,2,FALSE)</f>
        <v>Autorizações</v>
      </c>
      <c r="I793" s="12">
        <f>VLOOKUP(A793,Folha4!$1:$1048576,11,)</f>
        <v>40</v>
      </c>
      <c r="N793" s="17" t="str">
        <f>IF('General Information'!$C$18="Ambos (Prestador + OPS)","Yes",IF('General Information'!$C$18="Tasy Prestador","Yes","No"))</f>
        <v>No</v>
      </c>
      <c r="Q793" s="17" t="s">
        <v>2889</v>
      </c>
      <c r="R793" s="17" t="s">
        <v>2889</v>
      </c>
      <c r="S793" s="17" t="s">
        <v>2889</v>
      </c>
      <c r="W793" s="17"/>
    </row>
    <row r="794" spans="1:23">
      <c r="A794" s="1">
        <v>1270</v>
      </c>
      <c r="B794" s="1" t="str">
        <f>VLOOKUP(A794,Folha4!$1:$1048576,2,)</f>
        <v>OPS - Gestão de Análise de Autorizações</v>
      </c>
      <c r="D794" s="180"/>
      <c r="E794" s="1">
        <f>VLOOKUP(A794,Folha4!$1:$1048576,6,)</f>
        <v>691</v>
      </c>
      <c r="F794" s="1" t="str">
        <f>VLOOKUP(E794,'ESTRUTURA_MODULO(hide)'!$A$1:$B$106,2,FALSE)</f>
        <v>Autorizações</v>
      </c>
      <c r="I794" s="12">
        <f>VLOOKUP(A794,Folha4!$1:$1048576,11,)</f>
        <v>24</v>
      </c>
      <c r="N794" s="17" t="str">
        <f>IF('General Information'!$C$18="Ambos (Prestador + OPS)","Yes",IF('General Information'!$C$18="Tasy Prestador","Yes","No"))</f>
        <v>No</v>
      </c>
      <c r="Q794" s="17" t="s">
        <v>2889</v>
      </c>
      <c r="R794" s="17" t="s">
        <v>2889</v>
      </c>
      <c r="S794" s="17" t="s">
        <v>2889</v>
      </c>
      <c r="W794" s="17"/>
    </row>
    <row r="795" spans="1:23">
      <c r="A795" s="1">
        <v>1352</v>
      </c>
      <c r="B795" s="1" t="str">
        <f>VLOOKUP(A795,Folha4!$1:$1048576,2,)</f>
        <v>OPS - Orçamento</v>
      </c>
      <c r="D795" s="180"/>
      <c r="E795" s="1">
        <f>VLOOKUP(A795,Folha4!$1:$1048576,6,)</f>
        <v>691</v>
      </c>
      <c r="F795" s="1" t="str">
        <f>VLOOKUP(E795,'ESTRUTURA_MODULO(hide)'!$A$1:$B$106,2,FALSE)</f>
        <v>Autorizações</v>
      </c>
      <c r="I795" s="12">
        <f>VLOOKUP(A795,Folha4!$1:$1048576,11,)</f>
        <v>4</v>
      </c>
      <c r="N795" s="17" t="str">
        <f>IF('General Information'!$C$18="Ambos (Prestador + OPS)","Yes",IF('General Information'!$C$18="Tasy Prestador","Yes","No"))</f>
        <v>No</v>
      </c>
      <c r="Q795" s="17" t="s">
        <v>2890</v>
      </c>
      <c r="R795" s="17" t="s">
        <v>2890</v>
      </c>
      <c r="S795" s="17" t="s">
        <v>2890</v>
      </c>
      <c r="W795" s="17"/>
    </row>
    <row r="796" spans="1:23">
      <c r="A796" s="1">
        <v>1330</v>
      </c>
      <c r="B796" s="1" t="str">
        <f>VLOOKUP(A796,Folha4!$1:$1048576,2,)</f>
        <v>OPS - Comunicação Externa Web</v>
      </c>
      <c r="D796" s="180"/>
      <c r="E796" s="1">
        <f>VLOOKUP(A796,Folha4!$1:$1048576,6,)</f>
        <v>691</v>
      </c>
      <c r="F796" s="1" t="str">
        <f>VLOOKUP(E796,'ESTRUTURA_MODULO(hide)'!$A$1:$B$106,2,FALSE)</f>
        <v>Autorizações</v>
      </c>
      <c r="I796" s="12">
        <f>VLOOKUP(A796,Folha4!$1:$1048576,11,)</f>
        <v>4</v>
      </c>
      <c r="N796" s="17" t="str">
        <f>IF('General Information'!$C$18="Ambos (Prestador + OPS)","Yes",IF('General Information'!$C$18="Tasy Prestador","Yes","No"))</f>
        <v>No</v>
      </c>
      <c r="Q796" s="17" t="s">
        <v>2890</v>
      </c>
      <c r="R796" s="17" t="s">
        <v>2890</v>
      </c>
      <c r="S796" s="17" t="s">
        <v>2890</v>
      </c>
      <c r="W796" s="17"/>
    </row>
    <row r="797" spans="1:23">
      <c r="A797" s="1">
        <v>1333</v>
      </c>
      <c r="B797" s="1" t="str">
        <f>VLOOKUP(A797,Folha4!$1:$1048576,2,)</f>
        <v>OPS - Beneficiário em Tratamento</v>
      </c>
      <c r="D797" s="180"/>
      <c r="E797" s="1">
        <f>VLOOKUP(A797,Folha4!$1:$1048576,6,)</f>
        <v>691</v>
      </c>
      <c r="F797" s="1" t="str">
        <f>VLOOKUP(E797,'ESTRUTURA_MODULO(hide)'!$A$1:$B$106,2,FALSE)</f>
        <v>Autorizações</v>
      </c>
      <c r="I797" s="12">
        <f>VLOOKUP(A797,Folha4!$1:$1048576,11,)</f>
        <v>4</v>
      </c>
      <c r="N797" s="17" t="str">
        <f>IF('General Information'!$C$18="Ambos (Prestador + OPS)","Yes",IF('General Information'!$C$18="Tasy Prestador","Yes","No"))</f>
        <v>No</v>
      </c>
      <c r="Q797" s="17" t="s">
        <v>2890</v>
      </c>
      <c r="R797" s="17" t="s">
        <v>2890</v>
      </c>
      <c r="S797" s="17" t="s">
        <v>2890</v>
      </c>
      <c r="W797" s="17"/>
    </row>
    <row r="798" spans="1:23">
      <c r="A798" s="1">
        <v>1357</v>
      </c>
      <c r="B798" s="1" t="str">
        <f>VLOOKUP(A798,Folha4!$1:$1048576,2,)</f>
        <v>OPS - Gestão de Alertas e Eventos</v>
      </c>
      <c r="D798" s="180"/>
      <c r="E798" s="1">
        <f>VLOOKUP(A798,Folha4!$1:$1048576,6,)</f>
        <v>691</v>
      </c>
      <c r="F798" s="1" t="str">
        <f>VLOOKUP(E798,'ESTRUTURA_MODULO(hide)'!$A$1:$B$106,2,FALSE)</f>
        <v>Autorizações</v>
      </c>
      <c r="I798" s="12">
        <f>VLOOKUP(A798,Folha4!$1:$1048576,11,)</f>
        <v>8</v>
      </c>
      <c r="N798" s="17" t="str">
        <f>IF('General Information'!$C$18="Ambos (Prestador + OPS)","Yes",IF('General Information'!$C$18="Tasy Prestador","Yes","No"))</f>
        <v>No</v>
      </c>
      <c r="Q798" s="17" t="s">
        <v>2890</v>
      </c>
      <c r="R798" s="17" t="s">
        <v>2890</v>
      </c>
      <c r="S798" s="17" t="s">
        <v>2890</v>
      </c>
      <c r="W798" s="17"/>
    </row>
    <row r="799" spans="1:23">
      <c r="A799" s="1">
        <v>1359</v>
      </c>
      <c r="B799" s="1" t="str">
        <f>VLOOKUP(A799,Folha4!$1:$1048576,2,)</f>
        <v>OPS - Localizador de Guia Referência</v>
      </c>
      <c r="D799" s="180"/>
      <c r="E799" s="1">
        <f>VLOOKUP(A799,Folha4!$1:$1048576,6,)</f>
        <v>691</v>
      </c>
      <c r="F799" s="1" t="str">
        <f>VLOOKUP(E799,'ESTRUTURA_MODULO(hide)'!$A$1:$B$106,2,FALSE)</f>
        <v>Autorizações</v>
      </c>
      <c r="I799" s="12">
        <f>VLOOKUP(A799,Folha4!$1:$1048576,11,)</f>
        <v>0</v>
      </c>
      <c r="N799" s="17" t="str">
        <f>IF('General Information'!$C$18="Ambos (Prestador + OPS)","Yes",IF('General Information'!$C$18="Tasy Prestador","Yes","No"))</f>
        <v>No</v>
      </c>
      <c r="Q799" s="17" t="s">
        <v>2890</v>
      </c>
      <c r="R799" s="17" t="s">
        <v>2890</v>
      </c>
      <c r="S799" s="17" t="s">
        <v>2890</v>
      </c>
      <c r="W799" s="17"/>
    </row>
    <row r="800" spans="1:23">
      <c r="A800" s="1">
        <v>1327</v>
      </c>
      <c r="B800" s="1" t="str">
        <f>VLOOKUP(A800,Folha4!$1:$1048576,2,)</f>
        <v>OPS - Serviço SCS</v>
      </c>
      <c r="D800" s="180"/>
      <c r="E800" s="1">
        <f>VLOOKUP(A800,Folha4!$1:$1048576,6,)</f>
        <v>692</v>
      </c>
      <c r="F800" s="1" t="str">
        <f>VLOOKUP(E800,'ESTRUTURA_MODULO(hide)'!$A$1:$B$106,2,FALSE)</f>
        <v>Autorizações de Intercâmbio</v>
      </c>
      <c r="I800" s="12">
        <f>VLOOKUP(A800,Folha4!$1:$1048576,11,)</f>
        <v>0</v>
      </c>
      <c r="N800" s="17" t="str">
        <f>IF('General Information'!$C$18="Ambos (Prestador + OPS)","Yes",IF('General Information'!$C$18="Tasy Prestador","Yes","No"))</f>
        <v>No</v>
      </c>
      <c r="Q800" s="17" t="s">
        <v>2890</v>
      </c>
      <c r="R800" s="17" t="s">
        <v>2890</v>
      </c>
      <c r="S800" s="17" t="s">
        <v>2890</v>
      </c>
      <c r="W800" s="17"/>
    </row>
    <row r="801" spans="1:23">
      <c r="A801" s="1">
        <v>1316</v>
      </c>
      <c r="B801" s="1" t="str">
        <f>VLOOKUP(A801,Folha4!$1:$1048576,2,)</f>
        <v>OPS - Software de Comunicação Segura (SCS)</v>
      </c>
      <c r="D801" s="180"/>
      <c r="E801" s="1">
        <f>VLOOKUP(A801,Folha4!$1:$1048576,6,)</f>
        <v>692</v>
      </c>
      <c r="F801" s="1" t="str">
        <f>VLOOKUP(E801,'ESTRUTURA_MODULO(hide)'!$A$1:$B$106,2,FALSE)</f>
        <v>Autorizações de Intercâmbio</v>
      </c>
      <c r="I801" s="12">
        <f>VLOOKUP(A801,Folha4!$1:$1048576,11,)</f>
        <v>40</v>
      </c>
      <c r="N801" s="17" t="str">
        <f>IF('General Information'!$C$18="Ambos (Prestador + OPS)","Yes",IF('General Information'!$C$18="Tasy Prestador","Yes","No"))</f>
        <v>No</v>
      </c>
      <c r="Q801" s="17" t="s">
        <v>2890</v>
      </c>
      <c r="R801" s="17" t="s">
        <v>2889</v>
      </c>
      <c r="S801" s="17" t="s">
        <v>2890</v>
      </c>
      <c r="W801" s="17"/>
    </row>
    <row r="802" spans="1:23">
      <c r="A802" s="1">
        <v>1343</v>
      </c>
      <c r="B802" s="1" t="str">
        <f>VLOOKUP(A802,Folha4!$1:$1048576,2,)</f>
        <v>OPS - Autorizações Intercâmbio</v>
      </c>
      <c r="D802" s="180"/>
      <c r="E802" s="1">
        <f>VLOOKUP(A802,Folha4!$1:$1048576,6,)</f>
        <v>692</v>
      </c>
      <c r="F802" s="1" t="str">
        <f>VLOOKUP(E802,'ESTRUTURA_MODULO(hide)'!$A$1:$B$106,2,FALSE)</f>
        <v>Autorizações de Intercâmbio</v>
      </c>
      <c r="I802" s="12">
        <f>VLOOKUP(A802,Folha4!$1:$1048576,11,)</f>
        <v>16</v>
      </c>
      <c r="N802" s="17" t="str">
        <f>IF('General Information'!$C$18="Ambos (Prestador + OPS)","Yes",IF('General Information'!$C$18="Tasy Prestador","Yes","No"))</f>
        <v>No</v>
      </c>
      <c r="Q802" s="17" t="s">
        <v>2890</v>
      </c>
      <c r="R802" s="17" t="s">
        <v>2889</v>
      </c>
      <c r="S802" s="17" t="s">
        <v>2890</v>
      </c>
      <c r="W802" s="17"/>
    </row>
    <row r="803" spans="1:23">
      <c r="A803" s="1">
        <v>1281</v>
      </c>
      <c r="B803" s="1" t="str">
        <f>VLOOKUP(A803,Folha4!$1:$1048576,2,)</f>
        <v>OPS - Controle de Usuários Eventuais</v>
      </c>
      <c r="D803" s="180"/>
      <c r="E803" s="1">
        <f>VLOOKUP(A803,Folha4!$1:$1048576,6,)</f>
        <v>692</v>
      </c>
      <c r="F803" s="1" t="str">
        <f>VLOOKUP(E803,'ESTRUTURA_MODULO(hide)'!$A$1:$B$106,2,FALSE)</f>
        <v>Autorizações de Intercâmbio</v>
      </c>
      <c r="I803" s="12">
        <f>VLOOKUP(A803,Folha4!$1:$1048576,11,)</f>
        <v>8</v>
      </c>
      <c r="N803" s="17" t="str">
        <f>IF('General Information'!$C$18="Ambos (Prestador + OPS)","Yes",IF('General Information'!$C$18="Tasy Prestador","Yes","No"))</f>
        <v>No</v>
      </c>
      <c r="Q803" s="17" t="s">
        <v>2890</v>
      </c>
      <c r="R803" s="17" t="s">
        <v>2889</v>
      </c>
      <c r="S803" s="17" t="s">
        <v>2890</v>
      </c>
      <c r="W803" s="17"/>
    </row>
    <row r="804" spans="1:23">
      <c r="A804" s="1">
        <v>1393</v>
      </c>
      <c r="B804" s="1" t="str">
        <f>VLOOKUP(A804,Folha4!$1:$1048576,2,)</f>
        <v>OPS - Ordem de Serviço Intercâmbio</v>
      </c>
      <c r="D804" s="180"/>
      <c r="E804" s="1">
        <f>VLOOKUP(A804,Folha4!$1:$1048576,6,)</f>
        <v>692</v>
      </c>
      <c r="F804" s="1" t="str">
        <f>VLOOKUP(E804,'ESTRUTURA_MODULO(hide)'!$A$1:$B$106,2,FALSE)</f>
        <v>Autorizações de Intercâmbio</v>
      </c>
      <c r="I804" s="12">
        <f>VLOOKUP(A804,Folha4!$1:$1048576,11,)</f>
        <v>8</v>
      </c>
      <c r="N804" s="17" t="str">
        <f>IF('General Information'!$C$18="Ambos (Prestador + OPS)","Yes",IF('General Information'!$C$18="Tasy Prestador","Yes","No"))</f>
        <v>No</v>
      </c>
      <c r="Q804" s="17" t="s">
        <v>2890</v>
      </c>
      <c r="R804" s="17" t="s">
        <v>2889</v>
      </c>
      <c r="S804" s="17" t="s">
        <v>2890</v>
      </c>
      <c r="W804" s="17"/>
    </row>
    <row r="805" spans="1:23">
      <c r="A805" s="1">
        <v>1364</v>
      </c>
      <c r="B805" s="1" t="str">
        <f>VLOOKUP(A805,Folha4!$1:$1048576,2,)</f>
        <v>OPS - Manutenção de Processos Operacionais do Autorizador</v>
      </c>
      <c r="D805" s="180"/>
      <c r="E805" s="1">
        <f>VLOOKUP(A805,Folha4!$1:$1048576,6,)</f>
        <v>692</v>
      </c>
      <c r="F805" s="1" t="str">
        <f>VLOOKUP(E805,'ESTRUTURA_MODULO(hide)'!$A$1:$B$106,2,FALSE)</f>
        <v>Autorizações de Intercâmbio</v>
      </c>
      <c r="I805" s="12">
        <f>VLOOKUP(A805,Folha4!$1:$1048576,11,)</f>
        <v>4</v>
      </c>
      <c r="N805" s="17" t="str">
        <f>IF('General Information'!$C$18="Ambos (Prestador + OPS)","Yes",IF('General Information'!$C$18="Tasy Prestador","Yes","No"))</f>
        <v>No</v>
      </c>
      <c r="Q805" s="17" t="s">
        <v>2890</v>
      </c>
      <c r="R805" s="17" t="s">
        <v>2889</v>
      </c>
      <c r="S805" s="17" t="s">
        <v>2890</v>
      </c>
      <c r="W805" s="17"/>
    </row>
    <row r="806" spans="1:23">
      <c r="A806" s="1">
        <v>209</v>
      </c>
      <c r="B806" s="1" t="str">
        <f>VLOOKUP(A806,Folha4!$1:$1048576,2,)</f>
        <v>OPS - Gestão de Protocolos de Atendimento</v>
      </c>
      <c r="D806" s="180"/>
      <c r="E806" s="1">
        <f>VLOOKUP(A806,Folha4!$1:$1048576,6,)</f>
        <v>693</v>
      </c>
      <c r="F806" s="1" t="str">
        <f>VLOOKUP(E806,'ESTRUTURA_MODULO(hide)'!$A$1:$B$106,2,FALSE)</f>
        <v>Call Center</v>
      </c>
      <c r="I806" s="12">
        <f>VLOOKUP(A806,Folha4!$1:$1048576,11,)</f>
        <v>4</v>
      </c>
      <c r="N806" s="17" t="str">
        <f>IF('General Information'!$C$18="Ambos (Prestador + OPS)","Yes",IF('General Information'!$C$18="Tasy Prestador","Yes","No"))</f>
        <v>No</v>
      </c>
      <c r="Q806" s="17" t="s">
        <v>2890</v>
      </c>
      <c r="R806" s="17" t="s">
        <v>2890</v>
      </c>
      <c r="S806" s="17" t="s">
        <v>2890</v>
      </c>
      <c r="W806" s="17"/>
    </row>
    <row r="807" spans="1:23">
      <c r="A807" s="1">
        <v>1266</v>
      </c>
      <c r="B807" s="1" t="str">
        <f>VLOOKUP(A807,Folha4!$1:$1048576,2,)</f>
        <v>OPS - Painel de Ocorrências</v>
      </c>
      <c r="D807" s="180"/>
      <c r="E807" s="1">
        <f>VLOOKUP(A807,Folha4!$1:$1048576,6,)</f>
        <v>693</v>
      </c>
      <c r="F807" s="1" t="str">
        <f>VLOOKUP(E807,'ESTRUTURA_MODULO(hide)'!$A$1:$B$106,2,FALSE)</f>
        <v>Call Center</v>
      </c>
      <c r="I807" s="12">
        <f>VLOOKUP(A807,Folha4!$1:$1048576,11,)</f>
        <v>0</v>
      </c>
      <c r="N807" s="17" t="str">
        <f>IF('General Information'!$C$18="Ambos (Prestador + OPS)","Yes",IF('General Information'!$C$18="Tasy Prestador","Yes","No"))</f>
        <v>No</v>
      </c>
      <c r="Q807" s="17" t="s">
        <v>2890</v>
      </c>
      <c r="R807" s="17" t="s">
        <v>2890</v>
      </c>
      <c r="S807" s="17" t="s">
        <v>2890</v>
      </c>
      <c r="W807" s="17"/>
    </row>
    <row r="808" spans="1:23">
      <c r="A808" s="1">
        <v>1284</v>
      </c>
      <c r="B808" s="1" t="str">
        <f>VLOOKUP(A808,Folha4!$1:$1048576,2,)</f>
        <v>OPS - Gestão de Análise de Produção Médica</v>
      </c>
      <c r="D808" s="180"/>
      <c r="E808" s="1">
        <f>VLOOKUP(A808,Folha4!$1:$1048576,6,)</f>
        <v>695</v>
      </c>
      <c r="F808" s="1" t="str">
        <f>VLOOKUP(E808,'ESTRUTURA_MODULO(hide)'!$A$1:$B$106,2,FALSE)</f>
        <v>Análise de Contas Médicas</v>
      </c>
      <c r="I808" s="12">
        <f>VLOOKUP(A808,Folha4!$1:$1048576,11,)</f>
        <v>32</v>
      </c>
      <c r="N808" s="17" t="str">
        <f>IF('General Information'!$C$18="Ambos (Prestador + OPS)","Yes",IF('General Information'!$C$18="Tasy Prestador","Yes","No"))</f>
        <v>No</v>
      </c>
      <c r="Q808" s="17" t="s">
        <v>2889</v>
      </c>
      <c r="R808" s="17" t="s">
        <v>2889</v>
      </c>
      <c r="S808" s="17" t="s">
        <v>2889</v>
      </c>
      <c r="W808" s="17"/>
    </row>
    <row r="809" spans="1:23">
      <c r="A809" s="1">
        <v>1365</v>
      </c>
      <c r="B809" s="1" t="str">
        <f>VLOOKUP(A809,Folha4!$1:$1048576,2,)</f>
        <v>OPS - Análise de Contas Médicas (Nova)</v>
      </c>
      <c r="D809" s="180"/>
      <c r="E809" s="1">
        <f>VLOOKUP(A809,Folha4!$1:$1048576,6,)</f>
        <v>695</v>
      </c>
      <c r="F809" s="1" t="str">
        <f>VLOOKUP(E809,'ESTRUTURA_MODULO(hide)'!$A$1:$B$106,2,FALSE)</f>
        <v>Análise de Contas Médicas</v>
      </c>
      <c r="I809" s="12">
        <v>32</v>
      </c>
      <c r="N809" s="17" t="str">
        <f>IF('General Information'!$C$18="Ambos (Prestador + OPS)","Yes",IF('General Information'!$C$18="Tasy Prestador","Yes","No"))</f>
        <v>No</v>
      </c>
      <c r="Q809" s="17" t="s">
        <v>2890</v>
      </c>
      <c r="R809" s="17" t="s">
        <v>2890</v>
      </c>
      <c r="S809" s="17" t="s">
        <v>2890</v>
      </c>
      <c r="W809" s="17"/>
    </row>
    <row r="810" spans="1:23">
      <c r="A810" s="1">
        <v>1348</v>
      </c>
      <c r="B810" s="1" t="str">
        <f>VLOOKUP(A810,Folha4!$1:$1048576,2,)</f>
        <v>OPS - Análise de Custo Pós-Estabelecido</v>
      </c>
      <c r="D810" s="180"/>
      <c r="E810" s="1">
        <f>VLOOKUP(A810,Folha4!$1:$1048576,6,)</f>
        <v>695</v>
      </c>
      <c r="F810" s="1" t="str">
        <f>VLOOKUP(E810,'ESTRUTURA_MODULO(hide)'!$A$1:$B$106,2,FALSE)</f>
        <v>Análise de Contas Médicas</v>
      </c>
      <c r="I810" s="12">
        <f>VLOOKUP(A810,Folha4!$1:$1048576,11,)</f>
        <v>32</v>
      </c>
      <c r="N810" s="17" t="str">
        <f>IF('General Information'!$C$18="Ambos (Prestador + OPS)","Yes",IF('General Information'!$C$18="Tasy Prestador","Yes","No"))</f>
        <v>No</v>
      </c>
      <c r="Q810" s="17" t="s">
        <v>2890</v>
      </c>
      <c r="R810" s="17" t="s">
        <v>2890</v>
      </c>
      <c r="S810" s="17" t="s">
        <v>2890</v>
      </c>
      <c r="W810" s="17"/>
    </row>
    <row r="811" spans="1:23">
      <c r="A811" s="1">
        <v>1326</v>
      </c>
      <c r="B811" s="1" t="str">
        <f>VLOOKUP(A811,Folha4!$1:$1048576,2,)</f>
        <v>OPS - Controle dos Grupos de Análise</v>
      </c>
      <c r="D811" s="180"/>
      <c r="E811" s="1">
        <f>VLOOKUP(A811,Folha4!$1:$1048576,6,)</f>
        <v>695</v>
      </c>
      <c r="F811" s="1" t="str">
        <f>VLOOKUP(E811,'ESTRUTURA_MODULO(hide)'!$A$1:$B$106,2,FALSE)</f>
        <v>Análise de Contas Médicas</v>
      </c>
      <c r="I811" s="12">
        <f>VLOOKUP(A811,Folha4!$1:$1048576,11,)</f>
        <v>16</v>
      </c>
      <c r="N811" s="17" t="str">
        <f>IF('General Information'!$C$18="Ambos (Prestador + OPS)","Yes",IF('General Information'!$C$18="Tasy Prestador","Yes","No"))</f>
        <v>No</v>
      </c>
      <c r="Q811" s="17" t="s">
        <v>2889</v>
      </c>
      <c r="R811" s="17" t="s">
        <v>2889</v>
      </c>
      <c r="S811" s="17" t="s">
        <v>2889</v>
      </c>
      <c r="W811" s="17"/>
    </row>
    <row r="812" spans="1:23">
      <c r="A812" s="1">
        <v>1286</v>
      </c>
      <c r="B812" s="1" t="str">
        <f>VLOOKUP(A812,Folha4!$1:$1048576,2,)</f>
        <v>OPS - Movimentação Cadastral de Beneficiários</v>
      </c>
      <c r="D812" s="180"/>
      <c r="E812" s="1">
        <f>VLOOKUP(A812,Folha4!$1:$1048576,6,)</f>
        <v>706</v>
      </c>
      <c r="F812" s="1" t="str">
        <f>VLOOKUP(E812,'ESTRUTURA_MODULO(hide)'!$A$1:$B$106,2,FALSE)</f>
        <v>Contratos de Intercâmbio</v>
      </c>
      <c r="I812" s="12">
        <f>VLOOKUP(A812,Folha4!$1:$1048576,11,)</f>
        <v>24</v>
      </c>
      <c r="N812" s="17" t="str">
        <f>IF('General Information'!$C$18="Ambos (Prestador + OPS)","Yes",IF('General Information'!$C$18="Tasy Prestador","Yes","No"))</f>
        <v>No</v>
      </c>
      <c r="Q812" s="17" t="s">
        <v>2889</v>
      </c>
      <c r="R812" s="17" t="s">
        <v>2889</v>
      </c>
      <c r="S812" s="17" t="s">
        <v>2889</v>
      </c>
      <c r="W812" s="17"/>
    </row>
    <row r="813" spans="1:23">
      <c r="A813" s="1">
        <v>1318</v>
      </c>
      <c r="B813" s="1" t="str">
        <f>VLOOKUP(A813,Folha4!$1:$1048576,2,)</f>
        <v>OPS - Consulta Dados Beneficiário Intercâmbio</v>
      </c>
      <c r="D813" s="180"/>
      <c r="E813" s="1">
        <f>VLOOKUP(A813,Folha4!$1:$1048576,6,)</f>
        <v>706</v>
      </c>
      <c r="F813" s="1" t="str">
        <f>VLOOKUP(E813,'ESTRUTURA_MODULO(hide)'!$A$1:$B$106,2,FALSE)</f>
        <v>Contratos de Intercâmbio</v>
      </c>
      <c r="I813" s="12">
        <f>VLOOKUP(A813,Folha4!$1:$1048576,11,)</f>
        <v>4</v>
      </c>
      <c r="N813" s="17" t="str">
        <f>IF('General Information'!$C$18="Ambos (Prestador + OPS)","Yes",IF('General Information'!$C$18="Tasy Prestador","Yes","No"))</f>
        <v>No</v>
      </c>
      <c r="Q813" s="17" t="s">
        <v>2890</v>
      </c>
      <c r="R813" s="17" t="s">
        <v>2889</v>
      </c>
      <c r="S813" s="17" t="s">
        <v>2890</v>
      </c>
      <c r="W813" s="17"/>
    </row>
    <row r="814" spans="1:23">
      <c r="A814" s="1">
        <v>1305</v>
      </c>
      <c r="B814" s="1" t="str">
        <f>VLOOKUP(A814,Folha4!$1:$1048576,2,)</f>
        <v>OPS - Operadoras Congêneres</v>
      </c>
      <c r="D814" s="180"/>
      <c r="E814" s="1">
        <f>VLOOKUP(A814,Folha4!$1:$1048576,6,)</f>
        <v>706</v>
      </c>
      <c r="F814" s="1" t="str">
        <f>VLOOKUP(E814,'ESTRUTURA_MODULO(hide)'!$A$1:$B$106,2,FALSE)</f>
        <v>Contratos de Intercâmbio</v>
      </c>
      <c r="I814" s="12">
        <f>VLOOKUP(A814,Folha4!$1:$1048576,11,)</f>
        <v>16</v>
      </c>
      <c r="N814" s="17" t="str">
        <f>IF('General Information'!$C$18="Ambos (Prestador + OPS)","Yes",IF('General Information'!$C$18="Tasy Prestador","Yes","No"))</f>
        <v>No</v>
      </c>
      <c r="Q814" s="17" t="s">
        <v>2889</v>
      </c>
      <c r="R814" s="17" t="s">
        <v>2889</v>
      </c>
      <c r="S814" s="17" t="s">
        <v>2889</v>
      </c>
      <c r="W814" s="17"/>
    </row>
    <row r="815" spans="1:23">
      <c r="A815" s="1">
        <v>1277</v>
      </c>
      <c r="B815" s="1" t="str">
        <f>VLOOKUP(A815,Folha4!$1:$1048576,2,)</f>
        <v>OPS - Contratos de Intercâmbio</v>
      </c>
      <c r="D815" s="180"/>
      <c r="E815" s="1">
        <f>VLOOKUP(A815,Folha4!$1:$1048576,6,)</f>
        <v>706</v>
      </c>
      <c r="F815" s="1" t="str">
        <f>VLOOKUP(E815,'ESTRUTURA_MODULO(hide)'!$A$1:$B$106,2,FALSE)</f>
        <v>Contratos de Intercâmbio</v>
      </c>
      <c r="I815" s="12">
        <f>VLOOKUP(A815,Folha4!$1:$1048576,11,)</f>
        <v>24</v>
      </c>
      <c r="N815" s="17" t="str">
        <f>IF('General Information'!$C$18="Ambos (Prestador + OPS)","Yes",IF('General Information'!$C$18="Tasy Prestador","Yes","No"))</f>
        <v>No</v>
      </c>
      <c r="Q815" s="17" t="s">
        <v>2889</v>
      </c>
      <c r="R815" s="17" t="s">
        <v>2889</v>
      </c>
      <c r="S815" s="17" t="s">
        <v>2889</v>
      </c>
      <c r="W815" s="17"/>
    </row>
    <row r="816" spans="1:23">
      <c r="A816" s="1">
        <v>1292</v>
      </c>
      <c r="B816" s="1" t="str">
        <f>VLOOKUP(A816,Folha4!$1:$1048576,2,)</f>
        <v>OPS - Movimentação Cadastral de SCA</v>
      </c>
      <c r="D816" s="180"/>
      <c r="E816" s="1">
        <f>VLOOKUP(A816,Folha4!$1:$1048576,6,)</f>
        <v>706</v>
      </c>
      <c r="F816" s="1" t="str">
        <f>VLOOKUP(E816,'ESTRUTURA_MODULO(hide)'!$A$1:$B$106,2,FALSE)</f>
        <v>Contratos de Intercâmbio</v>
      </c>
      <c r="I816" s="12">
        <v>16</v>
      </c>
      <c r="N816" s="17" t="str">
        <f>IF('General Information'!$C$18="Ambos (Prestador + OPS)","Yes",IF('General Information'!$C$18="Tasy Prestador","Yes","No"))</f>
        <v>No</v>
      </c>
      <c r="Q816" s="17" t="s">
        <v>2890</v>
      </c>
      <c r="R816" s="17" t="s">
        <v>2890</v>
      </c>
      <c r="S816" s="17" t="s">
        <v>2890</v>
      </c>
      <c r="W816" s="17"/>
    </row>
    <row r="817" spans="1:23">
      <c r="A817" s="1">
        <v>1244</v>
      </c>
      <c r="B817" s="1" t="str">
        <f>VLOOKUP(A817,Folha4!$1:$1048576,2,)</f>
        <v>OPS - Regras de Lançamento Automático</v>
      </c>
      <c r="D817" s="180"/>
      <c r="E817" s="1">
        <f>VLOOKUP(A817,Folha4!$1:$1048576,6,)</f>
        <v>708</v>
      </c>
      <c r="F817" s="1" t="str">
        <f>VLOOKUP(E817,'ESTRUTURA_MODULO(hide)'!$A$1:$B$106,2,FALSE)</f>
        <v>Regras</v>
      </c>
      <c r="I817" s="12">
        <f>VLOOKUP(A817,Folha4!$1:$1048576,11,)</f>
        <v>16</v>
      </c>
      <c r="N817" s="17" t="str">
        <f>IF('General Information'!$C$18="Ambos (Prestador + OPS)","Yes",IF('General Information'!$C$18="Tasy Prestador","Yes","No"))</f>
        <v>No</v>
      </c>
      <c r="Q817" s="17" t="s">
        <v>2890</v>
      </c>
      <c r="R817" s="17" t="s">
        <v>2890</v>
      </c>
      <c r="S817" s="17" t="s">
        <v>2890</v>
      </c>
      <c r="W817" s="17"/>
    </row>
    <row r="818" spans="1:23">
      <c r="A818" s="1">
        <v>1209</v>
      </c>
      <c r="B818" s="1" t="str">
        <f>VLOOKUP(A818,Folha4!$1:$1048576,2,)</f>
        <v>OPS - Cadastro de Regras</v>
      </c>
      <c r="D818" s="180"/>
      <c r="E818" s="1">
        <f>VLOOKUP(A818,Folha4!$1:$1048576,6,)</f>
        <v>708</v>
      </c>
      <c r="F818" s="1" t="str">
        <f>VLOOKUP(E818,'ESTRUTURA_MODULO(hide)'!$A$1:$B$106,2,FALSE)</f>
        <v>Regras</v>
      </c>
      <c r="I818" s="12">
        <f>VLOOKUP(A818,Folha4!$1:$1048576,11,)</f>
        <v>32</v>
      </c>
      <c r="N818" s="17" t="str">
        <f>IF('General Information'!$C$18="Ambos (Prestador + OPS)","Yes",IF('General Information'!$C$18="Tasy Prestador","Yes","No"))</f>
        <v>No</v>
      </c>
      <c r="Q818" s="17" t="s">
        <v>2889</v>
      </c>
      <c r="R818" s="17" t="s">
        <v>2889</v>
      </c>
      <c r="S818" s="17" t="s">
        <v>2889</v>
      </c>
      <c r="W818" s="17"/>
    </row>
    <row r="819" spans="1:23">
      <c r="A819" s="1">
        <v>1306</v>
      </c>
      <c r="B819" s="1" t="str">
        <f>VLOOKUP(A819,Folha4!$1:$1048576,2,)</f>
        <v>OPS - Glosas e Ocorrências</v>
      </c>
      <c r="D819" s="180"/>
      <c r="E819" s="1">
        <f>VLOOKUP(A819,Folha4!$1:$1048576,6,)</f>
        <v>708</v>
      </c>
      <c r="F819" s="1" t="str">
        <f>VLOOKUP(E819,'ESTRUTURA_MODULO(hide)'!$A$1:$B$106,2,FALSE)</f>
        <v>Regras</v>
      </c>
      <c r="I819" s="12">
        <f>VLOOKUP(A819,Folha4!$1:$1048576,11,)</f>
        <v>40</v>
      </c>
      <c r="N819" s="17" t="str">
        <f>IF('General Information'!$C$18="Ambos (Prestador + OPS)","Yes",IF('General Information'!$C$18="Tasy Prestador","Yes","No"))</f>
        <v>No</v>
      </c>
      <c r="Q819" s="17" t="s">
        <v>2889</v>
      </c>
      <c r="R819" s="17" t="s">
        <v>2889</v>
      </c>
      <c r="S819" s="17" t="s">
        <v>2889</v>
      </c>
      <c r="W819" s="17"/>
    </row>
    <row r="820" spans="1:23">
      <c r="A820" s="1">
        <v>1298</v>
      </c>
      <c r="B820" s="1" t="str">
        <f>VLOOKUP(A820,Folha4!$1:$1048576,2,)</f>
        <v>OPS - Regras e Critérios de Preço</v>
      </c>
      <c r="D820" s="180"/>
      <c r="E820" s="1">
        <f>VLOOKUP(A820,Folha4!$1:$1048576,6,)</f>
        <v>708</v>
      </c>
      <c r="F820" s="1" t="str">
        <f>VLOOKUP(E820,'ESTRUTURA_MODULO(hide)'!$A$1:$B$106,2,FALSE)</f>
        <v>Regras</v>
      </c>
      <c r="I820" s="12">
        <f>VLOOKUP(A820,Folha4!$1:$1048576,11,)</f>
        <v>24</v>
      </c>
      <c r="N820" s="17" t="str">
        <f>IF('General Information'!$C$18="Ambos (Prestador + OPS)","Yes",IF('General Information'!$C$18="Tasy Prestador","Yes","No"))</f>
        <v>No</v>
      </c>
      <c r="Q820" s="17" t="s">
        <v>2889</v>
      </c>
      <c r="R820" s="17" t="s">
        <v>2889</v>
      </c>
      <c r="S820" s="17" t="s">
        <v>2889</v>
      </c>
      <c r="W820" s="17"/>
    </row>
    <row r="821" spans="1:23">
      <c r="A821" s="1">
        <v>1349</v>
      </c>
      <c r="B821" s="1" t="str">
        <f>VLOOKUP(A821,Folha4!$1:$1048576,2,)</f>
        <v>OPS - Análise de Discussão da Contestação e Recurso de Glosa</v>
      </c>
      <c r="D821" s="180"/>
      <c r="E821" s="1">
        <f>VLOOKUP(A821,Folha4!$1:$1048576,6,)</f>
        <v>835</v>
      </c>
      <c r="F821" s="1" t="str">
        <f>VLOOKUP(E821,'ESTRUTURA_MODULO(hide)'!$A$1:$B$106,2,FALSE)</f>
        <v>Produção de Contas Médicas - Intercâmbio</v>
      </c>
      <c r="I821" s="12">
        <f>VLOOKUP(A821,Folha4!$1:$1048576,11,)</f>
        <v>16</v>
      </c>
      <c r="N821" s="17" t="str">
        <f>IF('General Information'!$C$18="Ambos (Prestador + OPS)","Yes",IF('General Information'!$C$18="Tasy Prestador","Yes","No"))</f>
        <v>No</v>
      </c>
      <c r="Q821" s="17" t="s">
        <v>2890</v>
      </c>
      <c r="R821" s="17" t="s">
        <v>2890</v>
      </c>
      <c r="S821" s="17" t="s">
        <v>2890</v>
      </c>
      <c r="W821" s="17"/>
    </row>
    <row r="822" spans="1:23">
      <c r="A822" s="1">
        <v>1340</v>
      </c>
      <c r="B822" s="1" t="str">
        <f>VLOOKUP(A822,Folha4!$1:$1048576,2,)</f>
        <v>OPS - Seleção de Itens da Contestação e Recurso de Glosa</v>
      </c>
      <c r="D822" s="180"/>
      <c r="E822" s="1">
        <f>VLOOKUP(A822,Folha4!$1:$1048576,6,)</f>
        <v>835</v>
      </c>
      <c r="F822" s="1" t="str">
        <f>VLOOKUP(E822,'ESTRUTURA_MODULO(hide)'!$A$1:$B$106,2,FALSE)</f>
        <v>Produção de Contas Médicas - Intercâmbio</v>
      </c>
      <c r="I822" s="12">
        <v>16</v>
      </c>
      <c r="N822" s="17" t="str">
        <f>IF('General Information'!$C$18="Ambos (Prestador + OPS)","Yes",IF('General Information'!$C$18="Tasy Prestador","Yes","No"))</f>
        <v>No</v>
      </c>
      <c r="Q822" s="17" t="s">
        <v>2890</v>
      </c>
      <c r="R822" s="17" t="s">
        <v>2889</v>
      </c>
      <c r="S822" s="17" t="s">
        <v>2890</v>
      </c>
      <c r="W822" s="17"/>
    </row>
    <row r="823" spans="1:23">
      <c r="A823" s="1">
        <v>1366</v>
      </c>
      <c r="B823" s="1" t="str">
        <f>VLOOKUP(A823,Folha4!$1:$1048576,2,)</f>
        <v>OPS - Inconsistências de Intercâmbio</v>
      </c>
      <c r="D823" s="180"/>
      <c r="E823" s="1">
        <f>VLOOKUP(A823,Folha4!$1:$1048576,6,)</f>
        <v>835</v>
      </c>
      <c r="F823" s="1" t="str">
        <f>VLOOKUP(E823,'ESTRUTURA_MODULO(hide)'!$A$1:$B$106,2,FALSE)</f>
        <v>Produção de Contas Médicas - Intercâmbio</v>
      </c>
      <c r="I823" s="12">
        <f>VLOOKUP(A823,Folha4!$1:$1048576,11,)</f>
        <v>12</v>
      </c>
      <c r="N823" s="17" t="str">
        <f>IF('General Information'!$C$18="Ambos (Prestador + OPS)","Yes",IF('General Information'!$C$18="Tasy Prestador","Yes","No"))</f>
        <v>No</v>
      </c>
      <c r="Q823" s="17" t="s">
        <v>2890</v>
      </c>
      <c r="R823" s="17" t="s">
        <v>2889</v>
      </c>
      <c r="S823" s="17" t="s">
        <v>2890</v>
      </c>
      <c r="W823" s="17"/>
    </row>
    <row r="824" spans="1:23">
      <c r="A824" s="1">
        <v>78</v>
      </c>
      <c r="B824" s="1" t="str">
        <f>VLOOKUP(A824,Folha4!$1:$1048576,2,)</f>
        <v>OPS - Fatura de Uso Geral (A580)</v>
      </c>
      <c r="D824" s="180"/>
      <c r="E824" s="1">
        <f>VLOOKUP(A824,Folha4!$1:$1048576,6,)</f>
        <v>835</v>
      </c>
      <c r="F824" s="1" t="str">
        <f>VLOOKUP(E824,'ESTRUTURA_MODULO(hide)'!$A$1:$B$106,2,FALSE)</f>
        <v>Produção de Contas Médicas - Intercâmbio</v>
      </c>
      <c r="I824" s="12">
        <f>VLOOKUP(A824,Folha4!$1:$1048576,11,)</f>
        <v>12</v>
      </c>
      <c r="N824" s="17" t="str">
        <f>IF('General Information'!$C$18="Ambos (Prestador + OPS)","Yes",IF('General Information'!$C$18="Tasy Prestador","Yes","No"))</f>
        <v>No</v>
      </c>
      <c r="Q824" s="17" t="s">
        <v>2889</v>
      </c>
      <c r="R824" s="17" t="s">
        <v>2889</v>
      </c>
      <c r="S824" s="17" t="s">
        <v>2889</v>
      </c>
      <c r="W824" s="17"/>
    </row>
    <row r="825" spans="1:23">
      <c r="A825" s="1">
        <v>1390</v>
      </c>
      <c r="B825" s="1" t="str">
        <f>VLOOKUP(A825,Folha4!$1:$1048576,2,)</f>
        <v>OPS - Prestadores de Intercâmbio</v>
      </c>
      <c r="D825" s="180"/>
      <c r="E825" s="1">
        <f>VLOOKUP(A825,Folha4!$1:$1048576,6,)</f>
        <v>835</v>
      </c>
      <c r="F825" s="1" t="str">
        <f>VLOOKUP(E825,'ESTRUTURA_MODULO(hide)'!$A$1:$B$106,2,FALSE)</f>
        <v>Produção de Contas Médicas - Intercâmbio</v>
      </c>
      <c r="I825" s="12">
        <f>VLOOKUP(A825,Folha4!$1:$1048576,11,)</f>
        <v>24</v>
      </c>
      <c r="N825" s="17" t="str">
        <f>IF('General Information'!$C$18="Ambos (Prestador + OPS)","Yes",IF('General Information'!$C$18="Tasy Prestador","Yes","No"))</f>
        <v>No</v>
      </c>
      <c r="Q825" s="17">
        <v>0</v>
      </c>
      <c r="R825" s="17">
        <v>0</v>
      </c>
      <c r="S825" s="17">
        <v>0</v>
      </c>
      <c r="W825" s="17"/>
    </row>
    <row r="826" spans="1:23">
      <c r="A826" s="1">
        <v>1334</v>
      </c>
      <c r="B826" s="1" t="str">
        <f>VLOOKUP(A826,Folha4!$1:$1048576,2,)</f>
        <v>OPS - Controle de Contestações</v>
      </c>
      <c r="D826" s="180"/>
      <c r="E826" s="1">
        <f>VLOOKUP(A826,Folha4!$1:$1048576,6,)</f>
        <v>835</v>
      </c>
      <c r="F826" s="1" t="str">
        <f>VLOOKUP(E826,'ESTRUTURA_MODULO(hide)'!$A$1:$B$106,2,FALSE)</f>
        <v>Produção de Contas Médicas - Intercâmbio</v>
      </c>
      <c r="I826" s="12">
        <f>VLOOKUP(A826,Folha4!$1:$1048576,11,)</f>
        <v>32</v>
      </c>
      <c r="N826" s="17" t="str">
        <f>IF('General Information'!$C$18="Ambos (Prestador + OPS)","Yes",IF('General Information'!$C$18="Tasy Prestador","Yes","No"))</f>
        <v>No</v>
      </c>
      <c r="Q826" s="17" t="s">
        <v>2889</v>
      </c>
      <c r="R826" s="17" t="s">
        <v>2889</v>
      </c>
      <c r="S826" s="17" t="s">
        <v>2889</v>
      </c>
      <c r="W826" s="17"/>
    </row>
    <row r="827" spans="1:23">
      <c r="A827" s="1">
        <v>1319</v>
      </c>
      <c r="B827" s="1" t="str">
        <f>VLOOKUP(A827,Folha4!$1:$1048576,2,)</f>
        <v>OPS - Consulta Dados Prestador Intercâmbio</v>
      </c>
      <c r="D827" s="180"/>
      <c r="E827" s="1">
        <f>VLOOKUP(A827,Folha4!$1:$1048576,6,)</f>
        <v>835</v>
      </c>
      <c r="F827" s="1" t="str">
        <f>VLOOKUP(E827,'ESTRUTURA_MODULO(hide)'!$A$1:$B$106,2,FALSE)</f>
        <v>Produção de Contas Médicas - Intercâmbio</v>
      </c>
      <c r="I827" s="12">
        <f>VLOOKUP(A827,Folha4!$1:$1048576,11,)</f>
        <v>4</v>
      </c>
      <c r="N827" s="17" t="str">
        <f>IF('General Information'!$C$18="Ambos (Prestador + OPS)","Yes",IF('General Information'!$C$18="Tasy Prestador","Yes","No"))</f>
        <v>No</v>
      </c>
      <c r="Q827" s="17" t="s">
        <v>2890</v>
      </c>
      <c r="R827" s="17" t="s">
        <v>2889</v>
      </c>
      <c r="S827" s="17" t="s">
        <v>2890</v>
      </c>
      <c r="W827" s="17"/>
    </row>
    <row r="828" spans="1:23">
      <c r="A828" s="1">
        <v>1293</v>
      </c>
      <c r="B828" s="1" t="str">
        <f>VLOOKUP(A828,Folha4!$1:$1048576,2,)</f>
        <v>OPS - Contas de Intercâmbio</v>
      </c>
      <c r="D828" s="180"/>
      <c r="E828" s="1">
        <f>VLOOKUP(A828,Folha4!$1:$1048576,6,)</f>
        <v>835</v>
      </c>
      <c r="F828" s="1" t="str">
        <f>VLOOKUP(E828,'ESTRUTURA_MODULO(hide)'!$A$1:$B$106,2,FALSE)</f>
        <v>Produção de Contas Médicas - Intercâmbio</v>
      </c>
      <c r="I828" s="12">
        <v>24</v>
      </c>
      <c r="N828" s="17" t="str">
        <f>IF('General Information'!$C$18="Ambos (Prestador + OPS)","Yes",IF('General Information'!$C$18="Tasy Prestador","Yes","No"))</f>
        <v>No</v>
      </c>
      <c r="Q828" s="17" t="s">
        <v>2890</v>
      </c>
      <c r="R828" s="17" t="s">
        <v>2889</v>
      </c>
      <c r="S828" s="17" t="s">
        <v>2890</v>
      </c>
      <c r="W828" s="17"/>
    </row>
    <row r="829" spans="1:23">
      <c r="A829" s="1">
        <v>1275</v>
      </c>
      <c r="B829" s="1" t="str">
        <f>VLOOKUP(A829,Folha4!$1:$1048576,2,)</f>
        <v>OPS - Câmara de Compensação</v>
      </c>
      <c r="D829" s="180"/>
      <c r="E829" s="1">
        <f>VLOOKUP(A829,Folha4!$1:$1048576,6,)</f>
        <v>835</v>
      </c>
      <c r="F829" s="1" t="str">
        <f>VLOOKUP(E829,'ESTRUTURA_MODULO(hide)'!$A$1:$B$106,2,FALSE)</f>
        <v>Produção de Contas Médicas - Intercâmbio</v>
      </c>
      <c r="I829" s="12">
        <v>32</v>
      </c>
      <c r="N829" s="17" t="str">
        <f>IF('General Information'!$C$18="Ambos (Prestador + OPS)","Yes",IF('General Information'!$C$18="Tasy Prestador","Yes","No"))</f>
        <v>No</v>
      </c>
      <c r="Q829" s="17" t="s">
        <v>2889</v>
      </c>
      <c r="R829" s="17" t="s">
        <v>2889</v>
      </c>
      <c r="S829" s="17" t="s">
        <v>2889</v>
      </c>
      <c r="W829" s="17"/>
    </row>
    <row r="830" spans="1:23">
      <c r="A830" s="1">
        <v>1312</v>
      </c>
      <c r="B830" s="1" t="str">
        <f>VLOOKUP(A830,Folha4!$1:$1048576,2,)</f>
        <v>OPS - Faturamento Intercâmbio de Pré-Pagamento</v>
      </c>
      <c r="D830" s="180"/>
      <c r="E830" s="1">
        <f>VLOOKUP(A830,Folha4!$1:$1048576,6,)</f>
        <v>835</v>
      </c>
      <c r="F830" s="1" t="str">
        <f>VLOOKUP(E830,'ESTRUTURA_MODULO(hide)'!$A$1:$B$106,2,FALSE)</f>
        <v>Produção de Contas Médicas - Intercâmbio</v>
      </c>
      <c r="I830" s="12">
        <v>24</v>
      </c>
      <c r="N830" s="17" t="str">
        <f>IF('General Information'!$C$18="Ambos (Prestador + OPS)","Yes",IF('General Information'!$C$18="Tasy Prestador","Yes","No"))</f>
        <v>No</v>
      </c>
      <c r="Q830" s="17" t="s">
        <v>2890</v>
      </c>
      <c r="R830" s="17" t="s">
        <v>2889</v>
      </c>
      <c r="S830" s="17" t="s">
        <v>2890</v>
      </c>
      <c r="W830" s="17"/>
    </row>
    <row r="831" spans="1:23">
      <c r="A831" s="1">
        <v>1311</v>
      </c>
      <c r="B831" s="1" t="str">
        <f>VLOOKUP(A831,Folha4!$1:$1048576,2,)</f>
        <v>OPS - Movimentação de Serviços Prestados em Pré-Pagamento</v>
      </c>
      <c r="D831" s="180"/>
      <c r="E831" s="1">
        <f>VLOOKUP(A831,Folha4!$1:$1048576,6,)</f>
        <v>835</v>
      </c>
      <c r="F831" s="1" t="str">
        <f>VLOOKUP(E831,'ESTRUTURA_MODULO(hide)'!$A$1:$B$106,2,FALSE)</f>
        <v>Produção de Contas Médicas - Intercâmbio</v>
      </c>
      <c r="I831" s="12">
        <v>24</v>
      </c>
      <c r="N831" s="17" t="str">
        <f>IF('General Information'!$C$18="Ambos (Prestador + OPS)","Yes",IF('General Information'!$C$18="Tasy Prestador","Yes","No"))</f>
        <v>No</v>
      </c>
      <c r="Q831" s="17" t="s">
        <v>2890</v>
      </c>
      <c r="R831" s="17" t="s">
        <v>2890</v>
      </c>
      <c r="S831" s="17" t="s">
        <v>2890</v>
      </c>
      <c r="W831" s="17"/>
    </row>
    <row r="832" spans="1:23">
      <c r="A832" s="1">
        <v>1297</v>
      </c>
      <c r="B832" s="1" t="str">
        <f>VLOOKUP(A832,Folha4!$1:$1048576,2,)</f>
        <v>OPS - Faturas para Câmara de Compensação (A600)</v>
      </c>
      <c r="D832" s="180"/>
      <c r="E832" s="1">
        <f>VLOOKUP(A832,Folha4!$1:$1048576,6,)</f>
        <v>835</v>
      </c>
      <c r="F832" s="1" t="str">
        <f>VLOOKUP(E832,'ESTRUTURA_MODULO(hide)'!$A$1:$B$106,2,FALSE)</f>
        <v>Produção de Contas Médicas - Intercâmbio</v>
      </c>
      <c r="I832" s="12">
        <v>24</v>
      </c>
      <c r="N832" s="17" t="str">
        <f>IF('General Information'!$C$18="Ambos (Prestador + OPS)","Yes",IF('General Information'!$C$18="Tasy Prestador","Yes","No"))</f>
        <v>No</v>
      </c>
      <c r="Q832" s="17" t="s">
        <v>2889</v>
      </c>
      <c r="R832" s="17" t="s">
        <v>2889</v>
      </c>
      <c r="S832" s="17" t="s">
        <v>2889</v>
      </c>
      <c r="W832" s="17"/>
    </row>
    <row r="833" spans="1:23">
      <c r="A833" s="1">
        <v>336</v>
      </c>
      <c r="B833" s="1" t="str">
        <f>VLOOKUP(A833,Folha4!$1:$1048576,2,)</f>
        <v>OPS - Monitoramento Financeiro</v>
      </c>
      <c r="D833" s="180"/>
      <c r="E833" s="1">
        <f>VLOOKUP(A833,Folha4!$1:$1048576,6,)</f>
        <v>836</v>
      </c>
      <c r="F833" s="1" t="str">
        <f>VLOOKUP(E833,'ESTRUTURA_MODULO(hide)'!$A$1:$B$106,2,FALSE)</f>
        <v>Faturamento</v>
      </c>
      <c r="I833" s="12">
        <f>VLOOKUP(A833,Folha4!$1:$1048576,11,)</f>
        <v>8</v>
      </c>
      <c r="N833" s="17" t="str">
        <f>IF('General Information'!$C$18="Ambos (Prestador + OPS)","Yes",IF('General Information'!$C$18="Tasy Prestador","Yes","No"))</f>
        <v>No</v>
      </c>
      <c r="Q833" s="17" t="s">
        <v>2890</v>
      </c>
      <c r="R833" s="17" t="s">
        <v>2890</v>
      </c>
      <c r="S833" s="17" t="s">
        <v>2890</v>
      </c>
      <c r="W833" s="17"/>
    </row>
    <row r="834" spans="1:23">
      <c r="A834" s="1">
        <v>1356</v>
      </c>
      <c r="B834" s="1" t="str">
        <f>VLOOKUP(A834,Folha4!$1:$1048576,2,)</f>
        <v>OPS - Faturamento</v>
      </c>
      <c r="D834" s="180"/>
      <c r="E834" s="1">
        <f>VLOOKUP(A834,Folha4!$1:$1048576,6,)</f>
        <v>836</v>
      </c>
      <c r="F834" s="1" t="str">
        <f>VLOOKUP(E834,'ESTRUTURA_MODULO(hide)'!$A$1:$B$106,2,FALSE)</f>
        <v>Faturamento</v>
      </c>
      <c r="I834" s="12">
        <f>VLOOKUP(A834,Folha4!$1:$1048576,11,)</f>
        <v>32</v>
      </c>
      <c r="N834" s="17" t="str">
        <f>IF('General Information'!$C$18="Ambos (Prestador + OPS)","Yes",IF('General Information'!$C$18="Tasy Prestador","Yes","No"))</f>
        <v>No</v>
      </c>
      <c r="Q834" s="17" t="s">
        <v>2889</v>
      </c>
      <c r="R834" s="17" t="s">
        <v>2889</v>
      </c>
      <c r="S834" s="17" t="s">
        <v>2889</v>
      </c>
      <c r="W834" s="17"/>
    </row>
    <row r="835" spans="1:23">
      <c r="A835" s="423">
        <v>1369</v>
      </c>
      <c r="B835" s="1" t="str">
        <f>VLOOKUP(A835,Folha4!$1:$1048576,2,)</f>
        <v>OPS - Ajustes para Refaturamento</v>
      </c>
      <c r="E835" s="1">
        <f>VLOOKUP(A835,Folha4!$1:$1048576,6,)</f>
        <v>836</v>
      </c>
      <c r="F835" s="1" t="str">
        <f>VLOOKUP(E835,'ESTRUTURA_MODULO(hide)'!$A$1:$B$106,2,FALSE)</f>
        <v>Faturamento</v>
      </c>
      <c r="I835" s="12">
        <f>VLOOKUP(A835,Folha4!$1:$1048576,11,)</f>
        <v>16</v>
      </c>
      <c r="N835" s="17" t="str">
        <f>IF('General Information'!$C$18="Ambos (Prestador + OPS)","Yes",IF('General Information'!$C$18="Tasy Prestador","Yes","No"))</f>
        <v>No</v>
      </c>
      <c r="Q835" s="17" t="s">
        <v>2889</v>
      </c>
      <c r="R835" s="17" t="s">
        <v>2889</v>
      </c>
      <c r="S835" s="17" t="s">
        <v>2889</v>
      </c>
      <c r="W835" s="17"/>
    </row>
    <row r="836" spans="1:23">
      <c r="A836" s="1">
        <v>337</v>
      </c>
      <c r="B836" s="1" t="str">
        <f>VLOOKUP(A836,Folha4!$1:$1048576,2,)</f>
        <v>OPS - Recursos de Glosas de Empresas</v>
      </c>
      <c r="E836" s="1">
        <f>VLOOKUP(A836,Folha4!$1:$1048576,6,)</f>
        <v>836</v>
      </c>
      <c r="F836" s="1" t="str">
        <f>VLOOKUP(E836,'ESTRUTURA_MODULO(hide)'!$A$1:$B$106,2,FALSE)</f>
        <v>Faturamento</v>
      </c>
      <c r="I836" s="12">
        <f>VLOOKUP(A836,Folha4!$1:$1048576,11,)</f>
        <v>0</v>
      </c>
      <c r="N836" s="17" t="str">
        <f>IF('General Information'!$C$18="Ambos (Prestador + OPS)","Yes",IF('General Information'!$C$18="Tasy Prestador","Yes","No"))</f>
        <v>No</v>
      </c>
      <c r="Q836" s="17" t="s">
        <v>2890</v>
      </c>
      <c r="R836" s="17" t="s">
        <v>2890</v>
      </c>
      <c r="S836" s="17" t="s">
        <v>2890</v>
      </c>
      <c r="W836" s="17"/>
    </row>
    <row r="837" spans="1:23">
      <c r="A837" s="1">
        <v>262</v>
      </c>
      <c r="B837" s="1" t="str">
        <f>VLOOKUP(A837,Folha4!$1:$1048576,2,)</f>
        <v>OPS - Módulo de Inadimplência (A510)</v>
      </c>
      <c r="E837" s="1">
        <f>VLOOKUP(A837,Folha4!$1:$1048576,6,)</f>
        <v>836</v>
      </c>
      <c r="F837" s="1" t="str">
        <f>VLOOKUP(E837,'ESTRUTURA_MODULO(hide)'!$A$1:$B$106,2,FALSE)</f>
        <v>Faturamento</v>
      </c>
      <c r="I837" s="12">
        <f>VLOOKUP(A837,Folha4!$1:$1048576,11,)</f>
        <v>8</v>
      </c>
      <c r="N837" s="17" t="str">
        <f>IF('General Information'!$C$18="Ambos (Prestador + OPS)","Yes",IF('General Information'!$C$18="Tasy Prestador","Yes","No"))</f>
        <v>No</v>
      </c>
      <c r="Q837" s="17" t="s">
        <v>2890</v>
      </c>
      <c r="R837" s="17" t="s">
        <v>2889</v>
      </c>
      <c r="S837" s="17" t="s">
        <v>2890</v>
      </c>
      <c r="W837" s="17"/>
    </row>
    <row r="838" spans="1:23">
      <c r="A838" s="1">
        <v>1382</v>
      </c>
      <c r="B838" s="1" t="str">
        <f>VLOOKUP(A838,Folha4!$1:$1048576,2,)</f>
        <v>OPS - Controle de Coparticipações e Pós-estabelecidos</v>
      </c>
      <c r="E838" s="1">
        <f>VLOOKUP(A838,Folha4!$1:$1048576,6,)</f>
        <v>836</v>
      </c>
      <c r="F838" s="1" t="str">
        <f>VLOOKUP(E838,'ESTRUTURA_MODULO(hide)'!$A$1:$B$106,2,FALSE)</f>
        <v>Faturamento</v>
      </c>
      <c r="I838" s="12">
        <f>VLOOKUP(A838,Folha4!$1:$1048576,11,)</f>
        <v>12</v>
      </c>
      <c r="N838" s="17" t="str">
        <f>IF('General Information'!$C$18="Ambos (Prestador + OPS)","Yes",IF('General Information'!$C$18="Tasy Prestador","Yes","No"))</f>
        <v>No</v>
      </c>
      <c r="Q838" s="17" t="s">
        <v>2889</v>
      </c>
      <c r="R838" s="17" t="s">
        <v>2889</v>
      </c>
      <c r="S838" s="17" t="s">
        <v>2889</v>
      </c>
      <c r="W838" s="17"/>
    </row>
    <row r="839" spans="1:23">
      <c r="W839" s="17"/>
    </row>
    <row r="840" spans="1:23">
      <c r="B840" s="423" t="s">
        <v>6259</v>
      </c>
      <c r="W840" s="17"/>
    </row>
    <row r="841" spans="1:23">
      <c r="B841" s="423" t="s">
        <v>6024</v>
      </c>
      <c r="W841" s="17"/>
    </row>
    <row r="842" spans="1:23">
      <c r="W842" s="17"/>
    </row>
    <row r="843" spans="1:23">
      <c r="W843" s="17"/>
    </row>
    <row r="844" spans="1:23">
      <c r="W844" s="17"/>
    </row>
    <row r="845" spans="1:23">
      <c r="W845" s="17"/>
    </row>
    <row r="846" spans="1:23">
      <c r="W846" s="17"/>
    </row>
    <row r="847" spans="1:23">
      <c r="W847" s="17"/>
    </row>
    <row r="848" spans="1:23">
      <c r="W848" s="17"/>
    </row>
    <row r="849" spans="23:23">
      <c r="W849" s="17"/>
    </row>
    <row r="850" spans="23:23">
      <c r="W850" s="17"/>
    </row>
    <row r="851" spans="23:23">
      <c r="W851" s="17"/>
    </row>
    <row r="852" spans="23:23">
      <c r="W852" s="17"/>
    </row>
    <row r="853" spans="23:23">
      <c r="W853" s="17"/>
    </row>
    <row r="854" spans="23:23">
      <c r="W854" s="17"/>
    </row>
    <row r="855" spans="23:23">
      <c r="W855" s="17"/>
    </row>
    <row r="856" spans="23:23">
      <c r="W856" s="17"/>
    </row>
    <row r="857" spans="23:23">
      <c r="W857" s="17"/>
    </row>
    <row r="858" spans="23:23">
      <c r="W858" s="17"/>
    </row>
    <row r="859" spans="23:23">
      <c r="W859" s="17"/>
    </row>
    <row r="860" spans="23:23">
      <c r="W860" s="17"/>
    </row>
    <row r="861" spans="23:23">
      <c r="W861" s="17"/>
    </row>
    <row r="862" spans="23:23">
      <c r="W862" s="17"/>
    </row>
    <row r="863" spans="23:23">
      <c r="W863" s="17"/>
    </row>
    <row r="864" spans="23:23">
      <c r="W864" s="17"/>
    </row>
    <row r="865" spans="23:23">
      <c r="W865" s="17"/>
    </row>
    <row r="866" spans="23:23">
      <c r="W866" s="17"/>
    </row>
    <row r="867" spans="23:23">
      <c r="W867" s="17"/>
    </row>
    <row r="868" spans="23:23">
      <c r="W868" s="17"/>
    </row>
    <row r="869" spans="23:23">
      <c r="W869" s="17"/>
    </row>
    <row r="870" spans="23:23">
      <c r="W870" s="17"/>
    </row>
    <row r="871" spans="23:23">
      <c r="W871" s="17"/>
    </row>
    <row r="872" spans="23:23">
      <c r="W872" s="17"/>
    </row>
    <row r="873" spans="23:23">
      <c r="W873" s="17"/>
    </row>
    <row r="874" spans="23:23">
      <c r="W874" s="17"/>
    </row>
    <row r="875" spans="23:23">
      <c r="W875" s="17"/>
    </row>
    <row r="876" spans="23:23">
      <c r="W876" s="17"/>
    </row>
    <row r="877" spans="23:23">
      <c r="W877" s="17"/>
    </row>
    <row r="878" spans="23:23">
      <c r="W878" s="17"/>
    </row>
    <row r="879" spans="23:23">
      <c r="W879" s="17"/>
    </row>
    <row r="880" spans="23:23">
      <c r="W880" s="17"/>
    </row>
    <row r="881" spans="23:23">
      <c r="W881" s="17"/>
    </row>
    <row r="882" spans="23:23">
      <c r="W882" s="17"/>
    </row>
    <row r="883" spans="23:23">
      <c r="W883" s="17"/>
    </row>
    <row r="884" spans="23:23">
      <c r="W884" s="17"/>
    </row>
    <row r="885" spans="23:23">
      <c r="W885" s="17"/>
    </row>
    <row r="886" spans="23:23">
      <c r="W886" s="17"/>
    </row>
    <row r="887" spans="23:23">
      <c r="W887" s="17"/>
    </row>
    <row r="888" spans="23:23">
      <c r="W888" s="17"/>
    </row>
    <row r="889" spans="23:23">
      <c r="W889" s="17"/>
    </row>
    <row r="890" spans="23:23">
      <c r="W890" s="17"/>
    </row>
    <row r="891" spans="23:23">
      <c r="W891" s="17"/>
    </row>
    <row r="892" spans="23:23">
      <c r="W892" s="17"/>
    </row>
    <row r="893" spans="23:23">
      <c r="W893" s="17"/>
    </row>
    <row r="894" spans="23:23">
      <c r="W894" s="17"/>
    </row>
    <row r="895" spans="23:23">
      <c r="W895" s="17"/>
    </row>
    <row r="896" spans="23:23">
      <c r="W896" s="17"/>
    </row>
    <row r="897" spans="23:23">
      <c r="W897" s="17"/>
    </row>
    <row r="898" spans="23:23">
      <c r="W898" s="17"/>
    </row>
    <row r="899" spans="23:23">
      <c r="W899" s="17"/>
    </row>
    <row r="900" spans="23:23">
      <c r="W900" s="17"/>
    </row>
    <row r="901" spans="23:23">
      <c r="W901" s="17"/>
    </row>
    <row r="902" spans="23:23">
      <c r="W902" s="17"/>
    </row>
    <row r="903" spans="23:23">
      <c r="W903" s="17"/>
    </row>
    <row r="904" spans="23:23">
      <c r="W904" s="17"/>
    </row>
    <row r="905" spans="23:23">
      <c r="W905" s="17"/>
    </row>
    <row r="906" spans="23:23">
      <c r="W906" s="17"/>
    </row>
    <row r="907" spans="23:23">
      <c r="W907" s="17"/>
    </row>
    <row r="908" spans="23:23">
      <c r="W908" s="17"/>
    </row>
    <row r="909" spans="23:23">
      <c r="W909" s="17"/>
    </row>
    <row r="910" spans="23:23">
      <c r="W910" s="17"/>
    </row>
    <row r="911" spans="23:23">
      <c r="W911" s="17"/>
    </row>
    <row r="912" spans="23:23">
      <c r="W912" s="17"/>
    </row>
    <row r="913" spans="23:23">
      <c r="W913" s="17"/>
    </row>
    <row r="914" spans="23:23">
      <c r="W914" s="17"/>
    </row>
    <row r="915" spans="23:23">
      <c r="W915" s="17"/>
    </row>
    <row r="916" spans="23:23">
      <c r="W916" s="17"/>
    </row>
    <row r="917" spans="23:23">
      <c r="W917" s="17"/>
    </row>
    <row r="918" spans="23:23">
      <c r="W918" s="17"/>
    </row>
    <row r="919" spans="23:23">
      <c r="W919" s="17"/>
    </row>
    <row r="920" spans="23:23">
      <c r="W920" s="17"/>
    </row>
    <row r="921" spans="23:23">
      <c r="W921" s="17"/>
    </row>
    <row r="922" spans="23:23">
      <c r="W922" s="17"/>
    </row>
    <row r="923" spans="23:23">
      <c r="W923" s="17"/>
    </row>
    <row r="924" spans="23:23">
      <c r="W924" s="17"/>
    </row>
    <row r="925" spans="23:23">
      <c r="W925" s="17"/>
    </row>
    <row r="926" spans="23:23">
      <c r="W926" s="17"/>
    </row>
    <row r="927" spans="23:23">
      <c r="W927" s="17"/>
    </row>
    <row r="928" spans="23:23">
      <c r="W928" s="17"/>
    </row>
    <row r="929" spans="23:23">
      <c r="W929" s="17"/>
    </row>
    <row r="930" spans="23:23">
      <c r="W930" s="17"/>
    </row>
    <row r="931" spans="23:23">
      <c r="W931" s="17"/>
    </row>
    <row r="932" spans="23:23">
      <c r="W932" s="17"/>
    </row>
    <row r="933" spans="23:23">
      <c r="W933" s="17"/>
    </row>
    <row r="934" spans="23:23">
      <c r="W934" s="17"/>
    </row>
    <row r="935" spans="23:23">
      <c r="W935" s="17"/>
    </row>
    <row r="936" spans="23:23">
      <c r="W936" s="17"/>
    </row>
    <row r="937" spans="23:23">
      <c r="W937" s="17"/>
    </row>
    <row r="938" spans="23:23">
      <c r="W938" s="17"/>
    </row>
    <row r="939" spans="23:23">
      <c r="W939" s="17"/>
    </row>
    <row r="940" spans="23:23">
      <c r="W940" s="17"/>
    </row>
    <row r="941" spans="23:23">
      <c r="W941" s="17"/>
    </row>
    <row r="942" spans="23:23">
      <c r="W942" s="17"/>
    </row>
    <row r="943" spans="23:23">
      <c r="W943" s="17"/>
    </row>
    <row r="944" spans="23:23">
      <c r="W944" s="17"/>
    </row>
    <row r="945" spans="23:23">
      <c r="W945" s="17"/>
    </row>
    <row r="946" spans="23:23">
      <c r="W946" s="17"/>
    </row>
    <row r="947" spans="23:23">
      <c r="W947" s="17"/>
    </row>
    <row r="948" spans="23:23">
      <c r="W948" s="17"/>
    </row>
    <row r="949" spans="23:23">
      <c r="W949" s="17"/>
    </row>
    <row r="950" spans="23:23">
      <c r="W950" s="17"/>
    </row>
    <row r="951" spans="23:23">
      <c r="W951" s="17"/>
    </row>
    <row r="952" spans="23:23">
      <c r="W952" s="17"/>
    </row>
    <row r="953" spans="23:23">
      <c r="W953" s="17"/>
    </row>
    <row r="954" spans="23:23">
      <c r="W954" s="17"/>
    </row>
    <row r="955" spans="23:23">
      <c r="W955" s="17"/>
    </row>
    <row r="956" spans="23:23">
      <c r="W956" s="17"/>
    </row>
    <row r="957" spans="23:23">
      <c r="W957" s="17"/>
    </row>
    <row r="958" spans="23:23">
      <c r="W958" s="17"/>
    </row>
    <row r="959" spans="23:23">
      <c r="W959" s="17"/>
    </row>
    <row r="960" spans="23:23">
      <c r="W960" s="17"/>
    </row>
    <row r="961" spans="23:23">
      <c r="W961" s="17"/>
    </row>
    <row r="962" spans="23:23">
      <c r="W962" s="17"/>
    </row>
    <row r="963" spans="23:23">
      <c r="W963" s="17"/>
    </row>
    <row r="964" spans="23:23">
      <c r="W964" s="17"/>
    </row>
    <row r="965" spans="23:23">
      <c r="W965" s="17"/>
    </row>
    <row r="966" spans="23:23">
      <c r="W966" s="17"/>
    </row>
    <row r="967" spans="23:23">
      <c r="W967" s="17"/>
    </row>
    <row r="968" spans="23:23">
      <c r="W968" s="17"/>
    </row>
    <row r="969" spans="23:23">
      <c r="W969" s="17"/>
    </row>
    <row r="970" spans="23:23">
      <c r="W970" s="17"/>
    </row>
    <row r="971" spans="23:23">
      <c r="W971" s="17"/>
    </row>
    <row r="972" spans="23:23">
      <c r="W972" s="17"/>
    </row>
    <row r="973" spans="23:23">
      <c r="W973" s="17"/>
    </row>
    <row r="974" spans="23:23">
      <c r="W974" s="17"/>
    </row>
    <row r="975" spans="23:23">
      <c r="W975" s="17"/>
    </row>
    <row r="976" spans="23:23">
      <c r="W976" s="17"/>
    </row>
    <row r="977" spans="23:23">
      <c r="W977" s="17"/>
    </row>
    <row r="978" spans="23:23">
      <c r="W978" s="17"/>
    </row>
    <row r="979" spans="23:23">
      <c r="W979" s="17"/>
    </row>
    <row r="980" spans="23:23">
      <c r="W980" s="17"/>
    </row>
    <row r="981" spans="23:23">
      <c r="W981" s="17"/>
    </row>
    <row r="982" spans="23:23">
      <c r="W982" s="17"/>
    </row>
    <row r="983" spans="23:23">
      <c r="W983" s="17"/>
    </row>
    <row r="984" spans="23:23">
      <c r="W984" s="17"/>
    </row>
    <row r="985" spans="23:23">
      <c r="W985" s="17"/>
    </row>
    <row r="986" spans="23:23">
      <c r="W986" s="17"/>
    </row>
    <row r="987" spans="23:23">
      <c r="W987" s="17"/>
    </row>
    <row r="988" spans="23:23">
      <c r="W988" s="17"/>
    </row>
    <row r="989" spans="23:23">
      <c r="W989" s="17"/>
    </row>
    <row r="990" spans="23:23">
      <c r="W990" s="17"/>
    </row>
    <row r="991" spans="23:23">
      <c r="W991" s="17"/>
    </row>
    <row r="992" spans="23:23">
      <c r="W992" s="17"/>
    </row>
    <row r="993" spans="23:23">
      <c r="W993" s="17"/>
    </row>
    <row r="994" spans="23:23">
      <c r="W994" s="17"/>
    </row>
    <row r="995" spans="23:23">
      <c r="W995" s="17"/>
    </row>
    <row r="996" spans="23:23">
      <c r="W996" s="17"/>
    </row>
    <row r="997" spans="23:23">
      <c r="W997" s="17"/>
    </row>
    <row r="998" spans="23:23">
      <c r="W998" s="17"/>
    </row>
    <row r="999" spans="23:23">
      <c r="W999" s="17"/>
    </row>
    <row r="1000" spans="23:23">
      <c r="W1000" s="17"/>
    </row>
    <row r="1001" spans="23:23">
      <c r="W1001" s="17"/>
    </row>
    <row r="1002" spans="23:23">
      <c r="W1002" s="17"/>
    </row>
    <row r="1003" spans="23:23">
      <c r="W1003" s="17"/>
    </row>
    <row r="1004" spans="23:23">
      <c r="W1004" s="17"/>
    </row>
    <row r="1005" spans="23:23">
      <c r="W1005" s="17"/>
    </row>
    <row r="1006" spans="23:23">
      <c r="W1006" s="17"/>
    </row>
    <row r="1007" spans="23:23">
      <c r="W1007" s="17"/>
    </row>
    <row r="1008" spans="23:23">
      <c r="W1008" s="17"/>
    </row>
    <row r="1009" spans="23:23">
      <c r="W1009" s="17"/>
    </row>
    <row r="1010" spans="23:23">
      <c r="W1010" s="17"/>
    </row>
    <row r="1011" spans="23:23">
      <c r="W1011" s="17"/>
    </row>
    <row r="1012" spans="23:23">
      <c r="W1012" s="17"/>
    </row>
    <row r="1013" spans="23:23">
      <c r="W1013" s="17"/>
    </row>
    <row r="1014" spans="23:23">
      <c r="W1014" s="17"/>
    </row>
    <row r="1015" spans="23:23">
      <c r="W1015" s="17"/>
    </row>
    <row r="1016" spans="23:23">
      <c r="W1016" s="17"/>
    </row>
    <row r="1017" spans="23:23">
      <c r="W1017" s="17"/>
    </row>
    <row r="1018" spans="23:23">
      <c r="W1018" s="17"/>
    </row>
    <row r="1019" spans="23:23">
      <c r="W1019" s="17"/>
    </row>
    <row r="1020" spans="23:23">
      <c r="W1020" s="17"/>
    </row>
    <row r="1021" spans="23:23">
      <c r="W1021" s="17"/>
    </row>
    <row r="1022" spans="23:23">
      <c r="W1022" s="17"/>
    </row>
    <row r="1023" spans="23:23">
      <c r="W1023" s="17"/>
    </row>
    <row r="1024" spans="23:23">
      <c r="W1024" s="17"/>
    </row>
    <row r="1025" spans="23:23">
      <c r="W1025" s="17"/>
    </row>
    <row r="1026" spans="23:23">
      <c r="W1026" s="17"/>
    </row>
    <row r="1027" spans="23:23">
      <c r="W1027" s="17"/>
    </row>
    <row r="1028" spans="23:23">
      <c r="W1028" s="17"/>
    </row>
    <row r="1029" spans="23:23">
      <c r="W1029" s="17"/>
    </row>
    <row r="1030" spans="23:23">
      <c r="W1030" s="17"/>
    </row>
    <row r="1031" spans="23:23">
      <c r="W1031" s="17"/>
    </row>
    <row r="1032" spans="23:23">
      <c r="W1032" s="17"/>
    </row>
    <row r="1033" spans="23:23">
      <c r="W1033" s="17"/>
    </row>
    <row r="1034" spans="23:23">
      <c r="W1034" s="17"/>
    </row>
    <row r="1035" spans="23:23">
      <c r="W1035" s="17"/>
    </row>
    <row r="1036" spans="23:23">
      <c r="W1036" s="17"/>
    </row>
    <row r="1037" spans="23:23">
      <c r="W1037" s="17"/>
    </row>
    <row r="1038" spans="23:23">
      <c r="W1038" s="17"/>
    </row>
    <row r="1039" spans="23:23">
      <c r="W1039" s="17"/>
    </row>
    <row r="1040" spans="23:23">
      <c r="W1040" s="17"/>
    </row>
    <row r="1041" spans="23:23">
      <c r="W1041" s="17"/>
    </row>
    <row r="1042" spans="23:23">
      <c r="W1042" s="17"/>
    </row>
    <row r="1043" spans="23:23">
      <c r="W1043" s="17"/>
    </row>
    <row r="1044" spans="23:23">
      <c r="W1044" s="17"/>
    </row>
    <row r="1045" spans="23:23">
      <c r="W1045" s="17"/>
    </row>
    <row r="1046" spans="23:23">
      <c r="W1046" s="17"/>
    </row>
    <row r="1047" spans="23:23">
      <c r="W1047" s="17"/>
    </row>
    <row r="1048" spans="23:23">
      <c r="W1048" s="17"/>
    </row>
    <row r="1049" spans="23:23">
      <c r="W1049" s="17"/>
    </row>
    <row r="1050" spans="23:23">
      <c r="W1050" s="17"/>
    </row>
    <row r="1051" spans="23:23">
      <c r="W1051" s="17"/>
    </row>
    <row r="1052" spans="23:23">
      <c r="W1052" s="17"/>
    </row>
    <row r="1053" spans="23:23">
      <c r="W1053" s="17"/>
    </row>
    <row r="1054" spans="23:23">
      <c r="W1054" s="17"/>
    </row>
    <row r="1055" spans="23:23">
      <c r="W1055" s="17"/>
    </row>
    <row r="1056" spans="23:23">
      <c r="W1056" s="17"/>
    </row>
    <row r="1057" spans="23:23">
      <c r="W1057" s="17"/>
    </row>
    <row r="1058" spans="23:23">
      <c r="W1058" s="17"/>
    </row>
    <row r="1059" spans="23:23">
      <c r="W1059" s="17"/>
    </row>
    <row r="1060" spans="23:23">
      <c r="W1060" s="17"/>
    </row>
    <row r="1061" spans="23:23">
      <c r="W1061" s="17"/>
    </row>
    <row r="1062" spans="23:23">
      <c r="W1062" s="17"/>
    </row>
    <row r="1063" spans="23:23">
      <c r="W1063" s="17"/>
    </row>
    <row r="1064" spans="23:23">
      <c r="W1064" s="17"/>
    </row>
    <row r="1065" spans="23:23">
      <c r="W1065" s="17"/>
    </row>
    <row r="1066" spans="23:23">
      <c r="W1066" s="17"/>
    </row>
    <row r="1067" spans="23:23">
      <c r="W1067" s="17"/>
    </row>
    <row r="1068" spans="23:23">
      <c r="W1068" s="17"/>
    </row>
    <row r="1069" spans="23:23">
      <c r="W1069" s="17"/>
    </row>
    <row r="1070" spans="23:23">
      <c r="W1070" s="17"/>
    </row>
    <row r="1071" spans="23:23">
      <c r="W1071" s="17"/>
    </row>
    <row r="1072" spans="23:23">
      <c r="W1072" s="17"/>
    </row>
    <row r="1073" spans="23:23">
      <c r="W1073" s="17"/>
    </row>
    <row r="1074" spans="23:23">
      <c r="W1074" s="17"/>
    </row>
    <row r="1075" spans="23:23">
      <c r="W1075" s="17"/>
    </row>
    <row r="1076" spans="23:23">
      <c r="W1076" s="17"/>
    </row>
    <row r="1077" spans="23:23">
      <c r="W1077" s="17"/>
    </row>
    <row r="1078" spans="23:23">
      <c r="W1078" s="17"/>
    </row>
    <row r="1079" spans="23:23">
      <c r="W1079" s="17"/>
    </row>
    <row r="1080" spans="23:23">
      <c r="W1080" s="17"/>
    </row>
    <row r="1081" spans="23:23">
      <c r="W1081" s="17"/>
    </row>
    <row r="1082" spans="23:23">
      <c r="W1082" s="17"/>
    </row>
    <row r="1083" spans="23:23">
      <c r="W1083" s="17"/>
    </row>
    <row r="1084" spans="23:23">
      <c r="W1084" s="17"/>
    </row>
    <row r="1085" spans="23:23">
      <c r="W1085" s="17"/>
    </row>
    <row r="1086" spans="23:23">
      <c r="W1086" s="17"/>
    </row>
    <row r="1087" spans="23:23">
      <c r="W1087" s="17"/>
    </row>
    <row r="1088" spans="23:23">
      <c r="W1088" s="17"/>
    </row>
    <row r="1089" spans="23:23">
      <c r="W1089" s="17"/>
    </row>
    <row r="1090" spans="23:23">
      <c r="W1090" s="17"/>
    </row>
    <row r="1091" spans="23:23">
      <c r="W1091" s="17"/>
    </row>
    <row r="1092" spans="23:23">
      <c r="W1092" s="17"/>
    </row>
    <row r="1093" spans="23:23">
      <c r="W1093" s="17"/>
    </row>
    <row r="1094" spans="23:23">
      <c r="W1094" s="17"/>
    </row>
    <row r="1095" spans="23:23">
      <c r="W1095" s="17"/>
    </row>
    <row r="1096" spans="23:23">
      <c r="W1096" s="17"/>
    </row>
    <row r="1097" spans="23:23">
      <c r="W1097" s="17"/>
    </row>
    <row r="1098" spans="23:23">
      <c r="W1098" s="17"/>
    </row>
    <row r="1099" spans="23:23">
      <c r="W1099" s="17"/>
    </row>
    <row r="1100" spans="23:23">
      <c r="W1100" s="17"/>
    </row>
    <row r="1101" spans="23:23">
      <c r="W1101" s="17"/>
    </row>
    <row r="1102" spans="23:23">
      <c r="W1102" s="17"/>
    </row>
    <row r="1103" spans="23:23">
      <c r="W1103" s="17"/>
    </row>
    <row r="1104" spans="23:23">
      <c r="W1104" s="17"/>
    </row>
    <row r="1105" spans="23:23">
      <c r="W1105" s="17"/>
    </row>
    <row r="1106" spans="23:23">
      <c r="W1106" s="17"/>
    </row>
    <row r="1107" spans="23:23">
      <c r="W1107" s="17"/>
    </row>
    <row r="1108" spans="23:23">
      <c r="W1108" s="17"/>
    </row>
    <row r="1109" spans="23:23">
      <c r="W1109" s="17"/>
    </row>
    <row r="1110" spans="23:23">
      <c r="W1110" s="17"/>
    </row>
    <row r="1111" spans="23:23">
      <c r="W1111" s="17"/>
    </row>
    <row r="1112" spans="23:23">
      <c r="W1112" s="17"/>
    </row>
    <row r="1113" spans="23:23">
      <c r="W1113" s="17"/>
    </row>
    <row r="1114" spans="23:23">
      <c r="W1114" s="17"/>
    </row>
    <row r="1115" spans="23:23">
      <c r="W1115" s="17"/>
    </row>
    <row r="1116" spans="23:23">
      <c r="W1116" s="17"/>
    </row>
    <row r="1117" spans="23:23">
      <c r="W1117" s="17"/>
    </row>
    <row r="1118" spans="23:23">
      <c r="W1118" s="17"/>
    </row>
    <row r="1119" spans="23:23">
      <c r="W1119" s="17"/>
    </row>
    <row r="1120" spans="23:23">
      <c r="W1120" s="17"/>
    </row>
    <row r="1121" spans="23:23">
      <c r="W1121" s="17"/>
    </row>
    <row r="1122" spans="23:23">
      <c r="W1122" s="17"/>
    </row>
    <row r="1123" spans="23:23">
      <c r="W1123" s="17"/>
    </row>
    <row r="1124" spans="23:23">
      <c r="W1124" s="17"/>
    </row>
    <row r="1125" spans="23:23">
      <c r="W1125" s="17"/>
    </row>
    <row r="1126" spans="23:23">
      <c r="W1126" s="17"/>
    </row>
    <row r="1127" spans="23:23">
      <c r="W1127" s="17"/>
    </row>
    <row r="1128" spans="23:23">
      <c r="W1128" s="17"/>
    </row>
    <row r="1129" spans="23:23">
      <c r="W1129" s="17"/>
    </row>
    <row r="1130" spans="23:23">
      <c r="W1130" s="17"/>
    </row>
    <row r="1131" spans="23:23">
      <c r="W1131" s="17"/>
    </row>
    <row r="1132" spans="23:23">
      <c r="W1132" s="17"/>
    </row>
    <row r="1133" spans="23:23">
      <c r="W1133" s="17"/>
    </row>
    <row r="1134" spans="23:23">
      <c r="W1134" s="17"/>
    </row>
    <row r="1135" spans="23:23">
      <c r="W1135" s="17"/>
    </row>
    <row r="1136" spans="23:23">
      <c r="W1136" s="17"/>
    </row>
    <row r="1137" spans="23:23">
      <c r="W1137" s="17"/>
    </row>
    <row r="1138" spans="23:23">
      <c r="W1138" s="17"/>
    </row>
    <row r="1139" spans="23:23">
      <c r="W1139" s="17"/>
    </row>
    <row r="1140" spans="23:23">
      <c r="W1140" s="17"/>
    </row>
    <row r="1141" spans="23:23">
      <c r="W1141" s="17"/>
    </row>
    <row r="1142" spans="23:23">
      <c r="W1142" s="17"/>
    </row>
    <row r="1143" spans="23:23">
      <c r="W1143" s="17"/>
    </row>
    <row r="1144" spans="23:23">
      <c r="W1144" s="17"/>
    </row>
    <row r="1145" spans="23:23">
      <c r="W1145" s="17"/>
    </row>
    <row r="1146" spans="23:23">
      <c r="W1146" s="17"/>
    </row>
    <row r="1147" spans="23:23">
      <c r="W1147" s="17"/>
    </row>
    <row r="1148" spans="23:23">
      <c r="W1148" s="17"/>
    </row>
    <row r="1149" spans="23:23">
      <c r="W1149" s="17"/>
    </row>
    <row r="1150" spans="23:23">
      <c r="W1150" s="17"/>
    </row>
    <row r="1151" spans="23:23">
      <c r="W1151" s="17"/>
    </row>
    <row r="1152" spans="23:23">
      <c r="W1152" s="17"/>
    </row>
    <row r="1153" spans="23:23">
      <c r="W1153" s="17"/>
    </row>
    <row r="1154" spans="23:23">
      <c r="W1154" s="17"/>
    </row>
    <row r="1155" spans="23:23">
      <c r="W1155" s="17"/>
    </row>
    <row r="1156" spans="23:23">
      <c r="W1156" s="17"/>
    </row>
    <row r="1157" spans="23:23">
      <c r="W1157" s="17"/>
    </row>
    <row r="1158" spans="23:23">
      <c r="W1158" s="17"/>
    </row>
    <row r="1159" spans="23:23">
      <c r="W1159" s="17"/>
    </row>
    <row r="1160" spans="23:23">
      <c r="W1160" s="17"/>
    </row>
    <row r="1161" spans="23:23">
      <c r="W1161" s="17"/>
    </row>
    <row r="1162" spans="23:23">
      <c r="W1162" s="17"/>
    </row>
    <row r="1163" spans="23:23">
      <c r="W1163" s="17"/>
    </row>
    <row r="1164" spans="23:23">
      <c r="W1164" s="17"/>
    </row>
    <row r="1165" spans="23:23">
      <c r="W1165" s="17"/>
    </row>
    <row r="1166" spans="23:23">
      <c r="W1166" s="17"/>
    </row>
    <row r="1167" spans="23:23">
      <c r="W1167" s="17"/>
    </row>
    <row r="1168" spans="23:23">
      <c r="W1168" s="17"/>
    </row>
    <row r="1169" spans="23:23">
      <c r="W1169" s="17"/>
    </row>
    <row r="1170" spans="23:23">
      <c r="W1170" s="17"/>
    </row>
    <row r="1171" spans="23:23">
      <c r="W1171" s="17"/>
    </row>
    <row r="1172" spans="23:23">
      <c r="W1172" s="17"/>
    </row>
    <row r="1173" spans="23:23">
      <c r="W1173" s="17"/>
    </row>
    <row r="1174" spans="23:23">
      <c r="W1174" s="17"/>
    </row>
    <row r="1175" spans="23:23">
      <c r="W1175" s="17"/>
    </row>
    <row r="1176" spans="23:23">
      <c r="W1176" s="17"/>
    </row>
    <row r="1177" spans="23:23">
      <c r="W1177" s="17"/>
    </row>
    <row r="1178" spans="23:23">
      <c r="W1178" s="17"/>
    </row>
  </sheetData>
  <autoFilter ref="A3:X3" xr:uid="{A2F592F0-5BF9-468E-8384-E8718666B45C}"/>
  <phoneticPr fontId="113" type="noConversion"/>
  <conditionalFormatting sqref="I653:I665">
    <cfRule type="cellIs" dxfId="6" priority="4" operator="equal">
      <formula>0</formula>
    </cfRule>
    <cfRule type="containsBlanks" dxfId="5" priority="5">
      <formula>LEN(TRIM(I653))=0</formula>
    </cfRule>
  </conditionalFormatting>
  <conditionalFormatting sqref="X653:X665">
    <cfRule type="cellIs" dxfId="4" priority="2" operator="equal">
      <formula>0</formula>
    </cfRule>
    <cfRule type="containsBlanks" dxfId="3" priority="3">
      <formula>LEN(TRIM(X653))=0</formula>
    </cfRule>
  </conditionalFormatting>
  <pageMargins left="0.7" right="0.7" top="0.75" bottom="0.75" header="0.3" footer="0.3"/>
  <pageSetup paperSize="9" orientation="portrait" r:id="rId1"/>
  <legacy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EA616-1551-4FC1-81F6-C20071C4ED8E}">
  <dimension ref="A1:K159"/>
  <sheetViews>
    <sheetView workbookViewId="0">
      <selection activeCell="F2" sqref="F2"/>
    </sheetView>
  </sheetViews>
  <sheetFormatPr defaultRowHeight="14.5"/>
  <cols>
    <col min="1" max="1" width="12" bestFit="1" customWidth="1"/>
    <col min="2" max="2" width="70.54296875" bestFit="1" customWidth="1"/>
    <col min="3" max="3" width="16.54296875" bestFit="1" customWidth="1"/>
    <col min="4" max="4" width="17.26953125" bestFit="1" customWidth="1"/>
    <col min="5" max="5" width="28.81640625" bestFit="1" customWidth="1"/>
    <col min="6" max="6" width="19" bestFit="1" customWidth="1"/>
    <col min="7" max="7" width="39.453125" bestFit="1" customWidth="1"/>
    <col min="8" max="8" width="56.81640625" bestFit="1" customWidth="1"/>
    <col min="10" max="10" width="18" bestFit="1" customWidth="1"/>
  </cols>
  <sheetData>
    <row r="1" spans="1:11">
      <c r="A1" t="s">
        <v>1915</v>
      </c>
      <c r="B1" t="s">
        <v>6329</v>
      </c>
      <c r="C1" t="s">
        <v>6330</v>
      </c>
      <c r="D1" t="s">
        <v>6331</v>
      </c>
      <c r="E1" t="s">
        <v>6332</v>
      </c>
      <c r="F1" t="s">
        <v>6333</v>
      </c>
      <c r="G1" t="s">
        <v>6334</v>
      </c>
      <c r="H1" t="s">
        <v>6009</v>
      </c>
      <c r="I1" t="s">
        <v>6010</v>
      </c>
      <c r="J1" t="s">
        <v>6011</v>
      </c>
      <c r="K1" t="s">
        <v>146</v>
      </c>
    </row>
    <row r="2" spans="1:11">
      <c r="A2">
        <v>343</v>
      </c>
      <c r="B2" t="s">
        <v>4300</v>
      </c>
      <c r="C2" t="s">
        <v>6335</v>
      </c>
      <c r="D2">
        <v>1018</v>
      </c>
      <c r="E2" t="s">
        <v>5877</v>
      </c>
      <c r="F2">
        <v>1</v>
      </c>
      <c r="G2" t="s">
        <v>4299</v>
      </c>
      <c r="H2" s="298" t="e">
        <f>VLOOKUP(B2,Folha2!$A$1:$E$229,3,FALSE)</f>
        <v>#N/A</v>
      </c>
      <c r="I2" s="298" t="e">
        <f>VLOOKUP(B2,Folha2!$A$1:$E$229,4,FALSE)</f>
        <v>#N/A</v>
      </c>
      <c r="J2" s="298" t="e">
        <f>VLOOKUP(B2,Folha2!$A$1:$E$229,5,FALSE)</f>
        <v>#N/A</v>
      </c>
      <c r="K2" t="e">
        <f>VLOOKUP(B2,Folha5!$B$1:$C$272,2,)</f>
        <v>#N/A</v>
      </c>
    </row>
    <row r="3" spans="1:11">
      <c r="A3">
        <v>1367</v>
      </c>
      <c r="B3" t="s">
        <v>4142</v>
      </c>
      <c r="C3" t="s">
        <v>6335</v>
      </c>
      <c r="D3">
        <v>1020</v>
      </c>
      <c r="E3" t="s">
        <v>5885</v>
      </c>
      <c r="F3">
        <v>11</v>
      </c>
      <c r="G3" t="s">
        <v>6</v>
      </c>
      <c r="H3" s="298" t="str">
        <f>VLOOKUP(B3,Folha2!$A$1:$E$229,3,FALSE)</f>
        <v>No</v>
      </c>
      <c r="I3" s="298" t="str">
        <f>VLOOKUP(B3,Folha2!$A$1:$E$229,4,FALSE)</f>
        <v>No</v>
      </c>
      <c r="J3" s="298" t="str">
        <f>VLOOKUP(B3,Folha2!$A$1:$E$229,5,FALSE)</f>
        <v>No</v>
      </c>
      <c r="K3">
        <f>VLOOKUP(B3,Folha5!$B$1:$C$272,2,)</f>
        <v>8</v>
      </c>
    </row>
    <row r="4" spans="1:11">
      <c r="A4">
        <v>1313</v>
      </c>
      <c r="B4" t="s">
        <v>4136</v>
      </c>
      <c r="C4" t="s">
        <v>6335</v>
      </c>
      <c r="D4">
        <v>1020</v>
      </c>
      <c r="E4" t="s">
        <v>5885</v>
      </c>
      <c r="F4">
        <v>11</v>
      </c>
      <c r="G4" t="s">
        <v>6</v>
      </c>
      <c r="H4" s="298" t="str">
        <f>VLOOKUP(B4,Folha2!$A$1:$E$229,3,FALSE)</f>
        <v>Yes</v>
      </c>
      <c r="I4" s="298" t="str">
        <f>VLOOKUP(B4,Folha2!$A$1:$E$229,4,FALSE)</f>
        <v>Yes</v>
      </c>
      <c r="J4" s="298" t="str">
        <f>VLOOKUP(B4,Folha2!$A$1:$E$229,5,FALSE)</f>
        <v>Yes</v>
      </c>
      <c r="K4">
        <f>VLOOKUP(B4,Folha5!$B$1:$C$272,2,)</f>
        <v>40</v>
      </c>
    </row>
    <row r="5" spans="1:11">
      <c r="A5">
        <v>1353</v>
      </c>
      <c r="B5" t="s">
        <v>4145</v>
      </c>
      <c r="C5" t="s">
        <v>6335</v>
      </c>
      <c r="D5">
        <v>1252</v>
      </c>
      <c r="E5" t="s">
        <v>5882</v>
      </c>
      <c r="F5">
        <v>11</v>
      </c>
      <c r="G5" t="s">
        <v>6</v>
      </c>
      <c r="H5" s="298" t="e">
        <f>VLOOKUP(B5,Folha2!$A$1:$E$229,3,FALSE)</f>
        <v>#N/A</v>
      </c>
      <c r="I5" s="298" t="e">
        <f>VLOOKUP(B5,Folha2!$A$1:$E$229,4,FALSE)</f>
        <v>#N/A</v>
      </c>
      <c r="J5" s="298" t="e">
        <f>VLOOKUP(B5,Folha2!$A$1:$E$229,5,FALSE)</f>
        <v>#N/A</v>
      </c>
      <c r="K5">
        <f>VLOOKUP(B5,Folha5!$B$1:$C$272,2,)</f>
        <v>12</v>
      </c>
    </row>
    <row r="6" spans="1:11">
      <c r="A6">
        <v>1262</v>
      </c>
      <c r="B6" t="s">
        <v>4132</v>
      </c>
      <c r="C6" t="s">
        <v>6335</v>
      </c>
      <c r="D6">
        <v>1232</v>
      </c>
      <c r="E6" t="s">
        <v>6248</v>
      </c>
      <c r="F6">
        <v>12</v>
      </c>
      <c r="G6" t="s">
        <v>6324</v>
      </c>
      <c r="H6" s="298" t="str">
        <f>VLOOKUP(B6,Folha2!$A$1:$E$229,3,FALSE)</f>
        <v>No</v>
      </c>
      <c r="I6" s="298" t="str">
        <f>VLOOKUP(B6,Folha2!$A$1:$E$229,4,FALSE)</f>
        <v>No</v>
      </c>
      <c r="J6" s="298" t="str">
        <f>VLOOKUP(B6,Folha2!$A$1:$E$229,5,FALSE)</f>
        <v>No</v>
      </c>
      <c r="K6">
        <f>VLOOKUP(B6,Folha5!$B$1:$C$272,2,)</f>
        <v>4</v>
      </c>
    </row>
    <row r="7" spans="1:11">
      <c r="A7">
        <v>1397</v>
      </c>
      <c r="B7" t="s">
        <v>5031</v>
      </c>
      <c r="C7" t="s">
        <v>6335</v>
      </c>
      <c r="D7">
        <v>1016</v>
      </c>
      <c r="E7" t="s">
        <v>5875</v>
      </c>
      <c r="F7">
        <v>283</v>
      </c>
      <c r="G7" t="s">
        <v>4705</v>
      </c>
      <c r="H7" s="298" t="e">
        <f>VLOOKUP(B7,Folha2!$A$1:$E$229,3,FALSE)</f>
        <v>#N/A</v>
      </c>
      <c r="I7" s="298" t="e">
        <f>VLOOKUP(B7,Folha2!$A$1:$E$229,4,FALSE)</f>
        <v>#N/A</v>
      </c>
      <c r="J7" s="298" t="e">
        <f>VLOOKUP(B7,Folha2!$A$1:$E$229,5,FALSE)</f>
        <v>#N/A</v>
      </c>
      <c r="K7">
        <f>VLOOKUP(B7,Folha5!$B$1:$C$272,2,)</f>
        <v>56</v>
      </c>
    </row>
    <row r="8" spans="1:11">
      <c r="A8">
        <v>1395</v>
      </c>
      <c r="B8" t="s">
        <v>4674</v>
      </c>
      <c r="C8" t="s">
        <v>6335</v>
      </c>
      <c r="D8">
        <v>1013</v>
      </c>
      <c r="E8" t="s">
        <v>5880</v>
      </c>
      <c r="F8">
        <v>283</v>
      </c>
      <c r="G8" t="s">
        <v>4705</v>
      </c>
      <c r="H8" s="298" t="e">
        <f>VLOOKUP(B8,Folha2!$A$1:$E$229,3,FALSE)</f>
        <v>#N/A</v>
      </c>
      <c r="I8" s="298" t="e">
        <f>VLOOKUP(B8,Folha2!$A$1:$E$229,4,FALSE)</f>
        <v>#N/A</v>
      </c>
      <c r="J8" s="298" t="e">
        <f>VLOOKUP(B8,Folha2!$A$1:$E$229,5,FALSE)</f>
        <v>#N/A</v>
      </c>
      <c r="K8" t="e">
        <f>VLOOKUP(B8,Folha5!$B$1:$C$272,2,)</f>
        <v>#N/A</v>
      </c>
    </row>
    <row r="9" spans="1:11">
      <c r="A9">
        <v>349</v>
      </c>
      <c r="B9" t="s">
        <v>3700</v>
      </c>
      <c r="C9" t="s">
        <v>6335</v>
      </c>
      <c r="D9">
        <v>1312</v>
      </c>
      <c r="E9" t="s">
        <v>5873</v>
      </c>
      <c r="F9">
        <v>283</v>
      </c>
      <c r="G9" t="s">
        <v>4705</v>
      </c>
      <c r="H9" s="298" t="e">
        <f>VLOOKUP(B9,Folha2!$A$1:$E$229,3,FALSE)</f>
        <v>#N/A</v>
      </c>
      <c r="I9" s="298" t="e">
        <f>VLOOKUP(B9,Folha2!$A$1:$E$229,4,FALSE)</f>
        <v>#N/A</v>
      </c>
      <c r="J9" s="298" t="e">
        <f>VLOOKUP(B9,Folha2!$A$1:$E$229,5,FALSE)</f>
        <v>#N/A</v>
      </c>
      <c r="K9" t="e">
        <f>VLOOKUP(B9,Folha5!$B$1:$C$272,2,)</f>
        <v>#N/A</v>
      </c>
    </row>
    <row r="10" spans="1:11">
      <c r="A10">
        <v>1398</v>
      </c>
      <c r="B10" t="s">
        <v>6245</v>
      </c>
      <c r="C10" t="s">
        <v>6335</v>
      </c>
      <c r="D10">
        <v>1016</v>
      </c>
      <c r="E10" t="s">
        <v>5875</v>
      </c>
      <c r="F10">
        <v>283</v>
      </c>
      <c r="G10" t="s">
        <v>4705</v>
      </c>
      <c r="H10" s="298" t="e">
        <f>VLOOKUP(B10,Folha2!$A$1:$E$229,3,FALSE)</f>
        <v>#N/A</v>
      </c>
      <c r="I10" s="298" t="e">
        <f>VLOOKUP(B10,Folha2!$A$1:$E$229,4,FALSE)</f>
        <v>#N/A</v>
      </c>
      <c r="J10" s="298" t="e">
        <f>VLOOKUP(B10,Folha2!$A$1:$E$229,5,FALSE)</f>
        <v>#N/A</v>
      </c>
      <c r="K10" t="e">
        <f>VLOOKUP(B10,Folha5!$B$1:$C$272,2,)</f>
        <v>#N/A</v>
      </c>
    </row>
    <row r="11" spans="1:11">
      <c r="A11">
        <v>1315</v>
      </c>
      <c r="B11" t="s">
        <v>4699</v>
      </c>
      <c r="C11" t="s">
        <v>6336</v>
      </c>
      <c r="D11">
        <v>1013</v>
      </c>
      <c r="E11" t="s">
        <v>5880</v>
      </c>
      <c r="F11">
        <v>372</v>
      </c>
      <c r="G11" t="s">
        <v>4684</v>
      </c>
      <c r="H11" s="298" t="e">
        <f>VLOOKUP(B11,Folha2!$A$1:$E$229,3,FALSE)</f>
        <v>#N/A</v>
      </c>
      <c r="I11" s="298" t="e">
        <f>VLOOKUP(B11,Folha2!$A$1:$E$229,4,FALSE)</f>
        <v>#N/A</v>
      </c>
      <c r="J11" s="298" t="e">
        <f>VLOOKUP(B11,Folha2!$A$1:$E$229,5,FALSE)</f>
        <v>#N/A</v>
      </c>
      <c r="K11">
        <f>VLOOKUP(B11,Folha5!$B$1:$C$272,2,)</f>
        <v>0</v>
      </c>
    </row>
    <row r="12" spans="1:11">
      <c r="A12">
        <v>1344</v>
      </c>
      <c r="B12" t="s">
        <v>4702</v>
      </c>
      <c r="C12" t="s">
        <v>6336</v>
      </c>
      <c r="D12">
        <v>1032</v>
      </c>
      <c r="E12" t="s">
        <v>5878</v>
      </c>
      <c r="F12">
        <v>372</v>
      </c>
      <c r="G12" t="s">
        <v>4684</v>
      </c>
      <c r="H12" s="298" t="e">
        <f>VLOOKUP(B12,Folha2!$A$1:$E$229,3,FALSE)</f>
        <v>#N/A</v>
      </c>
      <c r="I12" s="298" t="e">
        <f>VLOOKUP(B12,Folha2!$A$1:$E$229,4,FALSE)</f>
        <v>#N/A</v>
      </c>
      <c r="J12" s="298" t="e">
        <f>VLOOKUP(B12,Folha2!$A$1:$E$229,5,FALSE)</f>
        <v>#N/A</v>
      </c>
      <c r="K12">
        <f>VLOOKUP(B12,Folha5!$B$1:$C$272,2,)</f>
        <v>0</v>
      </c>
    </row>
    <row r="13" spans="1:11">
      <c r="A13">
        <v>1219</v>
      </c>
      <c r="B13" t="s">
        <v>4696</v>
      </c>
      <c r="C13" t="s">
        <v>6336</v>
      </c>
      <c r="D13">
        <v>721</v>
      </c>
      <c r="E13" t="s">
        <v>5879</v>
      </c>
      <c r="F13">
        <v>372</v>
      </c>
      <c r="G13" t="s">
        <v>4684</v>
      </c>
      <c r="H13" s="298" t="e">
        <f>VLOOKUP(B13,Folha2!$A$1:$E$229,3,FALSE)</f>
        <v>#N/A</v>
      </c>
      <c r="I13" s="298" t="e">
        <f>VLOOKUP(B13,Folha2!$A$1:$E$229,4,FALSE)</f>
        <v>#N/A</v>
      </c>
      <c r="J13" s="298" t="e">
        <f>VLOOKUP(B13,Folha2!$A$1:$E$229,5,FALSE)</f>
        <v>#N/A</v>
      </c>
      <c r="K13">
        <f>VLOOKUP(B13,Folha5!$B$1:$C$272,2,)</f>
        <v>0</v>
      </c>
    </row>
    <row r="14" spans="1:11">
      <c r="A14">
        <v>1264</v>
      </c>
      <c r="B14" t="s">
        <v>4687</v>
      </c>
      <c r="C14" t="s">
        <v>6335</v>
      </c>
      <c r="D14">
        <v>721</v>
      </c>
      <c r="E14" t="s">
        <v>5879</v>
      </c>
      <c r="F14">
        <v>372</v>
      </c>
      <c r="G14" t="s">
        <v>4684</v>
      </c>
      <c r="H14" s="298" t="str">
        <f>VLOOKUP(B14,Folha2!$A$1:$E$229,3,FALSE)</f>
        <v>Yes</v>
      </c>
      <c r="I14" s="298" t="str">
        <f>VLOOKUP(B14,Folha2!$A$1:$E$229,4,FALSE)</f>
        <v>Yes</v>
      </c>
      <c r="J14" s="298" t="str">
        <f>VLOOKUP(B14,Folha2!$A$1:$E$229,5,FALSE)</f>
        <v>Yes</v>
      </c>
      <c r="K14">
        <f>VLOOKUP(B14,Folha5!$B$1:$C$272,2,)</f>
        <v>12</v>
      </c>
    </row>
    <row r="15" spans="1:11">
      <c r="A15">
        <v>1225</v>
      </c>
      <c r="B15" t="s">
        <v>4690</v>
      </c>
      <c r="C15" t="s">
        <v>6335</v>
      </c>
      <c r="D15">
        <v>721</v>
      </c>
      <c r="E15" t="s">
        <v>5879</v>
      </c>
      <c r="F15">
        <v>372</v>
      </c>
      <c r="G15" t="s">
        <v>4684</v>
      </c>
      <c r="H15" s="298" t="str">
        <f>VLOOKUP(B15,Folha2!$A$1:$E$229,3,FALSE)</f>
        <v>Yes</v>
      </c>
      <c r="I15" s="298" t="str">
        <f>VLOOKUP(B15,Folha2!$A$1:$E$229,4,FALSE)</f>
        <v>Yes</v>
      </c>
      <c r="J15" s="298" t="str">
        <f>VLOOKUP(B15,Folha2!$A$1:$E$229,5,FALSE)</f>
        <v>Yes</v>
      </c>
      <c r="K15">
        <f>VLOOKUP(B15,Folha5!$B$1:$C$272,2,)</f>
        <v>16</v>
      </c>
    </row>
    <row r="16" spans="1:11">
      <c r="A16">
        <v>1201</v>
      </c>
      <c r="B16" t="s">
        <v>4693</v>
      </c>
      <c r="C16" t="s">
        <v>6335</v>
      </c>
      <c r="D16">
        <v>721</v>
      </c>
      <c r="E16" t="s">
        <v>5879</v>
      </c>
      <c r="F16">
        <v>372</v>
      </c>
      <c r="G16" t="s">
        <v>4684</v>
      </c>
      <c r="H16" s="298" t="str">
        <f>VLOOKUP(B16,Folha2!$A$1:$E$229,3,FALSE)</f>
        <v>Yes</v>
      </c>
      <c r="I16" s="298" t="str">
        <f>VLOOKUP(B16,Folha2!$A$1:$E$229,4,FALSE)</f>
        <v>Yes</v>
      </c>
      <c r="J16" s="298" t="str">
        <f>VLOOKUP(B16,Folha2!$A$1:$E$229,5,FALSE)</f>
        <v>Yes</v>
      </c>
      <c r="K16">
        <f>VLOOKUP(B16,Folha5!$B$1:$C$272,2,)</f>
        <v>24</v>
      </c>
    </row>
    <row r="17" spans="1:11">
      <c r="A17">
        <v>1206</v>
      </c>
      <c r="B17" t="s">
        <v>4672</v>
      </c>
      <c r="C17" t="s">
        <v>6335</v>
      </c>
      <c r="D17">
        <v>1013</v>
      </c>
      <c r="E17" t="s">
        <v>5880</v>
      </c>
      <c r="F17">
        <v>374</v>
      </c>
      <c r="G17" t="s">
        <v>4648</v>
      </c>
      <c r="H17" s="298" t="str">
        <f>VLOOKUP(B17,Folha2!$A$1:$E$229,3,FALSE)</f>
        <v>No</v>
      </c>
      <c r="I17" s="298" t="str">
        <f>VLOOKUP(B17,Folha2!$A$1:$E$229,4,FALSE)</f>
        <v>Yes</v>
      </c>
      <c r="J17" s="298" t="str">
        <f>VLOOKUP(B17,Folha2!$A$1:$E$229,5,FALSE)</f>
        <v>Yes</v>
      </c>
      <c r="K17">
        <f>VLOOKUP(B17,Folha5!$B$1:$C$272,2,)</f>
        <v>16</v>
      </c>
    </row>
    <row r="18" spans="1:11">
      <c r="A18">
        <v>1233</v>
      </c>
      <c r="B18" t="s">
        <v>4663</v>
      </c>
      <c r="C18" t="s">
        <v>6335</v>
      </c>
      <c r="D18">
        <v>1013</v>
      </c>
      <c r="E18" t="s">
        <v>5880</v>
      </c>
      <c r="F18">
        <v>374</v>
      </c>
      <c r="G18" t="s">
        <v>4648</v>
      </c>
      <c r="H18" s="298" t="str">
        <f>VLOOKUP(B18,Folha2!$A$1:$E$229,3,FALSE)</f>
        <v>No</v>
      </c>
      <c r="I18" s="298" t="str">
        <f>VLOOKUP(B18,Folha2!$A$1:$E$229,4,FALSE)</f>
        <v>No</v>
      </c>
      <c r="J18" s="298" t="str">
        <f>VLOOKUP(B18,Folha2!$A$1:$E$229,5,FALSE)</f>
        <v>No</v>
      </c>
      <c r="K18">
        <f>VLOOKUP(B18,Folha5!$B$1:$C$272,2,)</f>
        <v>4</v>
      </c>
    </row>
    <row r="19" spans="1:11">
      <c r="A19">
        <v>1234</v>
      </c>
      <c r="B19" t="s">
        <v>4669</v>
      </c>
      <c r="C19" t="s">
        <v>6335</v>
      </c>
      <c r="D19">
        <v>1013</v>
      </c>
      <c r="E19" t="s">
        <v>5880</v>
      </c>
      <c r="F19">
        <v>374</v>
      </c>
      <c r="G19" t="s">
        <v>4648</v>
      </c>
      <c r="H19" s="298" t="str">
        <f>VLOOKUP(B19,Folha2!$A$1:$E$229,3,FALSE)</f>
        <v>No</v>
      </c>
      <c r="I19" s="298" t="str">
        <f>VLOOKUP(B19,Folha2!$A$1:$E$229,4,FALSE)</f>
        <v>No</v>
      </c>
      <c r="J19" s="298" t="str">
        <f>VLOOKUP(B19,Folha2!$A$1:$E$229,5,FALSE)</f>
        <v>No</v>
      </c>
      <c r="K19">
        <f>VLOOKUP(B19,Folha5!$B$1:$C$272,2,)</f>
        <v>4</v>
      </c>
    </row>
    <row r="20" spans="1:11">
      <c r="A20">
        <v>1232</v>
      </c>
      <c r="B20" t="s">
        <v>4666</v>
      </c>
      <c r="C20" t="s">
        <v>6335</v>
      </c>
      <c r="D20">
        <v>1013</v>
      </c>
      <c r="E20" t="s">
        <v>5880</v>
      </c>
      <c r="F20">
        <v>374</v>
      </c>
      <c r="G20" t="s">
        <v>4648</v>
      </c>
      <c r="H20" s="298" t="str">
        <f>VLOOKUP(B20,Folha2!$A$1:$E$229,3,FALSE)</f>
        <v>No</v>
      </c>
      <c r="I20" s="298" t="str">
        <f>VLOOKUP(B20,Folha2!$A$1:$E$229,4,FALSE)</f>
        <v>Yes</v>
      </c>
      <c r="J20" s="298" t="str">
        <f>VLOOKUP(B20,Folha2!$A$1:$E$229,5,FALSE)</f>
        <v>Yes</v>
      </c>
      <c r="K20">
        <f>VLOOKUP(B20,Folha5!$B$1:$C$272,2,)</f>
        <v>40</v>
      </c>
    </row>
    <row r="21" spans="1:11">
      <c r="A21">
        <v>1242</v>
      </c>
      <c r="B21" t="s">
        <v>4651</v>
      </c>
      <c r="C21" t="s">
        <v>6335</v>
      </c>
      <c r="D21">
        <v>1013</v>
      </c>
      <c r="E21" t="s">
        <v>5880</v>
      </c>
      <c r="F21">
        <v>374</v>
      </c>
      <c r="G21" t="s">
        <v>4648</v>
      </c>
      <c r="H21" s="298" t="str">
        <f>VLOOKUP(B21,Folha2!$A$1:$E$229,3,FALSE)</f>
        <v>No</v>
      </c>
      <c r="I21" s="298" t="str">
        <f>VLOOKUP(B21,Folha2!$A$1:$E$229,4,FALSE)</f>
        <v>No</v>
      </c>
      <c r="J21" s="298" t="str">
        <f>VLOOKUP(B21,Folha2!$A$1:$E$229,5,FALSE)</f>
        <v>No</v>
      </c>
      <c r="K21">
        <f>VLOOKUP(B21,Folha5!$B$1:$C$272,2,)</f>
        <v>4</v>
      </c>
    </row>
    <row r="22" spans="1:11">
      <c r="A22">
        <v>1235</v>
      </c>
      <c r="B22" t="s">
        <v>4660</v>
      </c>
      <c r="C22" t="s">
        <v>6335</v>
      </c>
      <c r="D22">
        <v>1013</v>
      </c>
      <c r="E22" t="s">
        <v>5880</v>
      </c>
      <c r="F22">
        <v>374</v>
      </c>
      <c r="G22" t="s">
        <v>4648</v>
      </c>
      <c r="H22" s="298" t="str">
        <f>VLOOKUP(B22,Folha2!$A$1:$E$229,3,FALSE)</f>
        <v>No</v>
      </c>
      <c r="I22" s="298" t="str">
        <f>VLOOKUP(B22,Folha2!$A$1:$E$229,4,FALSE)</f>
        <v>No</v>
      </c>
      <c r="J22" s="298" t="str">
        <f>VLOOKUP(B22,Folha2!$A$1:$E$229,5,FALSE)</f>
        <v>No</v>
      </c>
      <c r="K22">
        <f>VLOOKUP(B22,Folha5!$B$1:$C$272,2,)</f>
        <v>4</v>
      </c>
    </row>
    <row r="23" spans="1:11">
      <c r="A23">
        <v>1307</v>
      </c>
      <c r="B23" t="s">
        <v>4683</v>
      </c>
      <c r="C23" t="s">
        <v>6335</v>
      </c>
      <c r="D23">
        <v>721</v>
      </c>
      <c r="E23" t="s">
        <v>5879</v>
      </c>
      <c r="F23">
        <v>374</v>
      </c>
      <c r="G23" t="s">
        <v>4648</v>
      </c>
      <c r="H23" s="298" t="str">
        <f>VLOOKUP(B23,Folha2!$A$1:$E$229,3,FALSE)</f>
        <v>No</v>
      </c>
      <c r="I23" s="298" t="str">
        <f>VLOOKUP(B23,Folha2!$A$1:$E$229,4,FALSE)</f>
        <v>No</v>
      </c>
      <c r="J23" s="298" t="str">
        <f>VLOOKUP(B23,Folha2!$A$1:$E$229,5,FALSE)</f>
        <v>No</v>
      </c>
      <c r="K23">
        <f>VLOOKUP(B23,Folha5!$B$1:$C$272,2,)</f>
        <v>4</v>
      </c>
    </row>
    <row r="24" spans="1:11">
      <c r="A24">
        <v>1339</v>
      </c>
      <c r="B24" t="s">
        <v>4680</v>
      </c>
      <c r="C24" t="s">
        <v>6335</v>
      </c>
      <c r="D24">
        <v>1013</v>
      </c>
      <c r="E24" t="s">
        <v>5880</v>
      </c>
      <c r="F24">
        <v>374</v>
      </c>
      <c r="G24" t="s">
        <v>4648</v>
      </c>
      <c r="H24" s="298" t="str">
        <f>VLOOKUP(B24,Folha2!$A$1:$E$229,3,FALSE)</f>
        <v>No</v>
      </c>
      <c r="I24" s="298" t="str">
        <f>VLOOKUP(B24,Folha2!$A$1:$E$229,4,FALSE)</f>
        <v>No</v>
      </c>
      <c r="J24" s="298" t="str">
        <f>VLOOKUP(B24,Folha2!$A$1:$E$229,5,FALSE)</f>
        <v>No</v>
      </c>
      <c r="K24">
        <f>VLOOKUP(B24,Folha5!$B$1:$C$272,2,)</f>
        <v>8</v>
      </c>
    </row>
    <row r="25" spans="1:11">
      <c r="A25">
        <v>1296</v>
      </c>
      <c r="B25" t="s">
        <v>4677</v>
      </c>
      <c r="C25" t="s">
        <v>6335</v>
      </c>
      <c r="D25">
        <v>721</v>
      </c>
      <c r="E25" t="s">
        <v>5879</v>
      </c>
      <c r="F25">
        <v>374</v>
      </c>
      <c r="G25" t="s">
        <v>4648</v>
      </c>
      <c r="H25" s="298" t="str">
        <f>VLOOKUP(B25,Folha2!$A$1:$E$229,3,FALSE)</f>
        <v>No</v>
      </c>
      <c r="I25" s="298" t="str">
        <f>VLOOKUP(B25,Folha2!$A$1:$E$229,4,FALSE)</f>
        <v>No</v>
      </c>
      <c r="J25" s="298" t="str">
        <f>VLOOKUP(B25,Folha2!$A$1:$E$229,5,FALSE)</f>
        <v>No</v>
      </c>
      <c r="K25">
        <f>VLOOKUP(B25,Folha5!$B$1:$C$272,2,)</f>
        <v>4</v>
      </c>
    </row>
    <row r="26" spans="1:11">
      <c r="A26">
        <v>1236</v>
      </c>
      <c r="B26" t="s">
        <v>4657</v>
      </c>
      <c r="C26" t="s">
        <v>6335</v>
      </c>
      <c r="D26">
        <v>1013</v>
      </c>
      <c r="E26" t="s">
        <v>5880</v>
      </c>
      <c r="F26">
        <v>374</v>
      </c>
      <c r="G26" t="s">
        <v>4648</v>
      </c>
      <c r="H26" s="298" t="str">
        <f>VLOOKUP(B26,Folha2!$A$1:$E$229,3,FALSE)</f>
        <v>No</v>
      </c>
      <c r="I26" s="298" t="str">
        <f>VLOOKUP(B26,Folha2!$A$1:$E$229,4,FALSE)</f>
        <v>Yes</v>
      </c>
      <c r="J26" s="298" t="str">
        <f>VLOOKUP(B26,Folha2!$A$1:$E$229,5,FALSE)</f>
        <v>Yes</v>
      </c>
      <c r="K26">
        <f>VLOOKUP(B26,Folha5!$B$1:$C$272,2,)</f>
        <v>6</v>
      </c>
    </row>
    <row r="27" spans="1:11">
      <c r="A27">
        <v>1237</v>
      </c>
      <c r="B27" t="s">
        <v>4654</v>
      </c>
      <c r="C27" t="s">
        <v>6335</v>
      </c>
      <c r="D27">
        <v>1013</v>
      </c>
      <c r="E27" t="s">
        <v>5880</v>
      </c>
      <c r="F27">
        <v>374</v>
      </c>
      <c r="G27" t="s">
        <v>4648</v>
      </c>
      <c r="H27" s="298" t="str">
        <f>VLOOKUP(B27,Folha2!$A$1:$E$229,3,FALSE)</f>
        <v>No</v>
      </c>
      <c r="I27" s="298" t="str">
        <f>VLOOKUP(B27,Folha2!$A$1:$E$229,4,FALSE)</f>
        <v>Yes</v>
      </c>
      <c r="J27" s="298" t="str">
        <f>VLOOKUP(B27,Folha2!$A$1:$E$229,5,FALSE)</f>
        <v>Yes</v>
      </c>
      <c r="K27">
        <f>VLOOKUP(B27,Folha5!$B$1:$C$272,2,)</f>
        <v>24</v>
      </c>
    </row>
    <row r="28" spans="1:11">
      <c r="A28">
        <v>1226</v>
      </c>
      <c r="B28" t="s">
        <v>4606</v>
      </c>
      <c r="C28" t="s">
        <v>6335</v>
      </c>
      <c r="D28">
        <v>1014</v>
      </c>
      <c r="E28" t="s">
        <v>6247</v>
      </c>
      <c r="F28">
        <v>375</v>
      </c>
      <c r="G28" t="s">
        <v>4588</v>
      </c>
      <c r="H28" s="298" t="str">
        <f>VLOOKUP(B28,Folha2!$A$1:$E$229,3,FALSE)</f>
        <v>Yes</v>
      </c>
      <c r="I28" s="298" t="str">
        <f>VLOOKUP(B28,Folha2!$A$1:$E$229,4,FALSE)</f>
        <v>Yes</v>
      </c>
      <c r="J28" s="298" t="str">
        <f>VLOOKUP(B28,Folha2!$A$1:$E$229,5,FALSE)</f>
        <v>Yes</v>
      </c>
      <c r="K28">
        <f>VLOOKUP(B28,Folha5!$B$1:$C$272,2,)</f>
        <v>12</v>
      </c>
    </row>
    <row r="29" spans="1:11">
      <c r="A29">
        <v>1273</v>
      </c>
      <c r="B29" t="s">
        <v>4641</v>
      </c>
      <c r="C29" t="s">
        <v>6335</v>
      </c>
      <c r="D29">
        <v>1014</v>
      </c>
      <c r="E29" t="s">
        <v>6247</v>
      </c>
      <c r="F29">
        <v>375</v>
      </c>
      <c r="G29" t="s">
        <v>4588</v>
      </c>
      <c r="H29" s="298" t="str">
        <f>VLOOKUP(B29,Folha2!$A$1:$E$229,3,FALSE)</f>
        <v>No</v>
      </c>
      <c r="I29" s="298" t="str">
        <f>VLOOKUP(B29,Folha2!$A$1:$E$229,4,FALSE)</f>
        <v>No</v>
      </c>
      <c r="J29" s="298" t="str">
        <f>VLOOKUP(B29,Folha2!$A$1:$E$229,5,FALSE)</f>
        <v>No</v>
      </c>
      <c r="K29">
        <f>VLOOKUP(B29,Folha5!$B$1:$C$272,2,)</f>
        <v>4</v>
      </c>
    </row>
    <row r="30" spans="1:11">
      <c r="A30">
        <v>1216</v>
      </c>
      <c r="B30" t="s">
        <v>4609</v>
      </c>
      <c r="C30" t="s">
        <v>6336</v>
      </c>
      <c r="D30">
        <v>1014</v>
      </c>
      <c r="E30" t="s">
        <v>6247</v>
      </c>
      <c r="F30">
        <v>375</v>
      </c>
      <c r="G30" t="s">
        <v>4588</v>
      </c>
      <c r="H30" s="298" t="e">
        <f>VLOOKUP(B30,Folha2!$A$1:$E$229,3,FALSE)</f>
        <v>#N/A</v>
      </c>
      <c r="I30" s="298" t="e">
        <f>VLOOKUP(B30,Folha2!$A$1:$E$229,4,FALSE)</f>
        <v>#N/A</v>
      </c>
      <c r="J30" s="298" t="e">
        <f>VLOOKUP(B30,Folha2!$A$1:$E$229,5,FALSE)</f>
        <v>#N/A</v>
      </c>
      <c r="K30">
        <f>VLOOKUP(B30,Folha5!$B$1:$C$272,2,)</f>
        <v>0</v>
      </c>
    </row>
    <row r="31" spans="1:11">
      <c r="A31">
        <v>1268</v>
      </c>
      <c r="B31" t="s">
        <v>4600</v>
      </c>
      <c r="C31" t="s">
        <v>6335</v>
      </c>
      <c r="D31">
        <v>1012</v>
      </c>
      <c r="E31" t="s">
        <v>5881</v>
      </c>
      <c r="F31">
        <v>375</v>
      </c>
      <c r="G31" t="s">
        <v>4588</v>
      </c>
      <c r="H31" s="298" t="str">
        <f>VLOOKUP(B31,Folha2!$A$1:$E$229,3,FALSE)</f>
        <v>No</v>
      </c>
      <c r="I31" s="298" t="str">
        <f>VLOOKUP(B31,Folha2!$A$1:$E$229,4,FALSE)</f>
        <v>No</v>
      </c>
      <c r="J31" s="298" t="str">
        <f>VLOOKUP(B31,Folha2!$A$1:$E$229,5,FALSE)</f>
        <v>No</v>
      </c>
      <c r="K31">
        <f>VLOOKUP(B31,Folha5!$B$1:$C$272,2,)</f>
        <v>6</v>
      </c>
    </row>
    <row r="32" spans="1:11">
      <c r="A32">
        <v>1228</v>
      </c>
      <c r="B32" t="s">
        <v>4603</v>
      </c>
      <c r="C32" t="s">
        <v>6335</v>
      </c>
      <c r="D32">
        <v>1014</v>
      </c>
      <c r="E32" t="s">
        <v>6247</v>
      </c>
      <c r="F32">
        <v>375</v>
      </c>
      <c r="G32" t="s">
        <v>4588</v>
      </c>
      <c r="H32" s="298" t="str">
        <f>VLOOKUP(B32,Folha2!$A$1:$E$229,3,FALSE)</f>
        <v>Yes</v>
      </c>
      <c r="I32" s="298" t="str">
        <f>VLOOKUP(B32,Folha2!$A$1:$E$229,4,FALSE)</f>
        <v>Yes</v>
      </c>
      <c r="J32" s="298" t="str">
        <f>VLOOKUP(B32,Folha2!$A$1:$E$229,5,FALSE)</f>
        <v>Yes</v>
      </c>
      <c r="K32">
        <f>VLOOKUP(B32,Folha5!$B$1:$C$272,2,)</f>
        <v>6</v>
      </c>
    </row>
    <row r="33" spans="1:11">
      <c r="A33">
        <v>1265</v>
      </c>
      <c r="B33" t="s">
        <v>4594</v>
      </c>
      <c r="C33" t="s">
        <v>6335</v>
      </c>
      <c r="D33">
        <v>721</v>
      </c>
      <c r="E33" t="s">
        <v>5879</v>
      </c>
      <c r="F33">
        <v>375</v>
      </c>
      <c r="G33" t="s">
        <v>4588</v>
      </c>
      <c r="H33" s="298" t="str">
        <f>VLOOKUP(B33,Folha2!$A$1:$E$229,3,FALSE)</f>
        <v>No</v>
      </c>
      <c r="I33" s="298" t="str">
        <f>VLOOKUP(B33,Folha2!$A$1:$E$229,4,FALSE)</f>
        <v>No</v>
      </c>
      <c r="J33" s="298" t="str">
        <f>VLOOKUP(B33,Folha2!$A$1:$E$229,5,FALSE)</f>
        <v>No</v>
      </c>
      <c r="K33">
        <f>VLOOKUP(B33,Folha5!$B$1:$C$272,2,)</f>
        <v>4</v>
      </c>
    </row>
    <row r="34" spans="1:11">
      <c r="A34">
        <v>1221</v>
      </c>
      <c r="B34" t="s">
        <v>4591</v>
      </c>
      <c r="C34" t="s">
        <v>6336</v>
      </c>
      <c r="D34">
        <v>1014</v>
      </c>
      <c r="E34" t="s">
        <v>6247</v>
      </c>
      <c r="F34">
        <v>375</v>
      </c>
      <c r="G34" t="s">
        <v>4588</v>
      </c>
      <c r="H34" s="298" t="e">
        <f>VLOOKUP(B34,Folha2!$A$1:$E$229,3,FALSE)</f>
        <v>#N/A</v>
      </c>
      <c r="I34" s="298" t="e">
        <f>VLOOKUP(B34,Folha2!$A$1:$E$229,4,FALSE)</f>
        <v>#N/A</v>
      </c>
      <c r="J34" s="298" t="e">
        <f>VLOOKUP(B34,Folha2!$A$1:$E$229,5,FALSE)</f>
        <v>#N/A</v>
      </c>
      <c r="K34">
        <f>VLOOKUP(B34,Folha5!$B$1:$C$272,2,)</f>
        <v>0</v>
      </c>
    </row>
    <row r="35" spans="1:11">
      <c r="A35">
        <v>1220</v>
      </c>
      <c r="B35" t="s">
        <v>4612</v>
      </c>
      <c r="C35" t="s">
        <v>6335</v>
      </c>
      <c r="D35">
        <v>1012</v>
      </c>
      <c r="E35" t="s">
        <v>5881</v>
      </c>
      <c r="F35">
        <v>375</v>
      </c>
      <c r="G35" t="s">
        <v>4588</v>
      </c>
      <c r="H35" s="298" t="str">
        <f>VLOOKUP(B35,Folha2!$A$1:$E$229,3,FALSE)</f>
        <v>No</v>
      </c>
      <c r="I35" s="298" t="str">
        <f>VLOOKUP(B35,Folha2!$A$1:$E$229,4,FALSE)</f>
        <v>No</v>
      </c>
      <c r="J35" s="298" t="str">
        <f>VLOOKUP(B35,Folha2!$A$1:$E$229,5,FALSE)</f>
        <v>No</v>
      </c>
      <c r="K35">
        <f>VLOOKUP(B35,Folha5!$B$1:$C$272,2,)</f>
        <v>8</v>
      </c>
    </row>
    <row r="36" spans="1:11">
      <c r="A36">
        <v>1215</v>
      </c>
      <c r="B36" t="s">
        <v>4618</v>
      </c>
      <c r="C36" t="s">
        <v>6335</v>
      </c>
      <c r="D36">
        <v>1014</v>
      </c>
      <c r="E36" t="s">
        <v>6247</v>
      </c>
      <c r="F36">
        <v>375</v>
      </c>
      <c r="G36" t="s">
        <v>4588</v>
      </c>
      <c r="H36" s="298" t="str">
        <f>VLOOKUP(B36,Folha2!$A$1:$E$229,3,FALSE)</f>
        <v>Yes</v>
      </c>
      <c r="I36" s="298" t="str">
        <f>VLOOKUP(B36,Folha2!$A$1:$E$229,4,FALSE)</f>
        <v>Yes</v>
      </c>
      <c r="J36" s="298" t="str">
        <f>VLOOKUP(B36,Folha2!$A$1:$E$229,5,FALSE)</f>
        <v>Yes</v>
      </c>
      <c r="K36">
        <f>VLOOKUP(B36,Folha5!$B$1:$C$272,2,)</f>
        <v>4</v>
      </c>
    </row>
    <row r="37" spans="1:11">
      <c r="A37">
        <v>1207</v>
      </c>
      <c r="B37" t="s">
        <v>4621</v>
      </c>
      <c r="C37" t="s">
        <v>6335</v>
      </c>
      <c r="D37">
        <v>1017</v>
      </c>
      <c r="E37" t="s">
        <v>5876</v>
      </c>
      <c r="F37">
        <v>375</v>
      </c>
      <c r="G37" t="s">
        <v>4588</v>
      </c>
      <c r="H37" s="298" t="e">
        <f>VLOOKUP(B37,Folha2!$A$1:$E$229,3,FALSE)</f>
        <v>#N/A</v>
      </c>
      <c r="I37" s="298" t="e">
        <f>VLOOKUP(B37,Folha2!$A$1:$E$229,4,FALSE)</f>
        <v>#N/A</v>
      </c>
      <c r="J37" s="298" t="e">
        <f>VLOOKUP(B37,Folha2!$A$1:$E$229,5,FALSE)</f>
        <v>#N/A</v>
      </c>
      <c r="K37" t="e">
        <f>VLOOKUP(B37,Folha5!$B$1:$C$272,2,)</f>
        <v>#N/A</v>
      </c>
    </row>
    <row r="38" spans="1:11">
      <c r="A38">
        <v>1287</v>
      </c>
      <c r="B38" t="s">
        <v>4635</v>
      </c>
      <c r="C38" t="s">
        <v>6336</v>
      </c>
      <c r="D38">
        <v>721</v>
      </c>
      <c r="E38" t="s">
        <v>5879</v>
      </c>
      <c r="F38">
        <v>375</v>
      </c>
      <c r="G38" t="s">
        <v>4588</v>
      </c>
      <c r="H38" s="298" t="e">
        <f>VLOOKUP(B38,Folha2!$A$1:$E$229,3,FALSE)</f>
        <v>#N/A</v>
      </c>
      <c r="I38" s="298" t="e">
        <f>VLOOKUP(B38,Folha2!$A$1:$E$229,4,FALSE)</f>
        <v>#N/A</v>
      </c>
      <c r="J38" s="298" t="e">
        <f>VLOOKUP(B38,Folha2!$A$1:$E$229,5,FALSE)</f>
        <v>#N/A</v>
      </c>
      <c r="K38">
        <f>VLOOKUP(B38,Folha5!$B$1:$C$272,2,)</f>
        <v>0</v>
      </c>
    </row>
    <row r="39" spans="1:11">
      <c r="A39">
        <v>1345</v>
      </c>
      <c r="B39" t="s">
        <v>4647</v>
      </c>
      <c r="C39" t="s">
        <v>6336</v>
      </c>
      <c r="D39">
        <v>1032</v>
      </c>
      <c r="E39" t="s">
        <v>5878</v>
      </c>
      <c r="F39">
        <v>375</v>
      </c>
      <c r="G39" t="s">
        <v>4588</v>
      </c>
      <c r="H39" s="298" t="e">
        <f>VLOOKUP(B39,Folha2!$A$1:$E$229,3,FALSE)</f>
        <v>#N/A</v>
      </c>
      <c r="I39" s="298" t="e">
        <f>VLOOKUP(B39,Folha2!$A$1:$E$229,4,FALSE)</f>
        <v>#N/A</v>
      </c>
      <c r="J39" s="298" t="e">
        <f>VLOOKUP(B39,Folha2!$A$1:$E$229,5,FALSE)</f>
        <v>#N/A</v>
      </c>
      <c r="K39">
        <f>VLOOKUP(B39,Folha5!$B$1:$C$272,2,)</f>
        <v>0</v>
      </c>
    </row>
    <row r="40" spans="1:11">
      <c r="A40">
        <v>1347</v>
      </c>
      <c r="B40" t="s">
        <v>4644</v>
      </c>
      <c r="C40" t="s">
        <v>6335</v>
      </c>
      <c r="D40">
        <v>1014</v>
      </c>
      <c r="E40" t="s">
        <v>6247</v>
      </c>
      <c r="F40">
        <v>375</v>
      </c>
      <c r="G40" t="s">
        <v>4588</v>
      </c>
      <c r="H40" s="298" t="str">
        <f>VLOOKUP(B40,Folha2!$A$1:$E$229,3,FALSE)</f>
        <v>No</v>
      </c>
      <c r="I40" s="298" t="str">
        <f>VLOOKUP(B40,Folha2!$A$1:$E$229,4,FALSE)</f>
        <v>No</v>
      </c>
      <c r="J40" s="298" t="str">
        <f>VLOOKUP(B40,Folha2!$A$1:$E$229,5,FALSE)</f>
        <v>No</v>
      </c>
      <c r="K40">
        <f>VLOOKUP(B40,Folha5!$B$1:$C$272,2,)</f>
        <v>16</v>
      </c>
    </row>
    <row r="41" spans="1:11">
      <c r="A41">
        <v>1202</v>
      </c>
      <c r="B41" t="s">
        <v>4615</v>
      </c>
      <c r="C41" t="s">
        <v>6335</v>
      </c>
      <c r="D41">
        <v>1014</v>
      </c>
      <c r="E41" t="s">
        <v>6247</v>
      </c>
      <c r="F41">
        <v>375</v>
      </c>
      <c r="G41" t="s">
        <v>4588</v>
      </c>
      <c r="H41" s="298" t="str">
        <f>VLOOKUP(B41,Folha2!$A$1:$E$229,3,FALSE)</f>
        <v>Yes</v>
      </c>
      <c r="I41" s="298" t="str">
        <f>VLOOKUP(B41,Folha2!$A$1:$E$229,4,FALSE)</f>
        <v>Yes</v>
      </c>
      <c r="J41" s="298" t="str">
        <f>VLOOKUP(B41,Folha2!$A$1:$E$229,5,FALSE)</f>
        <v>Yes</v>
      </c>
      <c r="K41">
        <f>VLOOKUP(B41,Folha5!$B$1:$C$272,2,)</f>
        <v>40</v>
      </c>
    </row>
    <row r="42" spans="1:11">
      <c r="A42">
        <v>1280</v>
      </c>
      <c r="B42" t="s">
        <v>4597</v>
      </c>
      <c r="C42" t="s">
        <v>6335</v>
      </c>
      <c r="D42">
        <v>1252</v>
      </c>
      <c r="E42" t="s">
        <v>5882</v>
      </c>
      <c r="F42">
        <v>375</v>
      </c>
      <c r="G42" t="s">
        <v>4588</v>
      </c>
      <c r="H42" s="298" t="str">
        <f>VLOOKUP(B42,Folha2!$A$1:$E$229,3,FALSE)</f>
        <v>No</v>
      </c>
      <c r="I42" s="298" t="str">
        <f>VLOOKUP(B42,Folha2!$A$1:$E$229,4,FALSE)</f>
        <v>No</v>
      </c>
      <c r="J42" s="298" t="str">
        <f>VLOOKUP(B42,Folha2!$A$1:$E$229,5,FALSE)</f>
        <v>No</v>
      </c>
      <c r="K42">
        <f>VLOOKUP(B42,Folha5!$B$1:$C$272,2,)</f>
        <v>24</v>
      </c>
    </row>
    <row r="43" spans="1:11">
      <c r="A43">
        <v>1338</v>
      </c>
      <c r="B43" t="s">
        <v>4636</v>
      </c>
      <c r="C43" t="s">
        <v>6335</v>
      </c>
      <c r="D43">
        <v>1017</v>
      </c>
      <c r="E43" t="s">
        <v>5876</v>
      </c>
      <c r="F43">
        <v>375</v>
      </c>
      <c r="G43" t="s">
        <v>4588</v>
      </c>
      <c r="H43" s="298" t="str">
        <f>VLOOKUP(B43,Folha2!$A$1:$E$229,3,FALSE)</f>
        <v>No</v>
      </c>
      <c r="I43" s="298" t="str">
        <f>VLOOKUP(B43,Folha2!$A$1:$E$229,4,FALSE)</f>
        <v>No</v>
      </c>
      <c r="J43" s="298" t="str">
        <f>VLOOKUP(B43,Folha2!$A$1:$E$229,5,FALSE)</f>
        <v>No</v>
      </c>
      <c r="K43">
        <f>VLOOKUP(B43,Folha5!$B$1:$C$272,2,)</f>
        <v>12</v>
      </c>
    </row>
    <row r="44" spans="1:11">
      <c r="A44">
        <v>1320</v>
      </c>
      <c r="B44" t="s">
        <v>4639</v>
      </c>
      <c r="C44" t="s">
        <v>6336</v>
      </c>
      <c r="D44">
        <v>721</v>
      </c>
      <c r="E44" t="s">
        <v>5879</v>
      </c>
      <c r="F44">
        <v>375</v>
      </c>
      <c r="G44" t="s">
        <v>4588</v>
      </c>
      <c r="H44" s="298" t="e">
        <f>VLOOKUP(B44,Folha2!$A$1:$E$229,3,FALSE)</f>
        <v>#N/A</v>
      </c>
      <c r="I44" s="298" t="e">
        <f>VLOOKUP(B44,Folha2!$A$1:$E$229,4,FALSE)</f>
        <v>#N/A</v>
      </c>
      <c r="J44" s="298" t="e">
        <f>VLOOKUP(B44,Folha2!$A$1:$E$229,5,FALSE)</f>
        <v>#N/A</v>
      </c>
      <c r="K44">
        <f>VLOOKUP(B44,Folha5!$B$1:$C$272,2,)</f>
        <v>0</v>
      </c>
    </row>
    <row r="45" spans="1:11">
      <c r="A45">
        <v>347</v>
      </c>
      <c r="B45" t="s">
        <v>4626</v>
      </c>
      <c r="C45" t="s">
        <v>6335</v>
      </c>
      <c r="D45">
        <v>1017</v>
      </c>
      <c r="E45" t="s">
        <v>5876</v>
      </c>
      <c r="F45">
        <v>375</v>
      </c>
      <c r="G45" t="s">
        <v>4588</v>
      </c>
      <c r="H45" s="298" t="str">
        <f>VLOOKUP(B45,Folha2!$A$1:$E$229,3,FALSE)</f>
        <v>No</v>
      </c>
      <c r="I45" s="298" t="str">
        <f>VLOOKUP(B45,Folha2!$A$1:$E$229,4,FALSE)</f>
        <v>No</v>
      </c>
      <c r="J45" s="298" t="str">
        <f>VLOOKUP(B45,Folha2!$A$1:$E$229,5,FALSE)</f>
        <v>No</v>
      </c>
      <c r="K45">
        <f>VLOOKUP(B45,Folha5!$B$1:$C$272,2,)</f>
        <v>8</v>
      </c>
    </row>
    <row r="46" spans="1:11">
      <c r="A46">
        <v>1288</v>
      </c>
      <c r="B46" t="s">
        <v>4632</v>
      </c>
      <c r="C46" t="s">
        <v>6336</v>
      </c>
      <c r="D46">
        <v>721</v>
      </c>
      <c r="E46" t="s">
        <v>5879</v>
      </c>
      <c r="F46">
        <v>375</v>
      </c>
      <c r="G46" t="s">
        <v>4588</v>
      </c>
      <c r="H46" s="298" t="e">
        <f>VLOOKUP(B46,Folha2!$A$1:$E$229,3,FALSE)</f>
        <v>#N/A</v>
      </c>
      <c r="I46" s="298" t="e">
        <f>VLOOKUP(B46,Folha2!$A$1:$E$229,4,FALSE)</f>
        <v>#N/A</v>
      </c>
      <c r="J46" s="298" t="e">
        <f>VLOOKUP(B46,Folha2!$A$1:$E$229,5,FALSE)</f>
        <v>#N/A</v>
      </c>
      <c r="K46">
        <f>VLOOKUP(B46,Folha5!$B$1:$C$272,2,)</f>
        <v>0</v>
      </c>
    </row>
    <row r="47" spans="1:11">
      <c r="A47">
        <v>210</v>
      </c>
      <c r="B47" t="s">
        <v>4629</v>
      </c>
      <c r="C47" t="s">
        <v>6335</v>
      </c>
      <c r="D47">
        <v>1017</v>
      </c>
      <c r="E47" t="s">
        <v>5876</v>
      </c>
      <c r="F47">
        <v>375</v>
      </c>
      <c r="G47" t="s">
        <v>4588</v>
      </c>
      <c r="H47" s="298" t="str">
        <f>VLOOKUP(B47,Folha2!$A$1:$E$229,3,FALSE)</f>
        <v>Yes</v>
      </c>
      <c r="I47" s="298" t="str">
        <f>VLOOKUP(B47,Folha2!$A$1:$E$229,4,FALSE)</f>
        <v>Yes</v>
      </c>
      <c r="J47" s="298" t="str">
        <f>VLOOKUP(B47,Folha2!$A$1:$E$229,5,FALSE)</f>
        <v>Yes</v>
      </c>
      <c r="K47">
        <f>VLOOKUP(B47,Folha5!$B$1:$C$272,2,)</f>
        <v>32</v>
      </c>
    </row>
    <row r="48" spans="1:11">
      <c r="A48">
        <v>268</v>
      </c>
      <c r="B48" t="s">
        <v>4624</v>
      </c>
      <c r="C48" t="s">
        <v>6335</v>
      </c>
      <c r="D48">
        <v>1014</v>
      </c>
      <c r="E48" t="s">
        <v>6247</v>
      </c>
      <c r="F48">
        <v>375</v>
      </c>
      <c r="G48" t="s">
        <v>4588</v>
      </c>
      <c r="H48" s="298" t="str">
        <f>VLOOKUP(B48,Folha2!$A$1:$E$229,3,FALSE)</f>
        <v>No</v>
      </c>
      <c r="I48" s="298" t="str">
        <f>VLOOKUP(B48,Folha2!$A$1:$E$229,4,FALSE)</f>
        <v>No</v>
      </c>
      <c r="J48" s="298" t="str">
        <f>VLOOKUP(B48,Folha2!$A$1:$E$229,5,FALSE)</f>
        <v>No</v>
      </c>
      <c r="K48">
        <f>VLOOKUP(B48,Folha5!$B$1:$C$272,2,)</f>
        <v>16</v>
      </c>
    </row>
    <row r="49" spans="1:11">
      <c r="A49">
        <v>1308</v>
      </c>
      <c r="B49" t="s">
        <v>4550</v>
      </c>
      <c r="C49" t="s">
        <v>6335</v>
      </c>
      <c r="D49">
        <v>1015</v>
      </c>
      <c r="E49" t="s">
        <v>5874</v>
      </c>
      <c r="F49">
        <v>377</v>
      </c>
      <c r="G49" t="s">
        <v>4538</v>
      </c>
      <c r="H49" s="298" t="str">
        <f>VLOOKUP(B49,Folha2!$A$1:$E$229,3,FALSE)</f>
        <v>No</v>
      </c>
      <c r="I49" s="298" t="str">
        <f>VLOOKUP(B49,Folha2!$A$1:$E$229,4,FALSE)</f>
        <v>No</v>
      </c>
      <c r="J49" s="298" t="str">
        <f>VLOOKUP(B49,Folha2!$A$1:$E$229,5,FALSE)</f>
        <v>No</v>
      </c>
      <c r="K49">
        <f>VLOOKUP(B49,Folha5!$B$1:$C$272,2,)</f>
        <v>4</v>
      </c>
    </row>
    <row r="50" spans="1:11">
      <c r="A50">
        <v>1309</v>
      </c>
      <c r="B50" t="s">
        <v>4547</v>
      </c>
      <c r="C50" t="s">
        <v>6335</v>
      </c>
      <c r="D50">
        <v>1015</v>
      </c>
      <c r="E50" t="s">
        <v>5874</v>
      </c>
      <c r="F50">
        <v>377</v>
      </c>
      <c r="G50" t="s">
        <v>4538</v>
      </c>
      <c r="H50" s="298" t="str">
        <f>VLOOKUP(B50,Folha2!$A$1:$E$229,3,FALSE)</f>
        <v>No</v>
      </c>
      <c r="I50" s="298" t="str">
        <f>VLOOKUP(B50,Folha2!$A$1:$E$229,4,FALSE)</f>
        <v>No</v>
      </c>
      <c r="J50" s="298" t="str">
        <f>VLOOKUP(B50,Folha2!$A$1:$E$229,5,FALSE)</f>
        <v>No</v>
      </c>
      <c r="K50">
        <f>VLOOKUP(B50,Folha5!$B$1:$C$272,2,)</f>
        <v>4</v>
      </c>
    </row>
    <row r="51" spans="1:11">
      <c r="A51">
        <v>1310</v>
      </c>
      <c r="B51" t="s">
        <v>4544</v>
      </c>
      <c r="C51" t="s">
        <v>6335</v>
      </c>
      <c r="D51">
        <v>1015</v>
      </c>
      <c r="E51" t="s">
        <v>5874</v>
      </c>
      <c r="F51">
        <v>377</v>
      </c>
      <c r="G51" t="s">
        <v>4538</v>
      </c>
      <c r="H51" s="298" t="str">
        <f>VLOOKUP(B51,Folha2!$A$1:$E$229,3,FALSE)</f>
        <v>No</v>
      </c>
      <c r="I51" s="298" t="str">
        <f>VLOOKUP(B51,Folha2!$A$1:$E$229,4,FALSE)</f>
        <v>No</v>
      </c>
      <c r="J51" s="298" t="str">
        <f>VLOOKUP(B51,Folha2!$A$1:$E$229,5,FALSE)</f>
        <v>No</v>
      </c>
      <c r="K51">
        <f>VLOOKUP(B51,Folha5!$B$1:$C$272,2,)</f>
        <v>4</v>
      </c>
    </row>
    <row r="52" spans="1:11">
      <c r="A52">
        <v>1238</v>
      </c>
      <c r="B52" t="s">
        <v>4556</v>
      </c>
      <c r="C52" t="s">
        <v>6335</v>
      </c>
      <c r="D52">
        <v>1015</v>
      </c>
      <c r="E52" t="s">
        <v>5874</v>
      </c>
      <c r="F52">
        <v>377</v>
      </c>
      <c r="G52" t="s">
        <v>4538</v>
      </c>
      <c r="H52" s="298" t="str">
        <f>VLOOKUP(B52,Folha2!$A$1:$E$229,3,FALSE)</f>
        <v>No</v>
      </c>
      <c r="I52" s="298" t="str">
        <f>VLOOKUP(B52,Folha2!$A$1:$E$229,4,FALSE)</f>
        <v>No</v>
      </c>
      <c r="J52" s="298" t="str">
        <f>VLOOKUP(B52,Folha2!$A$1:$E$229,5,FALSE)</f>
        <v>No</v>
      </c>
      <c r="K52">
        <f>VLOOKUP(B52,Folha5!$B$1:$C$272,2,)</f>
        <v>16</v>
      </c>
    </row>
    <row r="53" spans="1:11">
      <c r="A53">
        <v>1229</v>
      </c>
      <c r="B53" t="s">
        <v>4553</v>
      </c>
      <c r="C53" t="s">
        <v>6335</v>
      </c>
      <c r="D53">
        <v>1015</v>
      </c>
      <c r="E53" t="s">
        <v>5874</v>
      </c>
      <c r="F53">
        <v>377</v>
      </c>
      <c r="G53" t="s">
        <v>4538</v>
      </c>
      <c r="H53" s="298" t="str">
        <f>VLOOKUP(B53,Folha2!$A$1:$E$229,3,FALSE)</f>
        <v>No</v>
      </c>
      <c r="I53" s="298" t="str">
        <f>VLOOKUP(B53,Folha2!$A$1:$E$229,4,FALSE)</f>
        <v>No</v>
      </c>
      <c r="J53" s="298" t="str">
        <f>VLOOKUP(B53,Folha2!$A$1:$E$229,5,FALSE)</f>
        <v>No</v>
      </c>
      <c r="K53">
        <f>VLOOKUP(B53,Folha5!$B$1:$C$272,2,)</f>
        <v>16</v>
      </c>
    </row>
    <row r="54" spans="1:11">
      <c r="A54">
        <v>1208</v>
      </c>
      <c r="B54" t="s">
        <v>4541</v>
      </c>
      <c r="C54" t="s">
        <v>6335</v>
      </c>
      <c r="D54">
        <v>1015</v>
      </c>
      <c r="E54" t="s">
        <v>5874</v>
      </c>
      <c r="F54">
        <v>377</v>
      </c>
      <c r="G54" t="s">
        <v>4538</v>
      </c>
      <c r="H54" s="298" t="str">
        <f>VLOOKUP(B54,Folha2!$A$1:$E$229,3,FALSE)</f>
        <v>Yes</v>
      </c>
      <c r="I54" s="298" t="str">
        <f>VLOOKUP(B54,Folha2!$A$1:$E$229,4,FALSE)</f>
        <v>Yes</v>
      </c>
      <c r="J54" s="298" t="str">
        <f>VLOOKUP(B54,Folha2!$A$1:$E$229,5,FALSE)</f>
        <v>Yes</v>
      </c>
      <c r="K54">
        <f>VLOOKUP(B54,Folha5!$B$1:$C$272,2,)</f>
        <v>16</v>
      </c>
    </row>
    <row r="55" spans="1:11">
      <c r="A55">
        <v>1317</v>
      </c>
      <c r="B55" t="s">
        <v>4584</v>
      </c>
      <c r="C55" t="s">
        <v>6336</v>
      </c>
      <c r="D55">
        <v>1015</v>
      </c>
      <c r="E55" t="s">
        <v>5874</v>
      </c>
      <c r="F55">
        <v>377</v>
      </c>
      <c r="G55" t="s">
        <v>4538</v>
      </c>
      <c r="H55" s="298" t="e">
        <f>VLOOKUP(B55,Folha2!$A$1:$E$229,3,FALSE)</f>
        <v>#N/A</v>
      </c>
      <c r="I55" s="298" t="e">
        <f>VLOOKUP(B55,Folha2!$A$1:$E$229,4,FALSE)</f>
        <v>#N/A</v>
      </c>
      <c r="J55" s="298" t="e">
        <f>VLOOKUP(B55,Folha2!$A$1:$E$229,5,FALSE)</f>
        <v>#N/A</v>
      </c>
      <c r="K55" t="e">
        <f>VLOOKUP(B55,Folha5!$B$1:$C$272,2,)</f>
        <v>#N/A</v>
      </c>
    </row>
    <row r="56" spans="1:11">
      <c r="A56">
        <v>1391</v>
      </c>
      <c r="B56" t="s">
        <v>4564</v>
      </c>
      <c r="C56" t="s">
        <v>6335</v>
      </c>
      <c r="D56">
        <v>1015</v>
      </c>
      <c r="E56" t="s">
        <v>5874</v>
      </c>
      <c r="F56">
        <v>377</v>
      </c>
      <c r="G56" t="s">
        <v>4538</v>
      </c>
      <c r="H56" s="298" t="e">
        <f>VLOOKUP(B56,Folha2!$A$1:$E$229,3,FALSE)</f>
        <v>#N/A</v>
      </c>
      <c r="I56" s="298" t="e">
        <f>VLOOKUP(B56,Folha2!$A$1:$E$229,4,FALSE)</f>
        <v>#N/A</v>
      </c>
      <c r="J56" s="298" t="e">
        <f>VLOOKUP(B56,Folha2!$A$1:$E$229,5,FALSE)</f>
        <v>#N/A</v>
      </c>
      <c r="K56">
        <f>VLOOKUP(B56,Folha5!$B$1:$C$272,2,)</f>
        <v>0</v>
      </c>
    </row>
    <row r="57" spans="1:11">
      <c r="A57">
        <v>1383</v>
      </c>
      <c r="B57" t="s">
        <v>4560</v>
      </c>
      <c r="C57" t="s">
        <v>6335</v>
      </c>
      <c r="D57">
        <v>1015</v>
      </c>
      <c r="E57" t="s">
        <v>5874</v>
      </c>
      <c r="F57">
        <v>377</v>
      </c>
      <c r="G57" t="s">
        <v>4538</v>
      </c>
      <c r="H57" s="298" t="str">
        <f>VLOOKUP(B57,Folha2!$A$1:$E$229,3,FALSE)</f>
        <v>No</v>
      </c>
      <c r="I57" s="298" t="str">
        <f>VLOOKUP(B57,Folha2!$A$1:$E$229,4,FALSE)</f>
        <v>No</v>
      </c>
      <c r="J57" s="298" t="str">
        <f>VLOOKUP(B57,Folha2!$A$1:$E$229,5,FALSE)</f>
        <v>No</v>
      </c>
      <c r="K57">
        <f>VLOOKUP(B57,Folha5!$B$1:$C$272,2,)</f>
        <v>16</v>
      </c>
    </row>
    <row r="58" spans="1:11">
      <c r="A58">
        <v>1378</v>
      </c>
      <c r="B58" t="s">
        <v>4568</v>
      </c>
      <c r="C58" t="s">
        <v>6335</v>
      </c>
      <c r="D58">
        <v>1015</v>
      </c>
      <c r="E58" t="s">
        <v>5874</v>
      </c>
      <c r="F58">
        <v>377</v>
      </c>
      <c r="G58" t="s">
        <v>4538</v>
      </c>
      <c r="H58" s="298" t="str">
        <f>VLOOKUP(B58,Folha2!$A$1:$E$229,3,FALSE)</f>
        <v>Yes</v>
      </c>
      <c r="I58" s="298" t="str">
        <f>VLOOKUP(B58,Folha2!$A$1:$E$229,4,FALSE)</f>
        <v>Yes</v>
      </c>
      <c r="J58" s="298" t="str">
        <f>VLOOKUP(B58,Folha2!$A$1:$E$229,5,FALSE)</f>
        <v>Yes</v>
      </c>
      <c r="K58">
        <f>VLOOKUP(B58,Folha5!$B$1:$C$272,2,)</f>
        <v>24</v>
      </c>
    </row>
    <row r="59" spans="1:11">
      <c r="A59">
        <v>107</v>
      </c>
      <c r="B59" t="s">
        <v>4558</v>
      </c>
      <c r="C59" t="s">
        <v>6335</v>
      </c>
      <c r="D59">
        <v>1015</v>
      </c>
      <c r="E59" t="s">
        <v>5874</v>
      </c>
      <c r="F59">
        <v>377</v>
      </c>
      <c r="G59" t="s">
        <v>4538</v>
      </c>
      <c r="H59" s="298" t="e">
        <f>VLOOKUP(B59,Folha2!$A$1:$E$229,3,FALSE)</f>
        <v>#N/A</v>
      </c>
      <c r="I59" s="298" t="e">
        <f>VLOOKUP(B59,Folha2!$A$1:$E$229,4,FALSE)</f>
        <v>#N/A</v>
      </c>
      <c r="J59" s="298" t="e">
        <f>VLOOKUP(B59,Folha2!$A$1:$E$229,5,FALSE)</f>
        <v>#N/A</v>
      </c>
      <c r="K59" t="e">
        <f>VLOOKUP(B59,Folha5!$B$1:$C$272,2,)</f>
        <v>#N/A</v>
      </c>
    </row>
    <row r="60" spans="1:11">
      <c r="A60">
        <v>1285</v>
      </c>
      <c r="B60" t="s">
        <v>4574</v>
      </c>
      <c r="C60" t="s">
        <v>6335</v>
      </c>
      <c r="D60">
        <v>1015</v>
      </c>
      <c r="E60" t="s">
        <v>5874</v>
      </c>
      <c r="F60">
        <v>377</v>
      </c>
      <c r="G60" t="s">
        <v>4538</v>
      </c>
      <c r="H60" s="298" t="str">
        <f>VLOOKUP(B60,Folha2!$A$1:$E$229,3,FALSE)</f>
        <v>No</v>
      </c>
      <c r="I60" s="298" t="str">
        <f>VLOOKUP(B60,Folha2!$A$1:$E$229,4,FALSE)</f>
        <v>No</v>
      </c>
      <c r="J60" s="298" t="str">
        <f>VLOOKUP(B60,Folha2!$A$1:$E$229,5,FALSE)</f>
        <v>No</v>
      </c>
      <c r="K60">
        <f>VLOOKUP(B60,Folha5!$B$1:$C$272,2,)</f>
        <v>16</v>
      </c>
    </row>
    <row r="61" spans="1:11">
      <c r="A61">
        <v>1322</v>
      </c>
      <c r="B61" t="s">
        <v>4577</v>
      </c>
      <c r="C61" t="s">
        <v>6335</v>
      </c>
      <c r="D61">
        <v>1015</v>
      </c>
      <c r="E61" t="s">
        <v>5874</v>
      </c>
      <c r="F61">
        <v>377</v>
      </c>
      <c r="G61" t="s">
        <v>4538</v>
      </c>
      <c r="H61" s="298" t="str">
        <f>VLOOKUP(B61,Folha2!$A$1:$E$229,3,FALSE)</f>
        <v>No</v>
      </c>
      <c r="I61" s="298" t="str">
        <f>VLOOKUP(B61,Folha2!$A$1:$E$229,4,FALSE)</f>
        <v>No</v>
      </c>
      <c r="J61" s="298" t="str">
        <f>VLOOKUP(B61,Folha2!$A$1:$E$229,5,FALSE)</f>
        <v>No</v>
      </c>
      <c r="K61">
        <f>VLOOKUP(B61,Folha5!$B$1:$C$272,2,)</f>
        <v>8</v>
      </c>
    </row>
    <row r="62" spans="1:11">
      <c r="A62">
        <v>1282</v>
      </c>
      <c r="B62" t="s">
        <v>4583</v>
      </c>
      <c r="C62" t="s">
        <v>6335</v>
      </c>
      <c r="D62">
        <v>1015</v>
      </c>
      <c r="E62" t="s">
        <v>5874</v>
      </c>
      <c r="F62">
        <v>377</v>
      </c>
      <c r="G62" t="s">
        <v>4538</v>
      </c>
      <c r="H62" s="298" t="e">
        <f>VLOOKUP(B62,Folha2!$A$1:$E$229,3,FALSE)</f>
        <v>#N/A</v>
      </c>
      <c r="I62" s="298" t="e">
        <f>VLOOKUP(B62,Folha2!$A$1:$E$229,4,FALSE)</f>
        <v>#N/A</v>
      </c>
      <c r="J62" s="298" t="e">
        <f>VLOOKUP(B62,Folha2!$A$1:$E$229,5,FALSE)</f>
        <v>#N/A</v>
      </c>
      <c r="K62" t="e">
        <f>VLOOKUP(B62,Folha5!$B$1:$C$272,2,)</f>
        <v>#N/A</v>
      </c>
    </row>
    <row r="63" spans="1:11">
      <c r="A63">
        <v>1314</v>
      </c>
      <c r="B63" t="s">
        <v>4587</v>
      </c>
      <c r="C63" t="s">
        <v>6335</v>
      </c>
      <c r="D63">
        <v>1032</v>
      </c>
      <c r="E63" t="s">
        <v>5878</v>
      </c>
      <c r="F63">
        <v>377</v>
      </c>
      <c r="G63" t="s">
        <v>4538</v>
      </c>
      <c r="H63" s="298" t="str">
        <f>VLOOKUP(B63,Folha2!$A$1:$E$229,3,FALSE)</f>
        <v>No</v>
      </c>
      <c r="I63" s="298" t="str">
        <f>VLOOKUP(B63,Folha2!$A$1:$E$229,4,FALSE)</f>
        <v>No</v>
      </c>
      <c r="J63" s="298" t="str">
        <f>VLOOKUP(B63,Folha2!$A$1:$E$229,5,FALSE)</f>
        <v>No</v>
      </c>
      <c r="K63">
        <f>VLOOKUP(B63,Folha5!$B$1:$C$272,2,)</f>
        <v>4</v>
      </c>
    </row>
    <row r="64" spans="1:11">
      <c r="A64">
        <v>1283</v>
      </c>
      <c r="B64" t="s">
        <v>4580</v>
      </c>
      <c r="C64" t="s">
        <v>6335</v>
      </c>
      <c r="D64">
        <v>1015</v>
      </c>
      <c r="E64" t="s">
        <v>5874</v>
      </c>
      <c r="F64">
        <v>377</v>
      </c>
      <c r="G64" t="s">
        <v>4538</v>
      </c>
      <c r="H64" s="298" t="str">
        <f>VLOOKUP(B64,Folha2!$A$1:$E$229,3,FALSE)</f>
        <v>No</v>
      </c>
      <c r="I64" s="298" t="str">
        <f>VLOOKUP(B64,Folha2!$A$1:$E$229,4,FALSE)</f>
        <v>No</v>
      </c>
      <c r="J64" s="298" t="str">
        <f>VLOOKUP(B64,Folha2!$A$1:$E$229,5,FALSE)</f>
        <v>No</v>
      </c>
      <c r="K64">
        <f>VLOOKUP(B64,Folha5!$B$1:$C$272,2,)</f>
        <v>8</v>
      </c>
    </row>
    <row r="65" spans="1:11">
      <c r="A65">
        <v>1269</v>
      </c>
      <c r="B65" t="s">
        <v>4505</v>
      </c>
      <c r="C65" t="s">
        <v>6336</v>
      </c>
      <c r="D65">
        <v>1014</v>
      </c>
      <c r="E65" t="s">
        <v>6247</v>
      </c>
      <c r="F65">
        <v>379</v>
      </c>
      <c r="G65" t="s">
        <v>4502</v>
      </c>
      <c r="H65" s="298" t="e">
        <f>VLOOKUP(B65,Folha2!$A$1:$E$229,3,FALSE)</f>
        <v>#N/A</v>
      </c>
      <c r="I65" s="298" t="e">
        <f>VLOOKUP(B65,Folha2!$A$1:$E$229,4,FALSE)</f>
        <v>#N/A</v>
      </c>
      <c r="J65" s="298" t="e">
        <f>VLOOKUP(B65,Folha2!$A$1:$E$229,5,FALSE)</f>
        <v>#N/A</v>
      </c>
      <c r="K65">
        <f>VLOOKUP(B65,Folha5!$B$1:$C$272,2,)</f>
        <v>0</v>
      </c>
    </row>
    <row r="66" spans="1:11">
      <c r="A66">
        <v>1205</v>
      </c>
      <c r="B66" t="s">
        <v>4520</v>
      </c>
      <c r="C66" t="s">
        <v>6335</v>
      </c>
      <c r="D66">
        <v>1017</v>
      </c>
      <c r="E66" t="s">
        <v>5876</v>
      </c>
      <c r="F66">
        <v>379</v>
      </c>
      <c r="G66" t="s">
        <v>4502</v>
      </c>
      <c r="H66" s="298" t="str">
        <f>VLOOKUP(B66,Folha2!$A$1:$E$229,3,FALSE)</f>
        <v>Yes</v>
      </c>
      <c r="I66" s="298" t="str">
        <f>VLOOKUP(B66,Folha2!$A$1:$E$229,4,FALSE)</f>
        <v>Yes</v>
      </c>
      <c r="J66" s="298" t="str">
        <f>VLOOKUP(B66,Folha2!$A$1:$E$229,5,FALSE)</f>
        <v>Yes</v>
      </c>
      <c r="K66">
        <f>VLOOKUP(B66,Folha5!$B$1:$C$272,2,)</f>
        <v>40</v>
      </c>
    </row>
    <row r="67" spans="1:11">
      <c r="A67">
        <v>1241</v>
      </c>
      <c r="B67" t="s">
        <v>4514</v>
      </c>
      <c r="C67" t="s">
        <v>6335</v>
      </c>
      <c r="D67">
        <v>1252</v>
      </c>
      <c r="E67" t="s">
        <v>5882</v>
      </c>
      <c r="F67">
        <v>379</v>
      </c>
      <c r="G67" t="s">
        <v>4502</v>
      </c>
      <c r="H67" s="298" t="str">
        <f>VLOOKUP(B67,Folha2!$A$1:$E$229,3,FALSE)</f>
        <v>No</v>
      </c>
      <c r="I67" s="298" t="str">
        <f>VLOOKUP(B67,Folha2!$A$1:$E$229,4,FALSE)</f>
        <v>No</v>
      </c>
      <c r="J67" s="298" t="str">
        <f>VLOOKUP(B67,Folha2!$A$1:$E$229,5,FALSE)</f>
        <v>No</v>
      </c>
      <c r="K67">
        <f>VLOOKUP(B67,Folha5!$B$1:$C$272,2,)</f>
        <v>12</v>
      </c>
    </row>
    <row r="68" spans="1:11">
      <c r="A68">
        <v>1260</v>
      </c>
      <c r="B68" t="s">
        <v>4508</v>
      </c>
      <c r="C68" t="s">
        <v>6335</v>
      </c>
      <c r="D68">
        <v>1017</v>
      </c>
      <c r="E68" t="s">
        <v>5876</v>
      </c>
      <c r="F68">
        <v>379</v>
      </c>
      <c r="G68" t="s">
        <v>4502</v>
      </c>
      <c r="H68" s="298" t="str">
        <f>VLOOKUP(B68,Folha2!$A$1:$E$229,3,FALSE)</f>
        <v>Yes</v>
      </c>
      <c r="I68" s="298" t="str">
        <f>VLOOKUP(B68,Folha2!$A$1:$E$229,4,FALSE)</f>
        <v>Yes</v>
      </c>
      <c r="J68" s="298" t="str">
        <f>VLOOKUP(B68,Folha2!$A$1:$E$229,5,FALSE)</f>
        <v>Yes</v>
      </c>
      <c r="K68">
        <f>VLOOKUP(B68,Folha5!$B$1:$C$272,2,)</f>
        <v>4</v>
      </c>
    </row>
    <row r="69" spans="1:11">
      <c r="A69">
        <v>1384</v>
      </c>
      <c r="B69" t="s">
        <v>4528</v>
      </c>
      <c r="C69" t="s">
        <v>6335</v>
      </c>
      <c r="D69">
        <v>1017</v>
      </c>
      <c r="E69" t="s">
        <v>5876</v>
      </c>
      <c r="F69">
        <v>379</v>
      </c>
      <c r="G69" t="s">
        <v>4502</v>
      </c>
      <c r="H69" s="298" t="e">
        <f>VLOOKUP(B69,Folha2!$A$1:$E$229,3,FALSE)</f>
        <v>#N/A</v>
      </c>
      <c r="I69" s="298" t="e">
        <f>VLOOKUP(B69,Folha2!$A$1:$E$229,4,FALSE)</f>
        <v>#N/A</v>
      </c>
      <c r="J69" s="298" t="e">
        <f>VLOOKUP(B69,Folha2!$A$1:$E$229,5,FALSE)</f>
        <v>#N/A</v>
      </c>
      <c r="K69">
        <f>VLOOKUP(B69,Folha5!$B$1:$C$272,2,)</f>
        <v>0</v>
      </c>
    </row>
    <row r="70" spans="1:11">
      <c r="A70">
        <v>1389</v>
      </c>
      <c r="B70" t="s">
        <v>4525</v>
      </c>
      <c r="C70" t="s">
        <v>6335</v>
      </c>
      <c r="D70">
        <v>1017</v>
      </c>
      <c r="E70" t="s">
        <v>5876</v>
      </c>
      <c r="F70">
        <v>379</v>
      </c>
      <c r="G70" t="s">
        <v>4502</v>
      </c>
      <c r="H70" s="298" t="e">
        <f>VLOOKUP(B70,Folha2!$A$1:$E$229,3,FALSE)</f>
        <v>#N/A</v>
      </c>
      <c r="I70" s="298" t="e">
        <f>VLOOKUP(B70,Folha2!$A$1:$E$229,4,FALSE)</f>
        <v>#N/A</v>
      </c>
      <c r="J70" s="298" t="e">
        <f>VLOOKUP(B70,Folha2!$A$1:$E$229,5,FALSE)</f>
        <v>#N/A</v>
      </c>
      <c r="K70" t="e">
        <f>VLOOKUP(B70,Folha5!$B$1:$C$272,2,)</f>
        <v>#N/A</v>
      </c>
    </row>
    <row r="71" spans="1:11">
      <c r="A71">
        <v>261</v>
      </c>
      <c r="B71" t="s">
        <v>4522</v>
      </c>
      <c r="C71" t="s">
        <v>6335</v>
      </c>
      <c r="D71">
        <v>1014</v>
      </c>
      <c r="E71" t="s">
        <v>6247</v>
      </c>
      <c r="F71">
        <v>379</v>
      </c>
      <c r="G71" t="s">
        <v>4502</v>
      </c>
      <c r="H71" s="298" t="str">
        <f>VLOOKUP(B71,Folha2!$A$1:$E$229,3,FALSE)</f>
        <v>No</v>
      </c>
      <c r="I71" s="298" t="str">
        <f>VLOOKUP(B71,Folha2!$A$1:$E$229,4,FALSE)</f>
        <v>No</v>
      </c>
      <c r="J71" s="298" t="str">
        <f>VLOOKUP(B71,Folha2!$A$1:$E$229,5,FALSE)</f>
        <v>No</v>
      </c>
      <c r="K71">
        <f>VLOOKUP(B71,Folha5!$B$1:$C$272,2,)</f>
        <v>8</v>
      </c>
    </row>
    <row r="72" spans="1:11">
      <c r="A72">
        <v>1245</v>
      </c>
      <c r="B72" t="s">
        <v>4511</v>
      </c>
      <c r="C72" t="s">
        <v>6335</v>
      </c>
      <c r="D72">
        <v>1252</v>
      </c>
      <c r="E72" t="s">
        <v>5882</v>
      </c>
      <c r="F72">
        <v>379</v>
      </c>
      <c r="G72" t="s">
        <v>4502</v>
      </c>
      <c r="H72" s="298" t="str">
        <f>VLOOKUP(B72,Folha2!$A$1:$E$229,3,FALSE)</f>
        <v>No</v>
      </c>
      <c r="I72" s="298" t="str">
        <f>VLOOKUP(B72,Folha2!$A$1:$E$229,4,FALSE)</f>
        <v>No</v>
      </c>
      <c r="J72" s="298" t="str">
        <f>VLOOKUP(B72,Folha2!$A$1:$E$229,5,FALSE)</f>
        <v>No</v>
      </c>
      <c r="K72">
        <f>VLOOKUP(B72,Folha5!$B$1:$C$272,2,)</f>
        <v>4</v>
      </c>
    </row>
    <row r="73" spans="1:11">
      <c r="A73">
        <v>1354</v>
      </c>
      <c r="B73" t="s">
        <v>4534</v>
      </c>
      <c r="C73" t="s">
        <v>6336</v>
      </c>
      <c r="D73">
        <v>1014</v>
      </c>
      <c r="E73" t="s">
        <v>6247</v>
      </c>
      <c r="F73">
        <v>379</v>
      </c>
      <c r="G73" t="s">
        <v>4502</v>
      </c>
      <c r="H73" s="298" t="e">
        <f>VLOOKUP(B73,Folha2!$A$1:$E$229,3,FALSE)</f>
        <v>#N/A</v>
      </c>
      <c r="I73" s="298" t="e">
        <f>VLOOKUP(B73,Folha2!$A$1:$E$229,4,FALSE)</f>
        <v>#N/A</v>
      </c>
      <c r="J73" s="298" t="e">
        <f>VLOOKUP(B73,Folha2!$A$1:$E$229,5,FALSE)</f>
        <v>#N/A</v>
      </c>
      <c r="K73">
        <f>VLOOKUP(B73,Folha5!$B$1:$C$272,2,)</f>
        <v>4</v>
      </c>
    </row>
    <row r="74" spans="1:11">
      <c r="A74">
        <v>1386</v>
      </c>
      <c r="B74" t="s">
        <v>4493</v>
      </c>
      <c r="C74" t="s">
        <v>6335</v>
      </c>
      <c r="D74">
        <v>1015</v>
      </c>
      <c r="E74" t="s">
        <v>5874</v>
      </c>
      <c r="F74">
        <v>380</v>
      </c>
      <c r="G74" t="s">
        <v>4474</v>
      </c>
      <c r="H74" s="298" t="str">
        <f>VLOOKUP(B74,Folha2!$A$1:$E$229,3,FALSE)</f>
        <v>Yes</v>
      </c>
      <c r="I74" s="298" t="str">
        <f>VLOOKUP(B74,Folha2!$A$1:$E$229,4,FALSE)</f>
        <v>Yes</v>
      </c>
      <c r="J74" s="298" t="str">
        <f>VLOOKUP(B74,Folha2!$A$1:$E$229,5,FALSE)</f>
        <v>Yes</v>
      </c>
      <c r="K74">
        <f>VLOOKUP(B74,Folha5!$B$1:$C$272,2,)</f>
        <v>32</v>
      </c>
    </row>
    <row r="75" spans="1:11">
      <c r="A75">
        <v>280</v>
      </c>
      <c r="B75" t="s">
        <v>4490</v>
      </c>
      <c r="C75" t="s">
        <v>6335</v>
      </c>
      <c r="D75">
        <v>1018</v>
      </c>
      <c r="E75" t="s">
        <v>5877</v>
      </c>
      <c r="F75">
        <v>380</v>
      </c>
      <c r="G75" t="s">
        <v>4474</v>
      </c>
      <c r="H75" s="298" t="str">
        <f>VLOOKUP(B75,Folha2!$A$1:$E$229,3,FALSE)</f>
        <v>Yes</v>
      </c>
      <c r="I75" s="298" t="str">
        <f>VLOOKUP(B75,Folha2!$A$1:$E$229,4,FALSE)</f>
        <v>Yes</v>
      </c>
      <c r="J75" s="298" t="str">
        <f>VLOOKUP(B75,Folha2!$A$1:$E$229,5,FALSE)</f>
        <v>Yes</v>
      </c>
      <c r="K75">
        <f>VLOOKUP(B75,Folha5!$B$1:$C$272,2,)</f>
        <v>40</v>
      </c>
    </row>
    <row r="76" spans="1:11">
      <c r="A76">
        <v>1239</v>
      </c>
      <c r="B76" t="s">
        <v>4480</v>
      </c>
      <c r="C76" t="s">
        <v>6335</v>
      </c>
      <c r="D76">
        <v>1018</v>
      </c>
      <c r="E76" t="s">
        <v>5877</v>
      </c>
      <c r="F76">
        <v>380</v>
      </c>
      <c r="G76" t="s">
        <v>4474</v>
      </c>
      <c r="H76" s="298" t="str">
        <f>VLOOKUP(B76,Folha2!$A$1:$E$229,3,FALSE)</f>
        <v>No</v>
      </c>
      <c r="I76" s="298" t="str">
        <f>VLOOKUP(B76,Folha2!$A$1:$E$229,4,FALSE)</f>
        <v>No</v>
      </c>
      <c r="J76" s="298" t="str">
        <f>VLOOKUP(B76,Folha2!$A$1:$E$229,5,FALSE)</f>
        <v>No</v>
      </c>
      <c r="K76">
        <f>VLOOKUP(B76,Folha5!$B$1:$C$272,2,)</f>
        <v>8</v>
      </c>
    </row>
    <row r="77" spans="1:11">
      <c r="A77">
        <v>1227</v>
      </c>
      <c r="B77" t="s">
        <v>4483</v>
      </c>
      <c r="C77" t="s">
        <v>6335</v>
      </c>
      <c r="D77">
        <v>1018</v>
      </c>
      <c r="E77" t="s">
        <v>5877</v>
      </c>
      <c r="F77">
        <v>380</v>
      </c>
      <c r="G77" t="s">
        <v>4474</v>
      </c>
      <c r="H77" s="298" t="str">
        <f>VLOOKUP(B77,Folha2!$A$1:$E$229,3,FALSE)</f>
        <v>Yes</v>
      </c>
      <c r="I77" s="298" t="str">
        <f>VLOOKUP(B77,Folha2!$A$1:$E$229,4,FALSE)</f>
        <v>Yes</v>
      </c>
      <c r="J77" s="298" t="str">
        <f>VLOOKUP(B77,Folha2!$A$1:$E$229,5,FALSE)</f>
        <v>Yes</v>
      </c>
      <c r="K77">
        <f>VLOOKUP(B77,Folha5!$B$1:$C$272,2,)</f>
        <v>48</v>
      </c>
    </row>
    <row r="78" spans="1:11">
      <c r="A78">
        <v>1259</v>
      </c>
      <c r="B78" t="s">
        <v>4477</v>
      </c>
      <c r="C78" t="s">
        <v>6335</v>
      </c>
      <c r="D78">
        <v>1018</v>
      </c>
      <c r="E78" t="s">
        <v>5877</v>
      </c>
      <c r="F78">
        <v>380</v>
      </c>
      <c r="G78" t="s">
        <v>4474</v>
      </c>
      <c r="H78" s="298" t="str">
        <f>VLOOKUP(B78,Folha2!$A$1:$E$229,3,FALSE)</f>
        <v>Yes</v>
      </c>
      <c r="I78" s="298" t="str">
        <f>VLOOKUP(B78,Folha2!$A$1:$E$229,4,FALSE)</f>
        <v>Yes</v>
      </c>
      <c r="J78" s="298" t="str">
        <f>VLOOKUP(B78,Folha2!$A$1:$E$229,5,FALSE)</f>
        <v>Yes</v>
      </c>
      <c r="K78">
        <f>VLOOKUP(B78,Folha5!$B$1:$C$272,2,)</f>
        <v>24</v>
      </c>
    </row>
    <row r="79" spans="1:11">
      <c r="A79">
        <v>1214</v>
      </c>
      <c r="B79" t="s">
        <v>4489</v>
      </c>
      <c r="C79" t="s">
        <v>6335</v>
      </c>
      <c r="D79">
        <v>1018</v>
      </c>
      <c r="E79" t="s">
        <v>5877</v>
      </c>
      <c r="F79">
        <v>380</v>
      </c>
      <c r="G79" t="s">
        <v>4474</v>
      </c>
      <c r="H79" s="298" t="e">
        <f>VLOOKUP(B79,Folha2!$A$1:$E$229,3,FALSE)</f>
        <v>#N/A</v>
      </c>
      <c r="I79" s="298" t="e">
        <f>VLOOKUP(B79,Folha2!$A$1:$E$229,4,FALSE)</f>
        <v>#N/A</v>
      </c>
      <c r="J79" s="298" t="e">
        <f>VLOOKUP(B79,Folha2!$A$1:$E$229,5,FALSE)</f>
        <v>#N/A</v>
      </c>
      <c r="K79" t="e">
        <f>VLOOKUP(B79,Folha5!$B$1:$C$272,2,)</f>
        <v>#N/A</v>
      </c>
    </row>
    <row r="80" spans="1:11">
      <c r="A80">
        <v>1375</v>
      </c>
      <c r="B80" t="s">
        <v>4498</v>
      </c>
      <c r="C80" t="s">
        <v>6335</v>
      </c>
      <c r="D80">
        <v>1018</v>
      </c>
      <c r="E80" t="s">
        <v>5877</v>
      </c>
      <c r="F80">
        <v>380</v>
      </c>
      <c r="G80" t="s">
        <v>4474</v>
      </c>
      <c r="H80" s="298" t="str">
        <f>VLOOKUP(B80,Folha2!$A$1:$E$229,3,FALSE)</f>
        <v>No</v>
      </c>
      <c r="I80" s="298" t="str">
        <f>VLOOKUP(B80,Folha2!$A$1:$E$229,4,FALSE)</f>
        <v>No</v>
      </c>
      <c r="J80" s="298" t="str">
        <f>VLOOKUP(B80,Folha2!$A$1:$E$229,5,FALSE)</f>
        <v>No</v>
      </c>
      <c r="K80">
        <f>VLOOKUP(B80,Folha5!$B$1:$C$272,2,)</f>
        <v>16</v>
      </c>
    </row>
    <row r="81" spans="1:11">
      <c r="A81">
        <v>1380</v>
      </c>
      <c r="B81" t="s">
        <v>4494</v>
      </c>
      <c r="C81" t="s">
        <v>6335</v>
      </c>
      <c r="D81">
        <v>1018</v>
      </c>
      <c r="E81" t="s">
        <v>5877</v>
      </c>
      <c r="F81">
        <v>380</v>
      </c>
      <c r="G81" t="s">
        <v>4474</v>
      </c>
      <c r="H81" s="298" t="e">
        <f>VLOOKUP(B81,Folha2!$A$1:$E$229,3,FALSE)</f>
        <v>#N/A</v>
      </c>
      <c r="I81" s="298" t="e">
        <f>VLOOKUP(B81,Folha2!$A$1:$E$229,4,FALSE)</f>
        <v>#N/A</v>
      </c>
      <c r="J81" s="298" t="e">
        <f>VLOOKUP(B81,Folha2!$A$1:$E$229,5,FALSE)</f>
        <v>#N/A</v>
      </c>
      <c r="K81">
        <f>VLOOKUP(B81,Folha5!$B$1:$C$272,2,)</f>
        <v>0</v>
      </c>
    </row>
    <row r="82" spans="1:11">
      <c r="A82">
        <v>1231</v>
      </c>
      <c r="B82" t="s">
        <v>4486</v>
      </c>
      <c r="C82" t="s">
        <v>6335</v>
      </c>
      <c r="D82">
        <v>1018</v>
      </c>
      <c r="E82" t="s">
        <v>5877</v>
      </c>
      <c r="F82">
        <v>380</v>
      </c>
      <c r="G82" t="s">
        <v>4474</v>
      </c>
      <c r="H82" s="298" t="str">
        <f>VLOOKUP(B82,Folha2!$A$1:$E$229,3,FALSE)</f>
        <v>Yes</v>
      </c>
      <c r="I82" s="298" t="str">
        <f>VLOOKUP(B82,Folha2!$A$1:$E$229,4,FALSE)</f>
        <v>Yes</v>
      </c>
      <c r="J82" s="298" t="str">
        <f>VLOOKUP(B82,Folha2!$A$1:$E$229,5,FALSE)</f>
        <v>Yes</v>
      </c>
      <c r="K82">
        <f>VLOOKUP(B82,Folha5!$B$1:$C$272,2,)</f>
        <v>32</v>
      </c>
    </row>
    <row r="83" spans="1:11">
      <c r="A83">
        <v>1370</v>
      </c>
      <c r="B83" t="s">
        <v>4501</v>
      </c>
      <c r="C83" t="s">
        <v>6335</v>
      </c>
      <c r="D83">
        <v>1018</v>
      </c>
      <c r="E83" t="s">
        <v>5877</v>
      </c>
      <c r="F83">
        <v>380</v>
      </c>
      <c r="G83" t="s">
        <v>4474</v>
      </c>
      <c r="H83" s="298" t="e">
        <f>VLOOKUP(B83,Folha2!$A$1:$E$229,3,FALSE)</f>
        <v>#N/A</v>
      </c>
      <c r="I83" s="298" t="e">
        <f>VLOOKUP(B83,Folha2!$A$1:$E$229,4,FALSE)</f>
        <v>#N/A</v>
      </c>
      <c r="J83" s="298" t="e">
        <f>VLOOKUP(B83,Folha2!$A$1:$E$229,5,FALSE)</f>
        <v>#N/A</v>
      </c>
      <c r="K83">
        <f>VLOOKUP(B83,Folha5!$B$1:$C$272,2,)</f>
        <v>0</v>
      </c>
    </row>
    <row r="84" spans="1:11">
      <c r="A84">
        <v>110</v>
      </c>
      <c r="B84" t="s">
        <v>4436</v>
      </c>
      <c r="C84" t="s">
        <v>6335</v>
      </c>
      <c r="D84">
        <v>1019</v>
      </c>
      <c r="E84" t="s">
        <v>6246</v>
      </c>
      <c r="F84">
        <v>381</v>
      </c>
      <c r="G84" t="s">
        <v>4377</v>
      </c>
      <c r="H84" s="298" t="str">
        <f>VLOOKUP(B84,Folha2!$A$1:$E$229,3,FALSE)</f>
        <v>Yes</v>
      </c>
      <c r="I84" s="298" t="str">
        <f>VLOOKUP(B84,Folha2!$A$1:$E$229,4,FALSE)</f>
        <v>Yes</v>
      </c>
      <c r="J84" s="298" t="str">
        <f>VLOOKUP(B84,Folha2!$A$1:$E$229,5,FALSE)</f>
        <v>Yes</v>
      </c>
      <c r="K84">
        <f>VLOOKUP(B84,Folha5!$B$1:$C$272,2,)</f>
        <v>4</v>
      </c>
    </row>
    <row r="85" spans="1:11">
      <c r="A85">
        <v>1278</v>
      </c>
      <c r="B85" t="s">
        <v>3756</v>
      </c>
      <c r="C85" t="s">
        <v>6335</v>
      </c>
      <c r="D85">
        <v>1014</v>
      </c>
      <c r="E85" t="s">
        <v>6247</v>
      </c>
      <c r="F85">
        <v>582</v>
      </c>
      <c r="G85" t="s">
        <v>3753</v>
      </c>
      <c r="H85" s="298" t="str">
        <f>VLOOKUP(B85,Folha2!$A$1:$E$229,3,FALSE)</f>
        <v>No</v>
      </c>
      <c r="I85" s="298" t="str">
        <f>VLOOKUP(B85,Folha2!$A$1:$E$229,4,FALSE)</f>
        <v>No</v>
      </c>
      <c r="J85" s="298" t="str">
        <f>VLOOKUP(B85,Folha2!$A$1:$E$229,5,FALSE)</f>
        <v>No</v>
      </c>
      <c r="K85">
        <f>VLOOKUP(B85,Folha5!$B$1:$C$272,2,)</f>
        <v>16</v>
      </c>
    </row>
    <row r="86" spans="1:11">
      <c r="A86">
        <v>1387</v>
      </c>
      <c r="B86" t="s">
        <v>3752</v>
      </c>
      <c r="C86" t="s">
        <v>6335</v>
      </c>
      <c r="D86">
        <v>1032</v>
      </c>
      <c r="E86" t="s">
        <v>5878</v>
      </c>
      <c r="F86">
        <v>583</v>
      </c>
      <c r="G86" t="s">
        <v>3746</v>
      </c>
      <c r="H86" s="298" t="e">
        <f>VLOOKUP(B86,Folha2!$A$1:$E$229,3,FALSE)</f>
        <v>#N/A</v>
      </c>
      <c r="I86" s="298" t="e">
        <f>VLOOKUP(B86,Folha2!$A$1:$E$229,4,FALSE)</f>
        <v>#N/A</v>
      </c>
      <c r="J86" s="298" t="e">
        <f>VLOOKUP(B86,Folha2!$A$1:$E$229,5,FALSE)</f>
        <v>#N/A</v>
      </c>
      <c r="K86">
        <f>VLOOKUP(B86,Folha5!$B$1:$C$272,2,)</f>
        <v>12</v>
      </c>
    </row>
    <row r="87" spans="1:11">
      <c r="A87">
        <v>1279</v>
      </c>
      <c r="B87" t="s">
        <v>3749</v>
      </c>
      <c r="C87" t="s">
        <v>6335</v>
      </c>
      <c r="D87">
        <v>1232</v>
      </c>
      <c r="E87" t="s">
        <v>6248</v>
      </c>
      <c r="F87">
        <v>583</v>
      </c>
      <c r="G87" t="s">
        <v>3746</v>
      </c>
      <c r="H87" s="298" t="e">
        <f>VLOOKUP(B87,Folha2!$A$1:$E$229,3,FALSE)</f>
        <v>#N/A</v>
      </c>
      <c r="I87" s="298" t="e">
        <f>VLOOKUP(B87,Folha2!$A$1:$E$229,4,FALSE)</f>
        <v>#N/A</v>
      </c>
      <c r="J87" s="298" t="e">
        <f>VLOOKUP(B87,Folha2!$A$1:$E$229,5,FALSE)</f>
        <v>#N/A</v>
      </c>
      <c r="K87">
        <f>VLOOKUP(B87,Folha5!$B$1:$C$272,2,)</f>
        <v>16</v>
      </c>
    </row>
    <row r="88" spans="1:11">
      <c r="A88">
        <v>1328</v>
      </c>
      <c r="B88" t="s">
        <v>3516</v>
      </c>
      <c r="C88" t="s">
        <v>6335</v>
      </c>
      <c r="D88">
        <v>1020</v>
      </c>
      <c r="E88" t="s">
        <v>5885</v>
      </c>
      <c r="F88">
        <v>685</v>
      </c>
      <c r="G88" t="s">
        <v>442</v>
      </c>
      <c r="H88" s="298" t="e">
        <f>VLOOKUP(B88,Folha2!$A$1:$E$229,3,FALSE)</f>
        <v>#N/A</v>
      </c>
      <c r="I88" s="298" t="e">
        <f>VLOOKUP(B88,Folha2!$A$1:$E$229,4,FALSE)</f>
        <v>#N/A</v>
      </c>
      <c r="J88" s="298" t="e">
        <f>VLOOKUP(B88,Folha2!$A$1:$E$229,5,FALSE)</f>
        <v>#N/A</v>
      </c>
      <c r="K88" t="e">
        <f>VLOOKUP(B88,Folha5!$B$1:$C$272,2,)</f>
        <v>#N/A</v>
      </c>
    </row>
    <row r="89" spans="1:11">
      <c r="A89">
        <v>1203</v>
      </c>
      <c r="B89" t="s">
        <v>3875</v>
      </c>
      <c r="C89" t="s">
        <v>6335</v>
      </c>
      <c r="D89">
        <v>1032</v>
      </c>
      <c r="E89" t="s">
        <v>5878</v>
      </c>
      <c r="F89">
        <v>690</v>
      </c>
      <c r="G89" t="s">
        <v>3854</v>
      </c>
      <c r="H89" s="298" t="str">
        <f>VLOOKUP(B89,Folha2!$A$1:$E$229,3,FALSE)</f>
        <v>Yes</v>
      </c>
      <c r="I89" s="298" t="str">
        <f>VLOOKUP(B89,Folha2!$A$1:$E$229,4,FALSE)</f>
        <v>Yes</v>
      </c>
      <c r="J89" s="298" t="str">
        <f>VLOOKUP(B89,Folha2!$A$1:$E$229,5,FALSE)</f>
        <v>Yes</v>
      </c>
      <c r="K89">
        <f>VLOOKUP(B89,Folha5!$B$1:$C$272,2,)</f>
        <v>40</v>
      </c>
    </row>
    <row r="90" spans="1:11">
      <c r="A90">
        <v>1346</v>
      </c>
      <c r="B90" t="s">
        <v>3899</v>
      </c>
      <c r="C90" t="s">
        <v>6336</v>
      </c>
      <c r="D90">
        <v>1032</v>
      </c>
      <c r="E90" t="s">
        <v>5878</v>
      </c>
      <c r="F90">
        <v>690</v>
      </c>
      <c r="G90" t="s">
        <v>3854</v>
      </c>
      <c r="H90" s="298" t="e">
        <f>VLOOKUP(B90,Folha2!$A$1:$E$229,3,FALSE)</f>
        <v>#N/A</v>
      </c>
      <c r="I90" s="298" t="e">
        <f>VLOOKUP(B90,Folha2!$A$1:$E$229,4,FALSE)</f>
        <v>#N/A</v>
      </c>
      <c r="J90" s="298" t="e">
        <f>VLOOKUP(B90,Folha2!$A$1:$E$229,5,FALSE)</f>
        <v>#N/A</v>
      </c>
      <c r="K90">
        <f>VLOOKUP(B90,Folha5!$B$1:$C$272,2,)</f>
        <v>0</v>
      </c>
    </row>
    <row r="91" spans="1:11">
      <c r="A91">
        <v>1363</v>
      </c>
      <c r="B91" t="s">
        <v>3885</v>
      </c>
      <c r="C91" t="s">
        <v>6335</v>
      </c>
      <c r="D91">
        <v>1032</v>
      </c>
      <c r="E91" t="s">
        <v>5878</v>
      </c>
      <c r="F91">
        <v>690</v>
      </c>
      <c r="G91" t="s">
        <v>3854</v>
      </c>
      <c r="H91" s="298" t="str">
        <f>VLOOKUP(B91,Folha2!$A$1:$E$229,3,FALSE)</f>
        <v>No</v>
      </c>
      <c r="I91" s="298" t="str">
        <f>VLOOKUP(B91,Folha2!$A$1:$E$229,4,FALSE)</f>
        <v>No</v>
      </c>
      <c r="J91" s="298" t="str">
        <f>VLOOKUP(B91,Folha2!$A$1:$E$229,5,FALSE)</f>
        <v>No</v>
      </c>
      <c r="K91">
        <f>VLOOKUP(B91,Folha5!$B$1:$C$272,2,)</f>
        <v>8</v>
      </c>
    </row>
    <row r="92" spans="1:11">
      <c r="A92">
        <v>1336</v>
      </c>
      <c r="B92" t="s">
        <v>3860</v>
      </c>
      <c r="C92" t="s">
        <v>6336</v>
      </c>
      <c r="D92">
        <v>1032</v>
      </c>
      <c r="E92" t="s">
        <v>5878</v>
      </c>
      <c r="F92">
        <v>690</v>
      </c>
      <c r="G92" t="s">
        <v>3854</v>
      </c>
      <c r="H92" s="298" t="e">
        <f>VLOOKUP(B92,Folha2!$A$1:$E$229,3,FALSE)</f>
        <v>#N/A</v>
      </c>
      <c r="I92" s="298" t="e">
        <f>VLOOKUP(B92,Folha2!$A$1:$E$229,4,FALSE)</f>
        <v>#N/A</v>
      </c>
      <c r="J92" s="298" t="e">
        <f>VLOOKUP(B92,Folha2!$A$1:$E$229,5,FALSE)</f>
        <v>#N/A</v>
      </c>
      <c r="K92">
        <f>VLOOKUP(B92,Folha5!$B$1:$C$272,2,)</f>
        <v>0</v>
      </c>
    </row>
    <row r="93" spans="1:11">
      <c r="A93">
        <v>1321</v>
      </c>
      <c r="B93" t="s">
        <v>3891</v>
      </c>
      <c r="C93" t="s">
        <v>6335</v>
      </c>
      <c r="D93">
        <v>721</v>
      </c>
      <c r="E93" t="s">
        <v>5879</v>
      </c>
      <c r="F93">
        <v>690</v>
      </c>
      <c r="G93" t="s">
        <v>3854</v>
      </c>
      <c r="H93" s="298" t="str">
        <f>VLOOKUP(B93,Folha2!$A$1:$E$229,3,FALSE)</f>
        <v>Yes</v>
      </c>
      <c r="I93" s="298" t="str">
        <f>VLOOKUP(B93,Folha2!$A$1:$E$229,4,FALSE)</f>
        <v>Yes</v>
      </c>
      <c r="J93" s="298" t="str">
        <f>VLOOKUP(B93,Folha2!$A$1:$E$229,5,FALSE)</f>
        <v>Yes</v>
      </c>
      <c r="K93">
        <f>VLOOKUP(B93,Folha5!$B$1:$C$272,2,)</f>
        <v>32</v>
      </c>
    </row>
    <row r="94" spans="1:11">
      <c r="A94">
        <v>1341</v>
      </c>
      <c r="B94" t="s">
        <v>3894</v>
      </c>
      <c r="C94" t="s">
        <v>6335</v>
      </c>
      <c r="D94">
        <v>1032</v>
      </c>
      <c r="E94" t="s">
        <v>5878</v>
      </c>
      <c r="F94">
        <v>690</v>
      </c>
      <c r="G94" t="s">
        <v>3854</v>
      </c>
      <c r="H94" s="298" t="str">
        <f>VLOOKUP(B94,Folha2!$A$1:$E$229,3,FALSE)</f>
        <v>No</v>
      </c>
      <c r="I94" s="298" t="str">
        <f>VLOOKUP(B94,Folha2!$A$1:$E$229,4,FALSE)</f>
        <v>No</v>
      </c>
      <c r="J94" s="298" t="str">
        <f>VLOOKUP(B94,Folha2!$A$1:$E$229,5,FALSE)</f>
        <v>No</v>
      </c>
      <c r="K94">
        <f>VLOOKUP(B94,Folha5!$B$1:$C$272,2,)</f>
        <v>4</v>
      </c>
    </row>
    <row r="95" spans="1:11">
      <c r="A95">
        <v>1323</v>
      </c>
      <c r="B95" t="s">
        <v>3863</v>
      </c>
      <c r="C95" t="s">
        <v>6335</v>
      </c>
      <c r="D95">
        <v>1312</v>
      </c>
      <c r="E95" t="s">
        <v>5873</v>
      </c>
      <c r="F95">
        <v>690</v>
      </c>
      <c r="G95" t="s">
        <v>3854</v>
      </c>
      <c r="H95" s="298" t="e">
        <f>VLOOKUP(B95,Folha2!$A$1:$E$229,3,FALSE)</f>
        <v>#N/A</v>
      </c>
      <c r="I95" s="298" t="e">
        <f>VLOOKUP(B95,Folha2!$A$1:$E$229,4,FALSE)</f>
        <v>#N/A</v>
      </c>
      <c r="J95" s="298" t="e">
        <f>VLOOKUP(B95,Folha2!$A$1:$E$229,5,FALSE)</f>
        <v>#N/A</v>
      </c>
      <c r="K95">
        <f>VLOOKUP(B95,Folha5!$B$1:$C$272,2,)</f>
        <v>16</v>
      </c>
    </row>
    <row r="96" spans="1:11">
      <c r="A96">
        <v>1212</v>
      </c>
      <c r="B96" t="s">
        <v>3879</v>
      </c>
      <c r="C96" t="s">
        <v>6335</v>
      </c>
      <c r="D96">
        <v>1032</v>
      </c>
      <c r="E96" t="s">
        <v>5878</v>
      </c>
      <c r="F96">
        <v>690</v>
      </c>
      <c r="G96" t="s">
        <v>3854</v>
      </c>
      <c r="H96" s="298" t="str">
        <f>VLOOKUP(B96,Folha2!$A$1:$E$229,3,FALSE)</f>
        <v>Yes</v>
      </c>
      <c r="I96" s="298" t="str">
        <f>VLOOKUP(B96,Folha2!$A$1:$E$229,4,FALSE)</f>
        <v>Yes</v>
      </c>
      <c r="J96" s="298" t="str">
        <f>VLOOKUP(B96,Folha2!$A$1:$E$229,5,FALSE)</f>
        <v>Yes</v>
      </c>
      <c r="K96">
        <f>VLOOKUP(B96,Folha5!$B$1:$C$272,2,)</f>
        <v>16</v>
      </c>
    </row>
    <row r="97" spans="1:11">
      <c r="A97">
        <v>1222</v>
      </c>
      <c r="B97" t="s">
        <v>3871</v>
      </c>
      <c r="C97" t="s">
        <v>6336</v>
      </c>
      <c r="D97">
        <v>1032</v>
      </c>
      <c r="E97" t="s">
        <v>5878</v>
      </c>
      <c r="F97">
        <v>690</v>
      </c>
      <c r="G97" t="s">
        <v>3854</v>
      </c>
      <c r="H97" s="298" t="e">
        <f>VLOOKUP(B97,Folha2!$A$1:$E$229,3,FALSE)</f>
        <v>#N/A</v>
      </c>
      <c r="I97" s="298" t="e">
        <f>VLOOKUP(B97,Folha2!$A$1:$E$229,4,FALSE)</f>
        <v>#N/A</v>
      </c>
      <c r="J97" s="298" t="e">
        <f>VLOOKUP(B97,Folha2!$A$1:$E$229,5,FALSE)</f>
        <v>#N/A</v>
      </c>
      <c r="K97">
        <f>VLOOKUP(B97,Folha5!$B$1:$C$272,2,)</f>
        <v>0</v>
      </c>
    </row>
    <row r="98" spans="1:11">
      <c r="A98">
        <v>1230</v>
      </c>
      <c r="B98" t="s">
        <v>3868</v>
      </c>
      <c r="C98" t="s">
        <v>6335</v>
      </c>
      <c r="D98">
        <v>1032</v>
      </c>
      <c r="E98" t="s">
        <v>5878</v>
      </c>
      <c r="F98">
        <v>690</v>
      </c>
      <c r="G98" t="s">
        <v>3854</v>
      </c>
      <c r="H98" s="298" t="str">
        <f>VLOOKUP(B98,Folha2!$A$1:$E$229,3,FALSE)</f>
        <v>Yes</v>
      </c>
      <c r="I98" s="298" t="str">
        <f>VLOOKUP(B98,Folha2!$A$1:$E$229,4,FALSE)</f>
        <v>Yes</v>
      </c>
      <c r="J98" s="298" t="str">
        <f>VLOOKUP(B98,Folha2!$A$1:$E$229,5,FALSE)</f>
        <v>Yes</v>
      </c>
      <c r="K98">
        <f>VLOOKUP(B98,Folha5!$B$1:$C$272,2,)</f>
        <v>16</v>
      </c>
    </row>
    <row r="99" spans="1:11">
      <c r="A99">
        <v>1211</v>
      </c>
      <c r="B99" t="s">
        <v>3874</v>
      </c>
      <c r="C99" t="s">
        <v>6335</v>
      </c>
      <c r="D99">
        <v>1032</v>
      </c>
      <c r="E99" t="s">
        <v>5878</v>
      </c>
      <c r="F99">
        <v>690</v>
      </c>
      <c r="G99" t="s">
        <v>3854</v>
      </c>
      <c r="H99" s="298" t="str">
        <f>VLOOKUP(B99,Folha2!$A$1:$E$229,3,FALSE)</f>
        <v>Yes</v>
      </c>
      <c r="I99" s="298" t="str">
        <f>VLOOKUP(B99,Folha2!$A$1:$E$229,4,FALSE)</f>
        <v>Yes</v>
      </c>
      <c r="J99" s="298" t="str">
        <f>VLOOKUP(B99,Folha2!$A$1:$E$229,5,FALSE)</f>
        <v>Yes</v>
      </c>
      <c r="K99">
        <f>VLOOKUP(B99,Folha5!$B$1:$C$272,2,)</f>
        <v>32</v>
      </c>
    </row>
    <row r="100" spans="1:11">
      <c r="A100">
        <v>1210</v>
      </c>
      <c r="B100" t="s">
        <v>3857</v>
      </c>
      <c r="C100" t="s">
        <v>6335</v>
      </c>
      <c r="D100">
        <v>1032</v>
      </c>
      <c r="E100" t="s">
        <v>5878</v>
      </c>
      <c r="F100">
        <v>690</v>
      </c>
      <c r="G100" t="s">
        <v>3854</v>
      </c>
      <c r="H100" s="298" t="str">
        <f>VLOOKUP(B100,Folha2!$A$1:$E$229,3,FALSE)</f>
        <v>No</v>
      </c>
      <c r="I100" s="298" t="str">
        <f>VLOOKUP(B100,Folha2!$A$1:$E$229,4,FALSE)</f>
        <v>No</v>
      </c>
      <c r="J100" s="298" t="str">
        <f>VLOOKUP(B100,Folha2!$A$1:$E$229,5,FALSE)</f>
        <v>No</v>
      </c>
      <c r="K100">
        <f>VLOOKUP(B100,Folha5!$B$1:$C$272,2,)</f>
        <v>2</v>
      </c>
    </row>
    <row r="101" spans="1:11">
      <c r="A101">
        <v>1243</v>
      </c>
      <c r="B101" t="s">
        <v>3864</v>
      </c>
      <c r="C101" t="s">
        <v>6335</v>
      </c>
      <c r="D101">
        <v>721</v>
      </c>
      <c r="E101" t="s">
        <v>5879</v>
      </c>
      <c r="F101">
        <v>690</v>
      </c>
      <c r="G101" t="s">
        <v>3854</v>
      </c>
      <c r="H101" s="298" t="e">
        <f>VLOOKUP(B101,Folha2!$A$1:$E$229,3,FALSE)</f>
        <v>#N/A</v>
      </c>
      <c r="I101" s="298" t="e">
        <f>VLOOKUP(B101,Folha2!$A$1:$E$229,4,FALSE)</f>
        <v>#N/A</v>
      </c>
      <c r="J101" s="298" t="e">
        <f>VLOOKUP(B101,Folha2!$A$1:$E$229,5,FALSE)</f>
        <v>#N/A</v>
      </c>
      <c r="K101">
        <f>VLOOKUP(B101,Folha5!$B$1:$C$272,2,)</f>
        <v>0</v>
      </c>
    </row>
    <row r="102" spans="1:11">
      <c r="A102">
        <v>1360</v>
      </c>
      <c r="B102" t="s">
        <v>3888</v>
      </c>
      <c r="C102" t="s">
        <v>6336</v>
      </c>
      <c r="D102">
        <v>1032</v>
      </c>
      <c r="E102" t="s">
        <v>5878</v>
      </c>
      <c r="F102">
        <v>690</v>
      </c>
      <c r="G102" t="s">
        <v>3854</v>
      </c>
      <c r="H102" s="298" t="e">
        <f>VLOOKUP(B102,Folha2!$A$1:$E$229,3,FALSE)</f>
        <v>#N/A</v>
      </c>
      <c r="I102" s="298" t="e">
        <f>VLOOKUP(B102,Folha2!$A$1:$E$229,4,FALSE)</f>
        <v>#N/A</v>
      </c>
      <c r="J102" s="298" t="e">
        <f>VLOOKUP(B102,Folha2!$A$1:$E$229,5,FALSE)</f>
        <v>#N/A</v>
      </c>
      <c r="K102">
        <f>VLOOKUP(B102,Folha5!$B$1:$C$272,2,)</f>
        <v>0</v>
      </c>
    </row>
    <row r="103" spans="1:11">
      <c r="A103">
        <v>1261</v>
      </c>
      <c r="B103" t="s">
        <v>3896</v>
      </c>
      <c r="C103" t="s">
        <v>6335</v>
      </c>
      <c r="D103">
        <v>1232</v>
      </c>
      <c r="E103" t="s">
        <v>6248</v>
      </c>
      <c r="F103">
        <v>690</v>
      </c>
      <c r="G103" t="s">
        <v>3854</v>
      </c>
      <c r="H103" s="298" t="e">
        <f>VLOOKUP(B103,Folha2!$A$1:$E$229,3,FALSE)</f>
        <v>#N/A</v>
      </c>
      <c r="I103" s="298" t="e">
        <f>VLOOKUP(B103,Folha2!$A$1:$E$229,4,FALSE)</f>
        <v>#N/A</v>
      </c>
      <c r="J103" s="298" t="e">
        <f>VLOOKUP(B103,Folha2!$A$1:$E$229,5,FALSE)</f>
        <v>#N/A</v>
      </c>
      <c r="K103">
        <f>VLOOKUP(B103,Folha5!$B$1:$C$272,2,)</f>
        <v>8</v>
      </c>
    </row>
    <row r="104" spans="1:11">
      <c r="A104">
        <v>1337</v>
      </c>
      <c r="B104" t="s">
        <v>3853</v>
      </c>
      <c r="C104" t="s">
        <v>6335</v>
      </c>
      <c r="D104">
        <v>1016</v>
      </c>
      <c r="E104" t="s">
        <v>5875</v>
      </c>
      <c r="F104">
        <v>691</v>
      </c>
      <c r="G104" t="s">
        <v>3799</v>
      </c>
      <c r="H104" s="298" t="str">
        <f>VLOOKUP(B104,Folha2!$A$1:$E$229,3,FALSE)</f>
        <v>Yes</v>
      </c>
      <c r="I104" s="298" t="str">
        <f>VLOOKUP(B104,Folha2!$A$1:$E$229,4,FALSE)</f>
        <v>Yes</v>
      </c>
      <c r="J104" s="298" t="str">
        <f>VLOOKUP(B104,Folha2!$A$1:$E$229,5,FALSE)</f>
        <v>Yes</v>
      </c>
      <c r="K104">
        <f>VLOOKUP(B104,Folha5!$B$1:$C$272,2,)</f>
        <v>24</v>
      </c>
    </row>
    <row r="105" spans="1:11">
      <c r="A105">
        <v>1204</v>
      </c>
      <c r="B105" t="s">
        <v>3820</v>
      </c>
      <c r="C105" t="s">
        <v>6335</v>
      </c>
      <c r="D105">
        <v>1016</v>
      </c>
      <c r="E105" t="s">
        <v>5875</v>
      </c>
      <c r="F105">
        <v>691</v>
      </c>
      <c r="G105" t="s">
        <v>3799</v>
      </c>
      <c r="H105" s="298" t="str">
        <f>VLOOKUP(B105,Folha2!$A$1:$E$229,3,FALSE)</f>
        <v>Yes</v>
      </c>
      <c r="I105" s="298" t="str">
        <f>VLOOKUP(B105,Folha2!$A$1:$E$229,4,FALSE)</f>
        <v>Yes</v>
      </c>
      <c r="J105" s="298" t="str">
        <f>VLOOKUP(B105,Folha2!$A$1:$E$229,5,FALSE)</f>
        <v>Yes</v>
      </c>
      <c r="K105">
        <f>VLOOKUP(B105,Folha5!$B$1:$C$272,2,)</f>
        <v>40</v>
      </c>
    </row>
    <row r="106" spans="1:11">
      <c r="A106">
        <v>1213</v>
      </c>
      <c r="B106" t="s">
        <v>3814</v>
      </c>
      <c r="C106" t="s">
        <v>6335</v>
      </c>
      <c r="D106">
        <v>1016</v>
      </c>
      <c r="E106" t="s">
        <v>5875</v>
      </c>
      <c r="F106">
        <v>691</v>
      </c>
      <c r="G106" t="s">
        <v>3799</v>
      </c>
      <c r="H106" s="298" t="str">
        <f>VLOOKUP(B106,Folha2!$A$1:$E$229,3,FALSE)</f>
        <v>No</v>
      </c>
      <c r="I106" s="298" t="str">
        <f>VLOOKUP(B106,Folha2!$A$1:$E$229,4,FALSE)</f>
        <v>No</v>
      </c>
      <c r="J106" s="298" t="str">
        <f>VLOOKUP(B106,Folha2!$A$1:$E$229,5,FALSE)</f>
        <v>No</v>
      </c>
      <c r="K106">
        <f>VLOOKUP(B106,Folha5!$B$1:$C$272,2,)</f>
        <v>4</v>
      </c>
    </row>
    <row r="107" spans="1:11">
      <c r="A107">
        <v>1291</v>
      </c>
      <c r="B107" t="s">
        <v>3844</v>
      </c>
      <c r="C107" t="s">
        <v>6335</v>
      </c>
      <c r="D107">
        <v>1016</v>
      </c>
      <c r="E107" t="s">
        <v>5875</v>
      </c>
      <c r="F107">
        <v>691</v>
      </c>
      <c r="G107" t="s">
        <v>3799</v>
      </c>
      <c r="H107" s="298" t="str">
        <f>VLOOKUP(B107,Folha2!$A$1:$E$229,3,FALSE)</f>
        <v>Yes</v>
      </c>
      <c r="I107" s="298" t="str">
        <f>VLOOKUP(B107,Folha2!$A$1:$E$229,4,FALSE)</f>
        <v>Yes</v>
      </c>
      <c r="J107" s="298" t="str">
        <f>VLOOKUP(B107,Folha2!$A$1:$E$229,5,FALSE)</f>
        <v>Yes</v>
      </c>
      <c r="K107">
        <f>VLOOKUP(B107,Folha5!$B$1:$C$272,2,)</f>
        <v>40</v>
      </c>
    </row>
    <row r="108" spans="1:11">
      <c r="A108">
        <v>1374</v>
      </c>
      <c r="B108" t="s">
        <v>3826</v>
      </c>
      <c r="C108" t="s">
        <v>6335</v>
      </c>
      <c r="D108">
        <v>1016</v>
      </c>
      <c r="E108" t="s">
        <v>5875</v>
      </c>
      <c r="F108">
        <v>691</v>
      </c>
      <c r="G108" t="s">
        <v>3799</v>
      </c>
      <c r="H108" s="298" t="str">
        <f>VLOOKUP(B108,Folha2!$A$1:$E$229,3,FALSE)</f>
        <v>No</v>
      </c>
      <c r="I108" s="298" t="str">
        <f>VLOOKUP(B108,Folha2!$A$1:$E$229,4,FALSE)</f>
        <v>No</v>
      </c>
      <c r="J108" s="298" t="str">
        <f>VLOOKUP(B108,Folha2!$A$1:$E$229,5,FALSE)</f>
        <v>No</v>
      </c>
      <c r="K108">
        <f>VLOOKUP(B108,Folha5!$B$1:$C$272,2,)</f>
        <v>4</v>
      </c>
    </row>
    <row r="109" spans="1:11">
      <c r="A109">
        <v>1385</v>
      </c>
      <c r="B109" t="s">
        <v>3823</v>
      </c>
      <c r="C109" t="s">
        <v>6335</v>
      </c>
      <c r="D109">
        <v>1016</v>
      </c>
      <c r="E109" t="s">
        <v>5875</v>
      </c>
      <c r="F109">
        <v>691</v>
      </c>
      <c r="G109" t="s">
        <v>3799</v>
      </c>
      <c r="H109" s="298" t="str">
        <f>VLOOKUP(B109,Folha2!$A$1:$E$229,3,FALSE)</f>
        <v>No</v>
      </c>
      <c r="I109" s="298" t="str">
        <f>VLOOKUP(B109,Folha2!$A$1:$E$229,4,FALSE)</f>
        <v>No</v>
      </c>
      <c r="J109" s="298" t="str">
        <f>VLOOKUP(B109,Folha2!$A$1:$E$229,5,FALSE)</f>
        <v>No</v>
      </c>
      <c r="K109">
        <f>VLOOKUP(B109,Folha5!$B$1:$C$272,2,)</f>
        <v>8</v>
      </c>
    </row>
    <row r="110" spans="1:11">
      <c r="A110">
        <v>1362</v>
      </c>
      <c r="B110" t="s">
        <v>3832</v>
      </c>
      <c r="C110" t="s">
        <v>6335</v>
      </c>
      <c r="D110">
        <v>1016</v>
      </c>
      <c r="E110" t="s">
        <v>5875</v>
      </c>
      <c r="F110">
        <v>691</v>
      </c>
      <c r="G110" t="s">
        <v>3799</v>
      </c>
      <c r="H110" s="298" t="str">
        <f>VLOOKUP(B110,Folha2!$A$1:$E$229,3,FALSE)</f>
        <v>No</v>
      </c>
      <c r="I110" s="298" t="str">
        <f>VLOOKUP(B110,Folha2!$A$1:$E$229,4,FALSE)</f>
        <v>No</v>
      </c>
      <c r="J110" s="298" t="str">
        <f>VLOOKUP(B110,Folha2!$A$1:$E$229,5,FALSE)</f>
        <v>No</v>
      </c>
      <c r="K110">
        <f>VLOOKUP(B110,Folha5!$B$1:$C$272,2,)</f>
        <v>4</v>
      </c>
    </row>
    <row r="111" spans="1:11">
      <c r="A111">
        <v>1371</v>
      </c>
      <c r="B111" t="s">
        <v>3829</v>
      </c>
      <c r="C111" t="s">
        <v>6335</v>
      </c>
      <c r="D111">
        <v>1016</v>
      </c>
      <c r="E111" t="s">
        <v>5875</v>
      </c>
      <c r="F111">
        <v>691</v>
      </c>
      <c r="G111" t="s">
        <v>3799</v>
      </c>
      <c r="H111" s="298" t="str">
        <f>VLOOKUP(B111,Folha2!$A$1:$E$229,3,FALSE)</f>
        <v>No</v>
      </c>
      <c r="I111" s="298" t="str">
        <f>VLOOKUP(B111,Folha2!$A$1:$E$229,4,FALSE)</f>
        <v>No</v>
      </c>
      <c r="J111" s="298" t="str">
        <f>VLOOKUP(B111,Folha2!$A$1:$E$229,5,FALSE)</f>
        <v>No</v>
      </c>
      <c r="K111">
        <f>VLOOKUP(B111,Folha5!$B$1:$C$272,2,)</f>
        <v>4</v>
      </c>
    </row>
    <row r="112" spans="1:11">
      <c r="A112">
        <v>1240</v>
      </c>
      <c r="B112" t="s">
        <v>3811</v>
      </c>
      <c r="C112" t="s">
        <v>6335</v>
      </c>
      <c r="D112">
        <v>1016</v>
      </c>
      <c r="E112" t="s">
        <v>5875</v>
      </c>
      <c r="F112">
        <v>691</v>
      </c>
      <c r="G112" t="s">
        <v>3799</v>
      </c>
      <c r="H112" s="298" t="str">
        <f>VLOOKUP(B112,Folha2!$A$1:$E$229,3,FALSE)</f>
        <v>No</v>
      </c>
      <c r="I112" s="298" t="str">
        <f>VLOOKUP(B112,Folha2!$A$1:$E$229,4,FALSE)</f>
        <v>No</v>
      </c>
      <c r="J112" s="298" t="str">
        <f>VLOOKUP(B112,Folha2!$A$1:$E$229,5,FALSE)</f>
        <v>No</v>
      </c>
      <c r="K112">
        <f>VLOOKUP(B112,Folha5!$B$1:$C$272,2,)</f>
        <v>4</v>
      </c>
    </row>
    <row r="113" spans="1:11">
      <c r="A113">
        <v>1271</v>
      </c>
      <c r="B113" t="s">
        <v>3847</v>
      </c>
      <c r="C113" t="s">
        <v>6335</v>
      </c>
      <c r="D113">
        <v>1016</v>
      </c>
      <c r="E113" t="s">
        <v>5875</v>
      </c>
      <c r="F113">
        <v>691</v>
      </c>
      <c r="G113" t="s">
        <v>3799</v>
      </c>
      <c r="H113" s="298" t="str">
        <f>VLOOKUP(B113,Folha2!$A$1:$E$229,3,FALSE)</f>
        <v>Yes</v>
      </c>
      <c r="I113" s="298" t="str">
        <f>VLOOKUP(B113,Folha2!$A$1:$E$229,4,FALSE)</f>
        <v>Yes</v>
      </c>
      <c r="J113" s="298" t="str">
        <f>VLOOKUP(B113,Folha2!$A$1:$E$229,5,FALSE)</f>
        <v>Yes</v>
      </c>
      <c r="K113">
        <f>VLOOKUP(B113,Folha5!$B$1:$C$272,2,)</f>
        <v>40</v>
      </c>
    </row>
    <row r="114" spans="1:11">
      <c r="A114">
        <v>1270</v>
      </c>
      <c r="B114" t="s">
        <v>3802</v>
      </c>
      <c r="C114" t="s">
        <v>6335</v>
      </c>
      <c r="D114">
        <v>1016</v>
      </c>
      <c r="E114" t="s">
        <v>5875</v>
      </c>
      <c r="F114">
        <v>691</v>
      </c>
      <c r="G114" t="s">
        <v>3799</v>
      </c>
      <c r="H114" s="298" t="str">
        <f>VLOOKUP(B114,Folha2!$A$1:$E$229,3,FALSE)</f>
        <v>Yes</v>
      </c>
      <c r="I114" s="298" t="str">
        <f>VLOOKUP(B114,Folha2!$A$1:$E$229,4,FALSE)</f>
        <v>Yes</v>
      </c>
      <c r="J114" s="298" t="str">
        <f>VLOOKUP(B114,Folha2!$A$1:$E$229,5,FALSE)</f>
        <v>Yes</v>
      </c>
      <c r="K114">
        <f>VLOOKUP(B114,Folha5!$B$1:$C$272,2,)</f>
        <v>24</v>
      </c>
    </row>
    <row r="115" spans="1:11">
      <c r="A115">
        <v>1352</v>
      </c>
      <c r="B115" t="s">
        <v>3850</v>
      </c>
      <c r="C115" t="s">
        <v>6335</v>
      </c>
      <c r="D115">
        <v>1016</v>
      </c>
      <c r="E115" t="s">
        <v>5875</v>
      </c>
      <c r="F115">
        <v>691</v>
      </c>
      <c r="G115" t="s">
        <v>3799</v>
      </c>
      <c r="H115" s="298" t="str">
        <f>VLOOKUP(B115,Folha2!$A$1:$E$229,3,FALSE)</f>
        <v>No</v>
      </c>
      <c r="I115" s="298" t="str">
        <f>VLOOKUP(B115,Folha2!$A$1:$E$229,4,FALSE)</f>
        <v>No</v>
      </c>
      <c r="J115" s="298" t="str">
        <f>VLOOKUP(B115,Folha2!$A$1:$E$229,5,FALSE)</f>
        <v>No</v>
      </c>
      <c r="K115">
        <f>VLOOKUP(B115,Folha5!$B$1:$C$272,2,)</f>
        <v>4</v>
      </c>
    </row>
    <row r="116" spans="1:11">
      <c r="A116">
        <v>1330</v>
      </c>
      <c r="B116" t="s">
        <v>3808</v>
      </c>
      <c r="C116" t="s">
        <v>6335</v>
      </c>
      <c r="D116">
        <v>1016</v>
      </c>
      <c r="E116" t="s">
        <v>5875</v>
      </c>
      <c r="F116">
        <v>691</v>
      </c>
      <c r="G116" t="s">
        <v>3799</v>
      </c>
      <c r="H116" s="298" t="str">
        <f>VLOOKUP(B116,Folha2!$A$1:$E$229,3,FALSE)</f>
        <v>No</v>
      </c>
      <c r="I116" s="298" t="str">
        <f>VLOOKUP(B116,Folha2!$A$1:$E$229,4,FALSE)</f>
        <v>No</v>
      </c>
      <c r="J116" s="298" t="str">
        <f>VLOOKUP(B116,Folha2!$A$1:$E$229,5,FALSE)</f>
        <v>No</v>
      </c>
      <c r="K116">
        <f>VLOOKUP(B116,Folha5!$B$1:$C$272,2,)</f>
        <v>4</v>
      </c>
    </row>
    <row r="117" spans="1:11">
      <c r="A117">
        <v>1333</v>
      </c>
      <c r="B117" t="s">
        <v>3805</v>
      </c>
      <c r="C117" t="s">
        <v>6335</v>
      </c>
      <c r="D117">
        <v>1016</v>
      </c>
      <c r="E117" t="s">
        <v>5875</v>
      </c>
      <c r="F117">
        <v>691</v>
      </c>
      <c r="G117" t="s">
        <v>3799</v>
      </c>
      <c r="H117" s="298" t="str">
        <f>VLOOKUP(B117,Folha2!$A$1:$E$229,3,FALSE)</f>
        <v>No</v>
      </c>
      <c r="I117" s="298" t="str">
        <f>VLOOKUP(B117,Folha2!$A$1:$E$229,4,FALSE)</f>
        <v>No</v>
      </c>
      <c r="J117" s="298" t="str">
        <f>VLOOKUP(B117,Folha2!$A$1:$E$229,5,FALSE)</f>
        <v>No</v>
      </c>
      <c r="K117">
        <f>VLOOKUP(B117,Folha5!$B$1:$C$272,2,)</f>
        <v>4</v>
      </c>
    </row>
    <row r="118" spans="1:11">
      <c r="A118">
        <v>1357</v>
      </c>
      <c r="B118" t="s">
        <v>3835</v>
      </c>
      <c r="C118" t="s">
        <v>6335</v>
      </c>
      <c r="D118">
        <v>1016</v>
      </c>
      <c r="E118" t="s">
        <v>5875</v>
      </c>
      <c r="F118">
        <v>691</v>
      </c>
      <c r="G118" t="s">
        <v>3799</v>
      </c>
      <c r="H118" s="298" t="str">
        <f>VLOOKUP(B118,Folha2!$A$1:$E$229,3,FALSE)</f>
        <v>No</v>
      </c>
      <c r="I118" s="298" t="str">
        <f>VLOOKUP(B118,Folha2!$A$1:$E$229,4,FALSE)</f>
        <v>No</v>
      </c>
      <c r="J118" s="298" t="str">
        <f>VLOOKUP(B118,Folha2!$A$1:$E$229,5,FALSE)</f>
        <v>No</v>
      </c>
      <c r="K118">
        <f>VLOOKUP(B118,Folha5!$B$1:$C$272,2,)</f>
        <v>8</v>
      </c>
    </row>
    <row r="119" spans="1:11">
      <c r="A119">
        <v>1359</v>
      </c>
      <c r="B119" t="s">
        <v>3838</v>
      </c>
      <c r="C119" t="s">
        <v>6336</v>
      </c>
      <c r="D119">
        <v>1016</v>
      </c>
      <c r="E119" t="s">
        <v>5875</v>
      </c>
      <c r="F119">
        <v>691</v>
      </c>
      <c r="G119" t="s">
        <v>3799</v>
      </c>
      <c r="H119" s="298" t="e">
        <f>VLOOKUP(B119,Folha2!$A$1:$E$229,3,FALSE)</f>
        <v>#N/A</v>
      </c>
      <c r="I119" s="298" t="e">
        <f>VLOOKUP(B119,Folha2!$A$1:$E$229,4,FALSE)</f>
        <v>#N/A</v>
      </c>
      <c r="J119" s="298" t="e">
        <f>VLOOKUP(B119,Folha2!$A$1:$E$229,5,FALSE)</f>
        <v>#N/A</v>
      </c>
      <c r="K119">
        <f>VLOOKUP(B119,Folha5!$B$1:$C$272,2,)</f>
        <v>0</v>
      </c>
    </row>
    <row r="120" spans="1:11">
      <c r="A120">
        <v>1327</v>
      </c>
      <c r="B120" t="s">
        <v>3798</v>
      </c>
      <c r="C120" t="s">
        <v>6335</v>
      </c>
      <c r="D120">
        <v>1232</v>
      </c>
      <c r="E120" t="s">
        <v>6248</v>
      </c>
      <c r="F120">
        <v>692</v>
      </c>
      <c r="G120" t="s">
        <v>3780</v>
      </c>
      <c r="H120" s="298" t="e">
        <f>VLOOKUP(B120,Folha2!$A$1:$E$229,3,FALSE)</f>
        <v>#N/A</v>
      </c>
      <c r="I120" s="298" t="e">
        <f>VLOOKUP(B120,Folha2!$A$1:$E$229,4,FALSE)</f>
        <v>#N/A</v>
      </c>
      <c r="J120" s="298" t="e">
        <f>VLOOKUP(B120,Folha2!$A$1:$E$229,5,FALSE)</f>
        <v>#N/A</v>
      </c>
      <c r="K120">
        <f>VLOOKUP(B120,Folha5!$B$1:$C$272,2,)</f>
        <v>0</v>
      </c>
    </row>
    <row r="121" spans="1:11">
      <c r="A121">
        <v>1316</v>
      </c>
      <c r="B121" t="s">
        <v>3792</v>
      </c>
      <c r="C121" t="s">
        <v>6335</v>
      </c>
      <c r="D121">
        <v>1016</v>
      </c>
      <c r="E121" t="s">
        <v>5875</v>
      </c>
      <c r="F121">
        <v>692</v>
      </c>
      <c r="G121" t="s">
        <v>3780</v>
      </c>
      <c r="H121" s="298" t="e">
        <f>VLOOKUP(B121,Folha2!$A$1:$E$229,3,FALSE)</f>
        <v>#N/A</v>
      </c>
      <c r="I121" s="298" t="e">
        <f>VLOOKUP(B121,Folha2!$A$1:$E$229,4,FALSE)</f>
        <v>#N/A</v>
      </c>
      <c r="J121" s="298" t="e">
        <f>VLOOKUP(B121,Folha2!$A$1:$E$229,5,FALSE)</f>
        <v>#N/A</v>
      </c>
      <c r="K121">
        <f>VLOOKUP(B121,Folha5!$B$1:$C$272,2,)</f>
        <v>40</v>
      </c>
    </row>
    <row r="122" spans="1:11">
      <c r="A122">
        <v>1343</v>
      </c>
      <c r="B122" t="s">
        <v>3795</v>
      </c>
      <c r="C122" t="s">
        <v>6335</v>
      </c>
      <c r="D122">
        <v>1312</v>
      </c>
      <c r="E122" t="s">
        <v>5873</v>
      </c>
      <c r="F122">
        <v>692</v>
      </c>
      <c r="G122" t="s">
        <v>3780</v>
      </c>
      <c r="H122" s="298" t="e">
        <f>VLOOKUP(B122,Folha2!$A$1:$E$229,3,FALSE)</f>
        <v>#N/A</v>
      </c>
      <c r="I122" s="298" t="e">
        <f>VLOOKUP(B122,Folha2!$A$1:$E$229,4,FALSE)</f>
        <v>#N/A</v>
      </c>
      <c r="J122" s="298" t="e">
        <f>VLOOKUP(B122,Folha2!$A$1:$E$229,5,FALSE)</f>
        <v>#N/A</v>
      </c>
      <c r="K122">
        <f>VLOOKUP(B122,Folha5!$B$1:$C$272,2,)</f>
        <v>16</v>
      </c>
    </row>
    <row r="123" spans="1:11">
      <c r="A123">
        <v>1281</v>
      </c>
      <c r="B123" t="s">
        <v>3783</v>
      </c>
      <c r="C123" t="s">
        <v>6335</v>
      </c>
      <c r="D123">
        <v>1014</v>
      </c>
      <c r="E123" t="s">
        <v>6247</v>
      </c>
      <c r="F123">
        <v>692</v>
      </c>
      <c r="G123" t="s">
        <v>3780</v>
      </c>
      <c r="H123" s="298" t="e">
        <f>VLOOKUP(B123,Folha2!$A$1:$E$229,3,FALSE)</f>
        <v>#N/A</v>
      </c>
      <c r="I123" s="298" t="e">
        <f>VLOOKUP(B123,Folha2!$A$1:$E$229,4,FALSE)</f>
        <v>#N/A</v>
      </c>
      <c r="J123" s="298" t="e">
        <f>VLOOKUP(B123,Folha2!$A$1:$E$229,5,FALSE)</f>
        <v>#N/A</v>
      </c>
      <c r="K123">
        <f>VLOOKUP(B123,Folha5!$B$1:$C$272,2,)</f>
        <v>8</v>
      </c>
    </row>
    <row r="124" spans="1:11">
      <c r="A124">
        <v>1393</v>
      </c>
      <c r="B124" t="s">
        <v>3786</v>
      </c>
      <c r="C124" t="s">
        <v>6335</v>
      </c>
      <c r="D124">
        <v>1312</v>
      </c>
      <c r="E124" t="s">
        <v>5873</v>
      </c>
      <c r="F124">
        <v>692</v>
      </c>
      <c r="G124" t="s">
        <v>3780</v>
      </c>
      <c r="H124" s="298" t="e">
        <f>VLOOKUP(B124,Folha2!$A$1:$E$229,3,FALSE)</f>
        <v>#N/A</v>
      </c>
      <c r="I124" s="298" t="e">
        <f>VLOOKUP(B124,Folha2!$A$1:$E$229,4,FALSE)</f>
        <v>#N/A</v>
      </c>
      <c r="J124" s="298" t="e">
        <f>VLOOKUP(B124,Folha2!$A$1:$E$229,5,FALSE)</f>
        <v>#N/A</v>
      </c>
      <c r="K124">
        <f>VLOOKUP(B124,Folha5!$B$1:$C$272,2,)</f>
        <v>8</v>
      </c>
    </row>
    <row r="125" spans="1:11">
      <c r="A125">
        <v>1364</v>
      </c>
      <c r="B125" t="s">
        <v>3789</v>
      </c>
      <c r="C125" t="s">
        <v>6335</v>
      </c>
      <c r="D125">
        <v>1016</v>
      </c>
      <c r="E125" t="s">
        <v>5875</v>
      </c>
      <c r="F125">
        <v>692</v>
      </c>
      <c r="G125" t="s">
        <v>3780</v>
      </c>
      <c r="H125" s="298" t="e">
        <f>VLOOKUP(B125,Folha2!$A$1:$E$229,3,FALSE)</f>
        <v>#N/A</v>
      </c>
      <c r="I125" s="298" t="e">
        <f>VLOOKUP(B125,Folha2!$A$1:$E$229,4,FALSE)</f>
        <v>#N/A</v>
      </c>
      <c r="J125" s="298" t="e">
        <f>VLOOKUP(B125,Folha2!$A$1:$E$229,5,FALSE)</f>
        <v>#N/A</v>
      </c>
      <c r="K125">
        <f>VLOOKUP(B125,Folha5!$B$1:$C$272,2,)</f>
        <v>4</v>
      </c>
    </row>
    <row r="126" spans="1:11">
      <c r="A126">
        <v>209</v>
      </c>
      <c r="B126" t="s">
        <v>3779</v>
      </c>
      <c r="C126" t="s">
        <v>6335</v>
      </c>
      <c r="D126">
        <v>1016</v>
      </c>
      <c r="E126" t="s">
        <v>5875</v>
      </c>
      <c r="F126">
        <v>693</v>
      </c>
      <c r="G126" t="s">
        <v>1568</v>
      </c>
      <c r="H126" s="298" t="e">
        <f>VLOOKUP(B126,Folha2!$A$1:$E$229,3,FALSE)</f>
        <v>#N/A</v>
      </c>
      <c r="I126" s="298" t="e">
        <f>VLOOKUP(B126,Folha2!$A$1:$E$229,4,FALSE)</f>
        <v>#N/A</v>
      </c>
      <c r="J126" s="298" t="e">
        <f>VLOOKUP(B126,Folha2!$A$1:$E$229,5,FALSE)</f>
        <v>#N/A</v>
      </c>
      <c r="K126">
        <f>VLOOKUP(B126,Folha5!$B$1:$C$272,2,)</f>
        <v>4</v>
      </c>
    </row>
    <row r="127" spans="1:11">
      <c r="A127">
        <v>1266</v>
      </c>
      <c r="B127" t="s">
        <v>3774</v>
      </c>
      <c r="C127" t="s">
        <v>6335</v>
      </c>
      <c r="D127">
        <v>1016</v>
      </c>
      <c r="E127" t="s">
        <v>5875</v>
      </c>
      <c r="F127">
        <v>693</v>
      </c>
      <c r="G127" t="s">
        <v>1568</v>
      </c>
      <c r="H127" s="298" t="e">
        <f>VLOOKUP(B127,Folha2!$A$1:$E$229,3,FALSE)</f>
        <v>#N/A</v>
      </c>
      <c r="I127" s="298" t="e">
        <f>VLOOKUP(B127,Folha2!$A$1:$E$229,4,FALSE)</f>
        <v>#N/A</v>
      </c>
      <c r="J127" s="298" t="e">
        <f>VLOOKUP(B127,Folha2!$A$1:$E$229,5,FALSE)</f>
        <v>#N/A</v>
      </c>
      <c r="K127">
        <f>VLOOKUP(B127,Folha5!$B$1:$C$272,2,)</f>
        <v>0</v>
      </c>
    </row>
    <row r="128" spans="1:11">
      <c r="A128">
        <v>1284</v>
      </c>
      <c r="B128" t="s">
        <v>3768</v>
      </c>
      <c r="C128" t="s">
        <v>6335</v>
      </c>
      <c r="D128">
        <v>1015</v>
      </c>
      <c r="E128" t="s">
        <v>5874</v>
      </c>
      <c r="F128">
        <v>695</v>
      </c>
      <c r="G128" t="s">
        <v>3759</v>
      </c>
      <c r="H128" s="298" t="str">
        <f>VLOOKUP(B128,Folha2!$A$1:$E$229,3,FALSE)</f>
        <v>Yes</v>
      </c>
      <c r="I128" s="298" t="str">
        <f>VLOOKUP(B128,Folha2!$A$1:$E$229,4,FALSE)</f>
        <v>Yes</v>
      </c>
      <c r="J128" s="298" t="str">
        <f>VLOOKUP(B128,Folha2!$A$1:$E$229,5,FALSE)</f>
        <v>Yes</v>
      </c>
      <c r="K128">
        <f>VLOOKUP(B128,Folha5!$B$1:$C$272,2,)</f>
        <v>32</v>
      </c>
    </row>
    <row r="129" spans="1:11">
      <c r="A129">
        <v>1365</v>
      </c>
      <c r="B129" t="s">
        <v>3762</v>
      </c>
      <c r="C129" t="s">
        <v>6336</v>
      </c>
      <c r="D129">
        <v>1015</v>
      </c>
      <c r="E129" t="s">
        <v>5874</v>
      </c>
      <c r="F129">
        <v>695</v>
      </c>
      <c r="G129" t="s">
        <v>3759</v>
      </c>
      <c r="H129" s="298" t="e">
        <f>VLOOKUP(B129,Folha2!$A$1:$E$229,3,FALSE)</f>
        <v>#N/A</v>
      </c>
      <c r="I129" s="298" t="e">
        <f>VLOOKUP(B129,Folha2!$A$1:$E$229,4,FALSE)</f>
        <v>#N/A</v>
      </c>
      <c r="J129" s="298" t="e">
        <f>VLOOKUP(B129,Folha2!$A$1:$E$229,5,FALSE)</f>
        <v>#N/A</v>
      </c>
      <c r="K129" t="e">
        <f>VLOOKUP(B129,Folha5!$B$1:$C$272,2,)</f>
        <v>#N/A</v>
      </c>
    </row>
    <row r="130" spans="1:11">
      <c r="A130">
        <v>1348</v>
      </c>
      <c r="B130" t="s">
        <v>5886</v>
      </c>
      <c r="C130" t="s">
        <v>6336</v>
      </c>
      <c r="D130">
        <v>1015</v>
      </c>
      <c r="E130" t="s">
        <v>5874</v>
      </c>
      <c r="F130">
        <v>695</v>
      </c>
      <c r="G130" t="s">
        <v>3759</v>
      </c>
      <c r="H130" s="298" t="str">
        <f>VLOOKUP(B130,Folha2!$A$1:$E$229,3,FALSE)</f>
        <v>No</v>
      </c>
      <c r="I130" s="298" t="str">
        <f>VLOOKUP(B130,Folha2!$A$1:$E$229,4,FALSE)</f>
        <v>No</v>
      </c>
      <c r="J130" s="298" t="str">
        <f>VLOOKUP(B130,Folha2!$A$1:$E$229,5,FALSE)</f>
        <v>No</v>
      </c>
      <c r="K130">
        <f>VLOOKUP(B130,Folha5!$B$1:$C$272,2,)</f>
        <v>32</v>
      </c>
    </row>
    <row r="131" spans="1:11">
      <c r="A131">
        <v>1326</v>
      </c>
      <c r="B131" t="s">
        <v>3765</v>
      </c>
      <c r="C131" t="s">
        <v>6335</v>
      </c>
      <c r="D131">
        <v>721</v>
      </c>
      <c r="E131" t="s">
        <v>5879</v>
      </c>
      <c r="F131">
        <v>695</v>
      </c>
      <c r="G131" t="s">
        <v>3759</v>
      </c>
      <c r="H131" s="298" t="str">
        <f>VLOOKUP(B131,Folha2!$A$1:$E$229,3,FALSE)</f>
        <v>Yes</v>
      </c>
      <c r="I131" s="298" t="str">
        <f>VLOOKUP(B131,Folha2!$A$1:$E$229,4,FALSE)</f>
        <v>Yes</v>
      </c>
      <c r="J131" s="298" t="str">
        <f>VLOOKUP(B131,Folha2!$A$1:$E$229,5,FALSE)</f>
        <v>Yes</v>
      </c>
      <c r="K131">
        <f>VLOOKUP(B131,Folha5!$B$1:$C$272,2,)</f>
        <v>16</v>
      </c>
    </row>
    <row r="132" spans="1:11">
      <c r="A132">
        <v>1286</v>
      </c>
      <c r="B132" t="s">
        <v>3693</v>
      </c>
      <c r="C132" t="s">
        <v>6335</v>
      </c>
      <c r="D132">
        <v>1312</v>
      </c>
      <c r="E132" t="s">
        <v>5873</v>
      </c>
      <c r="F132">
        <v>706</v>
      </c>
      <c r="G132" t="s">
        <v>3686</v>
      </c>
      <c r="H132" s="298" t="e">
        <f>VLOOKUP(B132,Folha2!$A$1:$E$229,3,FALSE)</f>
        <v>#N/A</v>
      </c>
      <c r="I132" s="298" t="e">
        <f>VLOOKUP(B132,Folha2!$A$1:$E$229,4,FALSE)</f>
        <v>#N/A</v>
      </c>
      <c r="J132" s="298" t="e">
        <f>VLOOKUP(B132,Folha2!$A$1:$E$229,5,FALSE)</f>
        <v>#N/A</v>
      </c>
      <c r="K132">
        <f>VLOOKUP(B132,Folha5!$B$1:$C$272,2,)</f>
        <v>24</v>
      </c>
    </row>
    <row r="133" spans="1:11">
      <c r="A133">
        <v>1318</v>
      </c>
      <c r="B133" t="s">
        <v>3699</v>
      </c>
      <c r="C133" t="s">
        <v>6335</v>
      </c>
      <c r="D133">
        <v>1312</v>
      </c>
      <c r="E133" t="s">
        <v>5873</v>
      </c>
      <c r="F133">
        <v>706</v>
      </c>
      <c r="G133" t="s">
        <v>3686</v>
      </c>
      <c r="H133" s="298" t="e">
        <f>VLOOKUP(B133,Folha2!$A$1:$E$229,3,FALSE)</f>
        <v>#N/A</v>
      </c>
      <c r="I133" s="298" t="e">
        <f>VLOOKUP(B133,Folha2!$A$1:$E$229,4,FALSE)</f>
        <v>#N/A</v>
      </c>
      <c r="J133" s="298" t="e">
        <f>VLOOKUP(B133,Folha2!$A$1:$E$229,5,FALSE)</f>
        <v>#N/A</v>
      </c>
      <c r="K133">
        <f>VLOOKUP(B133,Folha5!$B$1:$C$272,2,)</f>
        <v>4</v>
      </c>
    </row>
    <row r="134" spans="1:11">
      <c r="A134">
        <v>1305</v>
      </c>
      <c r="B134" t="s">
        <v>3689</v>
      </c>
      <c r="C134" t="s">
        <v>6335</v>
      </c>
      <c r="D134">
        <v>721</v>
      </c>
      <c r="E134" t="s">
        <v>5879</v>
      </c>
      <c r="F134">
        <v>706</v>
      </c>
      <c r="G134" t="s">
        <v>3686</v>
      </c>
      <c r="H134" s="298" t="str">
        <f>VLOOKUP(B134,Folha2!$A$1:$E$229,3,FALSE)</f>
        <v>Yes</v>
      </c>
      <c r="I134" s="298" t="str">
        <f>VLOOKUP(B134,Folha2!$A$1:$E$229,4,FALSE)</f>
        <v>Yes</v>
      </c>
      <c r="J134" s="298" t="str">
        <f>VLOOKUP(B134,Folha2!$A$1:$E$229,5,FALSE)</f>
        <v>Yes</v>
      </c>
      <c r="K134">
        <f>VLOOKUP(B134,Folha5!$B$1:$C$272,2,)</f>
        <v>16</v>
      </c>
    </row>
    <row r="135" spans="1:11">
      <c r="A135">
        <v>1277</v>
      </c>
      <c r="B135" t="s">
        <v>3696</v>
      </c>
      <c r="C135" t="s">
        <v>6335</v>
      </c>
      <c r="D135">
        <v>1232</v>
      </c>
      <c r="E135" t="s">
        <v>6248</v>
      </c>
      <c r="F135">
        <v>706</v>
      </c>
      <c r="G135" t="s">
        <v>3686</v>
      </c>
      <c r="H135" s="298" t="e">
        <f>VLOOKUP(B135,Folha2!$A$1:$E$229,3,FALSE)</f>
        <v>#N/A</v>
      </c>
      <c r="I135" s="298" t="e">
        <f>VLOOKUP(B135,Folha2!$A$1:$E$229,4,FALSE)</f>
        <v>#N/A</v>
      </c>
      <c r="J135" s="298" t="e">
        <f>VLOOKUP(B135,Folha2!$A$1:$E$229,5,FALSE)</f>
        <v>#N/A</v>
      </c>
      <c r="K135">
        <f>VLOOKUP(B135,Folha5!$B$1:$C$272,2,)</f>
        <v>24</v>
      </c>
    </row>
    <row r="136" spans="1:11">
      <c r="A136">
        <v>1292</v>
      </c>
      <c r="B136" t="s">
        <v>3690</v>
      </c>
      <c r="C136" t="s">
        <v>6335</v>
      </c>
      <c r="D136">
        <v>1312</v>
      </c>
      <c r="E136" t="s">
        <v>5873</v>
      </c>
      <c r="F136">
        <v>706</v>
      </c>
      <c r="G136" t="s">
        <v>3686</v>
      </c>
      <c r="H136" s="298" t="e">
        <f>VLOOKUP(B136,Folha2!$A$1:$E$229,3,FALSE)</f>
        <v>#N/A</v>
      </c>
      <c r="I136" s="298" t="e">
        <f>VLOOKUP(B136,Folha2!$A$1:$E$229,4,FALSE)</f>
        <v>#N/A</v>
      </c>
      <c r="J136" s="298" t="e">
        <f>VLOOKUP(B136,Folha2!$A$1:$E$229,5,FALSE)</f>
        <v>#N/A</v>
      </c>
      <c r="K136" t="e">
        <f>VLOOKUP(B136,Folha5!$B$1:$C$272,2,)</f>
        <v>#N/A</v>
      </c>
    </row>
    <row r="137" spans="1:11">
      <c r="A137">
        <v>1244</v>
      </c>
      <c r="B137" t="s">
        <v>3676</v>
      </c>
      <c r="C137" t="s">
        <v>6335</v>
      </c>
      <c r="D137">
        <v>721</v>
      </c>
      <c r="E137" t="s">
        <v>5879</v>
      </c>
      <c r="F137">
        <v>708</v>
      </c>
      <c r="G137" t="s">
        <v>3670</v>
      </c>
      <c r="H137" s="298" t="str">
        <f>VLOOKUP(B137,Folha2!$A$1:$E$229,3,FALSE)</f>
        <v>No</v>
      </c>
      <c r="I137" s="298" t="str">
        <f>VLOOKUP(B137,Folha2!$A$1:$E$229,4,FALSE)</f>
        <v>No</v>
      </c>
      <c r="J137" s="298" t="str">
        <f>VLOOKUP(B137,Folha2!$A$1:$E$229,5,FALSE)</f>
        <v>No</v>
      </c>
      <c r="K137">
        <f>VLOOKUP(B137,Folha5!$B$1:$C$272,2,)</f>
        <v>16</v>
      </c>
    </row>
    <row r="138" spans="1:11">
      <c r="A138">
        <v>1209</v>
      </c>
      <c r="B138" t="s">
        <v>3679</v>
      </c>
      <c r="C138" t="s">
        <v>6335</v>
      </c>
      <c r="D138">
        <v>721</v>
      </c>
      <c r="E138" t="s">
        <v>5879</v>
      </c>
      <c r="F138">
        <v>708</v>
      </c>
      <c r="G138" t="s">
        <v>3670</v>
      </c>
      <c r="H138" s="298" t="str">
        <f>VLOOKUP(B138,Folha2!$A$1:$E$229,3,FALSE)</f>
        <v>Yes</v>
      </c>
      <c r="I138" s="298" t="str">
        <f>VLOOKUP(B138,Folha2!$A$1:$E$229,4,FALSE)</f>
        <v>Yes</v>
      </c>
      <c r="J138" s="298" t="str">
        <f>VLOOKUP(B138,Folha2!$A$1:$E$229,5,FALSE)</f>
        <v>Yes</v>
      </c>
      <c r="K138">
        <f>VLOOKUP(B138,Folha5!$B$1:$C$272,2,)</f>
        <v>32</v>
      </c>
    </row>
    <row r="139" spans="1:11">
      <c r="A139">
        <v>1306</v>
      </c>
      <c r="B139" t="s">
        <v>3673</v>
      </c>
      <c r="C139" t="s">
        <v>6335</v>
      </c>
      <c r="D139">
        <v>721</v>
      </c>
      <c r="E139" t="s">
        <v>5879</v>
      </c>
      <c r="F139">
        <v>708</v>
      </c>
      <c r="G139" t="s">
        <v>3670</v>
      </c>
      <c r="H139" s="298" t="str">
        <f>VLOOKUP(B139,Folha2!$A$1:$E$229,3,FALSE)</f>
        <v>Yes</v>
      </c>
      <c r="I139" s="298" t="str">
        <f>VLOOKUP(B139,Folha2!$A$1:$E$229,4,FALSE)</f>
        <v>Yes</v>
      </c>
      <c r="J139" s="298" t="str">
        <f>VLOOKUP(B139,Folha2!$A$1:$E$229,5,FALSE)</f>
        <v>Yes</v>
      </c>
      <c r="K139">
        <f>VLOOKUP(B139,Folha5!$B$1:$C$272,2,)</f>
        <v>40</v>
      </c>
    </row>
    <row r="140" spans="1:11">
      <c r="A140">
        <v>1298</v>
      </c>
      <c r="B140" t="s">
        <v>3682</v>
      </c>
      <c r="C140" t="s">
        <v>6335</v>
      </c>
      <c r="D140">
        <v>1032</v>
      </c>
      <c r="E140" t="s">
        <v>5878</v>
      </c>
      <c r="F140">
        <v>708</v>
      </c>
      <c r="G140" t="s">
        <v>3670</v>
      </c>
      <c r="H140" s="298" t="str">
        <f>VLOOKUP(B140,Folha2!$A$1:$E$229,3,FALSE)</f>
        <v>Yes</v>
      </c>
      <c r="I140" s="298" t="str">
        <f>VLOOKUP(B140,Folha2!$A$1:$E$229,4,FALSE)</f>
        <v>Yes</v>
      </c>
      <c r="J140" s="298" t="str">
        <f>VLOOKUP(B140,Folha2!$A$1:$E$229,5,FALSE)</f>
        <v>Yes</v>
      </c>
      <c r="K140">
        <f>VLOOKUP(B140,Folha5!$B$1:$C$272,2,)</f>
        <v>24</v>
      </c>
    </row>
    <row r="141" spans="1:11">
      <c r="A141">
        <v>1349</v>
      </c>
      <c r="B141" t="s">
        <v>3739</v>
      </c>
      <c r="C141" t="s">
        <v>6336</v>
      </c>
      <c r="D141">
        <v>1015</v>
      </c>
      <c r="E141" t="s">
        <v>5874</v>
      </c>
      <c r="F141">
        <v>835</v>
      </c>
      <c r="G141" t="s">
        <v>3714</v>
      </c>
      <c r="H141" s="298" t="str">
        <f>VLOOKUP(B141,Folha2!$A$1:$E$229,3,FALSE)</f>
        <v>No</v>
      </c>
      <c r="I141" s="298" t="str">
        <f>VLOOKUP(B141,Folha2!$A$1:$E$229,4,FALSE)</f>
        <v>No</v>
      </c>
      <c r="J141" s="298" t="str">
        <f>VLOOKUP(B141,Folha2!$A$1:$E$229,5,FALSE)</f>
        <v>No</v>
      </c>
      <c r="K141">
        <f>VLOOKUP(B141,Folha5!$B$1:$C$272,2,)</f>
        <v>16</v>
      </c>
    </row>
    <row r="142" spans="1:11">
      <c r="A142">
        <v>1340</v>
      </c>
      <c r="B142" t="s">
        <v>3742</v>
      </c>
      <c r="C142" t="s">
        <v>6336</v>
      </c>
      <c r="D142">
        <v>1312</v>
      </c>
      <c r="E142" t="s">
        <v>5873</v>
      </c>
      <c r="F142">
        <v>835</v>
      </c>
      <c r="G142" t="s">
        <v>3714</v>
      </c>
      <c r="H142" s="298" t="e">
        <f>VLOOKUP(B142,Folha2!$A$1:$E$229,3,FALSE)</f>
        <v>#N/A</v>
      </c>
      <c r="I142" s="298" t="e">
        <f>VLOOKUP(B142,Folha2!$A$1:$E$229,4,FALSE)</f>
        <v>#N/A</v>
      </c>
      <c r="J142" s="298" t="e">
        <f>VLOOKUP(B142,Folha2!$A$1:$E$229,5,FALSE)</f>
        <v>#N/A</v>
      </c>
      <c r="K142" t="e">
        <f>VLOOKUP(B142,Folha5!$B$1:$C$272,2,)</f>
        <v>#N/A</v>
      </c>
    </row>
    <row r="143" spans="1:11">
      <c r="A143">
        <v>1366</v>
      </c>
      <c r="B143" t="s">
        <v>3726</v>
      </c>
      <c r="C143" t="s">
        <v>6336</v>
      </c>
      <c r="D143">
        <v>1312</v>
      </c>
      <c r="E143" t="s">
        <v>5873</v>
      </c>
      <c r="F143">
        <v>835</v>
      </c>
      <c r="G143" t="s">
        <v>3714</v>
      </c>
      <c r="H143" s="298" t="e">
        <f>VLOOKUP(B143,Folha2!$A$1:$E$229,3,FALSE)</f>
        <v>#N/A</v>
      </c>
      <c r="I143" s="298" t="e">
        <f>VLOOKUP(B143,Folha2!$A$1:$E$229,4,FALSE)</f>
        <v>#N/A</v>
      </c>
      <c r="J143" s="298" t="e">
        <f>VLOOKUP(B143,Folha2!$A$1:$E$229,5,FALSE)</f>
        <v>#N/A</v>
      </c>
      <c r="K143">
        <f>VLOOKUP(B143,Folha5!$B$1:$C$272,2,)</f>
        <v>12</v>
      </c>
    </row>
    <row r="144" spans="1:11">
      <c r="A144">
        <v>78</v>
      </c>
      <c r="B144" t="s">
        <v>3720</v>
      </c>
      <c r="C144" t="s">
        <v>6335</v>
      </c>
      <c r="D144">
        <v>1312</v>
      </c>
      <c r="E144" t="s">
        <v>5873</v>
      </c>
      <c r="F144">
        <v>835</v>
      </c>
      <c r="G144" t="s">
        <v>3714</v>
      </c>
      <c r="H144" s="298" t="e">
        <f>VLOOKUP(B144,Folha2!$A$1:$E$229,3,FALSE)</f>
        <v>#N/A</v>
      </c>
      <c r="I144" s="298" t="e">
        <f>VLOOKUP(B144,Folha2!$A$1:$E$229,4,FALSE)</f>
        <v>#N/A</v>
      </c>
      <c r="J144" s="298" t="e">
        <f>VLOOKUP(B144,Folha2!$A$1:$E$229,5,FALSE)</f>
        <v>#N/A</v>
      </c>
      <c r="K144">
        <f>VLOOKUP(B144,Folha5!$B$1:$C$272,2,)</f>
        <v>12</v>
      </c>
    </row>
    <row r="145" spans="1:11">
      <c r="A145">
        <v>1390</v>
      </c>
      <c r="B145" t="s">
        <v>3723</v>
      </c>
      <c r="C145" t="s">
        <v>6335</v>
      </c>
      <c r="D145">
        <v>1312</v>
      </c>
      <c r="E145" t="s">
        <v>5873</v>
      </c>
      <c r="F145">
        <v>835</v>
      </c>
      <c r="G145" t="s">
        <v>3714</v>
      </c>
      <c r="H145" s="298" t="e">
        <f>VLOOKUP(B145,Folha2!$A$1:$E$229,3,FALSE)</f>
        <v>#N/A</v>
      </c>
      <c r="I145" s="298" t="e">
        <f>VLOOKUP(B145,Folha2!$A$1:$E$229,4,FALSE)</f>
        <v>#N/A</v>
      </c>
      <c r="J145" s="298" t="e">
        <f>VLOOKUP(B145,Folha2!$A$1:$E$229,5,FALSE)</f>
        <v>#N/A</v>
      </c>
      <c r="K145">
        <f>VLOOKUP(B145,Folha5!$B$1:$C$272,2,)</f>
        <v>24</v>
      </c>
    </row>
    <row r="146" spans="1:11">
      <c r="A146">
        <v>1334</v>
      </c>
      <c r="B146" t="s">
        <v>3733</v>
      </c>
      <c r="C146" t="s">
        <v>6335</v>
      </c>
      <c r="D146">
        <v>1015</v>
      </c>
      <c r="E146" t="s">
        <v>5874</v>
      </c>
      <c r="F146">
        <v>835</v>
      </c>
      <c r="G146" t="s">
        <v>3714</v>
      </c>
      <c r="H146" s="298" t="e">
        <f>VLOOKUP(B146,Folha2!$A$1:$E$229,3,FALSE)</f>
        <v>#N/A</v>
      </c>
      <c r="I146" s="298" t="e">
        <f>VLOOKUP(B146,Folha2!$A$1:$E$229,4,FALSE)</f>
        <v>#N/A</v>
      </c>
      <c r="J146" s="298" t="e">
        <f>VLOOKUP(B146,Folha2!$A$1:$E$229,5,FALSE)</f>
        <v>#N/A</v>
      </c>
      <c r="K146">
        <f>VLOOKUP(B146,Folha5!$B$1:$C$272,2,)</f>
        <v>32</v>
      </c>
    </row>
    <row r="147" spans="1:11">
      <c r="A147">
        <v>1319</v>
      </c>
      <c r="B147" t="s">
        <v>3736</v>
      </c>
      <c r="C147" t="s">
        <v>6335</v>
      </c>
      <c r="D147">
        <v>1312</v>
      </c>
      <c r="E147" t="s">
        <v>5873</v>
      </c>
      <c r="F147">
        <v>835</v>
      </c>
      <c r="G147" t="s">
        <v>3714</v>
      </c>
      <c r="H147" s="298" t="e">
        <f>VLOOKUP(B147,Folha2!$A$1:$E$229,3,FALSE)</f>
        <v>#N/A</v>
      </c>
      <c r="I147" s="298" t="e">
        <f>VLOOKUP(B147,Folha2!$A$1:$E$229,4,FALSE)</f>
        <v>#N/A</v>
      </c>
      <c r="J147" s="298" t="e">
        <f>VLOOKUP(B147,Folha2!$A$1:$E$229,5,FALSE)</f>
        <v>#N/A</v>
      </c>
      <c r="K147">
        <f>VLOOKUP(B147,Folha5!$B$1:$C$272,2,)</f>
        <v>4</v>
      </c>
    </row>
    <row r="148" spans="1:11">
      <c r="A148">
        <v>1293</v>
      </c>
      <c r="B148" t="s">
        <v>3730</v>
      </c>
      <c r="C148" t="s">
        <v>6335</v>
      </c>
      <c r="D148">
        <v>1312</v>
      </c>
      <c r="E148" t="s">
        <v>5873</v>
      </c>
      <c r="F148">
        <v>835</v>
      </c>
      <c r="G148" t="s">
        <v>3714</v>
      </c>
      <c r="H148" s="298" t="e">
        <f>VLOOKUP(B148,Folha2!$A$1:$E$229,3,FALSE)</f>
        <v>#N/A</v>
      </c>
      <c r="I148" s="298" t="e">
        <f>VLOOKUP(B148,Folha2!$A$1:$E$229,4,FALSE)</f>
        <v>#N/A</v>
      </c>
      <c r="J148" s="298" t="e">
        <f>VLOOKUP(B148,Folha2!$A$1:$E$229,5,FALSE)</f>
        <v>#N/A</v>
      </c>
      <c r="K148" t="e">
        <f>VLOOKUP(B148,Folha5!$B$1:$C$272,2,)</f>
        <v>#N/A</v>
      </c>
    </row>
    <row r="149" spans="1:11">
      <c r="A149">
        <v>1275</v>
      </c>
      <c r="B149" t="s">
        <v>3745</v>
      </c>
      <c r="C149" t="s">
        <v>6335</v>
      </c>
      <c r="D149">
        <v>1232</v>
      </c>
      <c r="E149" t="s">
        <v>6248</v>
      </c>
      <c r="F149">
        <v>835</v>
      </c>
      <c r="G149" t="s">
        <v>3714</v>
      </c>
      <c r="H149" s="298" t="e">
        <f>VLOOKUP(B149,Folha2!$A$1:$E$229,3,FALSE)</f>
        <v>#N/A</v>
      </c>
      <c r="I149" s="298" t="e">
        <f>VLOOKUP(B149,Folha2!$A$1:$E$229,4,FALSE)</f>
        <v>#N/A</v>
      </c>
      <c r="J149" s="298" t="e">
        <f>VLOOKUP(B149,Folha2!$A$1:$E$229,5,FALSE)</f>
        <v>#N/A</v>
      </c>
      <c r="K149">
        <f>VLOOKUP(B149,Folha5!$B$1:$C$272,2,)</f>
        <v>16</v>
      </c>
    </row>
    <row r="150" spans="1:11">
      <c r="A150">
        <v>1312</v>
      </c>
      <c r="B150" t="s">
        <v>3717</v>
      </c>
      <c r="C150" t="s">
        <v>6335</v>
      </c>
      <c r="D150">
        <v>1312</v>
      </c>
      <c r="E150" t="s">
        <v>5873</v>
      </c>
      <c r="F150">
        <v>835</v>
      </c>
      <c r="G150" t="s">
        <v>3714</v>
      </c>
      <c r="H150" s="298" t="e">
        <f>VLOOKUP(B150,Folha2!$A$1:$E$229,3,FALSE)</f>
        <v>#N/A</v>
      </c>
      <c r="I150" s="298" t="e">
        <f>VLOOKUP(B150,Folha2!$A$1:$E$229,4,FALSE)</f>
        <v>#N/A</v>
      </c>
      <c r="J150" s="298" t="e">
        <f>VLOOKUP(B150,Folha2!$A$1:$E$229,5,FALSE)</f>
        <v>#N/A</v>
      </c>
      <c r="K150" t="e">
        <f>VLOOKUP(B150,Folha5!$B$1:$C$272,2,)</f>
        <v>#N/A</v>
      </c>
    </row>
    <row r="151" spans="1:11">
      <c r="A151">
        <v>1311</v>
      </c>
      <c r="B151" t="s">
        <v>3718</v>
      </c>
      <c r="C151" t="s">
        <v>6335</v>
      </c>
      <c r="D151">
        <v>1312</v>
      </c>
      <c r="E151" t="s">
        <v>5873</v>
      </c>
      <c r="F151">
        <v>835</v>
      </c>
      <c r="G151" t="s">
        <v>3714</v>
      </c>
      <c r="H151" s="298" t="e">
        <f>VLOOKUP(B151,Folha2!$A$1:$E$229,3,FALSE)</f>
        <v>#N/A</v>
      </c>
      <c r="I151" s="298" t="e">
        <f>VLOOKUP(B151,Folha2!$A$1:$E$229,4,FALSE)</f>
        <v>#N/A</v>
      </c>
      <c r="J151" s="298" t="e">
        <f>VLOOKUP(B151,Folha2!$A$1:$E$229,5,FALSE)</f>
        <v>#N/A</v>
      </c>
      <c r="K151" t="e">
        <f>VLOOKUP(B151,Folha5!$B$1:$C$272,2,)</f>
        <v>#N/A</v>
      </c>
    </row>
    <row r="152" spans="1:11">
      <c r="A152">
        <v>1297</v>
      </c>
      <c r="B152" t="s">
        <v>3729</v>
      </c>
      <c r="C152" t="s">
        <v>6335</v>
      </c>
      <c r="D152">
        <v>1312</v>
      </c>
      <c r="E152" t="s">
        <v>5873</v>
      </c>
      <c r="F152">
        <v>835</v>
      </c>
      <c r="G152" t="s">
        <v>3714</v>
      </c>
      <c r="H152" s="298" t="e">
        <f>VLOOKUP(B152,Folha2!$A$1:$E$229,3,FALSE)</f>
        <v>#N/A</v>
      </c>
      <c r="I152" s="298" t="e">
        <f>VLOOKUP(B152,Folha2!$A$1:$E$229,4,FALSE)</f>
        <v>#N/A</v>
      </c>
      <c r="J152" s="298" t="e">
        <f>VLOOKUP(B152,Folha2!$A$1:$E$229,5,FALSE)</f>
        <v>#N/A</v>
      </c>
      <c r="K152">
        <f>VLOOKUP(B152,Folha5!$B$1:$C$272,2,)</f>
        <v>24</v>
      </c>
    </row>
    <row r="153" spans="1:11">
      <c r="A153">
        <v>336</v>
      </c>
      <c r="B153" t="s">
        <v>3703</v>
      </c>
      <c r="C153" t="s">
        <v>6335</v>
      </c>
      <c r="D153">
        <v>1032</v>
      </c>
      <c r="E153" t="s">
        <v>5878</v>
      </c>
      <c r="F153">
        <v>836</v>
      </c>
      <c r="G153" t="s">
        <v>849</v>
      </c>
      <c r="H153" s="298" t="str">
        <f>VLOOKUP(B153,Folha2!$A$1:$E$229,3,FALSE)</f>
        <v>No</v>
      </c>
      <c r="I153" s="298" t="str">
        <f>VLOOKUP(B153,Folha2!$A$1:$E$229,4,FALSE)</f>
        <v>No</v>
      </c>
      <c r="J153" s="298" t="str">
        <f>VLOOKUP(B153,Folha2!$A$1:$E$229,5,FALSE)</f>
        <v>No</v>
      </c>
      <c r="K153">
        <f>VLOOKUP(B153,Folha5!$B$1:$C$272,2,)</f>
        <v>8</v>
      </c>
    </row>
    <row r="154" spans="1:11">
      <c r="A154">
        <v>1356</v>
      </c>
      <c r="B154" t="s">
        <v>3710</v>
      </c>
      <c r="C154" t="s">
        <v>6335</v>
      </c>
      <c r="D154">
        <v>1473</v>
      </c>
      <c r="E154" t="s">
        <v>3710</v>
      </c>
      <c r="F154">
        <v>836</v>
      </c>
      <c r="G154" t="s">
        <v>849</v>
      </c>
      <c r="H154" s="298" t="e">
        <f>VLOOKUP(B154,Folha2!$A$1:$E$229,3,FALSE)</f>
        <v>#N/A</v>
      </c>
      <c r="I154" s="298" t="e">
        <f>VLOOKUP(B154,Folha2!$A$1:$E$229,4,FALSE)</f>
        <v>#N/A</v>
      </c>
      <c r="J154" s="298" t="e">
        <f>VLOOKUP(B154,Folha2!$A$1:$E$229,5,FALSE)</f>
        <v>#N/A</v>
      </c>
      <c r="K154">
        <f>VLOOKUP(B154,Folha5!$B$1:$C$272,2,)</f>
        <v>32</v>
      </c>
    </row>
    <row r="155" spans="1:11">
      <c r="A155">
        <v>1369</v>
      </c>
      <c r="B155" t="s">
        <v>3713</v>
      </c>
      <c r="C155" t="s">
        <v>6335</v>
      </c>
      <c r="D155">
        <v>1473</v>
      </c>
      <c r="E155" t="s">
        <v>3710</v>
      </c>
      <c r="F155">
        <v>836</v>
      </c>
      <c r="G155" t="s">
        <v>849</v>
      </c>
      <c r="H155" s="298" t="e">
        <f>VLOOKUP(B155,Folha2!$A$1:$E$229,3,FALSE)</f>
        <v>#N/A</v>
      </c>
      <c r="I155" s="298" t="e">
        <f>VLOOKUP(B155,Folha2!$A$1:$E$229,4,FALSE)</f>
        <v>#N/A</v>
      </c>
      <c r="J155" s="298" t="e">
        <f>VLOOKUP(B155,Folha2!$A$1:$E$229,5,FALSE)</f>
        <v>#N/A</v>
      </c>
      <c r="K155">
        <f>VLOOKUP(B155,Folha5!$B$1:$C$272,2,)</f>
        <v>16</v>
      </c>
    </row>
    <row r="156" spans="1:11">
      <c r="A156">
        <v>337</v>
      </c>
      <c r="B156" t="s">
        <v>3701</v>
      </c>
      <c r="C156" t="s">
        <v>6335</v>
      </c>
      <c r="D156">
        <v>1015</v>
      </c>
      <c r="E156" t="s">
        <v>5874</v>
      </c>
      <c r="F156">
        <v>836</v>
      </c>
      <c r="G156" t="s">
        <v>849</v>
      </c>
      <c r="H156" s="298" t="e">
        <f>VLOOKUP(B156,Folha2!$A$1:$E$229,3,FALSE)</f>
        <v>#N/A</v>
      </c>
      <c r="I156" s="298" t="e">
        <f>VLOOKUP(B156,Folha2!$A$1:$E$229,4,FALSE)</f>
        <v>#N/A</v>
      </c>
      <c r="J156" s="298" t="e">
        <f>VLOOKUP(B156,Folha2!$A$1:$E$229,5,FALSE)</f>
        <v>#N/A</v>
      </c>
      <c r="K156">
        <f>VLOOKUP(B156,Folha5!$B$1:$C$272,2,)</f>
        <v>0</v>
      </c>
    </row>
    <row r="157" spans="1:11">
      <c r="A157">
        <v>262</v>
      </c>
      <c r="B157" t="s">
        <v>3704</v>
      </c>
      <c r="C157" t="s">
        <v>6335</v>
      </c>
      <c r="D157">
        <v>1312</v>
      </c>
      <c r="E157" t="s">
        <v>5873</v>
      </c>
      <c r="F157">
        <v>836</v>
      </c>
      <c r="G157" t="s">
        <v>849</v>
      </c>
      <c r="H157" s="298" t="e">
        <f>VLOOKUP(B157,Folha2!$A$1:$E$229,3,FALSE)</f>
        <v>#N/A</v>
      </c>
      <c r="I157" s="298" t="e">
        <f>VLOOKUP(B157,Folha2!$A$1:$E$229,4,FALSE)</f>
        <v>#N/A</v>
      </c>
      <c r="J157" s="298" t="e">
        <f>VLOOKUP(B157,Folha2!$A$1:$E$229,5,FALSE)</f>
        <v>#N/A</v>
      </c>
      <c r="K157">
        <f>VLOOKUP(B157,Folha5!$B$1:$C$272,2,)</f>
        <v>8</v>
      </c>
    </row>
    <row r="158" spans="1:11">
      <c r="A158">
        <v>1382</v>
      </c>
      <c r="B158" t="s">
        <v>3707</v>
      </c>
      <c r="C158" t="s">
        <v>6335</v>
      </c>
      <c r="D158">
        <v>1017</v>
      </c>
      <c r="E158" t="s">
        <v>5876</v>
      </c>
      <c r="F158">
        <v>836</v>
      </c>
      <c r="G158" t="s">
        <v>849</v>
      </c>
      <c r="H158" s="298" t="str">
        <f>VLOOKUP(B158,Folha2!$A$1:$E$229,3,FALSE)</f>
        <v>Yes</v>
      </c>
      <c r="I158" s="298" t="str">
        <f>VLOOKUP(B158,Folha2!$A$1:$E$229,4,FALSE)</f>
        <v>Yes</v>
      </c>
      <c r="J158" s="298" t="str">
        <f>VLOOKUP(B158,Folha2!$A$1:$E$229,5,FALSE)</f>
        <v>Yes</v>
      </c>
      <c r="K158">
        <f>VLOOKUP(B158,Folha5!$B$1:$C$272,2,)</f>
        <v>12</v>
      </c>
    </row>
    <row r="159" spans="1:11">
      <c r="H159" s="298"/>
      <c r="I159" s="298"/>
      <c r="J159" s="298"/>
    </row>
  </sheetData>
  <autoFilter ref="A1:M159" xr:uid="{38458270-B63B-42AF-B4F9-A1F9C0B96B89}"/>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01B50-8D47-4F1A-8A13-8747F2A67B7D}">
  <dimension ref="A1:C282"/>
  <sheetViews>
    <sheetView workbookViewId="0">
      <selection activeCell="B1" sqref="B1"/>
    </sheetView>
  </sheetViews>
  <sheetFormatPr defaultRowHeight="14.5"/>
  <cols>
    <col min="1" max="1" width="39.453125" bestFit="1" customWidth="1"/>
    <col min="2" max="2" width="64.26953125" bestFit="1" customWidth="1"/>
    <col min="3" max="3" width="5" bestFit="1" customWidth="1"/>
  </cols>
  <sheetData>
    <row r="1" spans="1:3">
      <c r="A1" t="s">
        <v>250</v>
      </c>
      <c r="B1" t="s">
        <v>251</v>
      </c>
      <c r="C1">
        <v>32</v>
      </c>
    </row>
    <row r="2" spans="1:3">
      <c r="A2" t="s">
        <v>250</v>
      </c>
      <c r="B2" t="s">
        <v>46</v>
      </c>
      <c r="C2">
        <v>16</v>
      </c>
    </row>
    <row r="3" spans="1:3">
      <c r="A3" t="s">
        <v>250</v>
      </c>
      <c r="B3" t="s">
        <v>6016</v>
      </c>
      <c r="C3">
        <v>24</v>
      </c>
    </row>
    <row r="4" spans="1:3">
      <c r="A4" t="s">
        <v>250</v>
      </c>
      <c r="B4" t="s">
        <v>6337</v>
      </c>
      <c r="C4">
        <v>0</v>
      </c>
    </row>
    <row r="5" spans="1:3">
      <c r="A5" t="s">
        <v>6261</v>
      </c>
      <c r="B5" t="s">
        <v>157</v>
      </c>
      <c r="C5">
        <v>8</v>
      </c>
    </row>
    <row r="6" spans="1:3">
      <c r="A6" t="s">
        <v>6261</v>
      </c>
      <c r="B6" t="s">
        <v>6017</v>
      </c>
      <c r="C6">
        <v>8</v>
      </c>
    </row>
    <row r="7" spans="1:3">
      <c r="A7" t="s">
        <v>6261</v>
      </c>
      <c r="B7" t="s">
        <v>47</v>
      </c>
      <c r="C7">
        <v>10</v>
      </c>
    </row>
    <row r="8" spans="1:3">
      <c r="A8" t="s">
        <v>6261</v>
      </c>
      <c r="B8" t="s">
        <v>151</v>
      </c>
      <c r="C8">
        <v>8</v>
      </c>
    </row>
    <row r="9" spans="1:3">
      <c r="A9" t="s">
        <v>6261</v>
      </c>
      <c r="B9" t="s">
        <v>156</v>
      </c>
      <c r="C9">
        <v>24</v>
      </c>
    </row>
    <row r="10" spans="1:3">
      <c r="A10" t="s">
        <v>6261</v>
      </c>
      <c r="B10" t="s">
        <v>162</v>
      </c>
      <c r="C10">
        <v>20</v>
      </c>
    </row>
    <row r="11" spans="1:3">
      <c r="A11" t="s">
        <v>6261</v>
      </c>
      <c r="B11" t="s">
        <v>158</v>
      </c>
      <c r="C11">
        <v>8</v>
      </c>
    </row>
    <row r="12" spans="1:3">
      <c r="A12" t="s">
        <v>159</v>
      </c>
      <c r="B12" t="s">
        <v>6018</v>
      </c>
      <c r="C12">
        <v>12</v>
      </c>
    </row>
    <row r="14" spans="1:3">
      <c r="A14" t="s">
        <v>5</v>
      </c>
      <c r="B14" t="s">
        <v>1739</v>
      </c>
      <c r="C14">
        <v>24</v>
      </c>
    </row>
    <row r="15" spans="1:3">
      <c r="A15" t="s">
        <v>3759</v>
      </c>
      <c r="B15" t="s">
        <v>3768</v>
      </c>
      <c r="C15">
        <v>32</v>
      </c>
    </row>
    <row r="16" spans="1:3">
      <c r="A16" t="s">
        <v>3759</v>
      </c>
      <c r="B16" t="s">
        <v>3765</v>
      </c>
      <c r="C16">
        <v>16</v>
      </c>
    </row>
    <row r="17" spans="1:3">
      <c r="A17" t="s">
        <v>3759</v>
      </c>
      <c r="B17" t="s">
        <v>6019</v>
      </c>
      <c r="C17">
        <v>32</v>
      </c>
    </row>
    <row r="18" spans="1:3">
      <c r="A18" t="s">
        <v>3759</v>
      </c>
      <c r="B18" t="s">
        <v>6262</v>
      </c>
      <c r="C18">
        <v>12</v>
      </c>
    </row>
    <row r="19" spans="1:3">
      <c r="A19" t="s">
        <v>5968</v>
      </c>
      <c r="B19" t="s">
        <v>5031</v>
      </c>
      <c r="C19">
        <v>56</v>
      </c>
    </row>
    <row r="20" spans="1:3">
      <c r="A20" t="s">
        <v>5968</v>
      </c>
      <c r="B20" t="s">
        <v>6338</v>
      </c>
      <c r="C20">
        <v>40</v>
      </c>
    </row>
    <row r="21" spans="1:3">
      <c r="A21" t="s">
        <v>5968</v>
      </c>
      <c r="B21" t="s">
        <v>6339</v>
      </c>
      <c r="C21">
        <v>4</v>
      </c>
    </row>
    <row r="22" spans="1:3">
      <c r="A22" t="s">
        <v>3799</v>
      </c>
      <c r="B22" t="s">
        <v>3823</v>
      </c>
      <c r="C22">
        <v>8</v>
      </c>
    </row>
    <row r="23" spans="1:3">
      <c r="A23" t="s">
        <v>3799</v>
      </c>
      <c r="B23" t="s">
        <v>3829</v>
      </c>
      <c r="C23">
        <v>4</v>
      </c>
    </row>
    <row r="24" spans="1:3">
      <c r="A24" t="s">
        <v>3799</v>
      </c>
      <c r="B24" t="s">
        <v>3820</v>
      </c>
      <c r="C24">
        <v>40</v>
      </c>
    </row>
    <row r="25" spans="1:3">
      <c r="A25" t="s">
        <v>3799</v>
      </c>
      <c r="B25" t="s">
        <v>3814</v>
      </c>
      <c r="C25">
        <v>4</v>
      </c>
    </row>
    <row r="26" spans="1:3">
      <c r="A26" t="s">
        <v>3799</v>
      </c>
      <c r="B26" t="s">
        <v>3811</v>
      </c>
      <c r="C26">
        <v>4</v>
      </c>
    </row>
    <row r="27" spans="1:3">
      <c r="A27" t="s">
        <v>3799</v>
      </c>
      <c r="B27" t="s">
        <v>3802</v>
      </c>
      <c r="C27">
        <v>24</v>
      </c>
    </row>
    <row r="28" spans="1:3">
      <c r="A28" t="s">
        <v>3799</v>
      </c>
      <c r="B28" t="s">
        <v>3847</v>
      </c>
      <c r="C28">
        <v>40</v>
      </c>
    </row>
    <row r="29" spans="1:3">
      <c r="A29" t="s">
        <v>3799</v>
      </c>
      <c r="B29" t="s">
        <v>3844</v>
      </c>
      <c r="C29">
        <v>40</v>
      </c>
    </row>
    <row r="30" spans="1:3">
      <c r="A30" t="s">
        <v>3799</v>
      </c>
      <c r="B30" t="s">
        <v>3850</v>
      </c>
      <c r="C30">
        <v>4</v>
      </c>
    </row>
    <row r="31" spans="1:3">
      <c r="A31" t="s">
        <v>3799</v>
      </c>
      <c r="B31" t="s">
        <v>3832</v>
      </c>
      <c r="C31">
        <v>4</v>
      </c>
    </row>
    <row r="32" spans="1:3">
      <c r="A32" t="s">
        <v>3799</v>
      </c>
      <c r="B32" t="s">
        <v>3841</v>
      </c>
      <c r="C32">
        <v>0</v>
      </c>
    </row>
    <row r="33" spans="1:3">
      <c r="A33" t="s">
        <v>3799</v>
      </c>
      <c r="B33" t="s">
        <v>3805</v>
      </c>
      <c r="C33">
        <v>4</v>
      </c>
    </row>
    <row r="34" spans="1:3">
      <c r="A34" t="s">
        <v>3799</v>
      </c>
      <c r="B34" t="s">
        <v>3826</v>
      </c>
      <c r="C34">
        <v>4</v>
      </c>
    </row>
    <row r="35" spans="1:3">
      <c r="A35" t="s">
        <v>3799</v>
      </c>
      <c r="B35" t="s">
        <v>3853</v>
      </c>
      <c r="C35">
        <v>24</v>
      </c>
    </row>
    <row r="36" spans="1:3">
      <c r="A36" t="s">
        <v>3780</v>
      </c>
      <c r="B36" t="s">
        <v>3798</v>
      </c>
      <c r="C36">
        <v>0</v>
      </c>
    </row>
    <row r="37" spans="1:3">
      <c r="A37" t="s">
        <v>3780</v>
      </c>
      <c r="B37" t="s">
        <v>3783</v>
      </c>
      <c r="C37">
        <v>8</v>
      </c>
    </row>
    <row r="38" spans="1:3">
      <c r="A38" t="s">
        <v>3780</v>
      </c>
      <c r="B38" t="s">
        <v>3792</v>
      </c>
      <c r="C38">
        <v>40</v>
      </c>
    </row>
    <row r="39" spans="1:3">
      <c r="A39" t="s">
        <v>3780</v>
      </c>
      <c r="B39" t="s">
        <v>3795</v>
      </c>
      <c r="C39">
        <v>16</v>
      </c>
    </row>
    <row r="40" spans="1:3">
      <c r="A40" t="s">
        <v>3780</v>
      </c>
      <c r="B40" t="s">
        <v>3789</v>
      </c>
      <c r="C40">
        <v>4</v>
      </c>
    </row>
    <row r="41" spans="1:3">
      <c r="A41" t="s">
        <v>3780</v>
      </c>
      <c r="B41" t="s">
        <v>3786</v>
      </c>
      <c r="C41">
        <v>8</v>
      </c>
    </row>
    <row r="42" spans="1:3">
      <c r="A42" t="s">
        <v>423</v>
      </c>
      <c r="B42" t="s">
        <v>424</v>
      </c>
      <c r="C42">
        <v>40</v>
      </c>
    </row>
    <row r="43" spans="1:3">
      <c r="A43" t="s">
        <v>149</v>
      </c>
      <c r="B43" t="s">
        <v>172</v>
      </c>
      <c r="C43">
        <v>8</v>
      </c>
    </row>
    <row r="44" spans="1:3">
      <c r="A44" t="s">
        <v>149</v>
      </c>
      <c r="B44" t="s">
        <v>3808</v>
      </c>
      <c r="C44">
        <v>4</v>
      </c>
    </row>
    <row r="45" spans="1:3">
      <c r="A45" t="s">
        <v>1568</v>
      </c>
      <c r="B45" t="s">
        <v>6020</v>
      </c>
      <c r="C45">
        <v>16</v>
      </c>
    </row>
    <row r="46" spans="1:3">
      <c r="A46" t="s">
        <v>1568</v>
      </c>
      <c r="B46" t="s">
        <v>1569</v>
      </c>
      <c r="C46">
        <v>24</v>
      </c>
    </row>
    <row r="47" spans="1:3">
      <c r="A47" t="s">
        <v>4648</v>
      </c>
      <c r="B47" t="s">
        <v>4683</v>
      </c>
      <c r="C47">
        <v>4</v>
      </c>
    </row>
    <row r="48" spans="1:3">
      <c r="A48" t="s">
        <v>4648</v>
      </c>
      <c r="B48" t="s">
        <v>4672</v>
      </c>
      <c r="C48">
        <v>16</v>
      </c>
    </row>
    <row r="49" spans="1:3">
      <c r="A49" t="s">
        <v>4648</v>
      </c>
      <c r="B49" t="s">
        <v>4666</v>
      </c>
      <c r="C49">
        <v>40</v>
      </c>
    </row>
    <row r="50" spans="1:3">
      <c r="A50" t="s">
        <v>4648</v>
      </c>
      <c r="B50" t="s">
        <v>4663</v>
      </c>
      <c r="C50">
        <v>4</v>
      </c>
    </row>
    <row r="51" spans="1:3">
      <c r="A51" t="s">
        <v>4648</v>
      </c>
      <c r="B51" t="s">
        <v>4669</v>
      </c>
      <c r="C51">
        <v>4</v>
      </c>
    </row>
    <row r="52" spans="1:3">
      <c r="A52" t="s">
        <v>4648</v>
      </c>
      <c r="B52" t="s">
        <v>4660</v>
      </c>
      <c r="C52">
        <v>4</v>
      </c>
    </row>
    <row r="53" spans="1:3">
      <c r="A53" t="s">
        <v>4648</v>
      </c>
      <c r="B53" t="s">
        <v>4657</v>
      </c>
      <c r="C53">
        <v>6</v>
      </c>
    </row>
    <row r="54" spans="1:3">
      <c r="A54" t="s">
        <v>4648</v>
      </c>
      <c r="B54" t="s">
        <v>4654</v>
      </c>
      <c r="C54">
        <v>24</v>
      </c>
    </row>
    <row r="55" spans="1:3">
      <c r="A55" t="s">
        <v>4648</v>
      </c>
      <c r="B55" t="s">
        <v>4651</v>
      </c>
      <c r="C55">
        <v>4</v>
      </c>
    </row>
    <row r="56" spans="1:3">
      <c r="A56" t="s">
        <v>4648</v>
      </c>
      <c r="B56" t="s">
        <v>4677</v>
      </c>
      <c r="C56">
        <v>4</v>
      </c>
    </row>
    <row r="57" spans="1:3">
      <c r="A57" t="s">
        <v>4648</v>
      </c>
      <c r="B57" t="s">
        <v>4680</v>
      </c>
      <c r="C57">
        <v>8</v>
      </c>
    </row>
    <row r="58" spans="1:3">
      <c r="A58" t="s">
        <v>6340</v>
      </c>
      <c r="B58" t="s">
        <v>6341</v>
      </c>
      <c r="C58">
        <v>24</v>
      </c>
    </row>
    <row r="59" spans="1:3">
      <c r="A59" t="s">
        <v>6340</v>
      </c>
      <c r="B59" t="s">
        <v>6342</v>
      </c>
      <c r="C59">
        <v>16</v>
      </c>
    </row>
    <row r="60" spans="1:3">
      <c r="A60" t="s">
        <v>6340</v>
      </c>
      <c r="B60" t="s">
        <v>6343</v>
      </c>
      <c r="C60">
        <v>40</v>
      </c>
    </row>
    <row r="61" spans="1:3">
      <c r="A61" t="s">
        <v>15</v>
      </c>
      <c r="B61" t="s">
        <v>111</v>
      </c>
      <c r="C61">
        <v>16</v>
      </c>
    </row>
    <row r="62" spans="1:3">
      <c r="A62" t="s">
        <v>15</v>
      </c>
      <c r="B62" t="s">
        <v>6022</v>
      </c>
      <c r="C62">
        <v>16</v>
      </c>
    </row>
    <row r="63" spans="1:3">
      <c r="A63" t="s">
        <v>15</v>
      </c>
      <c r="B63" t="s">
        <v>113</v>
      </c>
      <c r="C63">
        <v>16</v>
      </c>
    </row>
    <row r="64" spans="1:3">
      <c r="A64" t="s">
        <v>15</v>
      </c>
      <c r="B64" t="s">
        <v>6023</v>
      </c>
      <c r="C64">
        <v>16</v>
      </c>
    </row>
    <row r="65" spans="1:3">
      <c r="A65" t="s">
        <v>6</v>
      </c>
      <c r="B65" t="s">
        <v>127</v>
      </c>
      <c r="C65">
        <v>24</v>
      </c>
    </row>
    <row r="66" spans="1:3">
      <c r="A66" t="s">
        <v>6</v>
      </c>
      <c r="B66" t="s">
        <v>6</v>
      </c>
      <c r="C66">
        <v>120</v>
      </c>
    </row>
    <row r="67" spans="1:3">
      <c r="A67" t="s">
        <v>6</v>
      </c>
      <c r="B67" t="s">
        <v>4136</v>
      </c>
      <c r="C67">
        <v>40</v>
      </c>
    </row>
    <row r="68" spans="1:3">
      <c r="A68" t="s">
        <v>6</v>
      </c>
      <c r="B68" t="s">
        <v>4142</v>
      </c>
      <c r="C68">
        <v>8</v>
      </c>
    </row>
    <row r="69" spans="1:3">
      <c r="A69" t="s">
        <v>6</v>
      </c>
      <c r="B69" t="s">
        <v>128</v>
      </c>
      <c r="C69">
        <v>10</v>
      </c>
    </row>
    <row r="70" spans="1:3">
      <c r="A70" t="s">
        <v>4</v>
      </c>
      <c r="B70" t="s">
        <v>84</v>
      </c>
      <c r="C70">
        <v>4</v>
      </c>
    </row>
    <row r="71" spans="1:3">
      <c r="A71" t="s">
        <v>4</v>
      </c>
      <c r="B71" t="s">
        <v>90</v>
      </c>
      <c r="C71">
        <v>16</v>
      </c>
    </row>
    <row r="72" spans="1:3">
      <c r="A72" t="s">
        <v>4</v>
      </c>
      <c r="B72" t="s">
        <v>81</v>
      </c>
      <c r="C72">
        <v>8</v>
      </c>
    </row>
    <row r="73" spans="1:3">
      <c r="A73" t="s">
        <v>4</v>
      </c>
      <c r="B73" t="s">
        <v>89</v>
      </c>
      <c r="C73">
        <v>24</v>
      </c>
    </row>
    <row r="74" spans="1:3">
      <c r="A74" t="s">
        <v>4</v>
      </c>
      <c r="B74" t="s">
        <v>79</v>
      </c>
      <c r="C74">
        <v>6</v>
      </c>
    </row>
    <row r="75" spans="1:3">
      <c r="A75" t="s">
        <v>4</v>
      </c>
      <c r="B75" t="s">
        <v>4132</v>
      </c>
      <c r="C75">
        <v>4</v>
      </c>
    </row>
    <row r="76" spans="1:3">
      <c r="A76" t="s">
        <v>4</v>
      </c>
      <c r="B76" t="s">
        <v>83</v>
      </c>
      <c r="C76">
        <v>4</v>
      </c>
    </row>
    <row r="77" spans="1:3">
      <c r="A77" t="s">
        <v>9</v>
      </c>
      <c r="B77" t="s">
        <v>99</v>
      </c>
      <c r="C77">
        <v>16</v>
      </c>
    </row>
    <row r="78" spans="1:3">
      <c r="A78" t="s">
        <v>9</v>
      </c>
      <c r="B78" t="s">
        <v>97</v>
      </c>
      <c r="C78">
        <v>6</v>
      </c>
    </row>
    <row r="79" spans="1:3">
      <c r="A79" t="s">
        <v>9</v>
      </c>
      <c r="B79" t="s">
        <v>6266</v>
      </c>
      <c r="C79">
        <v>6</v>
      </c>
    </row>
    <row r="80" spans="1:3">
      <c r="A80" t="s">
        <v>9</v>
      </c>
      <c r="B80" t="s">
        <v>91</v>
      </c>
      <c r="C80">
        <v>8</v>
      </c>
    </row>
    <row r="81" spans="1:3">
      <c r="A81" t="s">
        <v>9</v>
      </c>
      <c r="B81" t="s">
        <v>93</v>
      </c>
      <c r="C81">
        <v>32</v>
      </c>
    </row>
    <row r="82" spans="1:3">
      <c r="A82" t="s">
        <v>9</v>
      </c>
      <c r="B82" t="s">
        <v>92</v>
      </c>
      <c r="C82">
        <v>16</v>
      </c>
    </row>
    <row r="83" spans="1:3">
      <c r="A83" t="s">
        <v>9</v>
      </c>
      <c r="B83" t="s">
        <v>332</v>
      </c>
      <c r="C83">
        <v>0</v>
      </c>
    </row>
    <row r="84" spans="1:3">
      <c r="A84" t="s">
        <v>9</v>
      </c>
      <c r="B84" t="s">
        <v>341</v>
      </c>
      <c r="C84">
        <v>4</v>
      </c>
    </row>
    <row r="85" spans="1:3">
      <c r="A85" t="s">
        <v>9</v>
      </c>
      <c r="B85" t="s">
        <v>100</v>
      </c>
      <c r="C85">
        <v>6</v>
      </c>
    </row>
    <row r="86" spans="1:3">
      <c r="A86" t="s">
        <v>9</v>
      </c>
      <c r="B86" t="s">
        <v>400</v>
      </c>
      <c r="C86">
        <v>12</v>
      </c>
    </row>
    <row r="87" spans="1:3">
      <c r="A87" t="s">
        <v>9</v>
      </c>
      <c r="B87" t="s">
        <v>382</v>
      </c>
      <c r="C87">
        <v>8</v>
      </c>
    </row>
    <row r="88" spans="1:3">
      <c r="A88" t="s">
        <v>3686</v>
      </c>
      <c r="B88" t="s">
        <v>3696</v>
      </c>
      <c r="C88">
        <v>24</v>
      </c>
    </row>
    <row r="89" spans="1:3">
      <c r="A89" t="s">
        <v>3686</v>
      </c>
      <c r="B89" t="s">
        <v>3693</v>
      </c>
      <c r="C89">
        <v>24</v>
      </c>
    </row>
    <row r="90" spans="1:3">
      <c r="A90" t="s">
        <v>3686</v>
      </c>
      <c r="B90" t="s">
        <v>3689</v>
      </c>
      <c r="C90">
        <v>16</v>
      </c>
    </row>
    <row r="91" spans="1:3">
      <c r="A91" t="s">
        <v>3686</v>
      </c>
      <c r="B91" t="s">
        <v>3699</v>
      </c>
      <c r="C91">
        <v>4</v>
      </c>
    </row>
    <row r="92" spans="1:3">
      <c r="A92" t="s">
        <v>3686</v>
      </c>
      <c r="B92" t="s">
        <v>5883</v>
      </c>
      <c r="C92">
        <v>16</v>
      </c>
    </row>
    <row r="93" spans="1:3">
      <c r="A93" t="s">
        <v>4588</v>
      </c>
      <c r="B93" t="s">
        <v>4603</v>
      </c>
      <c r="C93">
        <v>6</v>
      </c>
    </row>
    <row r="94" spans="1:3">
      <c r="A94" t="s">
        <v>4588</v>
      </c>
      <c r="B94" t="s">
        <v>4600</v>
      </c>
      <c r="C94">
        <v>6</v>
      </c>
    </row>
    <row r="95" spans="1:3">
      <c r="A95" t="s">
        <v>4588</v>
      </c>
      <c r="B95" t="s">
        <v>4612</v>
      </c>
      <c r="C95">
        <v>8</v>
      </c>
    </row>
    <row r="96" spans="1:3">
      <c r="A96" t="s">
        <v>4588</v>
      </c>
      <c r="B96" t="s">
        <v>4629</v>
      </c>
      <c r="C96">
        <v>32</v>
      </c>
    </row>
    <row r="97" spans="1:3">
      <c r="A97" t="s">
        <v>4588</v>
      </c>
      <c r="B97" t="s">
        <v>4615</v>
      </c>
      <c r="C97">
        <v>40</v>
      </c>
    </row>
    <row r="98" spans="1:3">
      <c r="A98" t="s">
        <v>4588</v>
      </c>
      <c r="B98" t="s">
        <v>4618</v>
      </c>
      <c r="C98">
        <v>4</v>
      </c>
    </row>
    <row r="99" spans="1:3">
      <c r="A99" t="s">
        <v>4588</v>
      </c>
      <c r="B99" t="s">
        <v>4606</v>
      </c>
      <c r="C99">
        <v>12</v>
      </c>
    </row>
    <row r="100" spans="1:3">
      <c r="A100" t="s">
        <v>4588</v>
      </c>
      <c r="B100" t="s">
        <v>4594</v>
      </c>
      <c r="C100">
        <v>4</v>
      </c>
    </row>
    <row r="101" spans="1:3">
      <c r="A101" t="s">
        <v>4588</v>
      </c>
      <c r="B101" t="s">
        <v>3774</v>
      </c>
      <c r="C101">
        <v>0</v>
      </c>
    </row>
    <row r="102" spans="1:3">
      <c r="A102" t="s">
        <v>4588</v>
      </c>
      <c r="B102" t="s">
        <v>4626</v>
      </c>
      <c r="C102">
        <v>8</v>
      </c>
    </row>
    <row r="103" spans="1:3">
      <c r="A103" t="s">
        <v>4588</v>
      </c>
      <c r="B103" t="s">
        <v>4641</v>
      </c>
      <c r="C103">
        <v>4</v>
      </c>
    </row>
    <row r="104" spans="1:3">
      <c r="A104" t="s">
        <v>4588</v>
      </c>
      <c r="B104" t="s">
        <v>4624</v>
      </c>
      <c r="C104">
        <v>16</v>
      </c>
    </row>
    <row r="105" spans="1:3">
      <c r="A105" t="s">
        <v>4588</v>
      </c>
      <c r="B105" t="s">
        <v>4636</v>
      </c>
      <c r="C105">
        <v>12</v>
      </c>
    </row>
    <row r="106" spans="1:3">
      <c r="A106" t="s">
        <v>4588</v>
      </c>
      <c r="B106" t="s">
        <v>4597</v>
      </c>
      <c r="C106">
        <v>24</v>
      </c>
    </row>
    <row r="107" spans="1:3">
      <c r="A107" t="s">
        <v>20</v>
      </c>
      <c r="B107" t="s">
        <v>20</v>
      </c>
      <c r="C107">
        <v>40</v>
      </c>
    </row>
    <row r="108" spans="1:3">
      <c r="A108" t="s">
        <v>20</v>
      </c>
      <c r="B108" t="s">
        <v>4374</v>
      </c>
      <c r="C108">
        <v>4</v>
      </c>
    </row>
    <row r="109" spans="1:3">
      <c r="A109" t="s">
        <v>20</v>
      </c>
      <c r="B109" t="s">
        <v>1042</v>
      </c>
      <c r="C109">
        <v>6</v>
      </c>
    </row>
    <row r="110" spans="1:3">
      <c r="A110" t="s">
        <v>12</v>
      </c>
      <c r="B110" t="s">
        <v>6267</v>
      </c>
      <c r="C110">
        <v>24</v>
      </c>
    </row>
    <row r="111" spans="1:3">
      <c r="A111" t="s">
        <v>12</v>
      </c>
      <c r="B111" t="s">
        <v>140</v>
      </c>
      <c r="C111">
        <v>24</v>
      </c>
    </row>
    <row r="112" spans="1:3">
      <c r="A112" t="s">
        <v>10</v>
      </c>
      <c r="B112" t="s">
        <v>121</v>
      </c>
      <c r="C112">
        <v>24</v>
      </c>
    </row>
    <row r="113" spans="1:3">
      <c r="A113" t="s">
        <v>849</v>
      </c>
      <c r="B113" t="s">
        <v>3707</v>
      </c>
      <c r="C113">
        <v>12</v>
      </c>
    </row>
    <row r="114" spans="1:3">
      <c r="A114" t="s">
        <v>849</v>
      </c>
      <c r="B114" t="s">
        <v>3710</v>
      </c>
      <c r="C114">
        <v>32</v>
      </c>
    </row>
    <row r="115" spans="1:3">
      <c r="A115" t="s">
        <v>849</v>
      </c>
      <c r="B115" t="s">
        <v>3713</v>
      </c>
      <c r="C115">
        <v>16</v>
      </c>
    </row>
    <row r="116" spans="1:3">
      <c r="A116" t="s">
        <v>849</v>
      </c>
      <c r="B116" t="s">
        <v>3704</v>
      </c>
      <c r="C116">
        <v>8</v>
      </c>
    </row>
    <row r="117" spans="1:3">
      <c r="A117" t="s">
        <v>849</v>
      </c>
      <c r="B117" t="s">
        <v>3703</v>
      </c>
      <c r="C117">
        <v>8</v>
      </c>
    </row>
    <row r="118" spans="1:3">
      <c r="A118" t="s">
        <v>849</v>
      </c>
      <c r="B118" t="s">
        <v>3701</v>
      </c>
      <c r="C118">
        <v>0</v>
      </c>
    </row>
    <row r="119" spans="1:3">
      <c r="A119" t="s">
        <v>849</v>
      </c>
      <c r="B119" t="s">
        <v>3726</v>
      </c>
      <c r="C119">
        <v>12</v>
      </c>
    </row>
    <row r="120" spans="1:3">
      <c r="A120" t="s">
        <v>442</v>
      </c>
      <c r="B120" t="s">
        <v>6263</v>
      </c>
      <c r="C120">
        <v>48</v>
      </c>
    </row>
    <row r="121" spans="1:3">
      <c r="A121" t="s">
        <v>442</v>
      </c>
      <c r="B121" t="s">
        <v>123</v>
      </c>
      <c r="C121">
        <v>12</v>
      </c>
    </row>
    <row r="122" spans="1:3">
      <c r="A122" t="s">
        <v>442</v>
      </c>
      <c r="B122" t="s">
        <v>444</v>
      </c>
      <c r="C122">
        <v>40</v>
      </c>
    </row>
    <row r="123" spans="1:3">
      <c r="A123" t="s">
        <v>442</v>
      </c>
      <c r="B123" t="s">
        <v>442</v>
      </c>
      <c r="C123">
        <v>24</v>
      </c>
    </row>
    <row r="124" spans="1:3">
      <c r="A124" t="s">
        <v>442</v>
      </c>
      <c r="B124" t="s">
        <v>443</v>
      </c>
      <c r="C124">
        <v>24</v>
      </c>
    </row>
    <row r="125" spans="1:3">
      <c r="A125" t="s">
        <v>17</v>
      </c>
      <c r="B125" t="s">
        <v>17</v>
      </c>
      <c r="C125">
        <v>40</v>
      </c>
    </row>
    <row r="126" spans="1:3">
      <c r="A126" t="s">
        <v>4705</v>
      </c>
      <c r="B126" t="s">
        <v>3779</v>
      </c>
      <c r="C126">
        <v>4</v>
      </c>
    </row>
    <row r="127" spans="1:3">
      <c r="A127" t="s">
        <v>4705</v>
      </c>
      <c r="B127" t="s">
        <v>5217</v>
      </c>
      <c r="C127">
        <v>0</v>
      </c>
    </row>
    <row r="128" spans="1:3">
      <c r="A128" t="s">
        <v>4705</v>
      </c>
      <c r="B128" t="s">
        <v>3882</v>
      </c>
      <c r="C128">
        <v>0</v>
      </c>
    </row>
    <row r="129" spans="1:3">
      <c r="A129" t="s">
        <v>4705</v>
      </c>
      <c r="B129" t="s">
        <v>4609</v>
      </c>
      <c r="C129">
        <v>0</v>
      </c>
    </row>
    <row r="130" spans="1:3">
      <c r="A130" t="s">
        <v>4705</v>
      </c>
      <c r="B130" t="s">
        <v>4696</v>
      </c>
      <c r="C130">
        <v>0</v>
      </c>
    </row>
    <row r="131" spans="1:3">
      <c r="A131" t="s">
        <v>4705</v>
      </c>
      <c r="B131" t="s">
        <v>4591</v>
      </c>
      <c r="C131">
        <v>0</v>
      </c>
    </row>
    <row r="132" spans="1:3">
      <c r="A132" t="s">
        <v>4705</v>
      </c>
      <c r="B132" t="s">
        <v>3871</v>
      </c>
      <c r="C132">
        <v>0</v>
      </c>
    </row>
    <row r="133" spans="1:3">
      <c r="A133" t="s">
        <v>4705</v>
      </c>
      <c r="B133" t="s">
        <v>4537</v>
      </c>
      <c r="C133">
        <v>0</v>
      </c>
    </row>
    <row r="134" spans="1:3">
      <c r="A134" t="s">
        <v>4705</v>
      </c>
      <c r="B134" t="s">
        <v>4505</v>
      </c>
      <c r="C134">
        <v>0</v>
      </c>
    </row>
    <row r="135" spans="1:3">
      <c r="A135" t="s">
        <v>4705</v>
      </c>
      <c r="B135" t="s">
        <v>4635</v>
      </c>
      <c r="C135">
        <v>0</v>
      </c>
    </row>
    <row r="136" spans="1:3">
      <c r="A136" t="s">
        <v>4705</v>
      </c>
      <c r="B136" t="s">
        <v>4632</v>
      </c>
      <c r="C136">
        <v>0</v>
      </c>
    </row>
    <row r="137" spans="1:3">
      <c r="A137" t="s">
        <v>4705</v>
      </c>
      <c r="B137" t="s">
        <v>4699</v>
      </c>
      <c r="C137">
        <v>0</v>
      </c>
    </row>
    <row r="138" spans="1:3">
      <c r="A138" t="s">
        <v>4705</v>
      </c>
      <c r="B138" t="s">
        <v>4639</v>
      </c>
      <c r="C138">
        <v>0</v>
      </c>
    </row>
    <row r="139" spans="1:3">
      <c r="A139" t="s">
        <v>4705</v>
      </c>
      <c r="B139" t="s">
        <v>3860</v>
      </c>
      <c r="C139">
        <v>0</v>
      </c>
    </row>
    <row r="140" spans="1:3">
      <c r="A140" t="s">
        <v>4705</v>
      </c>
      <c r="B140" t="s">
        <v>4702</v>
      </c>
      <c r="C140">
        <v>0</v>
      </c>
    </row>
    <row r="141" spans="1:3">
      <c r="A141" t="s">
        <v>4705</v>
      </c>
      <c r="B141" t="s">
        <v>4647</v>
      </c>
      <c r="C141">
        <v>0</v>
      </c>
    </row>
    <row r="142" spans="1:3">
      <c r="A142" t="s">
        <v>4705</v>
      </c>
      <c r="B142" t="s">
        <v>3899</v>
      </c>
      <c r="C142">
        <v>0</v>
      </c>
    </row>
    <row r="143" spans="1:3">
      <c r="A143" t="s">
        <v>4705</v>
      </c>
      <c r="B143" t="s">
        <v>4534</v>
      </c>
      <c r="C143">
        <v>4</v>
      </c>
    </row>
    <row r="144" spans="1:3">
      <c r="A144" t="s">
        <v>4705</v>
      </c>
      <c r="B144" t="s">
        <v>3838</v>
      </c>
      <c r="C144">
        <v>0</v>
      </c>
    </row>
    <row r="145" spans="1:3">
      <c r="A145" t="s">
        <v>4705</v>
      </c>
      <c r="B145" t="s">
        <v>3888</v>
      </c>
      <c r="C145">
        <v>0</v>
      </c>
    </row>
    <row r="146" spans="1:3">
      <c r="A146" t="s">
        <v>4705</v>
      </c>
      <c r="B146" t="s">
        <v>4531</v>
      </c>
      <c r="C146">
        <v>4</v>
      </c>
    </row>
    <row r="147" spans="1:3">
      <c r="A147" t="s">
        <v>4705</v>
      </c>
      <c r="B147" t="s">
        <v>4571</v>
      </c>
      <c r="C147">
        <v>0</v>
      </c>
    </row>
    <row r="148" spans="1:3">
      <c r="A148" t="s">
        <v>4705</v>
      </c>
      <c r="B148" t="s">
        <v>4563</v>
      </c>
      <c r="C148">
        <v>8</v>
      </c>
    </row>
    <row r="149" spans="1:3">
      <c r="A149" t="s">
        <v>4705</v>
      </c>
      <c r="B149" t="s">
        <v>351</v>
      </c>
      <c r="C149">
        <v>12</v>
      </c>
    </row>
    <row r="150" spans="1:3">
      <c r="A150" t="s">
        <v>3746</v>
      </c>
      <c r="B150" t="s">
        <v>3752</v>
      </c>
      <c r="C150">
        <v>12</v>
      </c>
    </row>
    <row r="151" spans="1:3">
      <c r="A151" t="s">
        <v>3746</v>
      </c>
      <c r="B151" t="s">
        <v>3749</v>
      </c>
      <c r="C151">
        <v>16</v>
      </c>
    </row>
    <row r="152" spans="1:3">
      <c r="A152" t="s">
        <v>1878</v>
      </c>
      <c r="B152" t="s">
        <v>1900</v>
      </c>
      <c r="C152">
        <v>16</v>
      </c>
    </row>
    <row r="153" spans="1:3">
      <c r="A153" t="s">
        <v>1878</v>
      </c>
      <c r="B153" t="s">
        <v>1898</v>
      </c>
      <c r="C153">
        <v>16</v>
      </c>
    </row>
    <row r="154" spans="1:3">
      <c r="A154" t="s">
        <v>1878</v>
      </c>
      <c r="B154" t="s">
        <v>1895</v>
      </c>
      <c r="C154">
        <v>12</v>
      </c>
    </row>
    <row r="155" spans="1:3">
      <c r="A155" t="s">
        <v>1878</v>
      </c>
      <c r="B155" t="s">
        <v>1892</v>
      </c>
      <c r="C155">
        <v>12</v>
      </c>
    </row>
    <row r="156" spans="1:3">
      <c r="A156" t="s">
        <v>1878</v>
      </c>
      <c r="B156" t="s">
        <v>1889</v>
      </c>
      <c r="C156">
        <v>16</v>
      </c>
    </row>
    <row r="157" spans="1:3">
      <c r="A157" t="s">
        <v>1878</v>
      </c>
      <c r="B157" t="s">
        <v>1886</v>
      </c>
      <c r="C157">
        <v>16</v>
      </c>
    </row>
    <row r="158" spans="1:3">
      <c r="A158" t="s">
        <v>1878</v>
      </c>
      <c r="B158" t="s">
        <v>1883</v>
      </c>
      <c r="C158">
        <v>12</v>
      </c>
    </row>
    <row r="159" spans="1:3">
      <c r="A159" t="s">
        <v>1878</v>
      </c>
      <c r="B159" t="s">
        <v>1877</v>
      </c>
      <c r="C159">
        <v>16</v>
      </c>
    </row>
    <row r="160" spans="1:3">
      <c r="A160" t="s">
        <v>1878</v>
      </c>
      <c r="B160" t="s">
        <v>1880</v>
      </c>
      <c r="C160">
        <v>12</v>
      </c>
    </row>
    <row r="161" spans="1:3">
      <c r="A161" t="s">
        <v>1878</v>
      </c>
      <c r="B161" t="s">
        <v>1912</v>
      </c>
      <c r="C161">
        <v>16</v>
      </c>
    </row>
    <row r="162" spans="1:3">
      <c r="A162" t="s">
        <v>1878</v>
      </c>
      <c r="B162" t="s">
        <v>1909</v>
      </c>
      <c r="C162">
        <v>12</v>
      </c>
    </row>
    <row r="163" spans="1:3">
      <c r="A163" t="s">
        <v>1878</v>
      </c>
      <c r="B163" t="s">
        <v>1906</v>
      </c>
      <c r="C163">
        <v>12</v>
      </c>
    </row>
    <row r="164" spans="1:3">
      <c r="A164" t="s">
        <v>1878</v>
      </c>
      <c r="B164" t="s">
        <v>1903</v>
      </c>
      <c r="C164">
        <v>12</v>
      </c>
    </row>
    <row r="165" spans="1:3">
      <c r="A165" t="s">
        <v>4474</v>
      </c>
      <c r="B165" t="s">
        <v>4145</v>
      </c>
      <c r="C165">
        <v>12</v>
      </c>
    </row>
    <row r="166" spans="1:3">
      <c r="A166" t="s">
        <v>4474</v>
      </c>
      <c r="B166" t="s">
        <v>4498</v>
      </c>
      <c r="C166">
        <v>16</v>
      </c>
    </row>
    <row r="167" spans="1:3">
      <c r="A167" t="s">
        <v>4474</v>
      </c>
      <c r="B167" t="s">
        <v>4483</v>
      </c>
      <c r="C167">
        <v>48</v>
      </c>
    </row>
    <row r="168" spans="1:3">
      <c r="A168" t="s">
        <v>4474</v>
      </c>
      <c r="B168" t="s">
        <v>4494</v>
      </c>
      <c r="C168">
        <v>0</v>
      </c>
    </row>
    <row r="169" spans="1:3">
      <c r="A169" t="s">
        <v>4474</v>
      </c>
      <c r="B169" t="s">
        <v>4501</v>
      </c>
      <c r="C169">
        <v>0</v>
      </c>
    </row>
    <row r="170" spans="1:3">
      <c r="A170" t="s">
        <v>4474</v>
      </c>
      <c r="B170" t="s">
        <v>4493</v>
      </c>
      <c r="C170">
        <v>32</v>
      </c>
    </row>
    <row r="171" spans="1:3">
      <c r="A171" t="s">
        <v>4474</v>
      </c>
      <c r="B171" t="s">
        <v>4477</v>
      </c>
      <c r="C171">
        <v>24</v>
      </c>
    </row>
    <row r="172" spans="1:3">
      <c r="A172" t="s">
        <v>4474</v>
      </c>
      <c r="B172" t="s">
        <v>4490</v>
      </c>
      <c r="C172">
        <v>40</v>
      </c>
    </row>
    <row r="173" spans="1:3">
      <c r="A173" t="s">
        <v>4474</v>
      </c>
      <c r="B173" t="s">
        <v>4486</v>
      </c>
      <c r="C173">
        <v>32</v>
      </c>
    </row>
    <row r="174" spans="1:3">
      <c r="A174" t="s">
        <v>4474</v>
      </c>
      <c r="B174" t="s">
        <v>4480</v>
      </c>
      <c r="C174">
        <v>8</v>
      </c>
    </row>
    <row r="175" spans="1:3">
      <c r="A175" t="s">
        <v>4502</v>
      </c>
      <c r="B175" t="s">
        <v>4528</v>
      </c>
      <c r="C175">
        <v>0</v>
      </c>
    </row>
    <row r="176" spans="1:3">
      <c r="A176" t="s">
        <v>4502</v>
      </c>
      <c r="B176" t="s">
        <v>4000</v>
      </c>
      <c r="C176">
        <v>16</v>
      </c>
    </row>
    <row r="177" spans="1:3">
      <c r="A177" t="s">
        <v>4502</v>
      </c>
      <c r="B177" t="s">
        <v>4520</v>
      </c>
      <c r="C177">
        <v>40</v>
      </c>
    </row>
    <row r="178" spans="1:3">
      <c r="A178" t="s">
        <v>4502</v>
      </c>
      <c r="B178" t="s">
        <v>4514</v>
      </c>
      <c r="C178">
        <v>12</v>
      </c>
    </row>
    <row r="179" spans="1:3">
      <c r="A179" t="s">
        <v>4502</v>
      </c>
      <c r="B179" t="s">
        <v>4511</v>
      </c>
      <c r="C179">
        <v>4</v>
      </c>
    </row>
    <row r="180" spans="1:3">
      <c r="A180" t="s">
        <v>4502</v>
      </c>
      <c r="B180" t="s">
        <v>4522</v>
      </c>
      <c r="C180">
        <v>8</v>
      </c>
    </row>
    <row r="181" spans="1:3">
      <c r="A181" t="s">
        <v>4502</v>
      </c>
      <c r="B181" t="s">
        <v>4508</v>
      </c>
      <c r="C181">
        <v>4</v>
      </c>
    </row>
    <row r="182" spans="1:3">
      <c r="A182" t="s">
        <v>4502</v>
      </c>
      <c r="B182" t="s">
        <v>6264</v>
      </c>
      <c r="C182">
        <v>24</v>
      </c>
    </row>
    <row r="183" spans="1:3">
      <c r="A183" t="s">
        <v>6268</v>
      </c>
      <c r="B183" t="s">
        <v>133</v>
      </c>
      <c r="C183">
        <v>40</v>
      </c>
    </row>
    <row r="184" spans="1:3">
      <c r="A184" t="s">
        <v>18</v>
      </c>
      <c r="B184" t="s">
        <v>134</v>
      </c>
      <c r="C184">
        <v>40</v>
      </c>
    </row>
    <row r="185" spans="1:3">
      <c r="A185" t="s">
        <v>4377</v>
      </c>
      <c r="B185" t="s">
        <v>3817</v>
      </c>
      <c r="C185">
        <v>8</v>
      </c>
    </row>
    <row r="186" spans="1:3">
      <c r="A186" t="s">
        <v>4377</v>
      </c>
      <c r="B186" t="s">
        <v>4517</v>
      </c>
      <c r="C186">
        <v>8</v>
      </c>
    </row>
    <row r="187" spans="1:3">
      <c r="A187" t="s">
        <v>4377</v>
      </c>
      <c r="B187" t="s">
        <v>4436</v>
      </c>
      <c r="C187">
        <v>4</v>
      </c>
    </row>
    <row r="188" spans="1:3">
      <c r="A188" t="s">
        <v>4377</v>
      </c>
      <c r="B188" t="s">
        <v>4440</v>
      </c>
      <c r="C188">
        <v>8</v>
      </c>
    </row>
    <row r="189" spans="1:3">
      <c r="A189" t="s">
        <v>4377</v>
      </c>
      <c r="B189" t="s">
        <v>4429</v>
      </c>
      <c r="C189">
        <v>4</v>
      </c>
    </row>
    <row r="190" spans="1:3">
      <c r="A190" t="s">
        <v>4377</v>
      </c>
      <c r="B190" t="s">
        <v>4428</v>
      </c>
      <c r="C190">
        <v>8</v>
      </c>
    </row>
    <row r="191" spans="1:3">
      <c r="A191" t="s">
        <v>4377</v>
      </c>
      <c r="B191" t="s">
        <v>4425</v>
      </c>
      <c r="C191">
        <v>4</v>
      </c>
    </row>
    <row r="192" spans="1:3">
      <c r="A192" t="s">
        <v>4377</v>
      </c>
      <c r="B192" t="s">
        <v>4422</v>
      </c>
      <c r="C192">
        <v>8</v>
      </c>
    </row>
    <row r="193" spans="1:3">
      <c r="A193" t="s">
        <v>4377</v>
      </c>
      <c r="B193" t="s">
        <v>4419</v>
      </c>
      <c r="C193">
        <v>4</v>
      </c>
    </row>
    <row r="194" spans="1:3">
      <c r="A194" t="s">
        <v>4377</v>
      </c>
      <c r="B194" t="s">
        <v>4416</v>
      </c>
      <c r="C194">
        <v>4</v>
      </c>
    </row>
    <row r="195" spans="1:3">
      <c r="A195" t="s">
        <v>4377</v>
      </c>
      <c r="B195" t="s">
        <v>6265</v>
      </c>
      <c r="C195">
        <v>0</v>
      </c>
    </row>
    <row r="196" spans="1:3">
      <c r="A196" t="s">
        <v>4377</v>
      </c>
      <c r="B196" t="s">
        <v>4410</v>
      </c>
      <c r="C196">
        <v>0</v>
      </c>
    </row>
    <row r="197" spans="1:3">
      <c r="A197" t="s">
        <v>4377</v>
      </c>
      <c r="B197" t="s">
        <v>4407</v>
      </c>
      <c r="C197">
        <v>0</v>
      </c>
    </row>
    <row r="198" spans="1:3">
      <c r="A198" t="s">
        <v>4377</v>
      </c>
      <c r="B198" t="s">
        <v>4404</v>
      </c>
      <c r="C198">
        <v>0</v>
      </c>
    </row>
    <row r="199" spans="1:3">
      <c r="A199" t="s">
        <v>4377</v>
      </c>
      <c r="B199" t="s">
        <v>4455</v>
      </c>
      <c r="C199">
        <v>0</v>
      </c>
    </row>
    <row r="200" spans="1:3">
      <c r="A200" t="s">
        <v>4377</v>
      </c>
      <c r="B200" t="s">
        <v>4401</v>
      </c>
      <c r="C200">
        <v>4</v>
      </c>
    </row>
    <row r="201" spans="1:3">
      <c r="A201" t="s">
        <v>4377</v>
      </c>
      <c r="B201" t="s">
        <v>4398</v>
      </c>
      <c r="C201">
        <v>4</v>
      </c>
    </row>
    <row r="202" spans="1:3">
      <c r="A202" t="s">
        <v>4377</v>
      </c>
      <c r="B202" t="s">
        <v>4435</v>
      </c>
      <c r="C202">
        <v>8</v>
      </c>
    </row>
    <row r="203" spans="1:3">
      <c r="A203" t="s">
        <v>4377</v>
      </c>
      <c r="B203" t="s">
        <v>4470</v>
      </c>
      <c r="C203">
        <v>0</v>
      </c>
    </row>
    <row r="204" spans="1:3">
      <c r="A204" t="s">
        <v>4377</v>
      </c>
      <c r="B204" t="s">
        <v>4464</v>
      </c>
      <c r="C204">
        <v>6</v>
      </c>
    </row>
    <row r="205" spans="1:3">
      <c r="A205" t="s">
        <v>4377</v>
      </c>
      <c r="B205" t="s">
        <v>4461</v>
      </c>
      <c r="C205">
        <v>0</v>
      </c>
    </row>
    <row r="206" spans="1:3">
      <c r="A206" t="s">
        <v>4377</v>
      </c>
      <c r="B206" t="s">
        <v>4473</v>
      </c>
      <c r="C206">
        <v>0</v>
      </c>
    </row>
    <row r="207" spans="1:3">
      <c r="A207" t="s">
        <v>4377</v>
      </c>
      <c r="B207" t="s">
        <v>4392</v>
      </c>
      <c r="C207">
        <v>6</v>
      </c>
    </row>
    <row r="208" spans="1:3">
      <c r="A208" t="s">
        <v>4377</v>
      </c>
      <c r="B208" t="s">
        <v>4431</v>
      </c>
      <c r="C208">
        <v>8</v>
      </c>
    </row>
    <row r="209" spans="1:3">
      <c r="A209" t="s">
        <v>4377</v>
      </c>
      <c r="B209" t="s">
        <v>4395</v>
      </c>
      <c r="C209">
        <v>0</v>
      </c>
    </row>
    <row r="210" spans="1:3">
      <c r="A210" t="s">
        <v>4377</v>
      </c>
      <c r="B210" t="s">
        <v>4458</v>
      </c>
      <c r="C210">
        <v>4</v>
      </c>
    </row>
    <row r="211" spans="1:3">
      <c r="A211" t="s">
        <v>4377</v>
      </c>
      <c r="B211" t="s">
        <v>4386</v>
      </c>
      <c r="C211">
        <v>4</v>
      </c>
    </row>
    <row r="212" spans="1:3">
      <c r="A212" t="s">
        <v>4377</v>
      </c>
      <c r="B212" t="s">
        <v>4383</v>
      </c>
      <c r="C212">
        <v>0</v>
      </c>
    </row>
    <row r="213" spans="1:3">
      <c r="A213" t="s">
        <v>4377</v>
      </c>
      <c r="B213" t="s">
        <v>4467</v>
      </c>
      <c r="C213">
        <v>0</v>
      </c>
    </row>
    <row r="214" spans="1:3">
      <c r="A214" t="s">
        <v>4377</v>
      </c>
      <c r="B214" t="s">
        <v>4389</v>
      </c>
      <c r="C214">
        <v>0</v>
      </c>
    </row>
    <row r="215" spans="1:3">
      <c r="A215" t="s">
        <v>4377</v>
      </c>
      <c r="B215" t="s">
        <v>4453</v>
      </c>
      <c r="C215">
        <v>0</v>
      </c>
    </row>
    <row r="216" spans="1:3">
      <c r="A216" t="s">
        <v>4377</v>
      </c>
      <c r="B216" t="s">
        <v>4452</v>
      </c>
      <c r="C216">
        <v>0</v>
      </c>
    </row>
    <row r="217" spans="1:3">
      <c r="A217" t="s">
        <v>4377</v>
      </c>
      <c r="B217" t="s">
        <v>4449</v>
      </c>
      <c r="C217">
        <v>0</v>
      </c>
    </row>
    <row r="218" spans="1:3">
      <c r="A218" t="s">
        <v>4377</v>
      </c>
      <c r="B218" t="s">
        <v>3684</v>
      </c>
      <c r="C218">
        <v>4</v>
      </c>
    </row>
    <row r="219" spans="1:3">
      <c r="A219" t="s">
        <v>4377</v>
      </c>
      <c r="B219" t="s">
        <v>4443</v>
      </c>
      <c r="C219">
        <v>0</v>
      </c>
    </row>
    <row r="220" spans="1:3">
      <c r="A220" t="s">
        <v>4377</v>
      </c>
      <c r="B220" t="s">
        <v>4380</v>
      </c>
      <c r="C220">
        <v>0</v>
      </c>
    </row>
    <row r="221" spans="1:3">
      <c r="A221" t="s">
        <v>4377</v>
      </c>
      <c r="B221" t="s">
        <v>4446</v>
      </c>
      <c r="C221">
        <v>4</v>
      </c>
    </row>
    <row r="222" spans="1:3">
      <c r="A222" t="s">
        <v>3854</v>
      </c>
      <c r="B222" t="s">
        <v>3857</v>
      </c>
      <c r="C222">
        <v>2</v>
      </c>
    </row>
    <row r="223" spans="1:3">
      <c r="A223" t="s">
        <v>3854</v>
      </c>
      <c r="B223" t="s">
        <v>3874</v>
      </c>
      <c r="C223">
        <v>32</v>
      </c>
    </row>
    <row r="224" spans="1:3">
      <c r="A224" t="s">
        <v>3854</v>
      </c>
      <c r="B224" t="s">
        <v>3864</v>
      </c>
      <c r="C224">
        <v>0</v>
      </c>
    </row>
    <row r="225" spans="1:3">
      <c r="A225" t="s">
        <v>3854</v>
      </c>
      <c r="B225" t="s">
        <v>3885</v>
      </c>
      <c r="C225">
        <v>8</v>
      </c>
    </row>
    <row r="226" spans="1:3">
      <c r="A226" t="s">
        <v>3854</v>
      </c>
      <c r="B226" t="s">
        <v>3891</v>
      </c>
      <c r="C226">
        <v>32</v>
      </c>
    </row>
    <row r="227" spans="1:3">
      <c r="A227" t="s">
        <v>3854</v>
      </c>
      <c r="B227" t="s">
        <v>3875</v>
      </c>
      <c r="C227">
        <v>40</v>
      </c>
    </row>
    <row r="228" spans="1:3">
      <c r="A228" t="s">
        <v>3854</v>
      </c>
      <c r="B228" t="s">
        <v>3879</v>
      </c>
      <c r="C228">
        <v>16</v>
      </c>
    </row>
    <row r="229" spans="1:3">
      <c r="A229" t="s">
        <v>3854</v>
      </c>
      <c r="B229" t="s">
        <v>3868</v>
      </c>
      <c r="C229">
        <v>16</v>
      </c>
    </row>
    <row r="230" spans="1:3">
      <c r="A230" t="s">
        <v>3854</v>
      </c>
      <c r="B230" t="s">
        <v>3896</v>
      </c>
      <c r="C230">
        <v>8</v>
      </c>
    </row>
    <row r="231" spans="1:3">
      <c r="A231" t="s">
        <v>3854</v>
      </c>
      <c r="B231" t="s">
        <v>3863</v>
      </c>
      <c r="C231">
        <v>16</v>
      </c>
    </row>
    <row r="232" spans="1:3">
      <c r="A232" t="s">
        <v>3854</v>
      </c>
      <c r="B232" t="s">
        <v>3894</v>
      </c>
      <c r="C232">
        <v>4</v>
      </c>
    </row>
    <row r="233" spans="1:3">
      <c r="A233" t="s">
        <v>4538</v>
      </c>
      <c r="B233" t="s">
        <v>4580</v>
      </c>
      <c r="C233">
        <v>8</v>
      </c>
    </row>
    <row r="234" spans="1:3">
      <c r="A234" t="s">
        <v>4538</v>
      </c>
      <c r="B234" t="s">
        <v>4577</v>
      </c>
      <c r="C234">
        <v>8</v>
      </c>
    </row>
    <row r="235" spans="1:3">
      <c r="A235" t="s">
        <v>4538</v>
      </c>
      <c r="B235" t="s">
        <v>4560</v>
      </c>
      <c r="C235">
        <v>16</v>
      </c>
    </row>
    <row r="236" spans="1:3">
      <c r="A236" t="s">
        <v>4538</v>
      </c>
      <c r="B236" t="s">
        <v>4564</v>
      </c>
      <c r="C236">
        <v>0</v>
      </c>
    </row>
    <row r="237" spans="1:3">
      <c r="A237" t="s">
        <v>4538</v>
      </c>
      <c r="B237" t="s">
        <v>4568</v>
      </c>
      <c r="C237">
        <v>24</v>
      </c>
    </row>
    <row r="238" spans="1:3">
      <c r="A238" t="s">
        <v>4538</v>
      </c>
      <c r="B238" t="s">
        <v>6021</v>
      </c>
      <c r="C238">
        <v>40</v>
      </c>
    </row>
    <row r="239" spans="1:3">
      <c r="A239" t="s">
        <v>4538</v>
      </c>
      <c r="B239" t="s">
        <v>4541</v>
      </c>
      <c r="C239">
        <v>16</v>
      </c>
    </row>
    <row r="240" spans="1:3">
      <c r="A240" t="s">
        <v>4538</v>
      </c>
      <c r="B240" t="s">
        <v>4553</v>
      </c>
      <c r="C240">
        <v>16</v>
      </c>
    </row>
    <row r="241" spans="1:3">
      <c r="A241" t="s">
        <v>4538</v>
      </c>
      <c r="B241" t="s">
        <v>4556</v>
      </c>
      <c r="C241">
        <v>16</v>
      </c>
    </row>
    <row r="242" spans="1:3">
      <c r="A242" t="s">
        <v>4538</v>
      </c>
      <c r="B242" t="s">
        <v>4574</v>
      </c>
      <c r="C242">
        <v>16</v>
      </c>
    </row>
    <row r="243" spans="1:3">
      <c r="A243" t="s">
        <v>4538</v>
      </c>
      <c r="B243" t="s">
        <v>4550</v>
      </c>
      <c r="C243">
        <v>4</v>
      </c>
    </row>
    <row r="244" spans="1:3">
      <c r="A244" t="s">
        <v>4538</v>
      </c>
      <c r="B244" t="s">
        <v>4547</v>
      </c>
      <c r="C244">
        <v>4</v>
      </c>
    </row>
    <row r="245" spans="1:3">
      <c r="A245" t="s">
        <v>4538</v>
      </c>
      <c r="B245" t="s">
        <v>4544</v>
      </c>
      <c r="C245">
        <v>4</v>
      </c>
    </row>
    <row r="246" spans="1:3">
      <c r="A246" t="s">
        <v>4538</v>
      </c>
      <c r="B246" t="s">
        <v>4587</v>
      </c>
      <c r="C246">
        <v>4</v>
      </c>
    </row>
    <row r="247" spans="1:3">
      <c r="A247" t="s">
        <v>4538</v>
      </c>
      <c r="B247" t="s">
        <v>3771</v>
      </c>
      <c r="C247">
        <v>32</v>
      </c>
    </row>
    <row r="248" spans="1:3">
      <c r="A248" t="s">
        <v>4538</v>
      </c>
      <c r="B248" t="s">
        <v>3739</v>
      </c>
      <c r="C248">
        <v>16</v>
      </c>
    </row>
    <row r="249" spans="1:3">
      <c r="A249" t="s">
        <v>3714</v>
      </c>
      <c r="B249" t="s">
        <v>3745</v>
      </c>
      <c r="C249">
        <v>16</v>
      </c>
    </row>
    <row r="250" spans="1:3">
      <c r="A250" t="s">
        <v>3714</v>
      </c>
      <c r="B250" t="s">
        <v>3720</v>
      </c>
      <c r="C250">
        <v>12</v>
      </c>
    </row>
    <row r="251" spans="1:3">
      <c r="A251" t="s">
        <v>3714</v>
      </c>
      <c r="B251" t="s">
        <v>3736</v>
      </c>
      <c r="C251">
        <v>4</v>
      </c>
    </row>
    <row r="252" spans="1:3">
      <c r="A252" t="s">
        <v>3714</v>
      </c>
      <c r="B252" t="s">
        <v>6024</v>
      </c>
      <c r="C252">
        <v>32</v>
      </c>
    </row>
    <row r="253" spans="1:3">
      <c r="A253" t="s">
        <v>3714</v>
      </c>
      <c r="B253" t="s">
        <v>3729</v>
      </c>
      <c r="C253">
        <v>24</v>
      </c>
    </row>
    <row r="254" spans="1:3">
      <c r="A254" t="s">
        <v>3714</v>
      </c>
      <c r="B254" t="s">
        <v>6025</v>
      </c>
      <c r="C254">
        <v>24</v>
      </c>
    </row>
    <row r="255" spans="1:3">
      <c r="A255" t="s">
        <v>3714</v>
      </c>
      <c r="B255" t="s">
        <v>5884</v>
      </c>
      <c r="C255">
        <v>24</v>
      </c>
    </row>
    <row r="256" spans="1:3">
      <c r="A256" t="s">
        <v>3714</v>
      </c>
      <c r="B256" t="s">
        <v>3733</v>
      </c>
      <c r="C256">
        <v>32</v>
      </c>
    </row>
    <row r="257" spans="1:3">
      <c r="A257" t="s">
        <v>3714</v>
      </c>
      <c r="B257" t="s">
        <v>3723</v>
      </c>
      <c r="C257">
        <v>24</v>
      </c>
    </row>
    <row r="258" spans="1:3">
      <c r="A258" t="s">
        <v>4684</v>
      </c>
      <c r="B258" t="s">
        <v>4690</v>
      </c>
      <c r="C258">
        <v>16</v>
      </c>
    </row>
    <row r="259" spans="1:3">
      <c r="A259" t="s">
        <v>4684</v>
      </c>
      <c r="B259" t="s">
        <v>4693</v>
      </c>
      <c r="C259">
        <v>24</v>
      </c>
    </row>
    <row r="260" spans="1:3">
      <c r="A260" t="s">
        <v>4684</v>
      </c>
      <c r="B260" t="s">
        <v>4687</v>
      </c>
      <c r="C260">
        <v>12</v>
      </c>
    </row>
    <row r="261" spans="1:3">
      <c r="A261" t="s">
        <v>342</v>
      </c>
      <c r="B261" t="s">
        <v>125</v>
      </c>
      <c r="C261">
        <v>32</v>
      </c>
    </row>
    <row r="262" spans="1:3">
      <c r="A262" t="s">
        <v>342</v>
      </c>
      <c r="B262" t="s">
        <v>428</v>
      </c>
      <c r="C262">
        <v>40</v>
      </c>
    </row>
    <row r="263" spans="1:3">
      <c r="A263" t="s">
        <v>3670</v>
      </c>
      <c r="B263" t="s">
        <v>3835</v>
      </c>
      <c r="C263">
        <v>8</v>
      </c>
    </row>
    <row r="264" spans="1:3">
      <c r="A264" t="s">
        <v>3670</v>
      </c>
      <c r="B264" t="s">
        <v>3673</v>
      </c>
      <c r="C264">
        <v>40</v>
      </c>
    </row>
    <row r="265" spans="1:3">
      <c r="A265" t="s">
        <v>3670</v>
      </c>
      <c r="B265" t="s">
        <v>3679</v>
      </c>
      <c r="C265">
        <v>32</v>
      </c>
    </row>
    <row r="266" spans="1:3">
      <c r="A266" t="s">
        <v>3670</v>
      </c>
      <c r="B266" t="s">
        <v>3676</v>
      </c>
      <c r="C266">
        <v>16</v>
      </c>
    </row>
    <row r="267" spans="1:3">
      <c r="A267" t="s">
        <v>3670</v>
      </c>
      <c r="B267" t="s">
        <v>3682</v>
      </c>
      <c r="C267">
        <v>24</v>
      </c>
    </row>
    <row r="268" spans="1:3">
      <c r="A268" t="s">
        <v>3753</v>
      </c>
      <c r="B268" t="s">
        <v>4644</v>
      </c>
      <c r="C268">
        <v>16</v>
      </c>
    </row>
    <row r="269" spans="1:3">
      <c r="A269" t="s">
        <v>3753</v>
      </c>
      <c r="B269" t="s">
        <v>3756</v>
      </c>
      <c r="C269">
        <v>16</v>
      </c>
    </row>
    <row r="270" spans="1:3">
      <c r="A270" t="s">
        <v>8</v>
      </c>
      <c r="B270" t="s">
        <v>49</v>
      </c>
      <c r="C270">
        <v>16</v>
      </c>
    </row>
    <row r="271" spans="1:3">
      <c r="A271" t="s">
        <v>14</v>
      </c>
      <c r="B271" t="s">
        <v>14</v>
      </c>
      <c r="C271">
        <v>24</v>
      </c>
    </row>
    <row r="272" spans="1:3">
      <c r="A272" t="s">
        <v>14</v>
      </c>
      <c r="B272" t="s">
        <v>107</v>
      </c>
      <c r="C272">
        <v>12</v>
      </c>
    </row>
    <row r="274" spans="2:3">
      <c r="B274" t="s">
        <v>2017</v>
      </c>
      <c r="C274">
        <v>40</v>
      </c>
    </row>
    <row r="275" spans="2:3">
      <c r="B275" t="s">
        <v>6344</v>
      </c>
      <c r="C275">
        <v>80</v>
      </c>
    </row>
    <row r="276" spans="2:3">
      <c r="B276" t="s">
        <v>2008</v>
      </c>
      <c r="C276">
        <v>24</v>
      </c>
    </row>
    <row r="277" spans="2:3">
      <c r="B277" t="s">
        <v>6345</v>
      </c>
      <c r="C277">
        <v>40</v>
      </c>
    </row>
    <row r="278" spans="2:3">
      <c r="B278" t="s">
        <v>6346</v>
      </c>
      <c r="C278">
        <v>40</v>
      </c>
    </row>
    <row r="279" spans="2:3">
      <c r="B279" t="s">
        <v>6347</v>
      </c>
      <c r="C279">
        <v>80</v>
      </c>
    </row>
    <row r="280" spans="2:3">
      <c r="B280" t="s">
        <v>6348</v>
      </c>
      <c r="C280">
        <v>196</v>
      </c>
    </row>
    <row r="281" spans="2:3">
      <c r="C281">
        <v>4238</v>
      </c>
    </row>
    <row r="282" spans="2:3">
      <c r="B282" t="s">
        <v>2024</v>
      </c>
      <c r="C282" t="s">
        <v>6349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5DD38-084B-4236-BE6E-86654F81648F}">
  <dimension ref="A1:K480"/>
  <sheetViews>
    <sheetView workbookViewId="0">
      <selection activeCell="C25" sqref="C25"/>
    </sheetView>
  </sheetViews>
  <sheetFormatPr defaultRowHeight="14.5"/>
  <cols>
    <col min="2" max="2" width="50.81640625" bestFit="1" customWidth="1"/>
    <col min="3" max="3" width="50.81640625" customWidth="1"/>
    <col min="4" max="4" width="255.7265625" bestFit="1" customWidth="1"/>
  </cols>
  <sheetData>
    <row r="1" spans="1:11" s="82" customFormat="1" ht="40.5" customHeight="1">
      <c r="A1" s="80">
        <v>2</v>
      </c>
      <c r="D1" s="252"/>
      <c r="E1" s="252"/>
      <c r="F1" s="552" t="str">
        <f>HLOOKUP('General Information'!$C$6,'IDIOMA (hide)'!$A$1:$D$5016,A1,0)</f>
        <v>LTEP - Levantamento Técnico de Estimativa de Projeto TASY EMR
Código do documento: 0060 - Rev 024</v>
      </c>
      <c r="G1" s="552"/>
      <c r="H1" s="552"/>
      <c r="I1" s="552"/>
      <c r="J1" s="552"/>
      <c r="K1" s="81"/>
    </row>
    <row r="2" spans="1:11" s="82" customFormat="1" ht="15" customHeight="1">
      <c r="A2" s="80"/>
      <c r="B2" s="81"/>
      <c r="C2" s="81"/>
      <c r="D2" s="81"/>
      <c r="E2" s="83"/>
      <c r="F2" s="552"/>
      <c r="G2" s="552"/>
      <c r="H2" s="552"/>
      <c r="I2" s="552"/>
      <c r="J2" s="552"/>
      <c r="K2" s="81"/>
    </row>
    <row r="3" spans="1:11">
      <c r="F3" s="552"/>
      <c r="G3" s="552"/>
      <c r="H3" s="552"/>
      <c r="I3" s="552"/>
      <c r="J3" s="552"/>
    </row>
    <row r="5" spans="1:11">
      <c r="B5" t="s">
        <v>25</v>
      </c>
    </row>
    <row r="6" spans="1:11">
      <c r="B6" s="201" t="s">
        <v>5925</v>
      </c>
      <c r="C6" s="529"/>
    </row>
    <row r="7" spans="1:11">
      <c r="B7" t="str">
        <f>IF(Summary!B21&lt;&gt;"",Summary!B21,"")</f>
        <v>Go Live</v>
      </c>
      <c r="C7" t="e">
        <f>VLOOKUP(B7,'Hours Detail'!E17:F468,1,)</f>
        <v>#N/A</v>
      </c>
      <c r="D7" t="e">
        <f>VLOOKUP(B7,'Hide - Not Done'!C222:N1516,12,)</f>
        <v>#N/A</v>
      </c>
    </row>
    <row r="8" spans="1:11">
      <c r="B8" t="str">
        <f>IF(Summary!B22&lt;&gt;"",Summary!B22,"")</f>
        <v>Teste Piloto</v>
      </c>
      <c r="D8" t="e">
        <f>VLOOKUP(B8,'Hide - Not Done'!C223:N1517,12,)</f>
        <v>#N/A</v>
      </c>
    </row>
    <row r="9" spans="1:11">
      <c r="B9" t="str">
        <f>IF(Summary!B23&lt;&gt;"",Summary!B23,"")</f>
        <v>Processo de Virada</v>
      </c>
      <c r="D9" t="e">
        <f>VLOOKUP(B9,'Hide - Not Done'!C224:N1518,12,)</f>
        <v>#N/A</v>
      </c>
    </row>
    <row r="10" spans="1:11">
      <c r="B10" t="str">
        <f>IF(Summary!B24&lt;&gt;"",Summary!B24,"")</f>
        <v>Acompanhamento Pós-Virada</v>
      </c>
      <c r="D10" t="e">
        <f>VLOOKUP(B10,'Hide - Not Done'!C225:N1519,12,)</f>
        <v>#N/A</v>
      </c>
    </row>
    <row r="11" spans="1:11">
      <c r="B11" t="str">
        <f>IF(Summary!B25&lt;&gt;"",Summary!B25,"")</f>
        <v>Total</v>
      </c>
      <c r="D11" t="e">
        <f>VLOOKUP(B11,'Hide - Not Done'!C226:N1520,12,)</f>
        <v>#N/A</v>
      </c>
    </row>
    <row r="12" spans="1:11">
      <c r="B12" t="str">
        <f>IF(Summary!B26&lt;&gt;"",Summary!B26,"")</f>
        <v/>
      </c>
      <c r="D12" t="e">
        <f>VLOOKUP(B12,'Hide - Not Done'!C227:N1521,12,)</f>
        <v>#N/A</v>
      </c>
    </row>
    <row r="13" spans="1:11">
      <c r="B13" t="str">
        <f>IF(Summary!B27&lt;&gt;"",Summary!B27,"")</f>
        <v/>
      </c>
      <c r="D13" t="e">
        <f>VLOOKUP(B13,'Hide - Not Done'!C228:N1522,12,)</f>
        <v>#N/A</v>
      </c>
    </row>
    <row r="14" spans="1:11">
      <c r="B14" t="str">
        <f>IF(Summary!B28&lt;&gt;"",Summary!B28,"")</f>
        <v/>
      </c>
      <c r="D14" t="e">
        <f>VLOOKUP(B14,'Hide - Not Done'!C229:N1523,12,)</f>
        <v>#N/A</v>
      </c>
    </row>
    <row r="15" spans="1:11">
      <c r="B15" t="str">
        <f>IF(Summary!B29&lt;&gt;"",Summary!B29,"")</f>
        <v/>
      </c>
      <c r="D15" t="e">
        <f>VLOOKUP(B15,'Hide - Not Done'!C230:N1524,12,)</f>
        <v>#N/A</v>
      </c>
    </row>
    <row r="16" spans="1:11">
      <c r="B16" t="str">
        <f>IF(Summary!B30&lt;&gt;"",Summary!B30,"")</f>
        <v/>
      </c>
      <c r="D16" t="e">
        <f>VLOOKUP(B16,'Hide - Not Done'!C231:N1525,12,)</f>
        <v>#N/A</v>
      </c>
    </row>
    <row r="17" spans="2:4">
      <c r="B17" t="str">
        <f>IF(Summary!B31&lt;&gt;"",Summary!B31,"")</f>
        <v/>
      </c>
      <c r="D17" t="e">
        <f>VLOOKUP(B17,'Hide - Not Done'!C232:N1526,12,)</f>
        <v>#N/A</v>
      </c>
    </row>
    <row r="18" spans="2:4">
      <c r="B18" t="str">
        <f>IF(Summary!B32&lt;&gt;"",Summary!B32,"")</f>
        <v/>
      </c>
      <c r="D18" t="e">
        <f>VLOOKUP(B18,'Hide - Not Done'!C233:N1527,12,)</f>
        <v>#N/A</v>
      </c>
    </row>
    <row r="19" spans="2:4">
      <c r="B19" t="str">
        <f>IF(Summary!B33&lt;&gt;"",Summary!B33,"")</f>
        <v/>
      </c>
      <c r="D19" t="e">
        <f>VLOOKUP(B19,'Hide - Not Done'!C234:N1528,12,)</f>
        <v>#N/A</v>
      </c>
    </row>
    <row r="20" spans="2:4">
      <c r="B20" t="str">
        <f>IF(Summary!B34&lt;&gt;"",Summary!B34,"")</f>
        <v/>
      </c>
      <c r="D20" t="e">
        <f>VLOOKUP(B20,'Hide - Not Done'!C235:N1529,12,)</f>
        <v>#N/A</v>
      </c>
    </row>
    <row r="21" spans="2:4">
      <c r="B21" t="str">
        <f>IF(Summary!B35&lt;&gt;"",Summary!B35,"")</f>
        <v/>
      </c>
      <c r="D21" t="e">
        <f>VLOOKUP(B21,'Hide - Not Done'!C236:N1530,12,)</f>
        <v>#N/A</v>
      </c>
    </row>
    <row r="22" spans="2:4">
      <c r="B22" t="str">
        <f>IF(Summary!B36&lt;&gt;"",Summary!B36,"")</f>
        <v/>
      </c>
      <c r="D22" t="e">
        <f>VLOOKUP(B22,'Hide - Not Done'!C237:N1531,12,)</f>
        <v>#N/A</v>
      </c>
    </row>
    <row r="23" spans="2:4">
      <c r="B23" t="str">
        <f>IF(Summary!B37&lt;&gt;"",Summary!B37,"")</f>
        <v/>
      </c>
      <c r="D23" t="e">
        <f>VLOOKUP(B23,'Hide - Not Done'!C238:N1532,12,)</f>
        <v>#N/A</v>
      </c>
    </row>
    <row r="24" spans="2:4">
      <c r="B24" t="str">
        <f>IF(Summary!B38&lt;&gt;"",Summary!B38,"")</f>
        <v/>
      </c>
      <c r="D24" t="e">
        <f>VLOOKUP(B24,'Hide - Not Done'!C239:N1533,12,)</f>
        <v>#N/A</v>
      </c>
    </row>
    <row r="25" spans="2:4">
      <c r="B25" t="str">
        <f>IF(Summary!B39&lt;&gt;"",Summary!B39,"")</f>
        <v/>
      </c>
      <c r="D25" t="e">
        <f>VLOOKUP(B25,'Hide - Not Done'!C240:N1534,12,)</f>
        <v>#N/A</v>
      </c>
    </row>
    <row r="26" spans="2:4">
      <c r="B26" t="str">
        <f>IF(Summary!B40&lt;&gt;"",Summary!B40,"")</f>
        <v/>
      </c>
      <c r="D26" t="e">
        <f>VLOOKUP(B26,'Hide - Not Done'!C241:N1535,12,)</f>
        <v>#N/A</v>
      </c>
    </row>
    <row r="27" spans="2:4">
      <c r="B27" t="str">
        <f>IF(Summary!B41&lt;&gt;"",Summary!B41,"")</f>
        <v/>
      </c>
      <c r="D27" t="e">
        <f>VLOOKUP(B27,'Hide - Not Done'!C242:N1536,12,)</f>
        <v>#N/A</v>
      </c>
    </row>
    <row r="28" spans="2:4">
      <c r="B28" t="str">
        <f>IF(Summary!B42&lt;&gt;"",Summary!B42,"")</f>
        <v/>
      </c>
      <c r="D28" t="e">
        <f>VLOOKUP(B28,'Hide - Not Done'!C243:N1537,12,)</f>
        <v>#N/A</v>
      </c>
    </row>
    <row r="29" spans="2:4">
      <c r="B29" t="str">
        <f>IF(Summary!B43&lt;&gt;"",Summary!B43,"")</f>
        <v/>
      </c>
      <c r="D29" t="e">
        <f>VLOOKUP(B29,'Hide - Not Done'!C244:N1538,12,)</f>
        <v>#N/A</v>
      </c>
    </row>
    <row r="30" spans="2:4">
      <c r="B30" t="str">
        <f>IF(Summary!B44&lt;&gt;"",Summary!B44,"")</f>
        <v/>
      </c>
      <c r="D30" t="e">
        <f>VLOOKUP(B30,'Hide - Not Done'!C245:N1539,12,)</f>
        <v>#N/A</v>
      </c>
    </row>
    <row r="31" spans="2:4">
      <c r="B31" t="str">
        <f>IF(Summary!B45&lt;&gt;"",Summary!B45,"")</f>
        <v/>
      </c>
      <c r="D31" t="e">
        <f>VLOOKUP(B31,'Hide - Not Done'!C246:N1540,12,)</f>
        <v>#N/A</v>
      </c>
    </row>
    <row r="32" spans="2:4">
      <c r="B32" t="str">
        <f>IF(Summary!B46&lt;&gt;"",Summary!B46,"")</f>
        <v/>
      </c>
      <c r="D32" t="e">
        <f>VLOOKUP(B32,'Hide - Not Done'!C247:N1541,12,)</f>
        <v>#N/A</v>
      </c>
    </row>
    <row r="33" spans="2:4">
      <c r="B33" t="str">
        <f>IF(Summary!B47&lt;&gt;"",Summary!B47,"")</f>
        <v/>
      </c>
      <c r="D33" t="e">
        <f>VLOOKUP(B33,'Hide - Not Done'!C248:N1542,12,)</f>
        <v>#N/A</v>
      </c>
    </row>
    <row r="34" spans="2:4">
      <c r="B34" t="str">
        <f>IF(Summary!B48&lt;&gt;"",Summary!B48,"")</f>
        <v/>
      </c>
      <c r="D34" t="e">
        <f>VLOOKUP(B34,'Hide - Not Done'!C249:N1543,12,)</f>
        <v>#N/A</v>
      </c>
    </row>
    <row r="35" spans="2:4">
      <c r="B35" t="str">
        <f>IF(Summary!B49&lt;&gt;"",Summary!B49,"")</f>
        <v/>
      </c>
      <c r="D35" t="e">
        <f>VLOOKUP(B35,'Hide - Not Done'!C250:N1544,12,)</f>
        <v>#N/A</v>
      </c>
    </row>
    <row r="36" spans="2:4">
      <c r="B36" t="str">
        <f>IF(Summary!B50&lt;&gt;"",Summary!B50,"")</f>
        <v/>
      </c>
      <c r="D36" t="e">
        <f>VLOOKUP(B36,'Hide - Not Done'!C251:N1545,12,)</f>
        <v>#N/A</v>
      </c>
    </row>
    <row r="37" spans="2:4">
      <c r="B37" t="str">
        <f>IF(Summary!B51&lt;&gt;"",Summary!B51,"")</f>
        <v/>
      </c>
      <c r="D37" t="e">
        <f>VLOOKUP(B37,'Hide - Not Done'!C252:N1546,12,)</f>
        <v>#N/A</v>
      </c>
    </row>
    <row r="38" spans="2:4">
      <c r="B38" t="str">
        <f>IF(Summary!B52&lt;&gt;"",Summary!B52,"")</f>
        <v/>
      </c>
      <c r="D38" t="e">
        <f>VLOOKUP(B38,'Hide - Not Done'!C253:N1547,12,)</f>
        <v>#N/A</v>
      </c>
    </row>
    <row r="39" spans="2:4">
      <c r="B39" t="str">
        <f>IF(Summary!B53&lt;&gt;"",Summary!B53,"")</f>
        <v/>
      </c>
      <c r="D39" t="e">
        <f>VLOOKUP(B39,'Hide - Not Done'!C254:N1548,12,)</f>
        <v>#N/A</v>
      </c>
    </row>
    <row r="40" spans="2:4">
      <c r="B40" t="str">
        <f>IF(Summary!B54&lt;&gt;"",Summary!B54,"")</f>
        <v/>
      </c>
      <c r="D40" t="e">
        <f>VLOOKUP(B40,'Hide - Not Done'!C255:N1549,12,)</f>
        <v>#N/A</v>
      </c>
    </row>
    <row r="41" spans="2:4">
      <c r="B41" t="str">
        <f>IF(Summary!B55&lt;&gt;"",Summary!B55,"")</f>
        <v/>
      </c>
      <c r="D41" t="e">
        <f>VLOOKUP(B41,'Hide - Not Done'!C256:N1550,12,)</f>
        <v>#N/A</v>
      </c>
    </row>
    <row r="42" spans="2:4">
      <c r="B42" t="str">
        <f>IF(Summary!B56&lt;&gt;"",Summary!B56,"")</f>
        <v/>
      </c>
      <c r="D42" t="e">
        <f>VLOOKUP(B42,'Hide - Not Done'!C257:N1551,12,)</f>
        <v>#N/A</v>
      </c>
    </row>
    <row r="43" spans="2:4">
      <c r="B43" t="str">
        <f>IF(Summary!B57&lt;&gt;"",Summary!B57,"")</f>
        <v/>
      </c>
      <c r="D43" t="e">
        <f>VLOOKUP(B43,'Hide - Not Done'!C258:N1552,12,)</f>
        <v>#N/A</v>
      </c>
    </row>
    <row r="44" spans="2:4">
      <c r="B44" t="str">
        <f>IF(Summary!B58&lt;&gt;"",Summary!B58,"")</f>
        <v/>
      </c>
      <c r="D44" t="e">
        <f>VLOOKUP(B44,'Hide - Not Done'!C259:N1553,12,)</f>
        <v>#N/A</v>
      </c>
    </row>
    <row r="45" spans="2:4">
      <c r="B45" t="str">
        <f>IF(Summary!B59&lt;&gt;"",Summary!B59,"")</f>
        <v/>
      </c>
      <c r="D45" t="e">
        <f>VLOOKUP(B45,'Hide - Not Done'!C260:N1554,12,)</f>
        <v>#N/A</v>
      </c>
    </row>
    <row r="46" spans="2:4">
      <c r="B46" t="str">
        <f>IF(Summary!B60&lt;&gt;"",Summary!B60,"")</f>
        <v/>
      </c>
      <c r="D46" t="e">
        <f>VLOOKUP(B46,'Hide - Not Done'!C261:N1555,12,)</f>
        <v>#N/A</v>
      </c>
    </row>
    <row r="47" spans="2:4">
      <c r="B47" t="str">
        <f>IF(Summary!B61&lt;&gt;"",Summary!B61,"")</f>
        <v/>
      </c>
      <c r="D47" t="e">
        <f>VLOOKUP(B47,'Hide - Not Done'!C262:N1556,12,)</f>
        <v>#N/A</v>
      </c>
    </row>
    <row r="48" spans="2:4">
      <c r="B48" t="str">
        <f>IF(Summary!B62&lt;&gt;"",Summary!B62,"")</f>
        <v/>
      </c>
      <c r="D48" t="e">
        <f>VLOOKUP(B48,'Hide - Not Done'!C263:N1557,12,)</f>
        <v>#N/A</v>
      </c>
    </row>
    <row r="49" spans="2:4">
      <c r="B49" t="str">
        <f>IF(Summary!B63&lt;&gt;"",Summary!B63,"")</f>
        <v/>
      </c>
      <c r="D49" t="e">
        <f>VLOOKUP(B49,'Hide - Not Done'!C264:N1558,12,)</f>
        <v>#N/A</v>
      </c>
    </row>
    <row r="50" spans="2:4">
      <c r="B50" t="str">
        <f>IF(Summary!B64&lt;&gt;"",Summary!B64,"")</f>
        <v/>
      </c>
      <c r="D50" t="e">
        <f>VLOOKUP(B50,'Hide - Not Done'!C265:N1559,12,)</f>
        <v>#N/A</v>
      </c>
    </row>
    <row r="51" spans="2:4">
      <c r="B51" t="str">
        <f>IF(Summary!B65&lt;&gt;"",Summary!B65,"")</f>
        <v/>
      </c>
      <c r="D51" t="e">
        <f>VLOOKUP(B51,'Hide - Not Done'!C266:N1560,12,)</f>
        <v>#N/A</v>
      </c>
    </row>
    <row r="52" spans="2:4">
      <c r="B52" t="str">
        <f>IF(Summary!B66&lt;&gt;"",Summary!B66,"")</f>
        <v/>
      </c>
      <c r="D52" t="e">
        <f>VLOOKUP(B52,'Hide - Not Done'!C267:N1561,12,)</f>
        <v>#N/A</v>
      </c>
    </row>
    <row r="53" spans="2:4">
      <c r="B53" t="str">
        <f>IF(Summary!B67&lt;&gt;"",Summary!B67,"")</f>
        <v/>
      </c>
      <c r="D53" t="e">
        <f>VLOOKUP(B53,'Hide - Not Done'!C268:N1562,12,)</f>
        <v>#N/A</v>
      </c>
    </row>
    <row r="54" spans="2:4">
      <c r="B54" t="str">
        <f>IF(Summary!B68&lt;&gt;"",Summary!B68,"")</f>
        <v/>
      </c>
      <c r="D54" t="e">
        <f>VLOOKUP(B54,'Hide - Not Done'!C269:N1563,12,)</f>
        <v>#N/A</v>
      </c>
    </row>
    <row r="55" spans="2:4">
      <c r="B55" t="str">
        <f>IF(Summary!B69&lt;&gt;"",Summary!B69,"")</f>
        <v/>
      </c>
      <c r="D55" t="e">
        <f>VLOOKUP(B55,'Hide - Not Done'!C270:N1564,12,)</f>
        <v>#N/A</v>
      </c>
    </row>
    <row r="56" spans="2:4">
      <c r="B56" t="str">
        <f>IF(Summary!B70&lt;&gt;"",Summary!B70,"")</f>
        <v/>
      </c>
      <c r="D56" t="e">
        <f>VLOOKUP(B56,'Hide - Not Done'!C271:N1565,12,)</f>
        <v>#N/A</v>
      </c>
    </row>
    <row r="57" spans="2:4">
      <c r="B57" t="str">
        <f>IF(Summary!B71&lt;&gt;"",Summary!B71,"")</f>
        <v/>
      </c>
      <c r="D57" t="e">
        <f>VLOOKUP(B57,'Hide - Not Done'!C272:N1566,12,)</f>
        <v>#N/A</v>
      </c>
    </row>
    <row r="58" spans="2:4">
      <c r="B58" t="str">
        <f>IF(Summary!B72&lt;&gt;"",Summary!B72,"")</f>
        <v/>
      </c>
      <c r="D58" t="e">
        <f>VLOOKUP(B58,'Hide - Not Done'!C273:N1567,12,)</f>
        <v>#N/A</v>
      </c>
    </row>
    <row r="59" spans="2:4">
      <c r="B59" t="str">
        <f>IF(Summary!B73&lt;&gt;"",Summary!B73,"")</f>
        <v/>
      </c>
      <c r="D59" t="e">
        <f>VLOOKUP(B59,'Hide - Not Done'!C274:N1568,12,)</f>
        <v>#N/A</v>
      </c>
    </row>
    <row r="60" spans="2:4">
      <c r="B60" t="str">
        <f>IF(Summary!B74&lt;&gt;"",Summary!B74,"")</f>
        <v/>
      </c>
      <c r="D60" t="e">
        <f>VLOOKUP(B60,'Hide - Not Done'!C275:N1569,12,)</f>
        <v>#N/A</v>
      </c>
    </row>
    <row r="61" spans="2:4">
      <c r="B61" t="str">
        <f>IF(Summary!B75&lt;&gt;"",Summary!B75,"")</f>
        <v/>
      </c>
      <c r="D61" t="e">
        <f>VLOOKUP(B61,'Hide - Not Done'!C276:N1570,12,)</f>
        <v>#N/A</v>
      </c>
    </row>
    <row r="62" spans="2:4">
      <c r="B62" t="str">
        <f>IF(Summary!B76&lt;&gt;"",Summary!B76,"")</f>
        <v/>
      </c>
      <c r="D62" t="e">
        <f>VLOOKUP(B62,'Hide - Not Done'!C277:N1571,12,)</f>
        <v>#N/A</v>
      </c>
    </row>
    <row r="63" spans="2:4">
      <c r="B63" t="str">
        <f>IF(Summary!B77&lt;&gt;"",Summary!B77,"")</f>
        <v/>
      </c>
      <c r="D63" t="e">
        <f>VLOOKUP(B63,'Hide - Not Done'!C278:N1572,12,)</f>
        <v>#N/A</v>
      </c>
    </row>
    <row r="64" spans="2:4">
      <c r="B64" t="str">
        <f>IF(Summary!B78&lt;&gt;"",Summary!B78,"")</f>
        <v/>
      </c>
      <c r="D64" t="e">
        <f>VLOOKUP(B64,'Hide - Not Done'!C279:N1573,12,)</f>
        <v>#N/A</v>
      </c>
    </row>
    <row r="65" spans="2:4">
      <c r="B65" t="str">
        <f>IF(Summary!B79&lt;&gt;"",Summary!B79,"")</f>
        <v/>
      </c>
      <c r="D65" t="e">
        <f>VLOOKUP(B65,'Hide - Not Done'!C280:N1574,12,)</f>
        <v>#N/A</v>
      </c>
    </row>
    <row r="66" spans="2:4">
      <c r="B66" t="str">
        <f>IF(Summary!B80&lt;&gt;"",Summary!B80,"")</f>
        <v/>
      </c>
      <c r="D66" t="e">
        <f>VLOOKUP(B66,'Hide - Not Done'!C281:N1575,12,)</f>
        <v>#N/A</v>
      </c>
    </row>
    <row r="67" spans="2:4">
      <c r="B67" t="str">
        <f>IF(Summary!B81&lt;&gt;"",Summary!B81,"")</f>
        <v/>
      </c>
      <c r="D67" t="e">
        <f>VLOOKUP(B67,'Hide - Not Done'!C282:N1576,12,)</f>
        <v>#N/A</v>
      </c>
    </row>
    <row r="68" spans="2:4">
      <c r="B68" t="str">
        <f>IF(Summary!B82&lt;&gt;"",Summary!B82,"")</f>
        <v/>
      </c>
      <c r="D68" t="e">
        <f>VLOOKUP(B68,'Hide - Not Done'!C283:N1577,12,)</f>
        <v>#N/A</v>
      </c>
    </row>
    <row r="69" spans="2:4">
      <c r="B69" t="str">
        <f>IF(Summary!B83&lt;&gt;"",Summary!B83,"")</f>
        <v/>
      </c>
      <c r="D69" t="e">
        <f>VLOOKUP(B69,'Hide - Not Done'!C284:N1578,12,)</f>
        <v>#N/A</v>
      </c>
    </row>
    <row r="70" spans="2:4">
      <c r="B70" t="str">
        <f>IF(Summary!B84&lt;&gt;"",Summary!B84,"")</f>
        <v/>
      </c>
      <c r="D70" t="e">
        <f>VLOOKUP(B70,'Hide - Not Done'!C285:N1579,12,)</f>
        <v>#N/A</v>
      </c>
    </row>
    <row r="71" spans="2:4">
      <c r="B71" t="str">
        <f>IF(Summary!B85&lt;&gt;"",Summary!B85,"")</f>
        <v/>
      </c>
      <c r="D71" t="e">
        <f>VLOOKUP(B71,'Hide - Not Done'!C286:N1580,12,)</f>
        <v>#N/A</v>
      </c>
    </row>
    <row r="72" spans="2:4">
      <c r="B72" t="str">
        <f>IF(Summary!B86&lt;&gt;"",Summary!B86,"")</f>
        <v/>
      </c>
      <c r="D72" t="e">
        <f>VLOOKUP(B72,'Hide - Not Done'!C287:N1581,12,)</f>
        <v>#N/A</v>
      </c>
    </row>
    <row r="73" spans="2:4">
      <c r="B73" t="str">
        <f>IF(Summary!B87&lt;&gt;"",Summary!B87,"")</f>
        <v/>
      </c>
      <c r="D73" t="e">
        <f>VLOOKUP(B73,'Hide - Not Done'!C288:N1582,12,)</f>
        <v>#N/A</v>
      </c>
    </row>
    <row r="74" spans="2:4">
      <c r="B74" t="str">
        <f>IF(Summary!B88&lt;&gt;"",Summary!B88,"")</f>
        <v/>
      </c>
      <c r="D74" t="e">
        <f>VLOOKUP(B74,'Hide - Not Done'!C289:N1583,12,)</f>
        <v>#N/A</v>
      </c>
    </row>
    <row r="75" spans="2:4">
      <c r="B75" t="str">
        <f>IF(Summary!B89&lt;&gt;"",Summary!B89,"")</f>
        <v/>
      </c>
      <c r="D75" t="e">
        <f>VLOOKUP(B75,'Hide - Not Done'!C290:N1584,12,)</f>
        <v>#N/A</v>
      </c>
    </row>
    <row r="76" spans="2:4">
      <c r="B76" t="str">
        <f>IF(Summary!B90&lt;&gt;"",Summary!B90,"")</f>
        <v/>
      </c>
      <c r="D76" t="e">
        <f>VLOOKUP(B76,'Hide - Not Done'!C291:N1585,12,)</f>
        <v>#N/A</v>
      </c>
    </row>
    <row r="77" spans="2:4">
      <c r="B77" t="str">
        <f>IF(Summary!B91&lt;&gt;"",Summary!B91,"")</f>
        <v/>
      </c>
      <c r="D77" t="e">
        <f>VLOOKUP(B77,'Hide - Not Done'!C292:N1586,12,)</f>
        <v>#N/A</v>
      </c>
    </row>
    <row r="78" spans="2:4">
      <c r="B78" t="str">
        <f>IF(Summary!B92&lt;&gt;"",Summary!B92,"")</f>
        <v/>
      </c>
      <c r="D78" t="e">
        <f>VLOOKUP(B78,'Hide - Not Done'!C293:N1587,12,)</f>
        <v>#N/A</v>
      </c>
    </row>
    <row r="79" spans="2:4">
      <c r="B79" t="str">
        <f>IF(Summary!B93&lt;&gt;"",Summary!B93,"")</f>
        <v/>
      </c>
      <c r="D79" t="e">
        <f>VLOOKUP(B79,'Hide - Not Done'!C294:N1588,12,)</f>
        <v>#N/A</v>
      </c>
    </row>
    <row r="80" spans="2:4">
      <c r="B80" t="str">
        <f>IF(Summary!B94&lt;&gt;"",Summary!B94,"")</f>
        <v/>
      </c>
      <c r="D80" t="e">
        <f>VLOOKUP(B80,'Hide - Not Done'!C295:N1589,12,)</f>
        <v>#N/A</v>
      </c>
    </row>
    <row r="81" spans="2:4">
      <c r="B81" t="str">
        <f>IF(Summary!B95&lt;&gt;"",Summary!B95,"")</f>
        <v/>
      </c>
      <c r="D81" t="e">
        <f>VLOOKUP(B81,'Hide - Not Done'!C296:N1590,12,)</f>
        <v>#N/A</v>
      </c>
    </row>
    <row r="82" spans="2:4">
      <c r="B82" t="str">
        <f>IF(Summary!B96&lt;&gt;"",Summary!B96,"")</f>
        <v/>
      </c>
      <c r="D82" t="e">
        <f>VLOOKUP(B82,'Hide - Not Done'!C297:N1591,12,)</f>
        <v>#N/A</v>
      </c>
    </row>
    <row r="83" spans="2:4">
      <c r="B83" t="str">
        <f>IF(Summary!B97&lt;&gt;"",Summary!B97,"")</f>
        <v/>
      </c>
      <c r="D83" t="e">
        <f>VLOOKUP(B83,'Hide - Not Done'!C298:N1592,12,)</f>
        <v>#N/A</v>
      </c>
    </row>
    <row r="84" spans="2:4">
      <c r="B84" t="str">
        <f>IF(Summary!B98&lt;&gt;"",Summary!B98,"")</f>
        <v/>
      </c>
      <c r="D84" t="e">
        <f>VLOOKUP(B84,'Hide - Not Done'!C299:N1593,12,)</f>
        <v>#N/A</v>
      </c>
    </row>
    <row r="85" spans="2:4">
      <c r="B85" t="str">
        <f>IF(Summary!B99&lt;&gt;"",Summary!B99,"")</f>
        <v/>
      </c>
      <c r="D85" t="e">
        <f>VLOOKUP(B85,'Hide - Not Done'!C300:N1594,12,)</f>
        <v>#N/A</v>
      </c>
    </row>
    <row r="86" spans="2:4">
      <c r="B86" t="str">
        <f>IF(Summary!B100&lt;&gt;"",Summary!B100,"")</f>
        <v/>
      </c>
      <c r="D86" t="e">
        <f>VLOOKUP(B86,'Hide - Not Done'!C301:N1595,12,)</f>
        <v>#N/A</v>
      </c>
    </row>
    <row r="87" spans="2:4">
      <c r="B87" t="str">
        <f>IF(Summary!B101&lt;&gt;"",Summary!B101,"")</f>
        <v/>
      </c>
      <c r="D87" t="e">
        <f>VLOOKUP(B87,'Hide - Not Done'!C302:N1596,12,)</f>
        <v>#N/A</v>
      </c>
    </row>
    <row r="88" spans="2:4">
      <c r="B88" t="str">
        <f>IF(Summary!B102&lt;&gt;"",Summary!B102,"")</f>
        <v/>
      </c>
      <c r="D88" t="e">
        <f>VLOOKUP(B88,'Hide - Not Done'!C303:N1597,12,)</f>
        <v>#N/A</v>
      </c>
    </row>
    <row r="89" spans="2:4">
      <c r="B89" t="str">
        <f>IF(Summary!B103&lt;&gt;"",Summary!B103,"")</f>
        <v/>
      </c>
      <c r="D89" t="e">
        <f>VLOOKUP(B89,'Hide - Not Done'!C304:N1598,12,)</f>
        <v>#N/A</v>
      </c>
    </row>
    <row r="90" spans="2:4">
      <c r="B90" t="str">
        <f>IF(Summary!B104&lt;&gt;"",Summary!B104,"")</f>
        <v/>
      </c>
      <c r="D90" t="e">
        <f>VLOOKUP(B90,'Hide - Not Done'!C305:N1599,12,)</f>
        <v>#N/A</v>
      </c>
    </row>
    <row r="91" spans="2:4">
      <c r="B91" t="str">
        <f>IF(Summary!B105&lt;&gt;"",Summary!B105,"")</f>
        <v/>
      </c>
      <c r="D91" t="e">
        <f>VLOOKUP(B91,'Hide - Not Done'!C306:N1600,12,)</f>
        <v>#N/A</v>
      </c>
    </row>
    <row r="92" spans="2:4">
      <c r="B92" t="str">
        <f>IF(Summary!B106&lt;&gt;"",Summary!B106,"")</f>
        <v/>
      </c>
      <c r="D92" t="e">
        <f>VLOOKUP(B92,'Hide - Not Done'!C307:N1601,12,)</f>
        <v>#N/A</v>
      </c>
    </row>
    <row r="93" spans="2:4">
      <c r="B93" t="str">
        <f>IF(Summary!B107&lt;&gt;"",Summary!B107,"")</f>
        <v/>
      </c>
      <c r="D93" t="e">
        <f>VLOOKUP(B93,'Hide - Not Done'!C308:N1602,12,)</f>
        <v>#N/A</v>
      </c>
    </row>
    <row r="94" spans="2:4">
      <c r="B94" t="str">
        <f>IF(Summary!B108&lt;&gt;"",Summary!B108,"")</f>
        <v/>
      </c>
      <c r="D94" t="e">
        <f>VLOOKUP(B94,'Hide - Not Done'!C309:N1603,12,)</f>
        <v>#N/A</v>
      </c>
    </row>
    <row r="95" spans="2:4">
      <c r="B95" t="str">
        <f>IF(Summary!B109&lt;&gt;"",Summary!B109,"")</f>
        <v/>
      </c>
      <c r="D95" t="e">
        <f>VLOOKUP(B95,'Hide - Not Done'!C310:N1604,12,)</f>
        <v>#N/A</v>
      </c>
    </row>
    <row r="96" spans="2:4">
      <c r="B96" t="str">
        <f>IF(Summary!B110&lt;&gt;"",Summary!B110,"")</f>
        <v/>
      </c>
      <c r="D96" t="e">
        <f>VLOOKUP(B96,'Hide - Not Done'!C311:N1605,12,)</f>
        <v>#N/A</v>
      </c>
    </row>
    <row r="97" spans="2:4">
      <c r="B97" t="str">
        <f>IF(Summary!B111&lt;&gt;"",Summary!B111,"")</f>
        <v/>
      </c>
      <c r="D97" t="e">
        <f>VLOOKUP(B97,'Hide - Not Done'!C312:N1606,12,)</f>
        <v>#N/A</v>
      </c>
    </row>
    <row r="98" spans="2:4">
      <c r="B98" t="str">
        <f>IF(Summary!B112&lt;&gt;"",Summary!B112,"")</f>
        <v/>
      </c>
      <c r="D98" t="e">
        <f>VLOOKUP(B98,'Hide - Not Done'!C313:N1607,12,)</f>
        <v>#N/A</v>
      </c>
    </row>
    <row r="99" spans="2:4">
      <c r="B99" t="str">
        <f>IF(Summary!B113&lt;&gt;"",Summary!B113,"")</f>
        <v/>
      </c>
      <c r="D99" t="e">
        <f>VLOOKUP(B99,'Hide - Not Done'!C314:N1608,12,)</f>
        <v>#N/A</v>
      </c>
    </row>
    <row r="100" spans="2:4">
      <c r="B100" t="str">
        <f>IF(Summary!B114&lt;&gt;"",Summary!B114,"")</f>
        <v/>
      </c>
      <c r="D100" t="e">
        <f>VLOOKUP(B100,'Hide - Not Done'!C315:N1609,12,)</f>
        <v>#N/A</v>
      </c>
    </row>
    <row r="101" spans="2:4">
      <c r="B101" t="str">
        <f>IF(Summary!B115&lt;&gt;"",Summary!B115,"")</f>
        <v/>
      </c>
      <c r="D101" t="e">
        <f>VLOOKUP(B101,'Hide - Not Done'!C316:N1610,12,)</f>
        <v>#N/A</v>
      </c>
    </row>
    <row r="102" spans="2:4">
      <c r="B102" t="str">
        <f>IF(Summary!B116&lt;&gt;"",Summary!B116,"")</f>
        <v/>
      </c>
      <c r="D102" t="e">
        <f>VLOOKUP(B102,'Hide - Not Done'!C317:N1611,12,)</f>
        <v>#N/A</v>
      </c>
    </row>
    <row r="103" spans="2:4">
      <c r="B103" t="str">
        <f>IF(Summary!B117&lt;&gt;"",Summary!B117,"")</f>
        <v/>
      </c>
      <c r="D103" t="e">
        <f>VLOOKUP(B103,'Hide - Not Done'!C318:N1612,12,)</f>
        <v>#N/A</v>
      </c>
    </row>
    <row r="104" spans="2:4">
      <c r="B104" t="str">
        <f>IF(Summary!B118&lt;&gt;"",Summary!B118,"")</f>
        <v/>
      </c>
      <c r="D104" t="e">
        <f>VLOOKUP(B104,'Hide - Not Done'!C319:N1613,12,)</f>
        <v>#N/A</v>
      </c>
    </row>
    <row r="105" spans="2:4">
      <c r="B105" t="str">
        <f>IF(Summary!B119&lt;&gt;"",Summary!B119,"")</f>
        <v/>
      </c>
      <c r="D105" t="e">
        <f>VLOOKUP(B105,'Hide - Not Done'!C320:N1614,12,)</f>
        <v>#N/A</v>
      </c>
    </row>
    <row r="106" spans="2:4">
      <c r="B106" t="str">
        <f>IF(Summary!B120&lt;&gt;"",Summary!B120,"")</f>
        <v/>
      </c>
      <c r="D106" t="e">
        <f>VLOOKUP(B106,'Hide - Not Done'!C321:N1615,12,)</f>
        <v>#N/A</v>
      </c>
    </row>
    <row r="107" spans="2:4">
      <c r="B107" t="str">
        <f>IF(Summary!B121&lt;&gt;"",Summary!B121,"")</f>
        <v/>
      </c>
      <c r="D107" t="e">
        <f>VLOOKUP(B107,'Hide - Not Done'!C322:N1616,12,)</f>
        <v>#N/A</v>
      </c>
    </row>
    <row r="108" spans="2:4">
      <c r="B108" t="str">
        <f>IF(Summary!B122&lt;&gt;"",Summary!B122,"")</f>
        <v/>
      </c>
      <c r="D108" t="e">
        <f>VLOOKUP(B108,'Hide - Not Done'!C323:N1617,12,)</f>
        <v>#N/A</v>
      </c>
    </row>
    <row r="109" spans="2:4">
      <c r="B109" t="str">
        <f>IF(Summary!B123&lt;&gt;"",Summary!B123,"")</f>
        <v/>
      </c>
      <c r="D109" t="e">
        <f>VLOOKUP(B109,'Hide - Not Done'!C324:N1618,12,)</f>
        <v>#N/A</v>
      </c>
    </row>
    <row r="110" spans="2:4">
      <c r="B110" t="str">
        <f>IF(Summary!B124&lt;&gt;"",Summary!B124,"")</f>
        <v/>
      </c>
      <c r="D110" t="e">
        <f>VLOOKUP(B110,'Hide - Not Done'!C325:N1619,12,)</f>
        <v>#N/A</v>
      </c>
    </row>
    <row r="111" spans="2:4">
      <c r="B111" t="str">
        <f>IF(Summary!B125&lt;&gt;"",Summary!B125,"")</f>
        <v/>
      </c>
      <c r="D111" t="e">
        <f>VLOOKUP(B111,'Hide - Not Done'!C326:N1620,12,)</f>
        <v>#N/A</v>
      </c>
    </row>
    <row r="112" spans="2:4">
      <c r="B112" t="str">
        <f>IF(Summary!B126&lt;&gt;"",Summary!B126,"")</f>
        <v/>
      </c>
      <c r="D112" t="e">
        <f>VLOOKUP(B112,'Hide - Not Done'!C327:N1621,12,)</f>
        <v>#N/A</v>
      </c>
    </row>
    <row r="113" spans="2:4">
      <c r="B113" t="str">
        <f>IF(Summary!B127&lt;&gt;"",Summary!B127,"")</f>
        <v/>
      </c>
      <c r="D113" t="e">
        <f>VLOOKUP(B113,'Hide - Not Done'!C328:N1622,12,)</f>
        <v>#N/A</v>
      </c>
    </row>
    <row r="114" spans="2:4">
      <c r="B114" t="str">
        <f>IF(Summary!B128&lt;&gt;"",Summary!B128,"")</f>
        <v/>
      </c>
      <c r="D114" t="e">
        <f>VLOOKUP(B114,'Hide - Not Done'!C329:N1623,12,)</f>
        <v>#N/A</v>
      </c>
    </row>
    <row r="115" spans="2:4">
      <c r="B115" t="str">
        <f>IF(Summary!B129&lt;&gt;"",Summary!B129,"")</f>
        <v/>
      </c>
      <c r="D115" t="e">
        <f>VLOOKUP(B115,'Hide - Not Done'!C330:N1624,12,)</f>
        <v>#N/A</v>
      </c>
    </row>
    <row r="116" spans="2:4">
      <c r="B116" t="str">
        <f>IF(Summary!B130&lt;&gt;"",Summary!B130,"")</f>
        <v/>
      </c>
      <c r="D116" t="e">
        <f>VLOOKUP(B116,'Hide - Not Done'!C331:N1625,12,)</f>
        <v>#N/A</v>
      </c>
    </row>
    <row r="117" spans="2:4">
      <c r="B117" t="str">
        <f>IF(Summary!B131&lt;&gt;"",Summary!B131,"")</f>
        <v/>
      </c>
      <c r="D117" t="e">
        <f>VLOOKUP(B117,'Hide - Not Done'!C332:N1626,12,)</f>
        <v>#N/A</v>
      </c>
    </row>
    <row r="118" spans="2:4">
      <c r="B118" t="str">
        <f>IF(Summary!B132&lt;&gt;"",Summary!B132,"")</f>
        <v/>
      </c>
      <c r="D118" t="e">
        <f>VLOOKUP(B118,'Hide - Not Done'!C333:N1627,12,)</f>
        <v>#N/A</v>
      </c>
    </row>
    <row r="119" spans="2:4">
      <c r="B119" t="str">
        <f>IF(Summary!B133&lt;&gt;"",Summary!B133,"")</f>
        <v/>
      </c>
      <c r="D119" t="e">
        <f>VLOOKUP(B119,'Hide - Not Done'!C334:N1628,12,)</f>
        <v>#N/A</v>
      </c>
    </row>
    <row r="120" spans="2:4">
      <c r="B120" t="str">
        <f>IF(Summary!B134&lt;&gt;"",Summary!B134,"")</f>
        <v/>
      </c>
      <c r="D120" t="e">
        <f>VLOOKUP(B120,'Hide - Not Done'!C335:N1629,12,)</f>
        <v>#N/A</v>
      </c>
    </row>
    <row r="121" spans="2:4">
      <c r="B121" t="str">
        <f>IF(Summary!B135&lt;&gt;"",Summary!B135,"")</f>
        <v/>
      </c>
      <c r="D121" t="e">
        <f>VLOOKUP(B121,'Hide - Not Done'!C336:N1630,12,)</f>
        <v>#N/A</v>
      </c>
    </row>
    <row r="122" spans="2:4">
      <c r="B122" t="str">
        <f>IF(Summary!B136&lt;&gt;"",Summary!B136,"")</f>
        <v/>
      </c>
      <c r="D122" t="e">
        <f>VLOOKUP(B122,'Hide - Not Done'!C337:N1631,12,)</f>
        <v>#N/A</v>
      </c>
    </row>
    <row r="123" spans="2:4">
      <c r="B123" t="str">
        <f>IF(Summary!B137&lt;&gt;"",Summary!B137,"")</f>
        <v/>
      </c>
      <c r="D123" t="e">
        <f>VLOOKUP(B123,'Hide - Not Done'!C338:N1632,12,)</f>
        <v>#N/A</v>
      </c>
    </row>
    <row r="124" spans="2:4">
      <c r="B124" t="str">
        <f>IF(Summary!B138&lt;&gt;"",Summary!B138,"")</f>
        <v/>
      </c>
      <c r="D124" t="e">
        <f>VLOOKUP(B124,'Hide - Not Done'!C339:N1633,12,)</f>
        <v>#N/A</v>
      </c>
    </row>
    <row r="125" spans="2:4">
      <c r="B125" t="str">
        <f>IF(Summary!B139&lt;&gt;"",Summary!B139,"")</f>
        <v/>
      </c>
      <c r="D125" t="e">
        <f>VLOOKUP(B125,'Hide - Not Done'!C340:N1634,12,)</f>
        <v>#N/A</v>
      </c>
    </row>
    <row r="126" spans="2:4">
      <c r="B126" t="str">
        <f>IF(Summary!B140&lt;&gt;"",Summary!B140,"")</f>
        <v/>
      </c>
      <c r="D126" t="e">
        <f>VLOOKUP(B126,'Hide - Not Done'!C341:N1635,12,)</f>
        <v>#N/A</v>
      </c>
    </row>
    <row r="127" spans="2:4">
      <c r="B127" t="str">
        <f>IF(Summary!B141&lt;&gt;"",Summary!B141,"")</f>
        <v/>
      </c>
      <c r="D127" t="e">
        <f>VLOOKUP(B127,'Hide - Not Done'!C342:N1636,12,)</f>
        <v>#N/A</v>
      </c>
    </row>
    <row r="128" spans="2:4">
      <c r="B128" t="str">
        <f>IF(Summary!B142&lt;&gt;"",Summary!B142,"")</f>
        <v/>
      </c>
      <c r="D128" t="e">
        <f>VLOOKUP(B128,'Hide - Not Done'!C343:N1637,12,)</f>
        <v>#N/A</v>
      </c>
    </row>
    <row r="129" spans="2:4">
      <c r="B129" t="str">
        <f>IF(Summary!B143&lt;&gt;"",Summary!B143,"")</f>
        <v/>
      </c>
      <c r="D129" t="e">
        <f>VLOOKUP(B129,'Hide - Not Done'!C344:N1638,12,)</f>
        <v>#N/A</v>
      </c>
    </row>
    <row r="130" spans="2:4">
      <c r="B130" t="str">
        <f>IF(Summary!B144&lt;&gt;"",Summary!B144,"")</f>
        <v/>
      </c>
      <c r="D130" t="e">
        <f>VLOOKUP(B130,'Hide - Not Done'!C345:N1639,12,)</f>
        <v>#N/A</v>
      </c>
    </row>
    <row r="131" spans="2:4">
      <c r="B131" t="str">
        <f>IF(Summary!B145&lt;&gt;"",Summary!B145,"")</f>
        <v/>
      </c>
      <c r="D131" t="e">
        <f>VLOOKUP(B131,'Hide - Not Done'!C346:N1640,12,)</f>
        <v>#N/A</v>
      </c>
    </row>
    <row r="132" spans="2:4">
      <c r="B132" t="str">
        <f>IF(Summary!B146&lt;&gt;"",Summary!B146,"")</f>
        <v/>
      </c>
      <c r="D132" t="e">
        <f>VLOOKUP(B132,'Hide - Not Done'!C347:N1641,12,)</f>
        <v>#N/A</v>
      </c>
    </row>
    <row r="133" spans="2:4">
      <c r="B133" t="str">
        <f>IF(Summary!B147&lt;&gt;"",Summary!B147,"")</f>
        <v/>
      </c>
      <c r="D133" t="e">
        <f>VLOOKUP(B133,'Hide - Not Done'!C348:N1642,12,)</f>
        <v>#N/A</v>
      </c>
    </row>
    <row r="134" spans="2:4">
      <c r="B134" t="str">
        <f>IF(Summary!B148&lt;&gt;"",Summary!B148,"")</f>
        <v/>
      </c>
      <c r="D134" t="e">
        <f>VLOOKUP(B134,'Hide - Not Done'!C349:N1643,12,)</f>
        <v>#N/A</v>
      </c>
    </row>
    <row r="135" spans="2:4">
      <c r="B135" t="str">
        <f>IF(Summary!B149&lt;&gt;"",Summary!B149,"")</f>
        <v/>
      </c>
      <c r="D135" t="e">
        <f>VLOOKUP(B135,'Hide - Not Done'!C350:N1644,12,)</f>
        <v>#N/A</v>
      </c>
    </row>
    <row r="136" spans="2:4">
      <c r="B136" t="str">
        <f>IF(Summary!B150&lt;&gt;"",Summary!B150,"")</f>
        <v/>
      </c>
      <c r="D136" t="e">
        <f>VLOOKUP(B136,'Hide - Not Done'!C351:N1645,12,)</f>
        <v>#N/A</v>
      </c>
    </row>
    <row r="137" spans="2:4">
      <c r="B137" t="str">
        <f>IF(Summary!B151&lt;&gt;"",Summary!B151,"")</f>
        <v/>
      </c>
      <c r="D137" t="e">
        <f>VLOOKUP(B137,'Hide - Not Done'!C352:N1646,12,)</f>
        <v>#N/A</v>
      </c>
    </row>
    <row r="138" spans="2:4">
      <c r="B138" t="str">
        <f>IF(Summary!B152&lt;&gt;"",Summary!B152,"")</f>
        <v/>
      </c>
      <c r="D138" t="e">
        <f>VLOOKUP(B138,'Hide - Not Done'!C353:N1647,12,)</f>
        <v>#N/A</v>
      </c>
    </row>
    <row r="139" spans="2:4">
      <c r="B139" t="str">
        <f>IF(Summary!B153&lt;&gt;"",Summary!B153,"")</f>
        <v/>
      </c>
      <c r="D139" t="e">
        <f>VLOOKUP(B139,'Hide - Not Done'!C354:N1648,12,)</f>
        <v>#N/A</v>
      </c>
    </row>
    <row r="140" spans="2:4">
      <c r="B140" t="str">
        <f>IF(Summary!B154&lt;&gt;"",Summary!B154,"")</f>
        <v/>
      </c>
      <c r="D140" t="e">
        <f>VLOOKUP(B140,'Hide - Not Done'!C355:N1649,12,)</f>
        <v>#N/A</v>
      </c>
    </row>
    <row r="141" spans="2:4">
      <c r="B141" t="str">
        <f>IF(Summary!B155&lt;&gt;"",Summary!B155,"")</f>
        <v/>
      </c>
      <c r="D141" t="e">
        <f>VLOOKUP(B141,'Hide - Not Done'!C356:N1650,12,)</f>
        <v>#N/A</v>
      </c>
    </row>
    <row r="142" spans="2:4">
      <c r="B142" t="str">
        <f>IF(Summary!B156&lt;&gt;"",Summary!B156,"")</f>
        <v/>
      </c>
      <c r="D142" t="e">
        <f>VLOOKUP(B142,'Hide - Not Done'!C357:N1651,12,)</f>
        <v>#N/A</v>
      </c>
    </row>
    <row r="143" spans="2:4">
      <c r="B143" t="str">
        <f>IF(Summary!B157&lt;&gt;"",Summary!B157,"")</f>
        <v/>
      </c>
      <c r="D143" t="e">
        <f>VLOOKUP(B143,'Hide - Not Done'!C358:N1652,12,)</f>
        <v>#N/A</v>
      </c>
    </row>
    <row r="144" spans="2:4">
      <c r="B144" t="str">
        <f>IF(Summary!B158&lt;&gt;"",Summary!B158,"")</f>
        <v/>
      </c>
      <c r="D144" t="e">
        <f>VLOOKUP(B144,'Hide - Not Done'!C359:N1653,12,)</f>
        <v>#N/A</v>
      </c>
    </row>
    <row r="145" spans="2:4">
      <c r="B145" t="str">
        <f>IF(Summary!B159&lt;&gt;"",Summary!B159,"")</f>
        <v/>
      </c>
      <c r="D145" t="e">
        <f>VLOOKUP(B145,'Hide - Not Done'!C360:N1654,12,)</f>
        <v>#N/A</v>
      </c>
    </row>
    <row r="146" spans="2:4">
      <c r="B146" t="str">
        <f>IF(Summary!B160&lt;&gt;"",Summary!B160,"")</f>
        <v/>
      </c>
      <c r="D146" t="e">
        <f>VLOOKUP(B146,'Hide - Not Done'!C361:N1655,12,)</f>
        <v>#N/A</v>
      </c>
    </row>
    <row r="147" spans="2:4">
      <c r="B147" t="str">
        <f>IF(Summary!B161&lt;&gt;"",Summary!B161,"")</f>
        <v/>
      </c>
      <c r="D147" t="e">
        <f>VLOOKUP(B147,'Hide - Not Done'!C362:N1656,12,)</f>
        <v>#N/A</v>
      </c>
    </row>
    <row r="148" spans="2:4">
      <c r="B148" t="str">
        <f>IF(Summary!B162&lt;&gt;"",Summary!B162,"")</f>
        <v/>
      </c>
      <c r="D148" t="e">
        <f>VLOOKUP(B148,'Hide - Not Done'!C363:N1657,12,)</f>
        <v>#N/A</v>
      </c>
    </row>
    <row r="149" spans="2:4">
      <c r="B149" t="str">
        <f>IF(Summary!B163&lt;&gt;"",Summary!B163,"")</f>
        <v/>
      </c>
      <c r="D149" t="e">
        <f>VLOOKUP(B149,'Hide - Not Done'!C364:N1658,12,)</f>
        <v>#N/A</v>
      </c>
    </row>
    <row r="150" spans="2:4">
      <c r="B150" t="str">
        <f>IF(Summary!B164&lt;&gt;"",Summary!B164,"")</f>
        <v/>
      </c>
      <c r="D150" t="e">
        <f>VLOOKUP(B150,'Hide - Not Done'!C365:N1659,12,)</f>
        <v>#N/A</v>
      </c>
    </row>
    <row r="151" spans="2:4">
      <c r="B151" t="str">
        <f>IF(Summary!B165&lt;&gt;"",Summary!B165,"")</f>
        <v/>
      </c>
      <c r="D151" t="e">
        <f>VLOOKUP(B151,'Hide - Not Done'!C366:N1660,12,)</f>
        <v>#N/A</v>
      </c>
    </row>
    <row r="152" spans="2:4">
      <c r="B152" t="str">
        <f>IF(Summary!B166&lt;&gt;"",Summary!B166,"")</f>
        <v/>
      </c>
      <c r="D152" t="e">
        <f>VLOOKUP(B152,'Hide - Not Done'!C367:N1661,12,)</f>
        <v>#N/A</v>
      </c>
    </row>
    <row r="153" spans="2:4">
      <c r="B153" t="str">
        <f>IF(Summary!B167&lt;&gt;"",Summary!B167,"")</f>
        <v/>
      </c>
      <c r="D153" t="e">
        <f>VLOOKUP(B153,'Hide - Not Done'!C368:N1662,12,)</f>
        <v>#N/A</v>
      </c>
    </row>
    <row r="154" spans="2:4">
      <c r="B154" t="str">
        <f>IF(Summary!B168&lt;&gt;"",Summary!B168,"")</f>
        <v/>
      </c>
      <c r="D154" t="e">
        <f>VLOOKUP(B154,'Hide - Not Done'!C369:N1663,12,)</f>
        <v>#N/A</v>
      </c>
    </row>
    <row r="155" spans="2:4">
      <c r="B155" t="str">
        <f>IF(Summary!B169&lt;&gt;"",Summary!B169,"")</f>
        <v/>
      </c>
      <c r="D155" t="e">
        <f>VLOOKUP(B155,'Hide - Not Done'!C370:N1664,12,)</f>
        <v>#N/A</v>
      </c>
    </row>
    <row r="156" spans="2:4">
      <c r="B156" t="str">
        <f>IF(Summary!B170&lt;&gt;"",Summary!B170,"")</f>
        <v/>
      </c>
      <c r="D156" t="e">
        <f>VLOOKUP(B156,'Hide - Not Done'!C371:N1665,12,)</f>
        <v>#N/A</v>
      </c>
    </row>
    <row r="157" spans="2:4">
      <c r="B157" t="str">
        <f>IF(Summary!B171&lt;&gt;"",Summary!B171,"")</f>
        <v/>
      </c>
      <c r="D157" t="e">
        <f>VLOOKUP(B157,'Hide - Not Done'!C372:N1666,12,)</f>
        <v>#N/A</v>
      </c>
    </row>
    <row r="158" spans="2:4">
      <c r="B158" t="str">
        <f>IF(Summary!B172&lt;&gt;"",Summary!B172,"")</f>
        <v/>
      </c>
      <c r="D158" t="e">
        <f>VLOOKUP(B158,'Hide - Not Done'!C373:N1667,12,)</f>
        <v>#N/A</v>
      </c>
    </row>
    <row r="159" spans="2:4">
      <c r="B159" t="str">
        <f>IF(Summary!B173&lt;&gt;"",Summary!B173,"")</f>
        <v/>
      </c>
      <c r="D159" t="e">
        <f>VLOOKUP(B159,'Hide - Not Done'!C374:N1668,12,)</f>
        <v>#N/A</v>
      </c>
    </row>
    <row r="160" spans="2:4">
      <c r="B160" t="str">
        <f>IF(Summary!B174&lt;&gt;"",Summary!B174,"")</f>
        <v/>
      </c>
      <c r="D160" t="e">
        <f>VLOOKUP(B160,'Hide - Not Done'!C375:N1669,12,)</f>
        <v>#N/A</v>
      </c>
    </row>
    <row r="161" spans="2:4">
      <c r="B161" t="str">
        <f>IF(Summary!B175&lt;&gt;"",Summary!B175,"")</f>
        <v/>
      </c>
      <c r="D161" t="e">
        <f>VLOOKUP(B161,'Hide - Not Done'!C376:N1670,12,)</f>
        <v>#N/A</v>
      </c>
    </row>
    <row r="162" spans="2:4">
      <c r="B162" t="str">
        <f>IF(Summary!B176&lt;&gt;"",Summary!B176,"")</f>
        <v/>
      </c>
      <c r="D162" t="e">
        <f>VLOOKUP(B162,'Hide - Not Done'!C377:N1671,12,)</f>
        <v>#N/A</v>
      </c>
    </row>
    <row r="163" spans="2:4">
      <c r="B163" t="str">
        <f>IF(Summary!B177&lt;&gt;"",Summary!B177,"")</f>
        <v/>
      </c>
      <c r="D163" t="e">
        <f>VLOOKUP(B163,'Hide - Not Done'!C378:N1672,12,)</f>
        <v>#N/A</v>
      </c>
    </row>
    <row r="164" spans="2:4">
      <c r="B164" t="str">
        <f>IF(Summary!B178&lt;&gt;"",Summary!B178,"")</f>
        <v/>
      </c>
      <c r="D164" t="e">
        <f>VLOOKUP(B164,'Hide - Not Done'!C379:N1673,12,)</f>
        <v>#N/A</v>
      </c>
    </row>
    <row r="165" spans="2:4">
      <c r="B165" t="str">
        <f>IF(Summary!B179&lt;&gt;"",Summary!B179,"")</f>
        <v/>
      </c>
      <c r="D165" t="e">
        <f>VLOOKUP(B165,'Hide - Not Done'!C380:N1674,12,)</f>
        <v>#N/A</v>
      </c>
    </row>
    <row r="166" spans="2:4">
      <c r="B166" t="str">
        <f>IF(Summary!B180&lt;&gt;"",Summary!B180,"")</f>
        <v/>
      </c>
      <c r="D166" t="e">
        <f>VLOOKUP(B166,'Hide - Not Done'!C381:N1675,12,)</f>
        <v>#N/A</v>
      </c>
    </row>
    <row r="167" spans="2:4">
      <c r="B167" t="str">
        <f>IF(Summary!B181&lt;&gt;"",Summary!B181,"")</f>
        <v/>
      </c>
      <c r="D167" t="e">
        <f>VLOOKUP(B167,'Hide - Not Done'!C382:N1676,12,)</f>
        <v>#N/A</v>
      </c>
    </row>
    <row r="168" spans="2:4">
      <c r="B168" t="str">
        <f>IF(Summary!B182&lt;&gt;"",Summary!B182,"")</f>
        <v/>
      </c>
      <c r="D168" t="e">
        <f>VLOOKUP(B168,'Hide - Not Done'!C383:N1677,12,)</f>
        <v>#N/A</v>
      </c>
    </row>
    <row r="169" spans="2:4">
      <c r="B169" t="str">
        <f>IF(Summary!B183&lt;&gt;"",Summary!B183,"")</f>
        <v/>
      </c>
      <c r="D169" t="e">
        <f>VLOOKUP(B169,'Hide - Not Done'!C384:N1678,12,)</f>
        <v>#N/A</v>
      </c>
    </row>
    <row r="170" spans="2:4">
      <c r="B170" t="str">
        <f>IF(Summary!B184&lt;&gt;"",Summary!B184,"")</f>
        <v/>
      </c>
      <c r="D170" t="e">
        <f>VLOOKUP(B170,'Hide - Not Done'!C385:N1679,12,)</f>
        <v>#N/A</v>
      </c>
    </row>
    <row r="171" spans="2:4">
      <c r="B171" t="str">
        <f>IF(Summary!B185&lt;&gt;"",Summary!B185,"")</f>
        <v/>
      </c>
      <c r="D171" t="e">
        <f>VLOOKUP(B171,'Hide - Not Done'!C386:N1680,12,)</f>
        <v>#N/A</v>
      </c>
    </row>
    <row r="172" spans="2:4">
      <c r="B172" t="str">
        <f>IF(Summary!B186&lt;&gt;"",Summary!B186,"")</f>
        <v/>
      </c>
      <c r="D172" t="e">
        <f>VLOOKUP(B172,'Hide - Not Done'!C387:N1681,12,)</f>
        <v>#N/A</v>
      </c>
    </row>
    <row r="173" spans="2:4">
      <c r="B173" t="str">
        <f>IF(Summary!B187&lt;&gt;"",Summary!B187,"")</f>
        <v/>
      </c>
      <c r="D173" t="e">
        <f>VLOOKUP(B173,'Hide - Not Done'!C388:N1682,12,)</f>
        <v>#N/A</v>
      </c>
    </row>
    <row r="174" spans="2:4">
      <c r="B174" t="str">
        <f>IF(Summary!B188&lt;&gt;"",Summary!B188,"")</f>
        <v/>
      </c>
      <c r="D174" t="e">
        <f>VLOOKUP(B174,'Hide - Not Done'!C389:N1683,12,)</f>
        <v>#N/A</v>
      </c>
    </row>
    <row r="175" spans="2:4">
      <c r="B175" t="str">
        <f>IF(Summary!B189&lt;&gt;"",Summary!B189,"")</f>
        <v/>
      </c>
      <c r="D175" t="e">
        <f>VLOOKUP(B175,'Hide - Not Done'!C390:N1684,12,)</f>
        <v>#N/A</v>
      </c>
    </row>
    <row r="176" spans="2:4">
      <c r="B176" t="str">
        <f>IF(Summary!B190&lt;&gt;"",Summary!B190,"")</f>
        <v/>
      </c>
      <c r="D176" t="e">
        <f>VLOOKUP(B176,'Hide - Not Done'!C391:N1685,12,)</f>
        <v>#N/A</v>
      </c>
    </row>
    <row r="177" spans="2:4">
      <c r="B177" t="str">
        <f>IF(Summary!B191&lt;&gt;"",Summary!B191,"")</f>
        <v/>
      </c>
      <c r="D177" t="e">
        <f>VLOOKUP(B177,'Hide - Not Done'!C392:N1686,12,)</f>
        <v>#N/A</v>
      </c>
    </row>
    <row r="178" spans="2:4">
      <c r="B178" t="str">
        <f>IF(Summary!B192&lt;&gt;"",Summary!B192,"")</f>
        <v/>
      </c>
      <c r="D178" t="e">
        <f>VLOOKUP(B178,'Hide - Not Done'!C393:N1687,12,)</f>
        <v>#N/A</v>
      </c>
    </row>
    <row r="179" spans="2:4">
      <c r="B179" t="str">
        <f>IF(Summary!B193&lt;&gt;"",Summary!B193,"")</f>
        <v/>
      </c>
      <c r="D179" t="e">
        <f>VLOOKUP(B179,'Hide - Not Done'!C394:N1688,12,)</f>
        <v>#N/A</v>
      </c>
    </row>
    <row r="180" spans="2:4">
      <c r="B180" t="str">
        <f>IF(Summary!B194&lt;&gt;"",Summary!B194,"")</f>
        <v/>
      </c>
      <c r="D180" t="e">
        <f>VLOOKUP(B180,'Hide - Not Done'!C395:N1689,12,)</f>
        <v>#N/A</v>
      </c>
    </row>
    <row r="181" spans="2:4">
      <c r="B181" t="str">
        <f>IF(Summary!B195&lt;&gt;"",Summary!B195,"")</f>
        <v/>
      </c>
      <c r="D181" t="e">
        <f>VLOOKUP(B181,'Hide - Not Done'!C396:N1690,12,)</f>
        <v>#N/A</v>
      </c>
    </row>
    <row r="182" spans="2:4">
      <c r="B182" t="str">
        <f>IF(Summary!B196&lt;&gt;"",Summary!B196,"")</f>
        <v/>
      </c>
      <c r="D182" t="e">
        <f>VLOOKUP(B182,'Hide - Not Done'!C397:N1691,12,)</f>
        <v>#N/A</v>
      </c>
    </row>
    <row r="183" spans="2:4">
      <c r="B183" t="str">
        <f>IF(Summary!B197&lt;&gt;"",Summary!B197,"")</f>
        <v/>
      </c>
      <c r="D183" t="e">
        <f>VLOOKUP(B183,'Hide - Not Done'!C398:N1692,12,)</f>
        <v>#N/A</v>
      </c>
    </row>
    <row r="184" spans="2:4">
      <c r="B184" t="str">
        <f>IF(Summary!B198&lt;&gt;"",Summary!B198,"")</f>
        <v/>
      </c>
      <c r="D184" t="e">
        <f>VLOOKUP(B184,'Hide - Not Done'!C399:N1693,12,)</f>
        <v>#N/A</v>
      </c>
    </row>
    <row r="185" spans="2:4">
      <c r="B185" t="str">
        <f>IF(Summary!B199&lt;&gt;"",Summary!B199,"")</f>
        <v/>
      </c>
      <c r="D185" t="e">
        <f>VLOOKUP(B185,'Hide - Not Done'!C400:N1694,12,)</f>
        <v>#N/A</v>
      </c>
    </row>
    <row r="186" spans="2:4">
      <c r="B186" t="str">
        <f>IF(Summary!B200&lt;&gt;"",Summary!B200,"")</f>
        <v/>
      </c>
      <c r="D186" t="e">
        <f>VLOOKUP(B186,'Hide - Not Done'!C401:N1695,12,)</f>
        <v>#N/A</v>
      </c>
    </row>
    <row r="187" spans="2:4">
      <c r="B187" t="str">
        <f>IF(Summary!B201&lt;&gt;"",Summary!B201,"")</f>
        <v/>
      </c>
      <c r="D187" t="e">
        <f>VLOOKUP(B187,'Hide - Not Done'!C402:N1696,12,)</f>
        <v>#N/A</v>
      </c>
    </row>
    <row r="188" spans="2:4">
      <c r="B188" t="str">
        <f>IF(Summary!B202&lt;&gt;"",Summary!B202,"")</f>
        <v/>
      </c>
      <c r="D188" t="e">
        <f>VLOOKUP(B188,'Hide - Not Done'!C403:N1697,12,)</f>
        <v>#N/A</v>
      </c>
    </row>
    <row r="189" spans="2:4">
      <c r="B189" t="str">
        <f>IF(Summary!B203&lt;&gt;"",Summary!B203,"")</f>
        <v/>
      </c>
      <c r="D189" t="e">
        <f>VLOOKUP(B189,'Hide - Not Done'!C404:N1698,12,)</f>
        <v>#N/A</v>
      </c>
    </row>
    <row r="190" spans="2:4">
      <c r="B190" t="str">
        <f>IF(Summary!B204&lt;&gt;"",Summary!B204,"")</f>
        <v/>
      </c>
      <c r="D190" t="e">
        <f>VLOOKUP(B190,'Hide - Not Done'!C405:N1699,12,)</f>
        <v>#N/A</v>
      </c>
    </row>
    <row r="191" spans="2:4">
      <c r="B191" t="str">
        <f>IF(Summary!B205&lt;&gt;"",Summary!B205,"")</f>
        <v/>
      </c>
      <c r="D191" t="e">
        <f>VLOOKUP(B191,'Hide - Not Done'!C406:N1700,12,)</f>
        <v>#N/A</v>
      </c>
    </row>
    <row r="192" spans="2:4">
      <c r="B192" t="str">
        <f>IF(Summary!B206&lt;&gt;"",Summary!B206,"")</f>
        <v/>
      </c>
      <c r="D192" t="e">
        <f>VLOOKUP(B192,'Hide - Not Done'!C407:N1701,12,)</f>
        <v>#N/A</v>
      </c>
    </row>
    <row r="193" spans="2:4">
      <c r="B193" t="str">
        <f>IF(Summary!B207&lt;&gt;"",Summary!B207,"")</f>
        <v/>
      </c>
      <c r="D193" t="e">
        <f>VLOOKUP(B193,'Hide - Not Done'!C408:N1702,12,)</f>
        <v>#N/A</v>
      </c>
    </row>
    <row r="194" spans="2:4">
      <c r="B194" t="str">
        <f>IF(Summary!B208&lt;&gt;"",Summary!B208,"")</f>
        <v/>
      </c>
      <c r="D194" t="e">
        <f>VLOOKUP(B194,'Hide - Not Done'!C409:N1703,12,)</f>
        <v>#N/A</v>
      </c>
    </row>
    <row r="195" spans="2:4">
      <c r="B195" t="str">
        <f>IF(Summary!B209&lt;&gt;"",Summary!B209,"")</f>
        <v/>
      </c>
      <c r="D195" t="e">
        <f>VLOOKUP(B195,'Hide - Not Done'!C410:N1704,12,)</f>
        <v>#N/A</v>
      </c>
    </row>
    <row r="196" spans="2:4">
      <c r="B196" t="str">
        <f>IF(Summary!B210&lt;&gt;"",Summary!B210,"")</f>
        <v/>
      </c>
      <c r="D196" t="e">
        <f>VLOOKUP(B196,'Hide - Not Done'!C411:N1705,12,)</f>
        <v>#N/A</v>
      </c>
    </row>
    <row r="197" spans="2:4">
      <c r="B197" t="str">
        <f>IF(Summary!B211&lt;&gt;"",Summary!B211,"")</f>
        <v/>
      </c>
      <c r="D197" t="e">
        <f>VLOOKUP(B197,'Hide - Not Done'!C412:N1706,12,)</f>
        <v>#N/A</v>
      </c>
    </row>
    <row r="198" spans="2:4">
      <c r="B198" t="str">
        <f>IF(Summary!B212&lt;&gt;"",Summary!B212,"")</f>
        <v/>
      </c>
      <c r="D198" t="e">
        <f>VLOOKUP(B198,'Hide - Not Done'!C413:N1707,12,)</f>
        <v>#N/A</v>
      </c>
    </row>
    <row r="199" spans="2:4">
      <c r="B199" t="str">
        <f>IF(Summary!B213&lt;&gt;"",Summary!B213,"")</f>
        <v/>
      </c>
      <c r="D199" t="e">
        <f>VLOOKUP(B199,'Hide - Not Done'!C414:N1708,12,)</f>
        <v>#N/A</v>
      </c>
    </row>
    <row r="200" spans="2:4">
      <c r="B200" t="str">
        <f>IF(Summary!B214&lt;&gt;"",Summary!B214,"")</f>
        <v/>
      </c>
      <c r="D200" t="e">
        <f>VLOOKUP(B200,'Hide - Not Done'!C415:N1709,12,)</f>
        <v>#N/A</v>
      </c>
    </row>
    <row r="201" spans="2:4">
      <c r="B201" t="str">
        <f>IF(Summary!B215&lt;&gt;"",Summary!B215,"")</f>
        <v/>
      </c>
      <c r="D201" t="e">
        <f>VLOOKUP(B201,'Hide - Not Done'!C416:N1710,12,)</f>
        <v>#N/A</v>
      </c>
    </row>
    <row r="202" spans="2:4">
      <c r="B202" t="str">
        <f>IF(Summary!B216&lt;&gt;"",Summary!B216,"")</f>
        <v/>
      </c>
      <c r="D202" t="e">
        <f>VLOOKUP(B202,'Hide - Not Done'!C417:N1711,12,)</f>
        <v>#N/A</v>
      </c>
    </row>
    <row r="203" spans="2:4">
      <c r="B203" t="str">
        <f>IF(Summary!B217&lt;&gt;"",Summary!B217,"")</f>
        <v/>
      </c>
      <c r="D203" t="e">
        <f>VLOOKUP(B203,'Hide - Not Done'!C418:N1712,12,)</f>
        <v>#N/A</v>
      </c>
    </row>
    <row r="204" spans="2:4">
      <c r="B204" t="str">
        <f>IF(Summary!B218&lt;&gt;"",Summary!B218,"")</f>
        <v/>
      </c>
      <c r="D204" t="e">
        <f>VLOOKUP(B204,'Hide - Not Done'!C419:N1713,12,)</f>
        <v>#N/A</v>
      </c>
    </row>
    <row r="205" spans="2:4">
      <c r="B205" t="str">
        <f>IF(Summary!B219&lt;&gt;"",Summary!B219,"")</f>
        <v/>
      </c>
      <c r="D205" t="e">
        <f>VLOOKUP(B205,'Hide - Not Done'!C420:N1714,12,)</f>
        <v>#N/A</v>
      </c>
    </row>
    <row r="206" spans="2:4">
      <c r="B206" t="str">
        <f>IF(Summary!B220&lt;&gt;"",Summary!B220,"")</f>
        <v/>
      </c>
      <c r="D206" t="e">
        <f>VLOOKUP(B206,'Hide - Not Done'!C421:N1715,12,)</f>
        <v>#N/A</v>
      </c>
    </row>
    <row r="207" spans="2:4">
      <c r="B207" t="str">
        <f>IF(Summary!B221&lt;&gt;"",Summary!B221,"")</f>
        <v/>
      </c>
      <c r="D207" t="e">
        <f>VLOOKUP(B207,'Hide - Not Done'!C422:N1716,12,)</f>
        <v>#N/A</v>
      </c>
    </row>
    <row r="208" spans="2:4">
      <c r="B208" t="str">
        <f>IF(Summary!B222&lt;&gt;"",Summary!B222,"")</f>
        <v/>
      </c>
      <c r="D208" t="e">
        <f>VLOOKUP(B208,'Hide - Not Done'!C423:N1717,12,)</f>
        <v>#N/A</v>
      </c>
    </row>
    <row r="209" spans="2:4">
      <c r="B209" t="str">
        <f>IF(Summary!B223&lt;&gt;"",Summary!B223,"")</f>
        <v/>
      </c>
      <c r="D209" t="e">
        <f>VLOOKUP(B209,'Hide - Not Done'!C424:N1718,12,)</f>
        <v>#N/A</v>
      </c>
    </row>
    <row r="210" spans="2:4">
      <c r="B210" t="str">
        <f>IF(Summary!B224&lt;&gt;"",Summary!B224,"")</f>
        <v/>
      </c>
      <c r="D210" t="e">
        <f>VLOOKUP(B210,'Hide - Not Done'!C425:N1719,12,)</f>
        <v>#N/A</v>
      </c>
    </row>
    <row r="211" spans="2:4">
      <c r="B211" t="str">
        <f>IF(Summary!B225&lt;&gt;"",Summary!B225,"")</f>
        <v/>
      </c>
      <c r="D211" t="e">
        <f>VLOOKUP(B211,'Hide - Not Done'!C426:N1720,12,)</f>
        <v>#N/A</v>
      </c>
    </row>
    <row r="212" spans="2:4">
      <c r="B212" t="str">
        <f>IF(Summary!B226&lt;&gt;"",Summary!B226,"")</f>
        <v/>
      </c>
      <c r="D212" t="e">
        <f>VLOOKUP(B212,'Hide - Not Done'!C427:N1721,12,)</f>
        <v>#N/A</v>
      </c>
    </row>
    <row r="213" spans="2:4">
      <c r="B213" t="str">
        <f>IF(Summary!B227&lt;&gt;"",Summary!B227,"")</f>
        <v/>
      </c>
      <c r="D213" t="e">
        <f>VLOOKUP(B213,'Hide - Not Done'!C428:N1722,12,)</f>
        <v>#N/A</v>
      </c>
    </row>
    <row r="214" spans="2:4">
      <c r="B214" t="str">
        <f>IF(Summary!B228&lt;&gt;"",Summary!B228,"")</f>
        <v/>
      </c>
      <c r="D214" t="e">
        <f>VLOOKUP(B214,'Hide - Not Done'!C429:N1723,12,)</f>
        <v>#N/A</v>
      </c>
    </row>
    <row r="215" spans="2:4">
      <c r="B215" t="str">
        <f>IF(Summary!B229&lt;&gt;"",Summary!B229,"")</f>
        <v/>
      </c>
      <c r="D215" t="e">
        <f>VLOOKUP(B215,'Hide - Not Done'!C430:N1724,12,)</f>
        <v>#N/A</v>
      </c>
    </row>
    <row r="216" spans="2:4">
      <c r="B216" t="str">
        <f>IF(Summary!B230&lt;&gt;"",Summary!B230,"")</f>
        <v/>
      </c>
      <c r="D216" t="e">
        <f>VLOOKUP(B216,'Hide - Not Done'!C431:N1725,12,)</f>
        <v>#N/A</v>
      </c>
    </row>
    <row r="217" spans="2:4">
      <c r="B217" t="str">
        <f>IF(Summary!B231&lt;&gt;"",Summary!B231,"")</f>
        <v/>
      </c>
      <c r="D217" t="e">
        <f>VLOOKUP(B217,'Hide - Not Done'!C432:N1726,12,)</f>
        <v>#N/A</v>
      </c>
    </row>
    <row r="218" spans="2:4">
      <c r="B218" t="str">
        <f>IF(Summary!B232&lt;&gt;"",Summary!B232,"")</f>
        <v/>
      </c>
      <c r="D218" t="e">
        <f>VLOOKUP(B218,'Hide - Not Done'!C433:N1727,12,)</f>
        <v>#N/A</v>
      </c>
    </row>
    <row r="219" spans="2:4">
      <c r="B219" t="str">
        <f>IF(Summary!B233&lt;&gt;"",Summary!B233,"")</f>
        <v/>
      </c>
      <c r="D219" t="e">
        <f>VLOOKUP(B219,'Hide - Not Done'!C434:N1728,12,)</f>
        <v>#N/A</v>
      </c>
    </row>
    <row r="220" spans="2:4">
      <c r="B220" t="str">
        <f>IF(Summary!B234&lt;&gt;"",Summary!B234,"")</f>
        <v/>
      </c>
      <c r="D220" t="e">
        <f>VLOOKUP(B220,'Hide - Not Done'!C435:N1729,12,)</f>
        <v>#N/A</v>
      </c>
    </row>
    <row r="221" spans="2:4">
      <c r="B221" t="str">
        <f>IF(Summary!B235&lt;&gt;"",Summary!B235,"")</f>
        <v/>
      </c>
      <c r="D221" t="e">
        <f>VLOOKUP(B221,'Hide - Not Done'!C436:N1730,12,)</f>
        <v>#N/A</v>
      </c>
    </row>
    <row r="222" spans="2:4">
      <c r="B222" t="str">
        <f>IF(Summary!B236&lt;&gt;"",Summary!B236,"")</f>
        <v/>
      </c>
      <c r="D222" t="e">
        <f>VLOOKUP(B222,'Hide - Not Done'!C437:N1731,12,)</f>
        <v>#N/A</v>
      </c>
    </row>
    <row r="223" spans="2:4">
      <c r="B223" t="str">
        <f>IF(Summary!B237&lt;&gt;"",Summary!B237,"")</f>
        <v/>
      </c>
      <c r="D223" t="e">
        <f>VLOOKUP(B223,'Hide - Not Done'!C438:N1732,12,)</f>
        <v>#N/A</v>
      </c>
    </row>
    <row r="224" spans="2:4">
      <c r="B224" t="str">
        <f>IF(Summary!B238&lt;&gt;"",Summary!B238,"")</f>
        <v/>
      </c>
      <c r="D224" t="e">
        <f>VLOOKUP(B224,'Hide - Not Done'!C439:N1733,12,)</f>
        <v>#N/A</v>
      </c>
    </row>
    <row r="225" spans="2:4">
      <c r="B225" t="str">
        <f>IF(Summary!B239&lt;&gt;"",Summary!B239,"")</f>
        <v/>
      </c>
      <c r="D225" t="e">
        <f>VLOOKUP(B225,'Hide - Not Done'!C440:N1734,12,)</f>
        <v>#N/A</v>
      </c>
    </row>
    <row r="226" spans="2:4">
      <c r="B226" t="str">
        <f>IF(Summary!B240&lt;&gt;"",Summary!B240,"")</f>
        <v/>
      </c>
      <c r="D226" t="e">
        <f>VLOOKUP(B226,'Hide - Not Done'!C441:N1735,12,)</f>
        <v>#N/A</v>
      </c>
    </row>
    <row r="227" spans="2:4">
      <c r="B227" t="str">
        <f>IF(Summary!B241&lt;&gt;"",Summary!B241,"")</f>
        <v/>
      </c>
      <c r="D227" t="e">
        <f>VLOOKUP(B227,'Hide - Not Done'!C442:N1736,12,)</f>
        <v>#N/A</v>
      </c>
    </row>
    <row r="228" spans="2:4">
      <c r="B228" t="str">
        <f>IF(Summary!B242&lt;&gt;"",Summary!B242,"")</f>
        <v/>
      </c>
      <c r="D228" t="e">
        <f>VLOOKUP(B228,'Hide - Not Done'!C443:N1737,12,)</f>
        <v>#N/A</v>
      </c>
    </row>
    <row r="229" spans="2:4">
      <c r="B229" t="str">
        <f>IF(Summary!B243&lt;&gt;"",Summary!B243,"")</f>
        <v/>
      </c>
      <c r="D229" t="e">
        <f>VLOOKUP(B229,'Hide - Not Done'!C444:N1738,12,)</f>
        <v>#N/A</v>
      </c>
    </row>
    <row r="230" spans="2:4">
      <c r="B230" t="str">
        <f>IF(Summary!B244&lt;&gt;"",Summary!B244,"")</f>
        <v/>
      </c>
      <c r="D230" t="e">
        <f>VLOOKUP(B230,'Hide - Not Done'!C445:N1739,12,)</f>
        <v>#N/A</v>
      </c>
    </row>
    <row r="231" spans="2:4">
      <c r="B231" t="str">
        <f>IF(Summary!B245&lt;&gt;"",Summary!B245,"")</f>
        <v/>
      </c>
      <c r="D231" t="e">
        <f>VLOOKUP(B231,'Hide - Not Done'!C446:N1740,12,)</f>
        <v>#N/A</v>
      </c>
    </row>
    <row r="232" spans="2:4">
      <c r="B232" t="str">
        <f>IF(Summary!B246&lt;&gt;"",Summary!B246,"")</f>
        <v/>
      </c>
      <c r="D232" t="e">
        <f>VLOOKUP(B232,'Hide - Not Done'!C447:N1741,12,)</f>
        <v>#N/A</v>
      </c>
    </row>
    <row r="233" spans="2:4">
      <c r="B233" t="str">
        <f>IF(Summary!B247&lt;&gt;"",Summary!B247,"")</f>
        <v/>
      </c>
      <c r="D233" t="e">
        <f>VLOOKUP(B233,'Hide - Not Done'!C448:N1742,12,)</f>
        <v>#N/A</v>
      </c>
    </row>
    <row r="234" spans="2:4">
      <c r="B234" t="str">
        <f>IF(Summary!B248&lt;&gt;"",Summary!B248,"")</f>
        <v/>
      </c>
      <c r="D234" t="e">
        <f>VLOOKUP(B234,'Hide - Not Done'!C449:N1743,12,)</f>
        <v>#N/A</v>
      </c>
    </row>
    <row r="235" spans="2:4">
      <c r="B235" t="str">
        <f>IF(Summary!B249&lt;&gt;"",Summary!B249,"")</f>
        <v/>
      </c>
      <c r="D235" t="e">
        <f>VLOOKUP(B235,'Hide - Not Done'!C450:N1744,12,)</f>
        <v>#N/A</v>
      </c>
    </row>
    <row r="236" spans="2:4">
      <c r="B236" t="str">
        <f>IF(Summary!B250&lt;&gt;"",Summary!B250,"")</f>
        <v/>
      </c>
      <c r="D236" t="e">
        <f>VLOOKUP(B236,'Hide - Not Done'!C451:N1745,12,)</f>
        <v>#N/A</v>
      </c>
    </row>
    <row r="237" spans="2:4">
      <c r="B237" t="str">
        <f>IF(Summary!B251&lt;&gt;"",Summary!B251,"")</f>
        <v/>
      </c>
      <c r="D237" t="e">
        <f>VLOOKUP(B237,'Hide - Not Done'!C452:N1746,12,)</f>
        <v>#N/A</v>
      </c>
    </row>
    <row r="238" spans="2:4">
      <c r="B238" t="str">
        <f>IF(Summary!B252&lt;&gt;"",Summary!B252,"")</f>
        <v/>
      </c>
      <c r="D238" t="e">
        <f>VLOOKUP(B238,'Hide - Not Done'!C453:N1747,12,)</f>
        <v>#N/A</v>
      </c>
    </row>
    <row r="239" spans="2:4">
      <c r="B239" t="str">
        <f>IF(Summary!B253&lt;&gt;"",Summary!B253,"")</f>
        <v/>
      </c>
      <c r="D239" t="e">
        <f>VLOOKUP(B239,'Hide - Not Done'!C454:N1748,12,)</f>
        <v>#N/A</v>
      </c>
    </row>
    <row r="240" spans="2:4">
      <c r="B240" t="str">
        <f>IF(Summary!B254&lt;&gt;"",Summary!B254,"")</f>
        <v/>
      </c>
      <c r="D240" t="e">
        <f>VLOOKUP(B240,'Hide - Not Done'!C455:N1749,12,)</f>
        <v>#N/A</v>
      </c>
    </row>
    <row r="241" spans="2:4">
      <c r="B241" t="str">
        <f>IF(Summary!B255&lt;&gt;"",Summary!B255,"")</f>
        <v/>
      </c>
      <c r="D241" t="e">
        <f>VLOOKUP(B241,'Hide - Not Done'!C456:N1750,12,)</f>
        <v>#N/A</v>
      </c>
    </row>
    <row r="242" spans="2:4">
      <c r="B242" t="str">
        <f>IF(Summary!B256&lt;&gt;"",Summary!B256,"")</f>
        <v/>
      </c>
      <c r="D242" t="e">
        <f>VLOOKUP(B242,'Hide - Not Done'!C457:N1751,12,)</f>
        <v>#N/A</v>
      </c>
    </row>
    <row r="243" spans="2:4">
      <c r="B243" t="str">
        <f>IF(Summary!B257&lt;&gt;"",Summary!B257,"")</f>
        <v/>
      </c>
      <c r="D243" t="e">
        <f>VLOOKUP(B243,'Hide - Not Done'!C458:N1752,12,)</f>
        <v>#N/A</v>
      </c>
    </row>
    <row r="244" spans="2:4">
      <c r="B244" t="str">
        <f>IF(Summary!B258&lt;&gt;"",Summary!B258,"")</f>
        <v/>
      </c>
      <c r="D244" t="e">
        <f>VLOOKUP(B244,'Hide - Not Done'!C459:N1753,12,)</f>
        <v>#N/A</v>
      </c>
    </row>
    <row r="245" spans="2:4">
      <c r="B245" t="str">
        <f>IF(Summary!B259&lt;&gt;"",Summary!B259,"")</f>
        <v/>
      </c>
      <c r="D245" t="e">
        <f>VLOOKUP(B245,'Hide - Not Done'!C460:N1754,12,)</f>
        <v>#N/A</v>
      </c>
    </row>
    <row r="246" spans="2:4">
      <c r="B246" t="str">
        <f>IF(Summary!B260&lt;&gt;"",Summary!B260,"")</f>
        <v/>
      </c>
      <c r="D246" t="e">
        <f>VLOOKUP(B246,'Hide - Not Done'!C461:N1755,12,)</f>
        <v>#N/A</v>
      </c>
    </row>
    <row r="247" spans="2:4">
      <c r="B247" t="str">
        <f>IF(Summary!B261&lt;&gt;"",Summary!B261,"")</f>
        <v/>
      </c>
      <c r="D247" t="e">
        <f>VLOOKUP(B247,'Hide - Not Done'!C462:N1756,12,)</f>
        <v>#N/A</v>
      </c>
    </row>
    <row r="248" spans="2:4">
      <c r="B248" t="str">
        <f>IF(Summary!B262&lt;&gt;"",Summary!B262,"")</f>
        <v/>
      </c>
      <c r="D248" t="e">
        <f>VLOOKUP(B248,'Hide - Not Done'!C463:N1757,12,)</f>
        <v>#N/A</v>
      </c>
    </row>
    <row r="249" spans="2:4">
      <c r="B249" t="str">
        <f>IF(Summary!B263&lt;&gt;"",Summary!B263,"")</f>
        <v/>
      </c>
      <c r="D249" t="e">
        <f>VLOOKUP(B249,'Hide - Not Done'!C464:N1758,12,)</f>
        <v>#N/A</v>
      </c>
    </row>
    <row r="250" spans="2:4">
      <c r="B250" t="str">
        <f>IF(Summary!B264&lt;&gt;"",Summary!B264,"")</f>
        <v/>
      </c>
      <c r="D250" t="e">
        <f>VLOOKUP(B250,'Hide - Not Done'!C465:N1759,12,)</f>
        <v>#N/A</v>
      </c>
    </row>
    <row r="251" spans="2:4">
      <c r="B251" t="str">
        <f>IF(Summary!B265&lt;&gt;"",Summary!B265,"")</f>
        <v/>
      </c>
      <c r="D251" t="e">
        <f>VLOOKUP(B251,'Hide - Not Done'!C466:N1760,12,)</f>
        <v>#N/A</v>
      </c>
    </row>
    <row r="252" spans="2:4">
      <c r="B252" t="str">
        <f>IF(Summary!B266&lt;&gt;"",Summary!B266,"")</f>
        <v/>
      </c>
      <c r="D252" t="e">
        <f>VLOOKUP(B252,'Hide - Not Done'!C467:N1761,12,)</f>
        <v>#N/A</v>
      </c>
    </row>
    <row r="253" spans="2:4">
      <c r="B253" t="str">
        <f>IF(Summary!B267&lt;&gt;"",Summary!B267,"")</f>
        <v/>
      </c>
      <c r="D253" t="e">
        <f>VLOOKUP(B253,'Hide - Not Done'!C468:N1762,12,)</f>
        <v>#N/A</v>
      </c>
    </row>
    <row r="254" spans="2:4">
      <c r="B254" t="str">
        <f>IF(Summary!B268&lt;&gt;"",Summary!B268,"")</f>
        <v/>
      </c>
      <c r="D254" t="e">
        <f>VLOOKUP(B254,'Hide - Not Done'!C469:N1763,12,)</f>
        <v>#N/A</v>
      </c>
    </row>
    <row r="255" spans="2:4">
      <c r="B255" t="str">
        <f>IF(Summary!B269&lt;&gt;"",Summary!B269,"")</f>
        <v/>
      </c>
      <c r="D255" t="e">
        <f>VLOOKUP(B255,'Hide - Not Done'!C470:N1764,12,)</f>
        <v>#N/A</v>
      </c>
    </row>
    <row r="256" spans="2:4">
      <c r="B256" t="str">
        <f>IF(Summary!B270&lt;&gt;"",Summary!B270,"")</f>
        <v/>
      </c>
      <c r="D256" t="e">
        <f>VLOOKUP(B256,'Hide - Not Done'!C471:N1765,12,)</f>
        <v>#N/A</v>
      </c>
    </row>
    <row r="257" spans="2:4">
      <c r="B257" t="str">
        <f>IF(Summary!B271&lt;&gt;"",Summary!B271,"")</f>
        <v/>
      </c>
      <c r="D257" t="e">
        <f>VLOOKUP(B257,'Hide - Not Done'!C472:N1766,12,)</f>
        <v>#N/A</v>
      </c>
    </row>
    <row r="258" spans="2:4">
      <c r="B258" t="str">
        <f>IF(Summary!B272&lt;&gt;"",Summary!B272,"")</f>
        <v/>
      </c>
      <c r="D258" t="e">
        <f>VLOOKUP(B258,'Hide - Not Done'!C473:N1767,12,)</f>
        <v>#N/A</v>
      </c>
    </row>
    <row r="259" spans="2:4">
      <c r="B259" t="str">
        <f>IF(Summary!B273&lt;&gt;"",Summary!B273,"")</f>
        <v/>
      </c>
      <c r="D259" t="e">
        <f>VLOOKUP(B259,'Hide - Not Done'!C474:N1768,12,)</f>
        <v>#N/A</v>
      </c>
    </row>
    <row r="260" spans="2:4">
      <c r="B260" t="str">
        <f>IF(Summary!B274&lt;&gt;"",Summary!B274,"")</f>
        <v/>
      </c>
      <c r="D260" t="e">
        <f>VLOOKUP(B260,'Hide - Not Done'!C475:N1769,12,)</f>
        <v>#N/A</v>
      </c>
    </row>
    <row r="261" spans="2:4">
      <c r="B261" t="str">
        <f>IF(Summary!B275&lt;&gt;"",Summary!B275,"")</f>
        <v/>
      </c>
      <c r="D261" t="e">
        <f>VLOOKUP(B261,'Hide - Not Done'!C476:N1770,12,)</f>
        <v>#N/A</v>
      </c>
    </row>
    <row r="262" spans="2:4">
      <c r="B262" t="str">
        <f>IF(Summary!B276&lt;&gt;"",Summary!B276,"")</f>
        <v/>
      </c>
      <c r="D262" t="e">
        <f>VLOOKUP(B262,'Hide - Not Done'!C477:N1771,12,)</f>
        <v>#N/A</v>
      </c>
    </row>
    <row r="263" spans="2:4">
      <c r="B263" t="str">
        <f>IF(Summary!B277&lt;&gt;"",Summary!B277,"")</f>
        <v/>
      </c>
      <c r="D263" t="e">
        <f>VLOOKUP(B263,'Hide - Not Done'!C478:N1772,12,)</f>
        <v>#N/A</v>
      </c>
    </row>
    <row r="264" spans="2:4">
      <c r="B264" t="str">
        <f>IF(Summary!B278&lt;&gt;"",Summary!B278,"")</f>
        <v/>
      </c>
      <c r="D264" t="e">
        <f>VLOOKUP(B264,'Hide - Not Done'!C479:N1773,12,)</f>
        <v>#N/A</v>
      </c>
    </row>
    <row r="265" spans="2:4">
      <c r="B265" t="str">
        <f>IF(Summary!B279&lt;&gt;"",Summary!B279,"")</f>
        <v/>
      </c>
      <c r="D265" t="e">
        <f>VLOOKUP(B265,'Hide - Not Done'!C480:N1774,12,)</f>
        <v>#N/A</v>
      </c>
    </row>
    <row r="266" spans="2:4">
      <c r="B266" t="str">
        <f>IF(Summary!B280&lt;&gt;"",Summary!B280,"")</f>
        <v/>
      </c>
      <c r="D266" t="e">
        <f>VLOOKUP(B266,'Hide - Not Done'!C481:N1775,12,)</f>
        <v>#N/A</v>
      </c>
    </row>
    <row r="267" spans="2:4">
      <c r="B267" t="str">
        <f>IF(Summary!B281&lt;&gt;"",Summary!B281,"")</f>
        <v/>
      </c>
      <c r="D267" t="e">
        <f>VLOOKUP(B267,'Hide - Not Done'!C482:N1776,12,)</f>
        <v>#N/A</v>
      </c>
    </row>
    <row r="268" spans="2:4">
      <c r="B268" t="str">
        <f>IF(Summary!B282&lt;&gt;"",Summary!B282,"")</f>
        <v/>
      </c>
      <c r="D268" t="e">
        <f>VLOOKUP(B268,'Hide - Not Done'!C483:N1777,12,)</f>
        <v>#N/A</v>
      </c>
    </row>
    <row r="269" spans="2:4">
      <c r="B269" t="str">
        <f>IF(Summary!B283&lt;&gt;"",Summary!B283,"")</f>
        <v/>
      </c>
      <c r="D269" t="e">
        <f>VLOOKUP(B269,'Hide - Not Done'!C484:N1778,12,)</f>
        <v>#N/A</v>
      </c>
    </row>
    <row r="270" spans="2:4">
      <c r="B270" t="str">
        <f>IF(Summary!B284&lt;&gt;"",Summary!B284,"")</f>
        <v/>
      </c>
      <c r="D270" t="e">
        <f>VLOOKUP(B270,'Hide - Not Done'!C485:N1779,12,)</f>
        <v>#N/A</v>
      </c>
    </row>
    <row r="271" spans="2:4">
      <c r="B271" t="str">
        <f>IF(Summary!B285&lt;&gt;"",Summary!B285,"")</f>
        <v/>
      </c>
      <c r="D271" t="e">
        <f>VLOOKUP(B271,'Hide - Not Done'!C486:N1780,12,)</f>
        <v>#N/A</v>
      </c>
    </row>
    <row r="272" spans="2:4">
      <c r="B272" t="str">
        <f>IF(Summary!B286&lt;&gt;"",Summary!B286,"")</f>
        <v/>
      </c>
      <c r="D272" t="e">
        <f>VLOOKUP(B272,'Hide - Not Done'!C487:N1781,12,)</f>
        <v>#N/A</v>
      </c>
    </row>
    <row r="273" spans="2:4">
      <c r="B273" t="str">
        <f>IF(Summary!B287&lt;&gt;"",Summary!B287,"")</f>
        <v/>
      </c>
      <c r="D273" t="e">
        <f>VLOOKUP(B273,'Hide - Not Done'!C488:N1782,12,)</f>
        <v>#N/A</v>
      </c>
    </row>
    <row r="274" spans="2:4">
      <c r="B274" t="str">
        <f>IF(Summary!B288&lt;&gt;"",Summary!B288,"")</f>
        <v/>
      </c>
      <c r="D274" t="e">
        <f>VLOOKUP(B274,'Hide - Not Done'!C489:N1783,12,)</f>
        <v>#N/A</v>
      </c>
    </row>
    <row r="275" spans="2:4">
      <c r="B275" t="str">
        <f>IF(Summary!B289&lt;&gt;"",Summary!B289,"")</f>
        <v/>
      </c>
      <c r="D275" t="e">
        <f>VLOOKUP(B275,'Hide - Not Done'!C490:N1784,12,)</f>
        <v>#N/A</v>
      </c>
    </row>
    <row r="276" spans="2:4">
      <c r="B276" t="str">
        <f>IF(Summary!B290&lt;&gt;"",Summary!B290,"")</f>
        <v/>
      </c>
      <c r="D276" t="e">
        <f>VLOOKUP(B276,'Hide - Not Done'!C491:N1785,12,)</f>
        <v>#N/A</v>
      </c>
    </row>
    <row r="277" spans="2:4">
      <c r="B277" t="str">
        <f>IF(Summary!B291&lt;&gt;"",Summary!B291,"")</f>
        <v/>
      </c>
      <c r="D277" t="e">
        <f>VLOOKUP(B277,'Hide - Not Done'!C492:N1786,12,)</f>
        <v>#N/A</v>
      </c>
    </row>
    <row r="278" spans="2:4">
      <c r="B278" t="str">
        <f>IF(Summary!B292&lt;&gt;"",Summary!B292,"")</f>
        <v/>
      </c>
      <c r="D278" t="e">
        <f>VLOOKUP(B278,'Hide - Not Done'!C493:N1787,12,)</f>
        <v>#N/A</v>
      </c>
    </row>
    <row r="279" spans="2:4">
      <c r="B279" t="str">
        <f>IF(Summary!B293&lt;&gt;"",Summary!B293,"")</f>
        <v/>
      </c>
      <c r="D279" t="e">
        <f>VLOOKUP(B279,'Hide - Not Done'!C494:N1788,12,)</f>
        <v>#N/A</v>
      </c>
    </row>
    <row r="280" spans="2:4">
      <c r="B280" t="str">
        <f>IF(Summary!B294&lt;&gt;"",Summary!B294,"")</f>
        <v/>
      </c>
      <c r="D280" t="e">
        <f>VLOOKUP(B280,'Hide - Not Done'!C495:N1789,12,)</f>
        <v>#N/A</v>
      </c>
    </row>
    <row r="281" spans="2:4">
      <c r="B281" t="str">
        <f>IF(Summary!B295&lt;&gt;"",Summary!B295,"")</f>
        <v/>
      </c>
      <c r="D281" t="e">
        <f>VLOOKUP(B281,'Hide - Not Done'!C496:N1790,12,)</f>
        <v>#N/A</v>
      </c>
    </row>
    <row r="282" spans="2:4">
      <c r="B282" t="str">
        <f>IF(Summary!B296&lt;&gt;"",Summary!B296,"")</f>
        <v/>
      </c>
      <c r="D282" t="e">
        <f>VLOOKUP(B282,'Hide - Not Done'!C497:N1791,12,)</f>
        <v>#N/A</v>
      </c>
    </row>
    <row r="283" spans="2:4">
      <c r="B283" t="str">
        <f>IF(Summary!B297&lt;&gt;"",Summary!B297,"")</f>
        <v/>
      </c>
      <c r="D283" t="e">
        <f>VLOOKUP(B283,'Hide - Not Done'!C498:N1792,12,)</f>
        <v>#N/A</v>
      </c>
    </row>
    <row r="284" spans="2:4">
      <c r="B284" t="str">
        <f>IF(Summary!B298&lt;&gt;"",Summary!B298,"")</f>
        <v/>
      </c>
      <c r="D284" t="e">
        <f>VLOOKUP(B284,'Hide - Not Done'!C499:N1793,12,)</f>
        <v>#N/A</v>
      </c>
    </row>
    <row r="285" spans="2:4">
      <c r="B285" t="str">
        <f>IF(Summary!B299&lt;&gt;"",Summary!B299,"")</f>
        <v/>
      </c>
      <c r="D285" t="e">
        <f>VLOOKUP(B285,'Hide - Not Done'!C500:N1794,12,)</f>
        <v>#N/A</v>
      </c>
    </row>
    <row r="286" spans="2:4">
      <c r="B286" t="str">
        <f>IF(Summary!B300&lt;&gt;"",Summary!B300,"")</f>
        <v/>
      </c>
      <c r="D286" t="e">
        <f>VLOOKUP(B286,'Hide - Not Done'!C501:N1795,12,)</f>
        <v>#N/A</v>
      </c>
    </row>
    <row r="287" spans="2:4">
      <c r="B287" t="str">
        <f>IF(Summary!B301&lt;&gt;"",Summary!B301,"")</f>
        <v/>
      </c>
      <c r="D287" t="e">
        <f>VLOOKUP(B287,'Hide - Not Done'!C502:N1796,12,)</f>
        <v>#N/A</v>
      </c>
    </row>
    <row r="288" spans="2:4">
      <c r="B288" t="str">
        <f>IF(Summary!B302&lt;&gt;"",Summary!B302,"")</f>
        <v/>
      </c>
      <c r="D288" t="e">
        <f>VLOOKUP(B288,'Hide - Not Done'!C503:N1797,12,)</f>
        <v>#N/A</v>
      </c>
    </row>
    <row r="289" spans="2:4">
      <c r="B289" t="str">
        <f>IF(Summary!B303&lt;&gt;"",Summary!B303,"")</f>
        <v/>
      </c>
      <c r="D289" t="e">
        <f>VLOOKUP(B289,'Hide - Not Done'!C504:N1798,12,)</f>
        <v>#N/A</v>
      </c>
    </row>
    <row r="290" spans="2:4">
      <c r="B290" t="str">
        <f>IF(Summary!B304&lt;&gt;"",Summary!B304,"")</f>
        <v/>
      </c>
      <c r="D290" t="e">
        <f>VLOOKUP(B290,'Hide - Not Done'!C505:N1799,12,)</f>
        <v>#N/A</v>
      </c>
    </row>
    <row r="291" spans="2:4">
      <c r="B291" t="str">
        <f>IF(Summary!B305&lt;&gt;"",Summary!B305,"")</f>
        <v/>
      </c>
      <c r="D291" t="e">
        <f>VLOOKUP(B291,'Hide - Not Done'!C506:N1800,12,)</f>
        <v>#N/A</v>
      </c>
    </row>
    <row r="292" spans="2:4">
      <c r="B292" t="str">
        <f>IF(Summary!B306&lt;&gt;"",Summary!B306,"")</f>
        <v/>
      </c>
      <c r="D292" t="e">
        <f>VLOOKUP(B292,'Hide - Not Done'!C507:N1801,12,)</f>
        <v>#N/A</v>
      </c>
    </row>
    <row r="293" spans="2:4">
      <c r="B293" t="str">
        <f>IF(Summary!B307&lt;&gt;"",Summary!B307,"")</f>
        <v/>
      </c>
      <c r="D293" t="e">
        <f>VLOOKUP(B293,'Hide - Not Done'!C508:N1802,12,)</f>
        <v>#N/A</v>
      </c>
    </row>
    <row r="294" spans="2:4">
      <c r="B294" t="str">
        <f>IF(Summary!B308&lt;&gt;"",Summary!B308,"")</f>
        <v/>
      </c>
      <c r="D294" t="e">
        <f>VLOOKUP(B294,'Hide - Not Done'!C509:N1803,12,)</f>
        <v>#N/A</v>
      </c>
    </row>
    <row r="295" spans="2:4">
      <c r="B295" t="str">
        <f>IF(Summary!B309&lt;&gt;"",Summary!B309,"")</f>
        <v/>
      </c>
      <c r="D295" t="e">
        <f>VLOOKUP(B295,'Hide - Not Done'!C510:N1804,12,)</f>
        <v>#N/A</v>
      </c>
    </row>
    <row r="296" spans="2:4">
      <c r="B296" t="str">
        <f>IF(Summary!B310&lt;&gt;"",Summary!B310,"")</f>
        <v/>
      </c>
      <c r="D296" t="e">
        <f>VLOOKUP(B296,'Hide - Not Done'!C511:N1805,12,)</f>
        <v>#N/A</v>
      </c>
    </row>
    <row r="297" spans="2:4">
      <c r="B297" t="str">
        <f>IF(Summary!B311&lt;&gt;"",Summary!B311,"")</f>
        <v/>
      </c>
      <c r="D297" t="e">
        <f>VLOOKUP(B297,'Hide - Not Done'!C512:N1806,12,)</f>
        <v>#N/A</v>
      </c>
    </row>
    <row r="298" spans="2:4">
      <c r="B298" t="str">
        <f>IF(Summary!B312&lt;&gt;"",Summary!B312,"")</f>
        <v/>
      </c>
      <c r="D298" t="e">
        <f>VLOOKUP(B298,'Hide - Not Done'!C513:N1807,12,)</f>
        <v>#N/A</v>
      </c>
    </row>
    <row r="299" spans="2:4">
      <c r="B299" t="str">
        <f>IF(Summary!B313&lt;&gt;"",Summary!B313,"")</f>
        <v/>
      </c>
      <c r="D299" t="e">
        <f>VLOOKUP(B299,'Hide - Not Done'!C514:N1808,12,)</f>
        <v>#N/A</v>
      </c>
    </row>
    <row r="300" spans="2:4">
      <c r="B300" t="str">
        <f>IF(Summary!B314&lt;&gt;"",Summary!B314,"")</f>
        <v/>
      </c>
      <c r="D300" t="e">
        <f>VLOOKUP(B300,'Hide - Not Done'!C515:N1809,12,)</f>
        <v>#N/A</v>
      </c>
    </row>
    <row r="301" spans="2:4">
      <c r="B301" t="str">
        <f>IF(Summary!B315&lt;&gt;"",Summary!B315,"")</f>
        <v/>
      </c>
      <c r="D301" t="e">
        <f>VLOOKUP(B301,'Hide - Not Done'!C516:N1810,12,)</f>
        <v>#N/A</v>
      </c>
    </row>
    <row r="302" spans="2:4">
      <c r="B302" t="str">
        <f>IF(Summary!B316&lt;&gt;"",Summary!B316,"")</f>
        <v/>
      </c>
      <c r="D302" t="e">
        <f>VLOOKUP(B302,'Hide - Not Done'!C517:N1811,12,)</f>
        <v>#N/A</v>
      </c>
    </row>
    <row r="303" spans="2:4">
      <c r="B303" t="str">
        <f>IF(Summary!B317&lt;&gt;"",Summary!B317,"")</f>
        <v/>
      </c>
      <c r="D303" t="e">
        <f>VLOOKUP(B303,'Hide - Not Done'!C518:N1812,12,)</f>
        <v>#N/A</v>
      </c>
    </row>
    <row r="304" spans="2:4">
      <c r="B304" t="str">
        <f>IF(Summary!B318&lt;&gt;"",Summary!B318,"")</f>
        <v/>
      </c>
      <c r="D304" t="e">
        <f>VLOOKUP(B304,'Hide - Not Done'!C519:N1813,12,)</f>
        <v>#N/A</v>
      </c>
    </row>
    <row r="305" spans="2:4">
      <c r="B305" t="str">
        <f>IF(Summary!B319&lt;&gt;"",Summary!B319,"")</f>
        <v/>
      </c>
      <c r="D305" t="e">
        <f>VLOOKUP(B305,'Hide - Not Done'!C520:N1814,12,)</f>
        <v>#N/A</v>
      </c>
    </row>
    <row r="306" spans="2:4">
      <c r="B306" t="str">
        <f>IF(Summary!B320&lt;&gt;"",Summary!B320,"")</f>
        <v/>
      </c>
      <c r="D306" t="e">
        <f>VLOOKUP(B306,'Hide - Not Done'!C521:N1815,12,)</f>
        <v>#N/A</v>
      </c>
    </row>
    <row r="307" spans="2:4">
      <c r="B307" t="str">
        <f>IF(Summary!B321&lt;&gt;"",Summary!B321,"")</f>
        <v/>
      </c>
      <c r="D307" t="e">
        <f>VLOOKUP(B307,'Hide - Not Done'!C522:N1816,12,)</f>
        <v>#N/A</v>
      </c>
    </row>
    <row r="308" spans="2:4">
      <c r="B308" t="str">
        <f>IF(Summary!B322&lt;&gt;"",Summary!B322,"")</f>
        <v/>
      </c>
      <c r="D308" t="e">
        <f>VLOOKUP(B308,'Hide - Not Done'!C523:N1817,12,)</f>
        <v>#N/A</v>
      </c>
    </row>
    <row r="309" spans="2:4">
      <c r="B309" t="str">
        <f>IF(Summary!B323&lt;&gt;"",Summary!B323,"")</f>
        <v/>
      </c>
      <c r="D309" t="e">
        <f>VLOOKUP(B309,'Hide - Not Done'!C524:N1818,12,)</f>
        <v>#N/A</v>
      </c>
    </row>
    <row r="310" spans="2:4">
      <c r="B310" t="str">
        <f>IF(Summary!B324&lt;&gt;"",Summary!B324,"")</f>
        <v/>
      </c>
      <c r="D310" t="e">
        <f>VLOOKUP(B310,'Hide - Not Done'!C525:N1819,12,)</f>
        <v>#N/A</v>
      </c>
    </row>
    <row r="311" spans="2:4">
      <c r="B311" t="str">
        <f>IF(Summary!B325&lt;&gt;"",Summary!B325,"")</f>
        <v/>
      </c>
      <c r="D311" t="e">
        <f>VLOOKUP(B311,'Hide - Not Done'!C526:N1820,12,)</f>
        <v>#N/A</v>
      </c>
    </row>
    <row r="312" spans="2:4">
      <c r="B312" t="str">
        <f>IF(Summary!B326&lt;&gt;"",Summary!B326,"")</f>
        <v/>
      </c>
      <c r="D312" t="e">
        <f>VLOOKUP(B312,'Hide - Not Done'!C527:N1821,12,)</f>
        <v>#N/A</v>
      </c>
    </row>
    <row r="313" spans="2:4">
      <c r="B313" t="str">
        <f>IF(Summary!B327&lt;&gt;"",Summary!B327,"")</f>
        <v/>
      </c>
      <c r="D313" t="e">
        <f>VLOOKUP(B313,'Hide - Not Done'!C528:N1822,12,)</f>
        <v>#N/A</v>
      </c>
    </row>
    <row r="314" spans="2:4">
      <c r="B314" t="str">
        <f>IF(Summary!B328&lt;&gt;"",Summary!B328,"")</f>
        <v/>
      </c>
      <c r="D314" t="e">
        <f>VLOOKUP(B314,'Hide - Not Done'!C529:N1823,12,)</f>
        <v>#N/A</v>
      </c>
    </row>
    <row r="315" spans="2:4">
      <c r="B315" t="str">
        <f>IF(Summary!B329&lt;&gt;"",Summary!B329,"")</f>
        <v/>
      </c>
      <c r="D315" t="e">
        <f>VLOOKUP(B315,'Hide - Not Done'!C530:N1824,12,)</f>
        <v>#N/A</v>
      </c>
    </row>
    <row r="316" spans="2:4">
      <c r="B316" t="str">
        <f>IF(Summary!B330&lt;&gt;"",Summary!B330,"")</f>
        <v/>
      </c>
      <c r="D316" t="e">
        <f>VLOOKUP(B316,'Hide - Not Done'!C531:N1825,12,)</f>
        <v>#N/A</v>
      </c>
    </row>
    <row r="317" spans="2:4">
      <c r="B317" t="str">
        <f>IF(Summary!B331&lt;&gt;"",Summary!B331,"")</f>
        <v/>
      </c>
      <c r="D317" t="e">
        <f>VLOOKUP(B317,'Hide - Not Done'!C532:N1826,12,)</f>
        <v>#N/A</v>
      </c>
    </row>
    <row r="318" spans="2:4">
      <c r="B318" t="str">
        <f>IF(Summary!B332&lt;&gt;"",Summary!B332,"")</f>
        <v/>
      </c>
      <c r="D318" t="e">
        <f>VLOOKUP(B318,'Hide - Not Done'!C533:N1827,12,)</f>
        <v>#N/A</v>
      </c>
    </row>
    <row r="319" spans="2:4">
      <c r="B319" t="str">
        <f>IF(Summary!B333&lt;&gt;"",Summary!B333,"")</f>
        <v/>
      </c>
      <c r="D319" t="e">
        <f>VLOOKUP(B319,'Hide - Not Done'!C534:N1828,12,)</f>
        <v>#N/A</v>
      </c>
    </row>
    <row r="320" spans="2:4">
      <c r="B320" t="str">
        <f>IF(Summary!B334&lt;&gt;"",Summary!B334,"")</f>
        <v/>
      </c>
      <c r="D320" t="e">
        <f>VLOOKUP(B320,'Hide - Not Done'!C535:N1829,12,)</f>
        <v>#N/A</v>
      </c>
    </row>
    <row r="321" spans="2:4">
      <c r="B321" t="str">
        <f>IF(Summary!B335&lt;&gt;"",Summary!B335,"")</f>
        <v/>
      </c>
      <c r="D321" t="e">
        <f>VLOOKUP(B321,'Hide - Not Done'!C536:N1830,12,)</f>
        <v>#N/A</v>
      </c>
    </row>
    <row r="322" spans="2:4">
      <c r="B322" t="str">
        <f>IF(Summary!B336&lt;&gt;"",Summary!B336,"")</f>
        <v/>
      </c>
      <c r="D322" t="e">
        <f>VLOOKUP(B322,'Hide - Not Done'!C537:N1831,12,)</f>
        <v>#N/A</v>
      </c>
    </row>
    <row r="323" spans="2:4">
      <c r="B323" t="str">
        <f>IF(Summary!B337&lt;&gt;"",Summary!B337,"")</f>
        <v/>
      </c>
      <c r="D323" t="e">
        <f>VLOOKUP(B323,'Hide - Not Done'!C538:N1832,12,)</f>
        <v>#N/A</v>
      </c>
    </row>
    <row r="324" spans="2:4">
      <c r="B324" t="str">
        <f>IF(Summary!B338&lt;&gt;"",Summary!B338,"")</f>
        <v/>
      </c>
      <c r="D324" t="e">
        <f>VLOOKUP(B324,'Hide - Not Done'!C539:N1833,12,)</f>
        <v>#N/A</v>
      </c>
    </row>
    <row r="325" spans="2:4">
      <c r="B325" t="str">
        <f>IF(Summary!B339&lt;&gt;"",Summary!B339,"")</f>
        <v/>
      </c>
      <c r="D325" t="e">
        <f>VLOOKUP(B325,'Hide - Not Done'!C540:N1834,12,)</f>
        <v>#N/A</v>
      </c>
    </row>
    <row r="326" spans="2:4">
      <c r="B326" t="str">
        <f>IF(Summary!B340&lt;&gt;"",Summary!B340,"")</f>
        <v/>
      </c>
      <c r="D326" t="e">
        <f>VLOOKUP(B326,'Hide - Not Done'!C541:N1835,12,)</f>
        <v>#N/A</v>
      </c>
    </row>
    <row r="327" spans="2:4">
      <c r="B327" t="str">
        <f>IF(Summary!B341&lt;&gt;"",Summary!B341,"")</f>
        <v/>
      </c>
      <c r="D327" t="e">
        <f>VLOOKUP(B327,'Hide - Not Done'!C542:N1836,12,)</f>
        <v>#N/A</v>
      </c>
    </row>
    <row r="328" spans="2:4">
      <c r="B328" t="str">
        <f>IF(Summary!B342&lt;&gt;"",Summary!B342,"")</f>
        <v/>
      </c>
      <c r="D328" t="e">
        <f>VLOOKUP(B328,'Hide - Not Done'!C543:N1837,12,)</f>
        <v>#N/A</v>
      </c>
    </row>
    <row r="329" spans="2:4">
      <c r="B329" t="str">
        <f>IF(Summary!B343&lt;&gt;"",Summary!B343,"")</f>
        <v/>
      </c>
      <c r="D329" t="e">
        <f>VLOOKUP(B329,'Hide - Not Done'!C544:N1838,12,)</f>
        <v>#N/A</v>
      </c>
    </row>
    <row r="330" spans="2:4">
      <c r="B330" t="str">
        <f>IF(Summary!B344&lt;&gt;"",Summary!B344,"")</f>
        <v/>
      </c>
      <c r="D330" t="e">
        <f>VLOOKUP(B330,'Hide - Not Done'!C545:N1839,12,)</f>
        <v>#N/A</v>
      </c>
    </row>
    <row r="331" spans="2:4">
      <c r="B331" t="str">
        <f>IF(Summary!B345&lt;&gt;"",Summary!B345,"")</f>
        <v/>
      </c>
      <c r="D331" t="e">
        <f>VLOOKUP(B331,'Hide - Not Done'!C546:N1840,12,)</f>
        <v>#N/A</v>
      </c>
    </row>
    <row r="332" spans="2:4">
      <c r="B332" t="str">
        <f>IF(Summary!B346&lt;&gt;"",Summary!B346,"")</f>
        <v/>
      </c>
      <c r="D332" t="e">
        <f>VLOOKUP(B332,'Hide - Not Done'!C547:N1841,12,)</f>
        <v>#N/A</v>
      </c>
    </row>
    <row r="333" spans="2:4">
      <c r="B333" t="str">
        <f>IF(Summary!B347&lt;&gt;"",Summary!B347,"")</f>
        <v/>
      </c>
      <c r="D333" t="e">
        <f>VLOOKUP(B333,'Hide - Not Done'!C548:N1842,12,)</f>
        <v>#N/A</v>
      </c>
    </row>
    <row r="334" spans="2:4">
      <c r="B334" t="str">
        <f>IF(Summary!B348&lt;&gt;"",Summary!B348,"")</f>
        <v/>
      </c>
      <c r="D334" t="e">
        <f>VLOOKUP(B334,'Hide - Not Done'!C549:N1843,12,)</f>
        <v>#N/A</v>
      </c>
    </row>
    <row r="335" spans="2:4">
      <c r="B335" t="str">
        <f>IF(Summary!B349&lt;&gt;"",Summary!B349,"")</f>
        <v/>
      </c>
      <c r="D335" t="e">
        <f>VLOOKUP(B335,'Hide - Not Done'!C550:N1844,12,)</f>
        <v>#N/A</v>
      </c>
    </row>
    <row r="336" spans="2:4">
      <c r="B336" t="str">
        <f>IF(Summary!B350&lt;&gt;"",Summary!B350,"")</f>
        <v/>
      </c>
      <c r="D336" t="e">
        <f>VLOOKUP(B336,'Hide - Not Done'!C551:N1845,12,)</f>
        <v>#N/A</v>
      </c>
    </row>
    <row r="337" spans="2:4">
      <c r="B337" t="str">
        <f>IF(Summary!B351&lt;&gt;"",Summary!B351,"")</f>
        <v/>
      </c>
      <c r="D337" t="e">
        <f>VLOOKUP(B337,'Hide - Not Done'!C552:N1846,12,)</f>
        <v>#N/A</v>
      </c>
    </row>
    <row r="338" spans="2:4">
      <c r="B338" t="str">
        <f>IF(Summary!B352&lt;&gt;"",Summary!B352,"")</f>
        <v/>
      </c>
      <c r="D338" t="e">
        <f>VLOOKUP(B338,'Hide - Not Done'!C553:N1847,12,)</f>
        <v>#N/A</v>
      </c>
    </row>
    <row r="339" spans="2:4">
      <c r="B339" t="str">
        <f>IF(Summary!B353&lt;&gt;"",Summary!B353,"")</f>
        <v/>
      </c>
      <c r="D339" t="e">
        <f>VLOOKUP(B339,'Hide - Not Done'!C554:N1848,12,)</f>
        <v>#N/A</v>
      </c>
    </row>
    <row r="340" spans="2:4">
      <c r="B340" t="str">
        <f>IF(Summary!B354&lt;&gt;"",Summary!B354,"")</f>
        <v/>
      </c>
      <c r="D340" t="e">
        <f>VLOOKUP(B340,'Hide - Not Done'!C555:N1849,12,)</f>
        <v>#N/A</v>
      </c>
    </row>
    <row r="341" spans="2:4">
      <c r="B341" t="str">
        <f>IF(Summary!B355&lt;&gt;"",Summary!B355,"")</f>
        <v/>
      </c>
      <c r="D341" t="e">
        <f>VLOOKUP(B341,'Hide - Not Done'!C556:N1850,12,)</f>
        <v>#N/A</v>
      </c>
    </row>
    <row r="342" spans="2:4">
      <c r="B342" t="str">
        <f>IF(Summary!B356&lt;&gt;"",Summary!B356,"")</f>
        <v/>
      </c>
      <c r="D342" t="e">
        <f>VLOOKUP(B342,'Hide - Not Done'!C557:N1851,12,)</f>
        <v>#N/A</v>
      </c>
    </row>
    <row r="343" spans="2:4">
      <c r="B343" t="str">
        <f>IF(Summary!B357&lt;&gt;"",Summary!B357,"")</f>
        <v/>
      </c>
      <c r="D343" t="e">
        <f>VLOOKUP(B343,'Hide - Not Done'!C558:N1852,12,)</f>
        <v>#N/A</v>
      </c>
    </row>
    <row r="344" spans="2:4">
      <c r="B344" t="str">
        <f>IF(Summary!B358&lt;&gt;"",Summary!B358,"")</f>
        <v/>
      </c>
      <c r="D344" t="e">
        <f>VLOOKUP(B344,'Hide - Not Done'!C559:N1853,12,)</f>
        <v>#N/A</v>
      </c>
    </row>
    <row r="345" spans="2:4">
      <c r="B345" t="str">
        <f>IF(Summary!B359&lt;&gt;"",Summary!B359,"")</f>
        <v/>
      </c>
      <c r="D345" t="e">
        <f>VLOOKUP(B345,'Hide - Not Done'!C560:N1854,12,)</f>
        <v>#N/A</v>
      </c>
    </row>
    <row r="346" spans="2:4">
      <c r="B346" t="str">
        <f>IF(Summary!B360&lt;&gt;"",Summary!B360,"")</f>
        <v/>
      </c>
      <c r="D346" t="e">
        <f>VLOOKUP(B346,'Hide - Not Done'!C561:N1855,12,)</f>
        <v>#N/A</v>
      </c>
    </row>
    <row r="347" spans="2:4">
      <c r="B347" t="str">
        <f>IF(Summary!B361&lt;&gt;"",Summary!B361,"")</f>
        <v/>
      </c>
      <c r="D347" t="e">
        <f>VLOOKUP(B347,'Hide - Not Done'!C562:N1856,12,)</f>
        <v>#N/A</v>
      </c>
    </row>
    <row r="348" spans="2:4">
      <c r="B348" t="str">
        <f>IF(Summary!B362&lt;&gt;"",Summary!B362,"")</f>
        <v/>
      </c>
      <c r="D348" t="e">
        <f>VLOOKUP(B348,'Hide - Not Done'!C563:N1857,12,)</f>
        <v>#N/A</v>
      </c>
    </row>
    <row r="349" spans="2:4">
      <c r="B349" t="str">
        <f>IF(Summary!B363&lt;&gt;"",Summary!B363,"")</f>
        <v/>
      </c>
      <c r="D349" t="e">
        <f>VLOOKUP(B349,'Hide - Not Done'!C564:N1858,12,)</f>
        <v>#N/A</v>
      </c>
    </row>
    <row r="350" spans="2:4">
      <c r="B350" t="str">
        <f>IF(Summary!B364&lt;&gt;"",Summary!B364,"")</f>
        <v/>
      </c>
      <c r="D350" t="e">
        <f>VLOOKUP(B350,'Hide - Not Done'!C565:N1859,12,)</f>
        <v>#N/A</v>
      </c>
    </row>
    <row r="351" spans="2:4">
      <c r="B351" t="str">
        <f>IF(Summary!B365&lt;&gt;"",Summary!B365,"")</f>
        <v/>
      </c>
      <c r="D351" t="e">
        <f>VLOOKUP(B351,'Hide - Not Done'!C566:N1860,12,)</f>
        <v>#N/A</v>
      </c>
    </row>
    <row r="352" spans="2:4">
      <c r="B352" t="str">
        <f>IF(Summary!B366&lt;&gt;"",Summary!B366,"")</f>
        <v/>
      </c>
      <c r="D352" t="e">
        <f>VLOOKUP(B352,'Hide - Not Done'!C567:N1861,12,)</f>
        <v>#N/A</v>
      </c>
    </row>
    <row r="353" spans="2:4">
      <c r="B353" t="str">
        <f>IF(Summary!B367&lt;&gt;"",Summary!B367,"")</f>
        <v/>
      </c>
      <c r="D353" t="e">
        <f>VLOOKUP(B353,'Hide - Not Done'!C568:N1862,12,)</f>
        <v>#N/A</v>
      </c>
    </row>
    <row r="354" spans="2:4">
      <c r="B354" t="str">
        <f>IF(Summary!B368&lt;&gt;"",Summary!B368,"")</f>
        <v/>
      </c>
      <c r="D354" t="e">
        <f>VLOOKUP(B354,'Hide - Not Done'!C569:N1863,12,)</f>
        <v>#N/A</v>
      </c>
    </row>
    <row r="355" spans="2:4">
      <c r="B355" t="str">
        <f>IF(Summary!B369&lt;&gt;"",Summary!B369,"")</f>
        <v/>
      </c>
      <c r="D355" t="e">
        <f>VLOOKUP(B355,'Hide - Not Done'!C570:N1864,12,)</f>
        <v>#N/A</v>
      </c>
    </row>
    <row r="356" spans="2:4">
      <c r="B356" t="str">
        <f>IF(Summary!B370&lt;&gt;"",Summary!B370,"")</f>
        <v/>
      </c>
      <c r="D356" t="e">
        <f>VLOOKUP(B356,'Hide - Not Done'!C571:N1865,12,)</f>
        <v>#N/A</v>
      </c>
    </row>
    <row r="357" spans="2:4">
      <c r="B357" t="str">
        <f>IF(Summary!B371&lt;&gt;"",Summary!B371,"")</f>
        <v/>
      </c>
      <c r="D357" t="e">
        <f>VLOOKUP(B357,'Hide - Not Done'!C572:N1866,12,)</f>
        <v>#N/A</v>
      </c>
    </row>
    <row r="358" spans="2:4">
      <c r="B358" t="str">
        <f>IF(Summary!B372&lt;&gt;"",Summary!B372,"")</f>
        <v/>
      </c>
      <c r="D358" t="e">
        <f>VLOOKUP(B358,'Hide - Not Done'!C573:N1867,12,)</f>
        <v>#N/A</v>
      </c>
    </row>
    <row r="359" spans="2:4">
      <c r="B359" t="str">
        <f>IF(Summary!B373&lt;&gt;"",Summary!B373,"")</f>
        <v/>
      </c>
      <c r="D359" t="e">
        <f>VLOOKUP(B359,'Hide - Not Done'!C574:N1868,12,)</f>
        <v>#N/A</v>
      </c>
    </row>
    <row r="360" spans="2:4">
      <c r="B360" t="str">
        <f>IF(Summary!B374&lt;&gt;"",Summary!B374,"")</f>
        <v/>
      </c>
      <c r="D360" t="e">
        <f>VLOOKUP(B360,'Hide - Not Done'!C575:N1869,12,)</f>
        <v>#N/A</v>
      </c>
    </row>
    <row r="361" spans="2:4">
      <c r="B361" t="str">
        <f>IF(Summary!B375&lt;&gt;"",Summary!B375,"")</f>
        <v/>
      </c>
      <c r="D361" t="e">
        <f>VLOOKUP(B361,'Hide - Not Done'!C576:N1870,12,)</f>
        <v>#N/A</v>
      </c>
    </row>
    <row r="362" spans="2:4">
      <c r="B362" t="str">
        <f>IF(Summary!B376&lt;&gt;"",Summary!B376,"")</f>
        <v/>
      </c>
      <c r="D362" t="e">
        <f>VLOOKUP(B362,'Hide - Not Done'!C577:N1871,12,)</f>
        <v>#N/A</v>
      </c>
    </row>
    <row r="363" spans="2:4">
      <c r="B363" t="str">
        <f>IF(Summary!B377&lt;&gt;"",Summary!B377,"")</f>
        <v/>
      </c>
      <c r="D363" t="e">
        <f>VLOOKUP(B363,'Hide - Not Done'!C578:N1872,12,)</f>
        <v>#N/A</v>
      </c>
    </row>
    <row r="364" spans="2:4">
      <c r="B364" t="str">
        <f>IF(Summary!B378&lt;&gt;"",Summary!B378,"")</f>
        <v/>
      </c>
      <c r="D364" t="e">
        <f>VLOOKUP(B364,'Hide - Not Done'!C579:N1873,12,)</f>
        <v>#N/A</v>
      </c>
    </row>
    <row r="365" spans="2:4">
      <c r="B365" t="str">
        <f>IF(Summary!B379&lt;&gt;"",Summary!B379,"")</f>
        <v/>
      </c>
      <c r="D365" t="e">
        <f>VLOOKUP(B365,'Hide - Not Done'!C580:N1874,12,)</f>
        <v>#N/A</v>
      </c>
    </row>
    <row r="366" spans="2:4">
      <c r="B366" t="str">
        <f>IF(Summary!B380&lt;&gt;"",Summary!B380,"")</f>
        <v/>
      </c>
      <c r="D366" t="e">
        <f>VLOOKUP(B366,'Hide - Not Done'!C581:N1875,12,)</f>
        <v>#N/A</v>
      </c>
    </row>
    <row r="367" spans="2:4">
      <c r="B367" t="str">
        <f>IF(Summary!B381&lt;&gt;"",Summary!B381,"")</f>
        <v/>
      </c>
      <c r="D367" t="e">
        <f>VLOOKUP(B367,'Hide - Not Done'!C582:N1876,12,)</f>
        <v>#N/A</v>
      </c>
    </row>
    <row r="368" spans="2:4">
      <c r="B368" t="str">
        <f>IF(Summary!B382&lt;&gt;"",Summary!B382,"")</f>
        <v/>
      </c>
      <c r="D368" t="e">
        <f>VLOOKUP(B368,'Hide - Not Done'!C583:N1877,12,)</f>
        <v>#N/A</v>
      </c>
    </row>
    <row r="369" spans="2:4">
      <c r="B369" t="str">
        <f>IF(Summary!B383&lt;&gt;"",Summary!B383,"")</f>
        <v/>
      </c>
      <c r="D369" t="e">
        <f>VLOOKUP(B369,'Hide - Not Done'!C584:N1878,12,)</f>
        <v>#N/A</v>
      </c>
    </row>
    <row r="370" spans="2:4">
      <c r="B370" t="str">
        <f>IF(Summary!B384&lt;&gt;"",Summary!B384,"")</f>
        <v/>
      </c>
      <c r="D370" t="e">
        <f>VLOOKUP(B370,'Hide - Not Done'!C585:N1879,12,)</f>
        <v>#N/A</v>
      </c>
    </row>
    <row r="371" spans="2:4">
      <c r="B371" t="str">
        <f>IF(Summary!B385&lt;&gt;"",Summary!B385,"")</f>
        <v/>
      </c>
      <c r="D371" t="e">
        <f>VLOOKUP(B371,'Hide - Not Done'!C586:N1880,12,)</f>
        <v>#N/A</v>
      </c>
    </row>
    <row r="372" spans="2:4">
      <c r="B372" t="str">
        <f>IF(Summary!B386&lt;&gt;"",Summary!B386,"")</f>
        <v/>
      </c>
      <c r="D372" t="e">
        <f>VLOOKUP(B372,'Hide - Not Done'!C587:N1881,12,)</f>
        <v>#N/A</v>
      </c>
    </row>
    <row r="373" spans="2:4">
      <c r="B373" t="str">
        <f>IF(Summary!B387&lt;&gt;"",Summary!B387,"")</f>
        <v/>
      </c>
      <c r="D373" t="e">
        <f>VLOOKUP(B373,'Hide - Not Done'!C588:N1882,12,)</f>
        <v>#N/A</v>
      </c>
    </row>
    <row r="374" spans="2:4">
      <c r="B374" t="str">
        <f>IF(Summary!B388&lt;&gt;"",Summary!B388,"")</f>
        <v/>
      </c>
      <c r="D374" t="e">
        <f>VLOOKUP(B374,'Hide - Not Done'!C589:N1883,12,)</f>
        <v>#N/A</v>
      </c>
    </row>
    <row r="375" spans="2:4">
      <c r="B375" t="str">
        <f>IF(Summary!B389&lt;&gt;"",Summary!B389,"")</f>
        <v/>
      </c>
      <c r="D375" t="e">
        <f>VLOOKUP(B375,'Hide - Not Done'!C590:N1884,12,)</f>
        <v>#N/A</v>
      </c>
    </row>
    <row r="376" spans="2:4">
      <c r="B376" t="str">
        <f>IF(Summary!B390&lt;&gt;"",Summary!B390,"")</f>
        <v/>
      </c>
      <c r="D376" t="e">
        <f>VLOOKUP(B376,'Hide - Not Done'!C591:N1885,12,)</f>
        <v>#N/A</v>
      </c>
    </row>
    <row r="377" spans="2:4">
      <c r="B377" t="str">
        <f>IF(Summary!B391&lt;&gt;"",Summary!B391,"")</f>
        <v/>
      </c>
      <c r="D377" t="e">
        <f>VLOOKUP(B377,'Hide - Not Done'!C592:N1886,12,)</f>
        <v>#N/A</v>
      </c>
    </row>
    <row r="378" spans="2:4">
      <c r="B378" t="str">
        <f>IF(Summary!B392&lt;&gt;"",Summary!B392,"")</f>
        <v/>
      </c>
      <c r="D378" t="e">
        <f>VLOOKUP(B378,'Hide - Not Done'!C593:N1887,12,)</f>
        <v>#N/A</v>
      </c>
    </row>
    <row r="379" spans="2:4">
      <c r="B379" t="str">
        <f>IF(Summary!B393&lt;&gt;"",Summary!B393,"")</f>
        <v/>
      </c>
      <c r="D379" t="e">
        <f>VLOOKUP(B379,'Hide - Not Done'!C594:N1888,12,)</f>
        <v>#N/A</v>
      </c>
    </row>
    <row r="380" spans="2:4">
      <c r="B380" t="str">
        <f>IF(Summary!B394&lt;&gt;"",Summary!B394,"")</f>
        <v/>
      </c>
      <c r="D380" t="e">
        <f>VLOOKUP(B380,'Hide - Not Done'!C595:N1889,12,)</f>
        <v>#N/A</v>
      </c>
    </row>
    <row r="381" spans="2:4">
      <c r="B381" t="str">
        <f>IF(Summary!B395&lt;&gt;"",Summary!B395,"")</f>
        <v/>
      </c>
      <c r="D381" t="e">
        <f>VLOOKUP(B381,'Hide - Not Done'!C596:N1890,12,)</f>
        <v>#N/A</v>
      </c>
    </row>
    <row r="382" spans="2:4">
      <c r="B382" t="str">
        <f>IF(Summary!B396&lt;&gt;"",Summary!B396,"")</f>
        <v/>
      </c>
      <c r="D382" t="e">
        <f>VLOOKUP(B382,'Hide - Not Done'!C597:N1891,12,)</f>
        <v>#N/A</v>
      </c>
    </row>
    <row r="383" spans="2:4">
      <c r="B383" t="str">
        <f>IF(Summary!B397&lt;&gt;"",Summary!B397,"")</f>
        <v/>
      </c>
      <c r="D383" t="e">
        <f>VLOOKUP(B383,'Hide - Not Done'!C598:N1892,12,)</f>
        <v>#N/A</v>
      </c>
    </row>
    <row r="384" spans="2:4">
      <c r="B384" t="str">
        <f>IF(Summary!B398&lt;&gt;"",Summary!B398,"")</f>
        <v/>
      </c>
      <c r="D384" t="e">
        <f>VLOOKUP(B384,'Hide - Not Done'!C599:N1893,12,)</f>
        <v>#N/A</v>
      </c>
    </row>
    <row r="385" spans="2:4">
      <c r="B385" t="str">
        <f>IF(Summary!B399&lt;&gt;"",Summary!B399,"")</f>
        <v/>
      </c>
      <c r="D385" t="e">
        <f>VLOOKUP(B385,'Hide - Not Done'!C600:N1894,12,)</f>
        <v>#N/A</v>
      </c>
    </row>
    <row r="386" spans="2:4">
      <c r="B386" t="str">
        <f>IF(Summary!B400&lt;&gt;"",Summary!B400,"")</f>
        <v/>
      </c>
      <c r="D386" t="e">
        <f>VLOOKUP(B386,'Hide - Not Done'!C601:N1895,12,)</f>
        <v>#N/A</v>
      </c>
    </row>
    <row r="387" spans="2:4">
      <c r="B387" t="str">
        <f>IF(Summary!B401&lt;&gt;"",Summary!B401,"")</f>
        <v/>
      </c>
      <c r="D387" t="e">
        <f>VLOOKUP(B387,'Hide - Not Done'!C602:N1896,12,)</f>
        <v>#N/A</v>
      </c>
    </row>
    <row r="388" spans="2:4">
      <c r="B388" t="str">
        <f>IF(Summary!B402&lt;&gt;"",Summary!B402,"")</f>
        <v/>
      </c>
      <c r="D388" t="e">
        <f>VLOOKUP(B388,'Hide - Not Done'!C603:N1897,12,)</f>
        <v>#N/A</v>
      </c>
    </row>
    <row r="389" spans="2:4">
      <c r="B389" t="str">
        <f>IF(Summary!B403&lt;&gt;"",Summary!B403,"")</f>
        <v/>
      </c>
      <c r="D389" t="e">
        <f>VLOOKUP(B389,'Hide - Not Done'!C604:N1898,12,)</f>
        <v>#N/A</v>
      </c>
    </row>
    <row r="390" spans="2:4">
      <c r="B390" t="str">
        <f>IF(Summary!B404&lt;&gt;"",Summary!B404,"")</f>
        <v/>
      </c>
      <c r="D390" t="e">
        <f>VLOOKUP(B390,'Hide - Not Done'!C605:N1899,12,)</f>
        <v>#N/A</v>
      </c>
    </row>
    <row r="391" spans="2:4">
      <c r="B391" t="str">
        <f>IF(Summary!B405&lt;&gt;"",Summary!B405,"")</f>
        <v/>
      </c>
      <c r="D391" t="e">
        <f>VLOOKUP(B391,'Hide - Not Done'!C606:N1900,12,)</f>
        <v>#N/A</v>
      </c>
    </row>
    <row r="392" spans="2:4">
      <c r="B392" t="str">
        <f>IF(Summary!B406&lt;&gt;"",Summary!B406,"")</f>
        <v/>
      </c>
      <c r="D392" t="e">
        <f>VLOOKUP(B392,'Hide - Not Done'!C607:N1901,12,)</f>
        <v>#N/A</v>
      </c>
    </row>
    <row r="393" spans="2:4">
      <c r="B393" t="str">
        <f>IF(Summary!B407&lt;&gt;"",Summary!B407,"")</f>
        <v/>
      </c>
      <c r="D393" t="e">
        <f>VLOOKUP(B393,'Hide - Not Done'!C608:N1902,12,)</f>
        <v>#N/A</v>
      </c>
    </row>
    <row r="394" spans="2:4">
      <c r="B394" t="str">
        <f>IF(Summary!B408&lt;&gt;"",Summary!B408,"")</f>
        <v/>
      </c>
      <c r="D394" t="e">
        <f>VLOOKUP(B394,'Hide - Not Done'!C609:N1903,12,)</f>
        <v>#N/A</v>
      </c>
    </row>
    <row r="395" spans="2:4">
      <c r="B395" t="str">
        <f>IF(Summary!B409&lt;&gt;"",Summary!B409,"")</f>
        <v/>
      </c>
      <c r="D395" t="e">
        <f>VLOOKUP(B395,'Hide - Not Done'!C610:N1904,12,)</f>
        <v>#N/A</v>
      </c>
    </row>
    <row r="396" spans="2:4">
      <c r="B396" t="str">
        <f>IF(Summary!B410&lt;&gt;"",Summary!B410,"")</f>
        <v/>
      </c>
      <c r="D396" t="e">
        <f>VLOOKUP(B396,'Hide - Not Done'!C611:N1905,12,)</f>
        <v>#N/A</v>
      </c>
    </row>
    <row r="397" spans="2:4">
      <c r="B397" t="str">
        <f>IF(Summary!B411&lt;&gt;"",Summary!B411,"")</f>
        <v/>
      </c>
      <c r="D397" t="e">
        <f>VLOOKUP(B397,'Hide - Not Done'!C612:N1906,12,)</f>
        <v>#N/A</v>
      </c>
    </row>
    <row r="398" spans="2:4">
      <c r="B398" t="str">
        <f>IF(Summary!B412&lt;&gt;"",Summary!B412,"")</f>
        <v/>
      </c>
      <c r="D398" t="e">
        <f>VLOOKUP(B398,'Hide - Not Done'!C613:N1907,12,)</f>
        <v>#N/A</v>
      </c>
    </row>
    <row r="399" spans="2:4">
      <c r="B399" t="str">
        <f>IF(Summary!B413&lt;&gt;"",Summary!B413,"")</f>
        <v/>
      </c>
      <c r="D399" t="e">
        <f>VLOOKUP(B399,'Hide - Not Done'!C614:N1908,12,)</f>
        <v>#N/A</v>
      </c>
    </row>
    <row r="400" spans="2:4">
      <c r="B400" t="str">
        <f>IF(Summary!B414&lt;&gt;"",Summary!B414,"")</f>
        <v/>
      </c>
      <c r="D400" t="e">
        <f>VLOOKUP(B400,'Hide - Not Done'!C615:N1909,12,)</f>
        <v>#N/A</v>
      </c>
    </row>
    <row r="401" spans="2:4">
      <c r="B401" t="str">
        <f>IF(Summary!B415&lt;&gt;"",Summary!B415,"")</f>
        <v/>
      </c>
      <c r="D401" t="e">
        <f>VLOOKUP(B401,'Hide - Not Done'!C616:N1910,12,)</f>
        <v>#N/A</v>
      </c>
    </row>
    <row r="402" spans="2:4">
      <c r="B402" t="str">
        <f>IF(Summary!B416&lt;&gt;"",Summary!B416,"")</f>
        <v/>
      </c>
      <c r="D402" t="e">
        <f>VLOOKUP(B402,'Hide - Not Done'!C617:N1911,12,)</f>
        <v>#N/A</v>
      </c>
    </row>
    <row r="403" spans="2:4">
      <c r="B403" t="str">
        <f>IF(Summary!B417&lt;&gt;"",Summary!B417,"")</f>
        <v/>
      </c>
      <c r="D403" t="e">
        <f>VLOOKUP(B403,'Hide - Not Done'!C618:N1912,12,)</f>
        <v>#N/A</v>
      </c>
    </row>
    <row r="404" spans="2:4">
      <c r="B404" t="str">
        <f>IF(Summary!B418&lt;&gt;"",Summary!B418,"")</f>
        <v/>
      </c>
      <c r="D404" t="e">
        <f>VLOOKUP(B404,'Hide - Not Done'!C619:N1913,12,)</f>
        <v>#N/A</v>
      </c>
    </row>
    <row r="405" spans="2:4">
      <c r="B405" t="str">
        <f>IF(Summary!B419&lt;&gt;"",Summary!B419,"")</f>
        <v/>
      </c>
      <c r="D405" t="e">
        <f>VLOOKUP(B405,'Hide - Not Done'!C620:N1914,12,)</f>
        <v>#N/A</v>
      </c>
    </row>
    <row r="406" spans="2:4">
      <c r="B406" t="str">
        <f>IF(Summary!B420&lt;&gt;"",Summary!B420,"")</f>
        <v/>
      </c>
      <c r="D406" t="e">
        <f>VLOOKUP(B406,'Hide - Not Done'!C621:N1915,12,)</f>
        <v>#N/A</v>
      </c>
    </row>
    <row r="407" spans="2:4">
      <c r="B407" t="str">
        <f>IF(Summary!B421&lt;&gt;"",Summary!B421,"")</f>
        <v/>
      </c>
      <c r="D407" t="e">
        <f>VLOOKUP(B407,'Hide - Not Done'!C622:N1916,12,)</f>
        <v>#N/A</v>
      </c>
    </row>
    <row r="408" spans="2:4">
      <c r="B408" t="str">
        <f>IF(Summary!B422&lt;&gt;"",Summary!B422,"")</f>
        <v/>
      </c>
      <c r="D408" t="e">
        <f>VLOOKUP(B408,'Hide - Not Done'!C623:N1917,12,)</f>
        <v>#N/A</v>
      </c>
    </row>
    <row r="409" spans="2:4">
      <c r="B409" t="str">
        <f>IF(Summary!B423&lt;&gt;"",Summary!B423,"")</f>
        <v/>
      </c>
      <c r="D409" t="e">
        <f>VLOOKUP(B409,'Hide - Not Done'!C624:N1918,12,)</f>
        <v>#N/A</v>
      </c>
    </row>
    <row r="410" spans="2:4">
      <c r="B410" t="str">
        <f>IF(Summary!B424&lt;&gt;"",Summary!B424,"")</f>
        <v/>
      </c>
      <c r="D410" t="e">
        <f>VLOOKUP(B410,'Hide - Not Done'!C625:N1919,12,)</f>
        <v>#N/A</v>
      </c>
    </row>
    <row r="411" spans="2:4">
      <c r="B411" t="str">
        <f>IF(Summary!B425&lt;&gt;"",Summary!B425,"")</f>
        <v/>
      </c>
      <c r="D411" t="e">
        <f>VLOOKUP(B411,'Hide - Not Done'!C626:N1920,12,)</f>
        <v>#N/A</v>
      </c>
    </row>
    <row r="412" spans="2:4">
      <c r="B412" t="str">
        <f>IF(Summary!B426&lt;&gt;"",Summary!B426,"")</f>
        <v/>
      </c>
      <c r="D412" t="e">
        <f>VLOOKUP(B412,'Hide - Not Done'!C627:N1921,12,)</f>
        <v>#N/A</v>
      </c>
    </row>
    <row r="413" spans="2:4">
      <c r="B413" t="str">
        <f>IF(Summary!B427&lt;&gt;"",Summary!B427,"")</f>
        <v/>
      </c>
      <c r="D413" t="e">
        <f>VLOOKUP(B413,'Hide - Not Done'!C628:N1922,12,)</f>
        <v>#N/A</v>
      </c>
    </row>
    <row r="414" spans="2:4">
      <c r="B414" t="str">
        <f>IF(Summary!B428&lt;&gt;"",Summary!B428,"")</f>
        <v/>
      </c>
      <c r="D414" t="e">
        <f>VLOOKUP(B414,'Hide - Not Done'!C629:N1923,12,)</f>
        <v>#N/A</v>
      </c>
    </row>
    <row r="415" spans="2:4">
      <c r="B415" t="str">
        <f>IF(Summary!B429&lt;&gt;"",Summary!B429,"")</f>
        <v/>
      </c>
      <c r="D415" t="e">
        <f>VLOOKUP(B415,'Hide - Not Done'!C630:N1924,12,)</f>
        <v>#N/A</v>
      </c>
    </row>
    <row r="416" spans="2:4">
      <c r="B416" t="str">
        <f>IF(Summary!B430&lt;&gt;"",Summary!B430,"")</f>
        <v/>
      </c>
      <c r="D416" t="e">
        <f>VLOOKUP(B416,'Hide - Not Done'!C631:N1925,12,)</f>
        <v>#N/A</v>
      </c>
    </row>
    <row r="417" spans="2:4">
      <c r="B417" t="str">
        <f>IF(Summary!B431&lt;&gt;"",Summary!B431,"")</f>
        <v/>
      </c>
      <c r="D417" t="e">
        <f>VLOOKUP(B417,'Hide - Not Done'!C632:N1926,12,)</f>
        <v>#N/A</v>
      </c>
    </row>
    <row r="418" spans="2:4">
      <c r="B418" t="str">
        <f>IF(Summary!B432&lt;&gt;"",Summary!B432,"")</f>
        <v/>
      </c>
      <c r="D418" t="e">
        <f>VLOOKUP(B418,'Hide - Not Done'!C633:N1927,12,)</f>
        <v>#N/A</v>
      </c>
    </row>
    <row r="419" spans="2:4">
      <c r="B419" t="str">
        <f>IF(Summary!B433&lt;&gt;"",Summary!B433,"")</f>
        <v/>
      </c>
      <c r="D419" t="e">
        <f>VLOOKUP(B419,'Hide - Not Done'!C634:N1928,12,)</f>
        <v>#N/A</v>
      </c>
    </row>
    <row r="420" spans="2:4">
      <c r="B420" t="str">
        <f>IF(Summary!B434&lt;&gt;"",Summary!B434,"")</f>
        <v/>
      </c>
      <c r="D420" t="e">
        <f>VLOOKUP(B420,'Hide - Not Done'!C635:N1929,12,)</f>
        <v>#N/A</v>
      </c>
    </row>
    <row r="421" spans="2:4">
      <c r="B421" t="str">
        <f>IF(Summary!B435&lt;&gt;"",Summary!B435,"")</f>
        <v/>
      </c>
      <c r="D421" t="e">
        <f>VLOOKUP(B421,'Hide - Not Done'!C636:N1930,12,)</f>
        <v>#N/A</v>
      </c>
    </row>
    <row r="422" spans="2:4">
      <c r="B422" t="str">
        <f>IF(Summary!B436&lt;&gt;"",Summary!B436,"")</f>
        <v/>
      </c>
      <c r="D422" t="e">
        <f>VLOOKUP(B422,'Hide - Not Done'!C637:N1931,12,)</f>
        <v>#N/A</v>
      </c>
    </row>
    <row r="423" spans="2:4">
      <c r="B423" t="str">
        <f>IF(Summary!B437&lt;&gt;"",Summary!B437,"")</f>
        <v/>
      </c>
      <c r="D423" t="e">
        <f>VLOOKUP(B423,'Hide - Not Done'!C638:N1932,12,)</f>
        <v>#N/A</v>
      </c>
    </row>
    <row r="424" spans="2:4">
      <c r="B424" t="str">
        <f>IF(Summary!B438&lt;&gt;"",Summary!B438,"")</f>
        <v/>
      </c>
      <c r="D424" t="e">
        <f>VLOOKUP(B424,'Hide - Not Done'!C639:N1933,12,)</f>
        <v>#N/A</v>
      </c>
    </row>
    <row r="425" spans="2:4">
      <c r="B425" t="str">
        <f>IF(Summary!B439&lt;&gt;"",Summary!B439,"")</f>
        <v/>
      </c>
      <c r="D425" t="e">
        <f>VLOOKUP(B425,'Hide - Not Done'!C640:N1934,12,)</f>
        <v>#N/A</v>
      </c>
    </row>
    <row r="426" spans="2:4">
      <c r="B426" t="str">
        <f>IF(Summary!B440&lt;&gt;"",Summary!B440,"")</f>
        <v/>
      </c>
      <c r="D426" t="e">
        <f>VLOOKUP(B426,'Hide - Not Done'!C641:N1935,12,)</f>
        <v>#N/A</v>
      </c>
    </row>
    <row r="427" spans="2:4">
      <c r="B427" t="str">
        <f>IF(Summary!B441&lt;&gt;"",Summary!B441,"")</f>
        <v/>
      </c>
      <c r="D427" t="e">
        <f>VLOOKUP(B427,'Hide - Not Done'!C642:N1936,12,)</f>
        <v>#N/A</v>
      </c>
    </row>
    <row r="428" spans="2:4">
      <c r="B428" t="str">
        <f>IF(Summary!B442&lt;&gt;"",Summary!B442,"")</f>
        <v/>
      </c>
      <c r="D428" t="e">
        <f>VLOOKUP(B428,'Hide - Not Done'!C643:N1937,12,)</f>
        <v>#N/A</v>
      </c>
    </row>
    <row r="429" spans="2:4">
      <c r="B429" t="str">
        <f>IF(Summary!B443&lt;&gt;"",Summary!B443,"")</f>
        <v/>
      </c>
      <c r="D429" t="e">
        <f>VLOOKUP(B429,'Hide - Not Done'!C644:N1938,12,)</f>
        <v>#N/A</v>
      </c>
    </row>
    <row r="430" spans="2:4">
      <c r="B430" t="str">
        <f>IF(Summary!B444&lt;&gt;"",Summary!B444,"")</f>
        <v/>
      </c>
      <c r="D430" t="e">
        <f>VLOOKUP(B430,'Hide - Not Done'!C645:N1939,12,)</f>
        <v>#N/A</v>
      </c>
    </row>
    <row r="431" spans="2:4">
      <c r="B431" t="str">
        <f>IF(Summary!B445&lt;&gt;"",Summary!B445,"")</f>
        <v/>
      </c>
      <c r="D431" t="e">
        <f>VLOOKUP(B431,'Hide - Not Done'!C646:N1940,12,)</f>
        <v>#N/A</v>
      </c>
    </row>
    <row r="432" spans="2:4">
      <c r="B432" t="str">
        <f>IF(Summary!B446&lt;&gt;"",Summary!B446,"")</f>
        <v/>
      </c>
      <c r="D432" t="e">
        <f>VLOOKUP(B432,'Hide - Not Done'!C647:N1941,12,)</f>
        <v>#N/A</v>
      </c>
    </row>
    <row r="433" spans="2:4">
      <c r="B433" t="str">
        <f>IF(Summary!B447&lt;&gt;"",Summary!B447,"")</f>
        <v/>
      </c>
      <c r="D433" t="e">
        <f>VLOOKUP(B433,'Hide - Not Done'!C648:N1942,12,)</f>
        <v>#N/A</v>
      </c>
    </row>
    <row r="434" spans="2:4">
      <c r="B434" t="str">
        <f>IF(Summary!B448&lt;&gt;"",Summary!B448,"")</f>
        <v/>
      </c>
      <c r="D434" t="e">
        <f>VLOOKUP(B434,'Hide - Not Done'!C649:N1943,12,)</f>
        <v>#N/A</v>
      </c>
    </row>
    <row r="435" spans="2:4">
      <c r="B435" t="str">
        <f>IF(Summary!B449&lt;&gt;"",Summary!B449,"")</f>
        <v/>
      </c>
      <c r="D435" t="e">
        <f>VLOOKUP(B435,'Hide - Not Done'!C650:N1944,12,)</f>
        <v>#N/A</v>
      </c>
    </row>
    <row r="436" spans="2:4">
      <c r="B436" t="str">
        <f>IF(Summary!B450&lt;&gt;"",Summary!B450,"")</f>
        <v/>
      </c>
      <c r="D436" t="e">
        <f>VLOOKUP(B436,'Hide - Not Done'!C651:N1945,12,)</f>
        <v>#N/A</v>
      </c>
    </row>
    <row r="437" spans="2:4">
      <c r="B437" t="str">
        <f>IF(Summary!B451&lt;&gt;"",Summary!B451,"")</f>
        <v/>
      </c>
      <c r="D437" t="e">
        <f>VLOOKUP(B437,'Hide - Not Done'!C652:N1946,12,)</f>
        <v>#N/A</v>
      </c>
    </row>
    <row r="438" spans="2:4">
      <c r="B438" t="str">
        <f>IF(Summary!B452&lt;&gt;"",Summary!B452,"")</f>
        <v/>
      </c>
      <c r="D438" t="e">
        <f>VLOOKUP(B438,'Hide - Not Done'!C653:N1947,12,)</f>
        <v>#N/A</v>
      </c>
    </row>
    <row r="439" spans="2:4">
      <c r="B439" t="str">
        <f>IF(Summary!B453&lt;&gt;"",Summary!B453,"")</f>
        <v/>
      </c>
      <c r="D439" t="e">
        <f>VLOOKUP(B439,'Hide - Not Done'!C654:N1948,12,)</f>
        <v>#N/A</v>
      </c>
    </row>
    <row r="440" spans="2:4">
      <c r="B440" t="str">
        <f>IF(Summary!B454&lt;&gt;"",Summary!B454,"")</f>
        <v/>
      </c>
      <c r="D440" t="e">
        <f>VLOOKUP(B440,'Hide - Not Done'!C655:N1949,12,)</f>
        <v>#N/A</v>
      </c>
    </row>
    <row r="441" spans="2:4">
      <c r="B441" t="str">
        <f>IF(Summary!B455&lt;&gt;"",Summary!B455,"")</f>
        <v/>
      </c>
      <c r="D441" t="e">
        <f>VLOOKUP(B441,'Hide - Not Done'!C656:N1950,12,)</f>
        <v>#N/A</v>
      </c>
    </row>
    <row r="442" spans="2:4">
      <c r="B442" t="str">
        <f>IF(Summary!B456&lt;&gt;"",Summary!B456,"")</f>
        <v/>
      </c>
      <c r="D442" t="e">
        <f>VLOOKUP(B442,'Hide - Not Done'!C657:N1951,12,)</f>
        <v>#N/A</v>
      </c>
    </row>
    <row r="443" spans="2:4">
      <c r="B443" t="str">
        <f>IF(Summary!B457&lt;&gt;"",Summary!B457,"")</f>
        <v/>
      </c>
      <c r="D443" t="e">
        <f>VLOOKUP(B443,'Hide - Not Done'!C658:N1952,12,)</f>
        <v>#N/A</v>
      </c>
    </row>
    <row r="444" spans="2:4">
      <c r="B444" t="str">
        <f>IF(Summary!B458&lt;&gt;"",Summary!B458,"")</f>
        <v/>
      </c>
      <c r="D444" t="e">
        <f>VLOOKUP(B444,'Hide - Not Done'!C659:N1953,12,)</f>
        <v>#N/A</v>
      </c>
    </row>
    <row r="445" spans="2:4">
      <c r="B445" t="str">
        <f>IF(Summary!B459&lt;&gt;"",Summary!B459,"")</f>
        <v/>
      </c>
      <c r="D445" t="e">
        <f>VLOOKUP(B445,'Hide - Not Done'!C660:N1954,12,)</f>
        <v>#N/A</v>
      </c>
    </row>
    <row r="446" spans="2:4">
      <c r="B446" t="str">
        <f>IF(Summary!B460&lt;&gt;"",Summary!B460,"")</f>
        <v/>
      </c>
      <c r="D446" t="e">
        <f>VLOOKUP(B446,'Hide - Not Done'!C661:N1955,12,)</f>
        <v>#N/A</v>
      </c>
    </row>
    <row r="447" spans="2:4">
      <c r="B447" t="str">
        <f>IF(Summary!B461&lt;&gt;"",Summary!B461,"")</f>
        <v/>
      </c>
      <c r="D447" t="e">
        <f>VLOOKUP(B447,'Hide - Not Done'!C662:N1956,12,)</f>
        <v>#N/A</v>
      </c>
    </row>
    <row r="448" spans="2:4">
      <c r="B448" t="str">
        <f>IF(Summary!B462&lt;&gt;"",Summary!B462,"")</f>
        <v/>
      </c>
      <c r="D448" t="e">
        <f>VLOOKUP(B448,'Hide - Not Done'!C663:N1957,12,)</f>
        <v>#N/A</v>
      </c>
    </row>
    <row r="449" spans="2:4">
      <c r="B449" t="str">
        <f>IF(Summary!B463&lt;&gt;"",Summary!B463,"")</f>
        <v/>
      </c>
      <c r="D449" t="e">
        <f>VLOOKUP(B449,'Hide - Not Done'!C664:N1958,12,)</f>
        <v>#N/A</v>
      </c>
    </row>
    <row r="450" spans="2:4">
      <c r="B450" t="str">
        <f>IF(Summary!B464&lt;&gt;"",Summary!B464,"")</f>
        <v/>
      </c>
      <c r="D450" t="e">
        <f>VLOOKUP(B450,'Hide - Not Done'!C665:N1959,12,)</f>
        <v>#N/A</v>
      </c>
    </row>
    <row r="451" spans="2:4">
      <c r="B451" t="str">
        <f>IF(Summary!B465&lt;&gt;"",Summary!B465,"")</f>
        <v/>
      </c>
      <c r="D451" t="e">
        <f>VLOOKUP(B451,'Hide - Not Done'!C666:N1960,12,)</f>
        <v>#N/A</v>
      </c>
    </row>
    <row r="452" spans="2:4">
      <c r="B452" t="str">
        <f>IF(Summary!B466&lt;&gt;"",Summary!B466,"")</f>
        <v/>
      </c>
      <c r="D452" t="e">
        <f>VLOOKUP(B452,'Hide - Not Done'!C667:N1961,12,)</f>
        <v>#N/A</v>
      </c>
    </row>
    <row r="453" spans="2:4">
      <c r="B453" t="str">
        <f>IF(Summary!B467&lt;&gt;"",Summary!B467,"")</f>
        <v/>
      </c>
      <c r="D453" t="e">
        <f>VLOOKUP(B453,'Hide - Not Done'!C668:N1962,12,)</f>
        <v>#N/A</v>
      </c>
    </row>
    <row r="454" spans="2:4">
      <c r="B454" t="str">
        <f>IF(Summary!B468&lt;&gt;"",Summary!B468,"")</f>
        <v/>
      </c>
      <c r="D454" t="e">
        <f>VLOOKUP(B454,'Hide - Not Done'!C669:N1963,12,)</f>
        <v>#N/A</v>
      </c>
    </row>
    <row r="455" spans="2:4">
      <c r="B455" t="str">
        <f>IF(Summary!B469&lt;&gt;"",Summary!B469,"")</f>
        <v/>
      </c>
      <c r="D455" t="e">
        <f>VLOOKUP(B455,'Hide - Not Done'!C670:N1964,12,)</f>
        <v>#N/A</v>
      </c>
    </row>
    <row r="456" spans="2:4">
      <c r="B456" t="str">
        <f>IF(Summary!B470&lt;&gt;"",Summary!B470,"")</f>
        <v/>
      </c>
      <c r="D456" t="e">
        <f>VLOOKUP(B456,'Hide - Not Done'!C671:N1965,12,)</f>
        <v>#N/A</v>
      </c>
    </row>
    <row r="457" spans="2:4">
      <c r="B457" t="str">
        <f>IF(Summary!B471&lt;&gt;"",Summary!B471,"")</f>
        <v/>
      </c>
      <c r="D457" t="e">
        <f>VLOOKUP(B457,'Hide - Not Done'!C672:N1966,12,)</f>
        <v>#N/A</v>
      </c>
    </row>
    <row r="458" spans="2:4">
      <c r="B458" t="str">
        <f>IF(Summary!B472&lt;&gt;"",Summary!B472,"")</f>
        <v/>
      </c>
      <c r="D458" t="e">
        <f>VLOOKUP(B458,'Hide - Not Done'!C673:N1967,12,)</f>
        <v>#N/A</v>
      </c>
    </row>
    <row r="459" spans="2:4">
      <c r="B459" t="str">
        <f>IF(Summary!B473&lt;&gt;"",Summary!B473,"")</f>
        <v/>
      </c>
      <c r="D459" t="e">
        <f>VLOOKUP(B459,'Hide - Not Done'!C674:N1968,12,)</f>
        <v>#N/A</v>
      </c>
    </row>
    <row r="460" spans="2:4">
      <c r="B460" t="str">
        <f>IF(Summary!B474&lt;&gt;"",Summary!B474,"")</f>
        <v/>
      </c>
      <c r="D460" t="e">
        <f>VLOOKUP(B460,'Hide - Not Done'!C675:N1969,12,)</f>
        <v>#N/A</v>
      </c>
    </row>
    <row r="461" spans="2:4">
      <c r="B461" t="str">
        <f>IF(Summary!B475&lt;&gt;"",Summary!B475,"")</f>
        <v/>
      </c>
      <c r="D461" t="e">
        <f>VLOOKUP(B461,'Hide - Not Done'!C676:N1970,12,)</f>
        <v>#N/A</v>
      </c>
    </row>
    <row r="462" spans="2:4">
      <c r="B462" t="str">
        <f>IF(Summary!B476&lt;&gt;"",Summary!B476,"")</f>
        <v/>
      </c>
      <c r="D462" t="e">
        <f>VLOOKUP(B462,'Hide - Not Done'!C677:N1971,12,)</f>
        <v>#N/A</v>
      </c>
    </row>
    <row r="463" spans="2:4">
      <c r="B463" t="str">
        <f>IF(Summary!B477&lt;&gt;"",Summary!B477,"")</f>
        <v/>
      </c>
      <c r="D463" t="e">
        <f>VLOOKUP(B463,'Hide - Not Done'!C678:N1972,12,)</f>
        <v>#N/A</v>
      </c>
    </row>
    <row r="464" spans="2:4">
      <c r="B464" t="str">
        <f>IF(Summary!B478&lt;&gt;"",Summary!B478,"")</f>
        <v/>
      </c>
      <c r="D464" t="e">
        <f>VLOOKUP(B464,'Hide - Not Done'!C679:N1973,12,)</f>
        <v>#N/A</v>
      </c>
    </row>
    <row r="465" spans="2:4">
      <c r="B465" t="str">
        <f>IF(Summary!B479&lt;&gt;"",Summary!B479,"")</f>
        <v/>
      </c>
      <c r="D465" t="e">
        <f>VLOOKUP(B465,'Hide - Not Done'!C680:N1974,12,)</f>
        <v>#N/A</v>
      </c>
    </row>
    <row r="466" spans="2:4">
      <c r="B466" t="str">
        <f>IF(Summary!B480&lt;&gt;"",Summary!B480,"")</f>
        <v/>
      </c>
      <c r="D466" t="e">
        <f>VLOOKUP(B466,'Hide - Not Done'!C681:N1975,12,)</f>
        <v>#N/A</v>
      </c>
    </row>
    <row r="467" spans="2:4">
      <c r="B467" t="str">
        <f>IF(Summary!B481&lt;&gt;"",Summary!B481,"")</f>
        <v/>
      </c>
      <c r="D467" t="e">
        <f>VLOOKUP(B467,'Hide - Not Done'!C682:N1976,12,)</f>
        <v>#N/A</v>
      </c>
    </row>
    <row r="468" spans="2:4">
      <c r="B468" t="str">
        <f>IF(Summary!B482&lt;&gt;"",Summary!B482,"")</f>
        <v/>
      </c>
      <c r="D468" t="e">
        <f>VLOOKUP(B468,'Hide - Not Done'!C683:N1977,12,)</f>
        <v>#N/A</v>
      </c>
    </row>
    <row r="469" spans="2:4">
      <c r="B469" t="str">
        <f>IF(Summary!B483&lt;&gt;"",Summary!B483,"")</f>
        <v/>
      </c>
      <c r="D469" t="e">
        <f>VLOOKUP(B469,'Hide - Not Done'!C684:N1978,12,)</f>
        <v>#N/A</v>
      </c>
    </row>
    <row r="470" spans="2:4">
      <c r="B470" t="str">
        <f>IF(Summary!B484&lt;&gt;"",Summary!B484,"")</f>
        <v/>
      </c>
      <c r="D470" t="e">
        <f>VLOOKUP(B470,'Hide - Not Done'!C685:N1979,12,)</f>
        <v>#N/A</v>
      </c>
    </row>
    <row r="471" spans="2:4">
      <c r="B471" t="str">
        <f>IF(Summary!B485&lt;&gt;"",Summary!B485,"")</f>
        <v/>
      </c>
      <c r="D471" t="e">
        <f>VLOOKUP(B471,'Hide - Not Done'!C686:N1980,12,)</f>
        <v>#N/A</v>
      </c>
    </row>
    <row r="472" spans="2:4">
      <c r="B472" t="str">
        <f>IF(Summary!B486&lt;&gt;"",Summary!B486,"")</f>
        <v/>
      </c>
      <c r="D472" t="e">
        <f>VLOOKUP(B472,'Hide - Not Done'!C687:N1981,12,)</f>
        <v>#N/A</v>
      </c>
    </row>
    <row r="473" spans="2:4">
      <c r="B473" t="str">
        <f>IF(Summary!B487&lt;&gt;"",Summary!B487,"")</f>
        <v/>
      </c>
      <c r="D473" t="e">
        <f>VLOOKUP(B473,'Hide - Not Done'!C688:N1982,12,)</f>
        <v>#N/A</v>
      </c>
    </row>
    <row r="474" spans="2:4">
      <c r="B474" t="str">
        <f>IF(Summary!B488&lt;&gt;"",Summary!B488,"")</f>
        <v/>
      </c>
      <c r="D474" t="e">
        <f>VLOOKUP(B474,'Hide - Not Done'!C689:N1983,12,)</f>
        <v>#N/A</v>
      </c>
    </row>
    <row r="475" spans="2:4">
      <c r="B475" t="str">
        <f>IF(Summary!B489&lt;&gt;"",Summary!B489,"")</f>
        <v/>
      </c>
      <c r="D475" t="e">
        <f>VLOOKUP(B475,'Hide - Not Done'!C690:N1984,12,)</f>
        <v>#N/A</v>
      </c>
    </row>
    <row r="476" spans="2:4">
      <c r="B476" t="str">
        <f>IF(Summary!B490&lt;&gt;"",Summary!B490,"")</f>
        <v/>
      </c>
      <c r="D476" t="e">
        <f>VLOOKUP(B476,'Hide - Not Done'!C691:N1985,12,)</f>
        <v>#N/A</v>
      </c>
    </row>
    <row r="477" spans="2:4">
      <c r="B477" t="str">
        <f>IF(Summary!B491&lt;&gt;"",Summary!B491,"")</f>
        <v/>
      </c>
      <c r="D477" t="e">
        <f>VLOOKUP(B477,'Hide - Not Done'!C692:N1986,12,)</f>
        <v>#N/A</v>
      </c>
    </row>
    <row r="478" spans="2:4">
      <c r="B478" t="str">
        <f>IF(Summary!B492&lt;&gt;"",Summary!B492,"")</f>
        <v/>
      </c>
      <c r="D478" t="e">
        <f>VLOOKUP(B478,'Hide - Not Done'!C693:N1987,12,)</f>
        <v>#N/A</v>
      </c>
    </row>
    <row r="479" spans="2:4">
      <c r="B479" t="str">
        <f>IF(Summary!B493&lt;&gt;"",Summary!B493,"")</f>
        <v/>
      </c>
      <c r="D479" t="e">
        <f>VLOOKUP(B479,'Hide - Not Done'!C694:N1988,12,)</f>
        <v>#N/A</v>
      </c>
    </row>
    <row r="480" spans="2:4">
      <c r="B480" t="str">
        <f>IF(Summary!B494&lt;&gt;"",Summary!B494,"")</f>
        <v/>
      </c>
      <c r="D480" t="e">
        <f>VLOOKUP(B480,'Hide - Not Done'!C695:N1989,12,)</f>
        <v>#N/A</v>
      </c>
    </row>
  </sheetData>
  <mergeCells count="1">
    <mergeCell ref="F1:J3"/>
  </mergeCells>
  <conditionalFormatting sqref="B7:C480">
    <cfRule type="expression" dxfId="2" priority="1">
      <formula>B7&lt;&gt;""</formula>
    </cfRule>
  </conditionalFormatting>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CB936-538F-4873-957E-3027768AD7F1}">
  <sheetPr filterMode="1"/>
  <dimension ref="A1:O1923"/>
  <sheetViews>
    <sheetView workbookViewId="0">
      <selection activeCell="B222" sqref="B222"/>
    </sheetView>
  </sheetViews>
  <sheetFormatPr defaultRowHeight="14.5"/>
  <cols>
    <col min="1" max="1" width="18.81640625" bestFit="1" customWidth="1"/>
    <col min="2" max="2" width="9.453125" bestFit="1" customWidth="1"/>
    <col min="3" max="3" width="20.54296875" customWidth="1"/>
    <col min="4" max="4" width="10" customWidth="1"/>
    <col min="5" max="5" width="12.26953125" customWidth="1"/>
    <col min="6" max="6" width="21.1796875" customWidth="1"/>
    <col min="7" max="7" width="14.1796875" customWidth="1"/>
    <col min="8" max="8" width="14.26953125" customWidth="1"/>
    <col min="9" max="9" width="10.1796875" customWidth="1"/>
    <col min="10" max="10" width="12.54296875" customWidth="1"/>
    <col min="11" max="11" width="14.81640625" customWidth="1"/>
    <col min="12" max="12" width="52.54296875" customWidth="1"/>
    <col min="13" max="13" width="13.54296875" customWidth="1"/>
    <col min="14" max="14" width="182.54296875" customWidth="1"/>
    <col min="15" max="15" width="18.81640625" hidden="1" customWidth="1"/>
    <col min="16" max="17" width="0" hidden="1" customWidth="1"/>
  </cols>
  <sheetData>
    <row r="1" spans="1:15">
      <c r="A1" s="64" t="s">
        <v>6353</v>
      </c>
      <c r="B1" s="64" t="s">
        <v>8165</v>
      </c>
      <c r="C1" s="64" t="str">
        <f>'IDIOMA (hide)'!B1</f>
        <v>Português</v>
      </c>
      <c r="D1" s="64" t="str">
        <f>'IDIOMA (hide)'!C1</f>
        <v>English</v>
      </c>
      <c r="E1" s="64" t="str">
        <f>'IDIOMA (hide)'!D1</f>
        <v>Español</v>
      </c>
      <c r="F1" s="64" t="s">
        <v>6354</v>
      </c>
      <c r="G1" s="64" t="s">
        <v>6355</v>
      </c>
      <c r="H1" s="64" t="s">
        <v>6356</v>
      </c>
      <c r="I1" s="64" t="s">
        <v>6357</v>
      </c>
      <c r="J1" s="64" t="s">
        <v>6358</v>
      </c>
      <c r="K1" s="64" t="s">
        <v>6359</v>
      </c>
      <c r="L1" s="64" t="s">
        <v>6360</v>
      </c>
      <c r="M1" s="64" t="s">
        <v>6361</v>
      </c>
      <c r="N1" s="64" t="s">
        <v>6362</v>
      </c>
      <c r="O1" s="526" t="s">
        <v>6363</v>
      </c>
    </row>
    <row r="2" spans="1:15" ht="43.5" hidden="1">
      <c r="A2" s="524">
        <v>-7000</v>
      </c>
      <c r="B2" s="524" t="e">
        <f>VLOOKUP(A2,'Hours Detail'!$E$17:$H$1048576,4,)</f>
        <v>#N/A</v>
      </c>
      <c r="C2" s="524" t="s">
        <v>5009</v>
      </c>
      <c r="D2" s="524" t="s">
        <v>5008</v>
      </c>
      <c r="E2" s="524" t="s">
        <v>5007</v>
      </c>
      <c r="F2" s="524" t="s">
        <v>5007</v>
      </c>
      <c r="G2" s="524" t="s">
        <v>5007</v>
      </c>
      <c r="H2" s="524" t="s">
        <v>5007</v>
      </c>
      <c r="I2" s="524" t="s">
        <v>6364</v>
      </c>
      <c r="J2" s="524" t="s">
        <v>5008</v>
      </c>
      <c r="K2" s="524" t="s">
        <v>6359</v>
      </c>
      <c r="L2" s="524" t="s">
        <v>6365</v>
      </c>
      <c r="M2" s="524" t="s">
        <v>6366</v>
      </c>
      <c r="N2" s="524"/>
      <c r="O2" s="524"/>
    </row>
    <row r="3" spans="1:15" ht="72.5" hidden="1">
      <c r="A3" s="524">
        <v>-6960</v>
      </c>
      <c r="B3" s="524" t="e">
        <f>VLOOKUP(A3,'Hours Detail'!$E$17:$H$1048576,4,)</f>
        <v>#N/A</v>
      </c>
      <c r="C3" s="524" t="s">
        <v>5015</v>
      </c>
      <c r="D3" s="524" t="s">
        <v>5014</v>
      </c>
      <c r="E3" s="524" t="s">
        <v>5013</v>
      </c>
      <c r="F3" s="524" t="s">
        <v>5013</v>
      </c>
      <c r="G3" s="524" t="s">
        <v>5013</v>
      </c>
      <c r="H3" s="524" t="s">
        <v>5013</v>
      </c>
      <c r="I3" s="524" t="s">
        <v>6367</v>
      </c>
      <c r="J3" s="524" t="s">
        <v>5014</v>
      </c>
      <c r="K3" s="524"/>
      <c r="L3" s="524" t="s">
        <v>6368</v>
      </c>
      <c r="M3" s="524" t="s">
        <v>2573</v>
      </c>
      <c r="N3" s="524"/>
      <c r="O3" s="524"/>
    </row>
    <row r="4" spans="1:15" ht="29" hidden="1">
      <c r="A4" s="525">
        <v>-6950</v>
      </c>
      <c r="B4" s="524" t="e">
        <f>VLOOKUP(A4,'Hours Detail'!$E$17:$H$1048576,4,)</f>
        <v>#N/A</v>
      </c>
      <c r="C4" s="524" t="s">
        <v>690</v>
      </c>
      <c r="D4" s="524" t="s">
        <v>691</v>
      </c>
      <c r="E4" s="524" t="s">
        <v>692</v>
      </c>
      <c r="F4" s="524" t="s">
        <v>692</v>
      </c>
      <c r="G4" s="524" t="s">
        <v>692</v>
      </c>
      <c r="H4" s="524" t="s">
        <v>692</v>
      </c>
      <c r="I4" s="524" t="s">
        <v>6369</v>
      </c>
      <c r="J4" s="524" t="s">
        <v>691</v>
      </c>
      <c r="K4" s="524"/>
      <c r="L4" s="524" t="s">
        <v>6368</v>
      </c>
      <c r="M4" s="524" t="s">
        <v>6370</v>
      </c>
      <c r="N4" s="524"/>
      <c r="O4" s="524"/>
    </row>
    <row r="5" spans="1:15" ht="29" hidden="1">
      <c r="A5" s="527">
        <v>-6950</v>
      </c>
      <c r="B5" s="524" t="e">
        <f>VLOOKUP(A5,'Hours Detail'!$E$17:$H$1048576,4,)</f>
        <v>#N/A</v>
      </c>
      <c r="C5" s="527" t="s">
        <v>690</v>
      </c>
      <c r="D5" s="527" t="s">
        <v>676</v>
      </c>
      <c r="E5" s="527" t="s">
        <v>691</v>
      </c>
      <c r="F5" s="527" t="s">
        <v>692</v>
      </c>
      <c r="G5" s="527">
        <v>9</v>
      </c>
      <c r="H5" s="527" t="s">
        <v>0</v>
      </c>
      <c r="I5" s="527" t="s">
        <v>674</v>
      </c>
      <c r="J5" s="527" t="s">
        <v>2890</v>
      </c>
      <c r="K5" s="527" t="s">
        <v>2890</v>
      </c>
      <c r="L5" s="527" t="s">
        <v>6371</v>
      </c>
      <c r="M5" s="524"/>
      <c r="N5" s="524"/>
      <c r="O5" s="524"/>
    </row>
    <row r="6" spans="1:15" ht="43.5" hidden="1">
      <c r="A6" s="525">
        <v>-6937</v>
      </c>
      <c r="B6" s="524" t="e">
        <f>VLOOKUP(A6,'Hours Detail'!$E$17:$H$1048576,4,)</f>
        <v>#N/A</v>
      </c>
      <c r="C6" s="524" t="s">
        <v>5313</v>
      </c>
      <c r="D6" s="524" t="s">
        <v>5312</v>
      </c>
      <c r="E6" s="524" t="s">
        <v>5311</v>
      </c>
      <c r="F6" s="524" t="s">
        <v>5311</v>
      </c>
      <c r="G6" s="524" t="s">
        <v>5311</v>
      </c>
      <c r="H6" s="524" t="s">
        <v>5311</v>
      </c>
      <c r="I6" s="524" t="s">
        <v>5312</v>
      </c>
      <c r="J6" s="524" t="s">
        <v>5312</v>
      </c>
      <c r="K6" s="524"/>
      <c r="L6" s="524" t="s">
        <v>6368</v>
      </c>
      <c r="M6" s="524" t="s">
        <v>3527</v>
      </c>
      <c r="N6" s="524"/>
      <c r="O6" s="524"/>
    </row>
    <row r="7" spans="1:15" ht="188.5" hidden="1">
      <c r="A7" s="525">
        <v>-6936</v>
      </c>
      <c r="B7" s="524" t="e">
        <f>VLOOKUP(A7,'Hours Detail'!$E$17:$H$1048576,4,)</f>
        <v>#N/A</v>
      </c>
      <c r="C7" s="524" t="s">
        <v>1365</v>
      </c>
      <c r="D7" s="524" t="s">
        <v>5317</v>
      </c>
      <c r="E7" s="524" t="s">
        <v>1367</v>
      </c>
      <c r="F7" s="524" t="s">
        <v>1367</v>
      </c>
      <c r="G7" s="524" t="s">
        <v>1367</v>
      </c>
      <c r="H7" s="524" t="s">
        <v>1367</v>
      </c>
      <c r="I7" s="524" t="s">
        <v>6372</v>
      </c>
      <c r="J7" s="524" t="s">
        <v>5317</v>
      </c>
      <c r="K7" s="524"/>
      <c r="L7" s="524" t="s">
        <v>6368</v>
      </c>
      <c r="M7" s="524" t="s">
        <v>6370</v>
      </c>
      <c r="N7" s="524"/>
      <c r="O7" s="527" t="s">
        <v>6373</v>
      </c>
    </row>
    <row r="8" spans="1:15" ht="58" hidden="1">
      <c r="A8" s="525">
        <v>-6930</v>
      </c>
      <c r="B8" s="524" t="e">
        <f>VLOOKUP(A8,'Hours Detail'!$E$17:$H$1048576,4,)</f>
        <v>#N/A</v>
      </c>
      <c r="C8" s="524" t="s">
        <v>5366</v>
      </c>
      <c r="D8" s="524" t="s">
        <v>5365</v>
      </c>
      <c r="E8" s="524" t="s">
        <v>5364</v>
      </c>
      <c r="F8" s="524" t="s">
        <v>5364</v>
      </c>
      <c r="G8" s="524" t="s">
        <v>5364</v>
      </c>
      <c r="H8" s="524" t="s">
        <v>5364</v>
      </c>
      <c r="I8" s="524" t="s">
        <v>6374</v>
      </c>
      <c r="J8" s="524" t="s">
        <v>5365</v>
      </c>
      <c r="K8" s="524"/>
      <c r="L8" s="524" t="s">
        <v>6368</v>
      </c>
      <c r="M8" s="524" t="s">
        <v>6370</v>
      </c>
      <c r="N8" s="524"/>
      <c r="O8" s="524"/>
    </row>
    <row r="9" spans="1:15" ht="43.5" hidden="1">
      <c r="A9" s="524">
        <v>-3010</v>
      </c>
      <c r="B9" s="524" t="e">
        <f>VLOOKUP(A9,'Hours Detail'!$E$17:$H$1048576,4,)</f>
        <v>#N/A</v>
      </c>
      <c r="C9" s="524" t="s">
        <v>5420</v>
      </c>
      <c r="D9" s="524" t="s">
        <v>5419</v>
      </c>
      <c r="E9" s="524" t="s">
        <v>5418</v>
      </c>
      <c r="F9" s="524" t="s">
        <v>5418</v>
      </c>
      <c r="G9" s="524" t="s">
        <v>5418</v>
      </c>
      <c r="H9" s="524" t="s">
        <v>5418</v>
      </c>
      <c r="I9" s="524" t="s">
        <v>6375</v>
      </c>
      <c r="J9" s="524" t="s">
        <v>5419</v>
      </c>
      <c r="K9" s="524" t="s">
        <v>6359</v>
      </c>
      <c r="L9" s="524" t="s">
        <v>6376</v>
      </c>
      <c r="M9" s="524" t="s">
        <v>6377</v>
      </c>
      <c r="N9" s="524"/>
      <c r="O9" s="524"/>
    </row>
    <row r="10" spans="1:15" ht="43.5" hidden="1">
      <c r="A10" s="525">
        <v>-3005</v>
      </c>
      <c r="B10" s="524" t="e">
        <f>VLOOKUP(A10,'Hours Detail'!$E$17:$H$1048576,4,)</f>
        <v>#N/A</v>
      </c>
      <c r="C10" s="524" t="s">
        <v>5381</v>
      </c>
      <c r="D10" s="524" t="s">
        <v>5380</v>
      </c>
      <c r="E10" s="524" t="s">
        <v>5379</v>
      </c>
      <c r="F10" s="524" t="s">
        <v>5379</v>
      </c>
      <c r="G10" s="524" t="s">
        <v>5379</v>
      </c>
      <c r="H10" s="524" t="s">
        <v>5379</v>
      </c>
      <c r="I10" s="524" t="s">
        <v>6378</v>
      </c>
      <c r="J10" s="524" t="s">
        <v>5380</v>
      </c>
      <c r="K10" s="524"/>
      <c r="L10" s="524" t="s">
        <v>6379</v>
      </c>
      <c r="M10" s="524" t="s">
        <v>6380</v>
      </c>
      <c r="N10" s="524"/>
      <c r="O10" s="524"/>
    </row>
    <row r="11" spans="1:15" ht="43.5" hidden="1">
      <c r="A11" s="524">
        <v>-3004</v>
      </c>
      <c r="B11" s="524" t="e">
        <f>VLOOKUP(A11,'Hours Detail'!$E$17:$H$1048576,4,)</f>
        <v>#N/A</v>
      </c>
      <c r="C11" s="524" t="s">
        <v>5473</v>
      </c>
      <c r="D11" s="524" t="s">
        <v>5472</v>
      </c>
      <c r="E11" s="524" t="s">
        <v>5471</v>
      </c>
      <c r="F11" s="524" t="s">
        <v>5471</v>
      </c>
      <c r="G11" s="524" t="s">
        <v>5471</v>
      </c>
      <c r="H11" s="524" t="s">
        <v>5471</v>
      </c>
      <c r="I11" s="524" t="s">
        <v>5472</v>
      </c>
      <c r="J11" s="524" t="s">
        <v>5472</v>
      </c>
      <c r="K11" s="524"/>
      <c r="L11" s="524" t="s">
        <v>6381</v>
      </c>
      <c r="M11" s="524" t="s">
        <v>442</v>
      </c>
      <c r="N11" s="524"/>
      <c r="O11" s="524"/>
    </row>
    <row r="12" spans="1:15" ht="43.5" hidden="1">
      <c r="A12" s="525">
        <v>-3003</v>
      </c>
      <c r="B12" s="524" t="e">
        <f>VLOOKUP(A12,'Hours Detail'!$E$17:$H$1048576,4,)</f>
        <v>#N/A</v>
      </c>
      <c r="C12" s="524" t="s">
        <v>5653</v>
      </c>
      <c r="D12" s="524" t="s">
        <v>5652</v>
      </c>
      <c r="E12" s="524" t="s">
        <v>5651</v>
      </c>
      <c r="F12" s="524" t="s">
        <v>5651</v>
      </c>
      <c r="G12" s="524" t="s">
        <v>5651</v>
      </c>
      <c r="H12" s="524" t="s">
        <v>5651</v>
      </c>
      <c r="I12" s="524" t="s">
        <v>6382</v>
      </c>
      <c r="J12" s="524" t="s">
        <v>5652</v>
      </c>
      <c r="K12" s="524"/>
      <c r="L12" s="524" t="s">
        <v>6383</v>
      </c>
      <c r="M12" s="524" t="s">
        <v>5080</v>
      </c>
      <c r="N12" s="524"/>
      <c r="O12" s="524"/>
    </row>
    <row r="13" spans="1:15" ht="43.5" hidden="1">
      <c r="A13" s="525">
        <v>-3002</v>
      </c>
      <c r="B13" s="524" t="e">
        <f>VLOOKUP(A13,'Hours Detail'!$E$17:$H$1048576,4,)</f>
        <v>#N/A</v>
      </c>
      <c r="C13" s="524" t="s">
        <v>3511</v>
      </c>
      <c r="D13" s="524" t="s">
        <v>3512</v>
      </c>
      <c r="E13" s="524" t="s">
        <v>3511</v>
      </c>
      <c r="F13" s="524" t="s">
        <v>3511</v>
      </c>
      <c r="G13" s="524" t="s">
        <v>3511</v>
      </c>
      <c r="H13" s="524" t="s">
        <v>3511</v>
      </c>
      <c r="I13" s="524" t="s">
        <v>6384</v>
      </c>
      <c r="J13" s="524" t="s">
        <v>3512</v>
      </c>
      <c r="K13" s="524"/>
      <c r="L13" s="524" t="s">
        <v>6383</v>
      </c>
      <c r="M13" s="524" t="s">
        <v>5080</v>
      </c>
      <c r="N13" s="524"/>
      <c r="O13" s="524"/>
    </row>
    <row r="14" spans="1:15" ht="43.5" hidden="1">
      <c r="A14" s="525">
        <v>-3001</v>
      </c>
      <c r="B14" s="524" t="e">
        <f>VLOOKUP(A14,'Hours Detail'!$E$17:$H$1048576,4,)</f>
        <v>#N/A</v>
      </c>
      <c r="C14" s="524" t="s">
        <v>5650</v>
      </c>
      <c r="D14" s="524" t="s">
        <v>5649</v>
      </c>
      <c r="E14" s="524" t="s">
        <v>5648</v>
      </c>
      <c r="F14" s="524" t="s">
        <v>5648</v>
      </c>
      <c r="G14" s="524" t="s">
        <v>5648</v>
      </c>
      <c r="H14" s="524" t="s">
        <v>5648</v>
      </c>
      <c r="I14" s="524" t="s">
        <v>6385</v>
      </c>
      <c r="J14" s="524" t="s">
        <v>5649</v>
      </c>
      <c r="K14" s="524"/>
      <c r="L14" s="524" t="s">
        <v>6386</v>
      </c>
      <c r="M14" s="524" t="s">
        <v>6387</v>
      </c>
      <c r="N14" s="524"/>
      <c r="O14" s="524"/>
    </row>
    <row r="15" spans="1:15" ht="29" hidden="1">
      <c r="A15" s="525">
        <v>-2999</v>
      </c>
      <c r="B15" s="524" t="e">
        <f>VLOOKUP(A15,'Hours Detail'!$E$17:$H$1048576,4,)</f>
        <v>#N/A</v>
      </c>
      <c r="C15" s="524" t="s">
        <v>5289</v>
      </c>
      <c r="D15" s="524" t="s">
        <v>5289</v>
      </c>
      <c r="E15" s="524" t="s">
        <v>5289</v>
      </c>
      <c r="F15" s="524" t="s">
        <v>5289</v>
      </c>
      <c r="G15" s="524" t="s">
        <v>5289</v>
      </c>
      <c r="H15" s="524" t="s">
        <v>5289</v>
      </c>
      <c r="I15" s="524" t="s">
        <v>5289</v>
      </c>
      <c r="J15" s="524" t="s">
        <v>5289</v>
      </c>
      <c r="K15" s="524"/>
      <c r="L15" s="524" t="s">
        <v>3065</v>
      </c>
      <c r="M15" s="524" t="s">
        <v>6388</v>
      </c>
      <c r="N15" s="524"/>
      <c r="O15" s="524"/>
    </row>
    <row r="16" spans="1:15" ht="43.5" hidden="1">
      <c r="A16" s="525">
        <v>-2400</v>
      </c>
      <c r="B16" s="524" t="e">
        <f>VLOOKUP(A16,'Hours Detail'!$E$17:$H$1048576,4,)</f>
        <v>#N/A</v>
      </c>
      <c r="C16" s="524" t="s">
        <v>3525</v>
      </c>
      <c r="D16" s="524" t="s">
        <v>3524</v>
      </c>
      <c r="E16" s="524" t="s">
        <v>3523</v>
      </c>
      <c r="F16" s="524" t="s">
        <v>3523</v>
      </c>
      <c r="G16" s="524" t="s">
        <v>3523</v>
      </c>
      <c r="H16" s="524" t="s">
        <v>3523</v>
      </c>
      <c r="I16" s="524" t="s">
        <v>6389</v>
      </c>
      <c r="J16" s="524" t="s">
        <v>3524</v>
      </c>
      <c r="K16" s="524"/>
      <c r="L16" s="524" t="s">
        <v>6379</v>
      </c>
      <c r="M16" s="524" t="s">
        <v>6380</v>
      </c>
      <c r="N16" s="524"/>
      <c r="O16" s="524"/>
    </row>
    <row r="17" spans="1:15" ht="58" hidden="1">
      <c r="A17" s="525">
        <v>-2301</v>
      </c>
      <c r="B17" s="524" t="e">
        <f>VLOOKUP(A17,'Hours Detail'!$E$17:$H$1048576,4,)</f>
        <v>#N/A</v>
      </c>
      <c r="C17" s="524" t="s">
        <v>3517</v>
      </c>
      <c r="D17" s="524" t="s">
        <v>3518</v>
      </c>
      <c r="E17" s="524" t="s">
        <v>3517</v>
      </c>
      <c r="F17" s="524" t="s">
        <v>3517</v>
      </c>
      <c r="G17" s="524" t="s">
        <v>3517</v>
      </c>
      <c r="H17" s="524" t="s">
        <v>3517</v>
      </c>
      <c r="I17" s="524" t="s">
        <v>6390</v>
      </c>
      <c r="J17" s="524" t="s">
        <v>3518</v>
      </c>
      <c r="K17" s="524"/>
      <c r="L17" s="524" t="s">
        <v>6379</v>
      </c>
      <c r="M17" s="524" t="s">
        <v>6380</v>
      </c>
      <c r="N17" s="524"/>
      <c r="O17" s="524"/>
    </row>
    <row r="18" spans="1:15" ht="58" hidden="1">
      <c r="A18" s="525">
        <v>-2300</v>
      </c>
      <c r="B18" s="524" t="e">
        <f>VLOOKUP(A18,'Hours Detail'!$E$17:$H$1048576,4,)</f>
        <v>#N/A</v>
      </c>
      <c r="C18" s="524" t="s">
        <v>3522</v>
      </c>
      <c r="D18" s="524" t="s">
        <v>3521</v>
      </c>
      <c r="E18" s="524" t="s">
        <v>3520</v>
      </c>
      <c r="F18" s="524" t="s">
        <v>3520</v>
      </c>
      <c r="G18" s="524" t="s">
        <v>3520</v>
      </c>
      <c r="H18" s="524" t="s">
        <v>3520</v>
      </c>
      <c r="I18" s="524" t="s">
        <v>6391</v>
      </c>
      <c r="J18" s="524" t="s">
        <v>3521</v>
      </c>
      <c r="K18" s="524"/>
      <c r="L18" s="524" t="s">
        <v>6379</v>
      </c>
      <c r="M18" s="524" t="s">
        <v>6380</v>
      </c>
      <c r="N18" s="524"/>
      <c r="O18" s="524"/>
    </row>
    <row r="19" spans="1:15" ht="159.5" hidden="1">
      <c r="A19" s="525">
        <v>-2265</v>
      </c>
      <c r="B19" s="524" t="e">
        <f>VLOOKUP(A19,'Hours Detail'!$E$17:$H$1048576,4,)</f>
        <v>#N/A</v>
      </c>
      <c r="C19" s="524" t="s">
        <v>337</v>
      </c>
      <c r="D19" s="524" t="s">
        <v>922</v>
      </c>
      <c r="E19" s="524" t="s">
        <v>923</v>
      </c>
      <c r="F19" s="524" t="s">
        <v>923</v>
      </c>
      <c r="G19" s="524" t="s">
        <v>923</v>
      </c>
      <c r="H19" s="524" t="s">
        <v>923</v>
      </c>
      <c r="I19" s="524" t="s">
        <v>6392</v>
      </c>
      <c r="J19" s="524" t="s">
        <v>922</v>
      </c>
      <c r="K19" s="524" t="s">
        <v>6359</v>
      </c>
      <c r="L19" s="524" t="s">
        <v>6368</v>
      </c>
      <c r="M19" s="524" t="s">
        <v>2573</v>
      </c>
      <c r="N19" s="524"/>
      <c r="O19" s="528" t="s">
        <v>6393</v>
      </c>
    </row>
    <row r="20" spans="1:15" ht="174" hidden="1">
      <c r="A20" s="525">
        <v>-2260</v>
      </c>
      <c r="B20" s="524" t="e">
        <f>VLOOKUP(A20,'Hours Detail'!$E$17:$H$1048576,4,)</f>
        <v>#N/A</v>
      </c>
      <c r="C20" s="524" t="s">
        <v>1304</v>
      </c>
      <c r="D20" s="524" t="s">
        <v>6396</v>
      </c>
      <c r="E20" s="524" t="s">
        <v>6394</v>
      </c>
      <c r="F20" s="524" t="s">
        <v>6394</v>
      </c>
      <c r="G20" s="524" t="s">
        <v>6394</v>
      </c>
      <c r="H20" s="524" t="s">
        <v>6394</v>
      </c>
      <c r="I20" s="524" t="s">
        <v>6395</v>
      </c>
      <c r="J20" s="524" t="s">
        <v>6396</v>
      </c>
      <c r="K20" s="524" t="s">
        <v>6359</v>
      </c>
      <c r="L20" s="524" t="s">
        <v>6397</v>
      </c>
      <c r="M20" s="524" t="s">
        <v>1</v>
      </c>
      <c r="N20" s="524"/>
      <c r="O20" s="527" t="s">
        <v>6398</v>
      </c>
    </row>
    <row r="21" spans="1:15" ht="43.5" hidden="1">
      <c r="A21" s="525">
        <v>-2255</v>
      </c>
      <c r="B21" s="524" t="e">
        <f>VLOOKUP(A21,'Hours Detail'!$E$17:$H$1048576,4,)</f>
        <v>#N/A</v>
      </c>
      <c r="C21" s="524" t="s">
        <v>5447</v>
      </c>
      <c r="D21" s="524" t="s">
        <v>5446</v>
      </c>
      <c r="E21" s="524" t="s">
        <v>5445</v>
      </c>
      <c r="F21" s="524" t="s">
        <v>5445</v>
      </c>
      <c r="G21" s="524" t="s">
        <v>5445</v>
      </c>
      <c r="H21" s="524" t="s">
        <v>5445</v>
      </c>
      <c r="I21" s="524" t="s">
        <v>5446</v>
      </c>
      <c r="J21" s="524" t="s">
        <v>5446</v>
      </c>
      <c r="K21" s="524"/>
      <c r="L21" s="524" t="s">
        <v>6399</v>
      </c>
      <c r="M21" s="524" t="s">
        <v>188</v>
      </c>
      <c r="N21" s="524"/>
      <c r="O21" s="524"/>
    </row>
    <row r="22" spans="1:15" ht="43.5" hidden="1">
      <c r="A22" s="525">
        <v>-2250</v>
      </c>
      <c r="B22" s="524" t="e">
        <f>VLOOKUP(A22,'Hours Detail'!$E$17:$H$1048576,4,)</f>
        <v>#N/A</v>
      </c>
      <c r="C22" s="524" t="s">
        <v>381</v>
      </c>
      <c r="D22" s="524" t="s">
        <v>1281</v>
      </c>
      <c r="E22" s="524" t="s">
        <v>1282</v>
      </c>
      <c r="F22" s="524" t="s">
        <v>1282</v>
      </c>
      <c r="G22" s="524" t="s">
        <v>1282</v>
      </c>
      <c r="H22" s="524" t="s">
        <v>1282</v>
      </c>
      <c r="I22" s="524" t="s">
        <v>1281</v>
      </c>
      <c r="J22" s="524" t="s">
        <v>1281</v>
      </c>
      <c r="K22" s="524"/>
      <c r="L22" s="524" t="s">
        <v>6400</v>
      </c>
      <c r="M22" s="524" t="s">
        <v>6401</v>
      </c>
      <c r="N22" s="524"/>
      <c r="O22" s="524"/>
    </row>
    <row r="23" spans="1:15" ht="58" hidden="1">
      <c r="A23" s="527">
        <v>-2250</v>
      </c>
      <c r="B23" s="524" t="e">
        <f>VLOOKUP(A23,'Hours Detail'!$E$17:$H$1048576,4,)</f>
        <v>#N/A</v>
      </c>
      <c r="C23" s="527" t="s">
        <v>381</v>
      </c>
      <c r="D23" s="527" t="s">
        <v>4703</v>
      </c>
      <c r="E23" s="527" t="s">
        <v>1281</v>
      </c>
      <c r="F23" s="527" t="s">
        <v>1282</v>
      </c>
      <c r="G23" s="527">
        <v>283</v>
      </c>
      <c r="H23" s="527" t="s">
        <v>4705</v>
      </c>
      <c r="I23" s="527" t="s">
        <v>4704</v>
      </c>
      <c r="J23" s="527" t="s">
        <v>2890</v>
      </c>
      <c r="K23" s="527" t="s">
        <v>2890</v>
      </c>
      <c r="L23" s="527" t="s">
        <v>6371</v>
      </c>
      <c r="M23" s="524"/>
      <c r="N23" s="524"/>
      <c r="O23" s="524"/>
    </row>
    <row r="24" spans="1:15" ht="43.5" hidden="1">
      <c r="A24" s="525">
        <v>-2245</v>
      </c>
      <c r="B24" s="524" t="e">
        <f>VLOOKUP(A24,'Hours Detail'!$E$17:$H$1048576,4,)</f>
        <v>#N/A</v>
      </c>
      <c r="C24" s="524" t="s">
        <v>5507</v>
      </c>
      <c r="D24" s="524" t="s">
        <v>5506</v>
      </c>
      <c r="E24" s="524" t="s">
        <v>5505</v>
      </c>
      <c r="F24" s="524" t="s">
        <v>5505</v>
      </c>
      <c r="G24" s="524" t="s">
        <v>5505</v>
      </c>
      <c r="H24" s="524" t="s">
        <v>5505</v>
      </c>
      <c r="I24" s="524" t="s">
        <v>5506</v>
      </c>
      <c r="J24" s="524" t="s">
        <v>5506</v>
      </c>
      <c r="K24" s="524"/>
      <c r="L24" s="524" t="s">
        <v>6402</v>
      </c>
      <c r="M24" s="524" t="s">
        <v>6403</v>
      </c>
      <c r="N24" s="524"/>
      <c r="O24" s="524"/>
    </row>
    <row r="25" spans="1:15" ht="58" hidden="1">
      <c r="A25" s="525">
        <v>-2240</v>
      </c>
      <c r="B25" s="524" t="e">
        <f>VLOOKUP(A25,'Hours Detail'!$E$17:$H$1048576,4,)</f>
        <v>#N/A</v>
      </c>
      <c r="C25" s="524" t="s">
        <v>376</v>
      </c>
      <c r="D25" s="524" t="s">
        <v>1295</v>
      </c>
      <c r="E25" s="524" t="s">
        <v>1296</v>
      </c>
      <c r="F25" s="524" t="s">
        <v>1296</v>
      </c>
      <c r="G25" s="524" t="s">
        <v>1296</v>
      </c>
      <c r="H25" s="524" t="s">
        <v>1296</v>
      </c>
      <c r="I25" s="524" t="s">
        <v>1295</v>
      </c>
      <c r="J25" s="524" t="s">
        <v>1295</v>
      </c>
      <c r="K25" s="524"/>
      <c r="L25" s="524" t="s">
        <v>6381</v>
      </c>
      <c r="M25" s="524" t="s">
        <v>442</v>
      </c>
      <c r="N25" s="524"/>
      <c r="O25" s="524"/>
    </row>
    <row r="26" spans="1:15" ht="58" hidden="1">
      <c r="A26" s="527">
        <v>-2240</v>
      </c>
      <c r="B26" s="524" t="e">
        <f>VLOOKUP(A26,'Hours Detail'!$E$17:$H$1048576,4,)</f>
        <v>#N/A</v>
      </c>
      <c r="C26" s="527" t="s">
        <v>376</v>
      </c>
      <c r="D26" s="527" t="s">
        <v>4703</v>
      </c>
      <c r="E26" s="527" t="s">
        <v>1295</v>
      </c>
      <c r="F26" s="527" t="s">
        <v>1296</v>
      </c>
      <c r="G26" s="527">
        <v>283</v>
      </c>
      <c r="H26" s="527" t="s">
        <v>4705</v>
      </c>
      <c r="I26" s="527" t="s">
        <v>4704</v>
      </c>
      <c r="J26" s="527" t="s">
        <v>2890</v>
      </c>
      <c r="K26" s="527" t="s">
        <v>2890</v>
      </c>
      <c r="L26" s="527" t="s">
        <v>6371</v>
      </c>
      <c r="M26" s="524"/>
      <c r="N26" s="524"/>
      <c r="O26" s="524"/>
    </row>
    <row r="27" spans="1:15" ht="72.5" hidden="1">
      <c r="A27" s="525">
        <v>-2230</v>
      </c>
      <c r="B27" s="524" t="e">
        <f>VLOOKUP(A27,'Hours Detail'!$E$17:$H$1048576,4,)</f>
        <v>#N/A</v>
      </c>
      <c r="C27" s="524" t="s">
        <v>5673</v>
      </c>
      <c r="D27" s="524" t="s">
        <v>5672</v>
      </c>
      <c r="E27" s="524" t="s">
        <v>6404</v>
      </c>
      <c r="F27" s="524" t="s">
        <v>6404</v>
      </c>
      <c r="G27" s="524" t="s">
        <v>6404</v>
      </c>
      <c r="H27" s="524" t="s">
        <v>6404</v>
      </c>
      <c r="I27" s="524" t="s">
        <v>6405</v>
      </c>
      <c r="J27" s="524" t="s">
        <v>5672</v>
      </c>
      <c r="K27" s="524" t="s">
        <v>6359</v>
      </c>
      <c r="L27" s="524" t="s">
        <v>6365</v>
      </c>
      <c r="M27" s="524" t="s">
        <v>6366</v>
      </c>
      <c r="N27" s="524"/>
      <c r="O27" s="524"/>
    </row>
    <row r="28" spans="1:15" ht="58" hidden="1">
      <c r="A28" s="524">
        <v>-2226</v>
      </c>
      <c r="B28" s="524" t="e">
        <f>VLOOKUP(A28,'Hours Detail'!$E$17:$H$1048576,4,)</f>
        <v>#N/A</v>
      </c>
      <c r="C28" s="524" t="s">
        <v>6406</v>
      </c>
      <c r="D28" s="524" t="s">
        <v>4742</v>
      </c>
      <c r="E28" s="524" t="s">
        <v>4741</v>
      </c>
      <c r="F28" s="524" t="s">
        <v>4741</v>
      </c>
      <c r="G28" s="524" t="s">
        <v>4741</v>
      </c>
      <c r="H28" s="524" t="s">
        <v>4741</v>
      </c>
      <c r="I28" s="524" t="s">
        <v>4742</v>
      </c>
      <c r="J28" s="524" t="s">
        <v>4742</v>
      </c>
      <c r="K28" s="524" t="s">
        <v>6359</v>
      </c>
      <c r="L28" s="524" t="s">
        <v>6397</v>
      </c>
      <c r="M28" s="524" t="s">
        <v>1</v>
      </c>
      <c r="N28" s="524"/>
      <c r="O28" s="524"/>
    </row>
    <row r="29" spans="1:15" ht="188.5" hidden="1">
      <c r="A29" s="525">
        <v>-2225</v>
      </c>
      <c r="B29" s="524" t="e">
        <f>VLOOKUP(A29,'Hours Detail'!$E$17:$H$1048576,4,)</f>
        <v>#N/A</v>
      </c>
      <c r="C29" s="524" t="s">
        <v>1189</v>
      </c>
      <c r="D29" s="524" t="s">
        <v>1190</v>
      </c>
      <c r="E29" s="524" t="s">
        <v>1191</v>
      </c>
      <c r="F29" s="524" t="s">
        <v>1191</v>
      </c>
      <c r="G29" s="524" t="s">
        <v>1191</v>
      </c>
      <c r="H29" s="524" t="s">
        <v>1191</v>
      </c>
      <c r="I29" s="524" t="s">
        <v>1190</v>
      </c>
      <c r="J29" s="524" t="s">
        <v>1190</v>
      </c>
      <c r="K29" s="524" t="s">
        <v>6359</v>
      </c>
      <c r="L29" s="524" t="s">
        <v>6368</v>
      </c>
      <c r="M29" s="524" t="s">
        <v>6370</v>
      </c>
      <c r="N29" s="524"/>
      <c r="O29" s="527" t="s">
        <v>6407</v>
      </c>
    </row>
    <row r="30" spans="1:15" ht="43.5" hidden="1">
      <c r="A30" s="525">
        <v>-2224</v>
      </c>
      <c r="B30" s="524" t="e">
        <f>VLOOKUP(A30,'Hours Detail'!$E$17:$H$1048576,4,)</f>
        <v>#N/A</v>
      </c>
      <c r="C30" s="524" t="s">
        <v>5630</v>
      </c>
      <c r="D30" s="524" t="s">
        <v>5629</v>
      </c>
      <c r="E30" s="524" t="s">
        <v>5628</v>
      </c>
      <c r="F30" s="524" t="s">
        <v>5628</v>
      </c>
      <c r="G30" s="524" t="s">
        <v>5628</v>
      </c>
      <c r="H30" s="524" t="s">
        <v>5628</v>
      </c>
      <c r="I30" s="524" t="s">
        <v>5629</v>
      </c>
      <c r="J30" s="524" t="s">
        <v>5629</v>
      </c>
      <c r="K30" s="524"/>
      <c r="L30" s="524" t="s">
        <v>6397</v>
      </c>
      <c r="M30" s="524" t="s">
        <v>2384</v>
      </c>
      <c r="N30" s="524"/>
      <c r="O30" s="524"/>
    </row>
    <row r="31" spans="1:15" ht="29" hidden="1">
      <c r="A31" s="525">
        <v>-2223</v>
      </c>
      <c r="B31" s="524" t="e">
        <f>VLOOKUP(A31,'Hours Detail'!$E$17:$H$1048576,4,)</f>
        <v>#N/A</v>
      </c>
      <c r="C31" s="524" t="s">
        <v>4894</v>
      </c>
      <c r="D31" s="524" t="s">
        <v>4895</v>
      </c>
      <c r="E31" s="524" t="s">
        <v>4894</v>
      </c>
      <c r="F31" s="524" t="s">
        <v>4894</v>
      </c>
      <c r="G31" s="524" t="s">
        <v>4894</v>
      </c>
      <c r="H31" s="524" t="s">
        <v>4894</v>
      </c>
      <c r="I31" s="524" t="s">
        <v>6408</v>
      </c>
      <c r="J31" s="524" t="s">
        <v>4895</v>
      </c>
      <c r="K31" s="524"/>
      <c r="L31" s="524" t="s">
        <v>6381</v>
      </c>
      <c r="M31" s="524" t="s">
        <v>442</v>
      </c>
      <c r="N31" s="524"/>
      <c r="O31" s="524"/>
    </row>
    <row r="32" spans="1:15" ht="116" hidden="1">
      <c r="A32" s="524">
        <v>-2222</v>
      </c>
      <c r="B32" s="524" t="e">
        <f>VLOOKUP(A32,'Hours Detail'!$E$17:$H$1048576,4,)</f>
        <v>#N/A</v>
      </c>
      <c r="C32" s="524" t="s">
        <v>4199</v>
      </c>
      <c r="D32" s="524" t="s">
        <v>4198</v>
      </c>
      <c r="E32" s="524" t="s">
        <v>4197</v>
      </c>
      <c r="F32" s="524" t="s">
        <v>4197</v>
      </c>
      <c r="G32" s="524" t="s">
        <v>4197</v>
      </c>
      <c r="H32" s="524" t="s">
        <v>4197</v>
      </c>
      <c r="I32" s="524" t="s">
        <v>6409</v>
      </c>
      <c r="J32" s="524" t="s">
        <v>4198</v>
      </c>
      <c r="K32" s="524" t="s">
        <v>6359</v>
      </c>
      <c r="L32" s="524" t="s">
        <v>6365</v>
      </c>
      <c r="M32" s="524" t="s">
        <v>6366</v>
      </c>
      <c r="N32" s="524"/>
      <c r="O32" s="524"/>
    </row>
    <row r="33" spans="1:15" ht="43.5" hidden="1">
      <c r="A33" s="525">
        <v>-2170</v>
      </c>
      <c r="B33" s="524" t="e">
        <f>VLOOKUP(A33,'Hours Detail'!$E$17:$H$1048576,4,)</f>
        <v>#N/A</v>
      </c>
      <c r="C33" s="524" t="s">
        <v>4740</v>
      </c>
      <c r="D33" s="524" t="s">
        <v>695</v>
      </c>
      <c r="E33" s="524" t="s">
        <v>4739</v>
      </c>
      <c r="F33" s="524" t="s">
        <v>4739</v>
      </c>
      <c r="G33" s="524" t="s">
        <v>4739</v>
      </c>
      <c r="H33" s="524" t="s">
        <v>4739</v>
      </c>
      <c r="I33" s="524" t="s">
        <v>695</v>
      </c>
      <c r="J33" s="524" t="s">
        <v>695</v>
      </c>
      <c r="K33" s="524"/>
      <c r="L33" s="524" t="s">
        <v>6365</v>
      </c>
      <c r="M33" s="524" t="s">
        <v>6366</v>
      </c>
      <c r="N33" s="524"/>
      <c r="O33" s="524"/>
    </row>
    <row r="34" spans="1:15" ht="101.5" hidden="1">
      <c r="A34" s="525">
        <v>-2150</v>
      </c>
      <c r="B34" s="524" t="e">
        <f>VLOOKUP(A34,'Hours Detail'!$E$17:$H$1048576,4,)</f>
        <v>#N/A</v>
      </c>
      <c r="C34" s="524" t="s">
        <v>6410</v>
      </c>
      <c r="D34" s="524" t="s">
        <v>6413</v>
      </c>
      <c r="E34" s="524" t="s">
        <v>6411</v>
      </c>
      <c r="F34" s="524" t="s">
        <v>6411</v>
      </c>
      <c r="G34" s="524" t="s">
        <v>6411</v>
      </c>
      <c r="H34" s="524" t="s">
        <v>6411</v>
      </c>
      <c r="I34" s="524" t="s">
        <v>6412</v>
      </c>
      <c r="J34" s="524" t="s">
        <v>6413</v>
      </c>
      <c r="K34" s="524"/>
      <c r="L34" s="524" t="s">
        <v>6414</v>
      </c>
      <c r="M34" s="524" t="s">
        <v>6415</v>
      </c>
      <c r="N34" s="524"/>
      <c r="O34" s="524"/>
    </row>
    <row r="35" spans="1:15" ht="29" hidden="1">
      <c r="A35" s="524">
        <v>-2110</v>
      </c>
      <c r="B35" s="524" t="e">
        <f>VLOOKUP(A35,'Hours Detail'!$E$17:$H$1048576,4,)</f>
        <v>#N/A</v>
      </c>
      <c r="C35" s="524" t="s">
        <v>1326</v>
      </c>
      <c r="D35" s="524" t="s">
        <v>1327</v>
      </c>
      <c r="E35" s="524" t="s">
        <v>1328</v>
      </c>
      <c r="F35" s="524" t="s">
        <v>1328</v>
      </c>
      <c r="G35" s="524" t="s">
        <v>1328</v>
      </c>
      <c r="H35" s="524" t="s">
        <v>1328</v>
      </c>
      <c r="I35" s="524" t="s">
        <v>1327</v>
      </c>
      <c r="J35" s="524" t="s">
        <v>1327</v>
      </c>
      <c r="K35" s="524"/>
      <c r="L35" s="524" t="s">
        <v>6376</v>
      </c>
      <c r="M35" s="524" t="s">
        <v>6416</v>
      </c>
      <c r="N35" s="524"/>
      <c r="O35" s="524"/>
    </row>
    <row r="36" spans="1:15" ht="58" hidden="1">
      <c r="A36" s="527">
        <v>-2110</v>
      </c>
      <c r="B36" s="524" t="e">
        <f>VLOOKUP(A36,'Hours Detail'!$E$17:$H$1048576,4,)</f>
        <v>#N/A</v>
      </c>
      <c r="C36" s="527" t="s">
        <v>1326</v>
      </c>
      <c r="D36" s="527" t="s">
        <v>4703</v>
      </c>
      <c r="E36" s="527" t="s">
        <v>1327</v>
      </c>
      <c r="F36" s="527" t="s">
        <v>1328</v>
      </c>
      <c r="G36" s="527">
        <v>283</v>
      </c>
      <c r="H36" s="527" t="s">
        <v>4705</v>
      </c>
      <c r="I36" s="527" t="s">
        <v>4704</v>
      </c>
      <c r="J36" s="527" t="s">
        <v>2890</v>
      </c>
      <c r="K36" s="527" t="s">
        <v>2890</v>
      </c>
      <c r="L36" s="527" t="s">
        <v>6371</v>
      </c>
      <c r="M36" s="524"/>
      <c r="N36" s="524"/>
      <c r="O36" s="524"/>
    </row>
    <row r="37" spans="1:15" ht="43.5" hidden="1">
      <c r="A37" s="525">
        <v>-2105</v>
      </c>
      <c r="B37" s="524" t="e">
        <f>VLOOKUP(A37,'Hours Detail'!$E$17:$H$1048576,4,)</f>
        <v>#N/A</v>
      </c>
      <c r="C37" s="524" t="s">
        <v>5180</v>
      </c>
      <c r="D37" s="524" t="s">
        <v>5179</v>
      </c>
      <c r="E37" s="524" t="s">
        <v>5178</v>
      </c>
      <c r="F37" s="524" t="s">
        <v>5178</v>
      </c>
      <c r="G37" s="524" t="s">
        <v>5178</v>
      </c>
      <c r="H37" s="524" t="s">
        <v>5178</v>
      </c>
      <c r="I37" s="524" t="s">
        <v>6417</v>
      </c>
      <c r="J37" s="524" t="s">
        <v>5179</v>
      </c>
      <c r="K37" s="524" t="s">
        <v>6359</v>
      </c>
      <c r="L37" s="524" t="s">
        <v>6365</v>
      </c>
      <c r="M37" s="524" t="s">
        <v>6366</v>
      </c>
      <c r="N37" s="524"/>
      <c r="O37" s="524"/>
    </row>
    <row r="38" spans="1:15" ht="72.5" hidden="1">
      <c r="A38" s="524">
        <v>-2100</v>
      </c>
      <c r="B38" s="524" t="e">
        <f>VLOOKUP(A38,'Hours Detail'!$E$17:$H$1048576,4,)</f>
        <v>#N/A</v>
      </c>
      <c r="C38" s="524" t="s">
        <v>4157</v>
      </c>
      <c r="D38" s="524" t="s">
        <v>4156</v>
      </c>
      <c r="E38" s="524" t="s">
        <v>4155</v>
      </c>
      <c r="F38" s="524" t="s">
        <v>4155</v>
      </c>
      <c r="G38" s="524" t="s">
        <v>4155</v>
      </c>
      <c r="H38" s="524" t="s">
        <v>4155</v>
      </c>
      <c r="I38" s="524" t="s">
        <v>6418</v>
      </c>
      <c r="J38" s="524" t="s">
        <v>4156</v>
      </c>
      <c r="K38" s="524"/>
      <c r="L38" s="524" t="s">
        <v>6365</v>
      </c>
      <c r="M38" s="524" t="s">
        <v>6366</v>
      </c>
      <c r="N38" s="524"/>
      <c r="O38" s="524"/>
    </row>
    <row r="39" spans="1:15" ht="246.5" hidden="1">
      <c r="A39" s="525">
        <v>-2070</v>
      </c>
      <c r="B39" s="524" t="e">
        <f>VLOOKUP(A39,'Hours Detail'!$E$17:$H$1048576,4,)</f>
        <v>#N/A</v>
      </c>
      <c r="C39" s="524" t="s">
        <v>1194</v>
      </c>
      <c r="D39" s="524" t="s">
        <v>1195</v>
      </c>
      <c r="E39" s="524" t="s">
        <v>4866</v>
      </c>
      <c r="F39" s="524" t="s">
        <v>4866</v>
      </c>
      <c r="G39" s="524" t="s">
        <v>4866</v>
      </c>
      <c r="H39" s="524" t="s">
        <v>4866</v>
      </c>
      <c r="I39" s="524" t="s">
        <v>6419</v>
      </c>
      <c r="J39" s="524" t="s">
        <v>1195</v>
      </c>
      <c r="K39" s="524"/>
      <c r="L39" s="524" t="s">
        <v>6368</v>
      </c>
      <c r="M39" s="524" t="s">
        <v>2573</v>
      </c>
      <c r="N39" s="524"/>
      <c r="O39" s="527" t="s">
        <v>6420</v>
      </c>
    </row>
    <row r="40" spans="1:15" ht="43.5" hidden="1">
      <c r="A40" s="524">
        <v>-2050</v>
      </c>
      <c r="B40" s="524" t="e">
        <f>VLOOKUP(A40,'Hours Detail'!$E$17:$H$1048576,4,)</f>
        <v>#N/A</v>
      </c>
      <c r="C40" s="524" t="s">
        <v>4151</v>
      </c>
      <c r="D40" s="524" t="s">
        <v>4150</v>
      </c>
      <c r="E40" s="524" t="s">
        <v>4149</v>
      </c>
      <c r="F40" s="524" t="s">
        <v>4149</v>
      </c>
      <c r="G40" s="524" t="s">
        <v>4149</v>
      </c>
      <c r="H40" s="524" t="s">
        <v>4149</v>
      </c>
      <c r="I40" s="524" t="s">
        <v>4150</v>
      </c>
      <c r="J40" s="524" t="s">
        <v>4150</v>
      </c>
      <c r="K40" s="524"/>
      <c r="L40" s="524" t="s">
        <v>6365</v>
      </c>
      <c r="M40" s="524" t="s">
        <v>6366</v>
      </c>
      <c r="N40" s="524"/>
      <c r="O40" s="524"/>
    </row>
    <row r="41" spans="1:15" ht="72.5" hidden="1">
      <c r="A41" s="525">
        <v>-2040</v>
      </c>
      <c r="B41" s="524" t="e">
        <f>VLOOKUP(A41,'Hours Detail'!$E$17:$H$1048576,4,)</f>
        <v>#N/A</v>
      </c>
      <c r="C41" s="524" t="s">
        <v>3903</v>
      </c>
      <c r="D41" s="524" t="s">
        <v>3902</v>
      </c>
      <c r="E41" s="524" t="s">
        <v>3901</v>
      </c>
      <c r="F41" s="524" t="s">
        <v>3901</v>
      </c>
      <c r="G41" s="524" t="s">
        <v>3901</v>
      </c>
      <c r="H41" s="524" t="s">
        <v>3901</v>
      </c>
      <c r="I41" s="524" t="s">
        <v>3902</v>
      </c>
      <c r="J41" s="524" t="s">
        <v>3902</v>
      </c>
      <c r="K41" s="524"/>
      <c r="L41" s="524" t="s">
        <v>6379</v>
      </c>
      <c r="M41" s="524" t="s">
        <v>6380</v>
      </c>
      <c r="N41" s="524"/>
      <c r="O41" s="524"/>
    </row>
    <row r="42" spans="1:15" ht="29" hidden="1">
      <c r="A42" s="525">
        <v>-2035</v>
      </c>
      <c r="B42" s="524" t="e">
        <f>VLOOKUP(A42,'Hours Detail'!$E$17:$H$1048576,4,)</f>
        <v>#N/A</v>
      </c>
      <c r="C42" s="524" t="s">
        <v>4893</v>
      </c>
      <c r="D42" s="524" t="s">
        <v>4892</v>
      </c>
      <c r="E42" s="524" t="s">
        <v>4891</v>
      </c>
      <c r="F42" s="524" t="s">
        <v>4891</v>
      </c>
      <c r="G42" s="524" t="s">
        <v>4891</v>
      </c>
      <c r="H42" s="524" t="s">
        <v>4891</v>
      </c>
      <c r="I42" s="524" t="s">
        <v>4892</v>
      </c>
      <c r="J42" s="524" t="s">
        <v>4892</v>
      </c>
      <c r="K42" s="524"/>
      <c r="L42" s="524" t="s">
        <v>6397</v>
      </c>
      <c r="M42" s="524" t="s">
        <v>6421</v>
      </c>
      <c r="N42" s="524"/>
      <c r="O42" s="524"/>
    </row>
    <row r="43" spans="1:15" ht="43.5" hidden="1">
      <c r="A43" s="525">
        <v>-2030</v>
      </c>
      <c r="B43" s="524" t="e">
        <f>VLOOKUP(A43,'Hours Detail'!$E$17:$H$1048576,4,)</f>
        <v>#N/A</v>
      </c>
      <c r="C43" s="524" t="s">
        <v>4915</v>
      </c>
      <c r="D43" s="524" t="s">
        <v>4914</v>
      </c>
      <c r="E43" s="524" t="s">
        <v>4913</v>
      </c>
      <c r="F43" s="524" t="s">
        <v>4913</v>
      </c>
      <c r="G43" s="524" t="s">
        <v>4913</v>
      </c>
      <c r="H43" s="524" t="s">
        <v>4913</v>
      </c>
      <c r="I43" s="524" t="s">
        <v>4914</v>
      </c>
      <c r="J43" s="524" t="s">
        <v>4914</v>
      </c>
      <c r="K43" s="524"/>
      <c r="L43" s="524" t="s">
        <v>6397</v>
      </c>
      <c r="M43" s="524" t="s">
        <v>6421</v>
      </c>
      <c r="N43" s="524"/>
      <c r="O43" s="524"/>
    </row>
    <row r="44" spans="1:15" ht="29" hidden="1">
      <c r="A44" s="525">
        <v>-2025</v>
      </c>
      <c r="B44" s="524" t="e">
        <f>VLOOKUP(A44,'Hours Detail'!$E$17:$H$1048576,4,)</f>
        <v>#N/A</v>
      </c>
      <c r="C44" s="524" t="s">
        <v>4006</v>
      </c>
      <c r="D44" s="524" t="s">
        <v>4005</v>
      </c>
      <c r="E44" s="524" t="s">
        <v>4004</v>
      </c>
      <c r="F44" s="524" t="s">
        <v>4004</v>
      </c>
      <c r="G44" s="524" t="s">
        <v>4004</v>
      </c>
      <c r="H44" s="524" t="s">
        <v>4004</v>
      </c>
      <c r="I44" s="524" t="s">
        <v>6422</v>
      </c>
      <c r="J44" s="524" t="s">
        <v>4005</v>
      </c>
      <c r="K44" s="524"/>
      <c r="L44" s="524" t="s">
        <v>6414</v>
      </c>
      <c r="M44" s="524" t="s">
        <v>6415</v>
      </c>
      <c r="N44" s="524"/>
      <c r="O44" s="524"/>
    </row>
    <row r="45" spans="1:15" ht="43.5" hidden="1">
      <c r="A45" s="525">
        <v>-2020</v>
      </c>
      <c r="B45" s="524" t="e">
        <f>VLOOKUP(A45,'Hours Detail'!$E$17:$H$1048576,4,)</f>
        <v>#N/A</v>
      </c>
      <c r="C45" s="524" t="s">
        <v>4289</v>
      </c>
      <c r="D45" s="524" t="s">
        <v>4288</v>
      </c>
      <c r="E45" s="524" t="s">
        <v>4287</v>
      </c>
      <c r="F45" s="524" t="s">
        <v>4287</v>
      </c>
      <c r="G45" s="524" t="s">
        <v>4287</v>
      </c>
      <c r="H45" s="524" t="s">
        <v>4287</v>
      </c>
      <c r="I45" s="524" t="s">
        <v>6423</v>
      </c>
      <c r="J45" s="524" t="s">
        <v>4288</v>
      </c>
      <c r="K45" s="524" t="s">
        <v>6359</v>
      </c>
      <c r="L45" s="524" t="s">
        <v>6379</v>
      </c>
      <c r="M45" s="524" t="s">
        <v>6380</v>
      </c>
      <c r="N45" s="524"/>
      <c r="O45" s="524"/>
    </row>
    <row r="46" spans="1:15" ht="43.5" hidden="1">
      <c r="A46" s="525">
        <v>-2015</v>
      </c>
      <c r="B46" s="524" t="e">
        <f>VLOOKUP(A46,'Hours Detail'!$E$17:$H$1048576,4,)</f>
        <v>#N/A</v>
      </c>
      <c r="C46" s="524" t="s">
        <v>3633</v>
      </c>
      <c r="D46" s="524" t="s">
        <v>3632</v>
      </c>
      <c r="E46" s="524" t="s">
        <v>3631</v>
      </c>
      <c r="F46" s="524" t="s">
        <v>3631</v>
      </c>
      <c r="G46" s="524" t="s">
        <v>3631</v>
      </c>
      <c r="H46" s="524" t="s">
        <v>3631</v>
      </c>
      <c r="I46" s="524" t="s">
        <v>3632</v>
      </c>
      <c r="J46" s="524" t="s">
        <v>3632</v>
      </c>
      <c r="K46" s="524"/>
      <c r="L46" s="524" t="s">
        <v>6386</v>
      </c>
      <c r="M46" s="524" t="s">
        <v>6424</v>
      </c>
      <c r="N46" s="524"/>
      <c r="O46" s="524"/>
    </row>
    <row r="47" spans="1:15" ht="87" hidden="1">
      <c r="A47" s="525">
        <v>-2013</v>
      </c>
      <c r="B47" s="524" t="e">
        <f>VLOOKUP(A47,'Hours Detail'!$E$17:$H$1048576,4,)</f>
        <v>#N/A</v>
      </c>
      <c r="C47" s="524" t="s">
        <v>6425</v>
      </c>
      <c r="D47" s="524" t="s">
        <v>5577</v>
      </c>
      <c r="E47" s="524" t="s">
        <v>5576</v>
      </c>
      <c r="F47" s="524" t="s">
        <v>5576</v>
      </c>
      <c r="G47" s="524" t="s">
        <v>5576</v>
      </c>
      <c r="H47" s="524" t="s">
        <v>5576</v>
      </c>
      <c r="I47" s="524" t="s">
        <v>6426</v>
      </c>
      <c r="J47" s="524" t="s">
        <v>5577</v>
      </c>
      <c r="K47" s="524" t="s">
        <v>6359</v>
      </c>
      <c r="L47" s="524" t="s">
        <v>6414</v>
      </c>
      <c r="M47" s="524" t="s">
        <v>6415</v>
      </c>
      <c r="N47" s="524"/>
      <c r="O47" s="524"/>
    </row>
    <row r="48" spans="1:15" ht="58" hidden="1">
      <c r="A48" s="525">
        <v>-2012</v>
      </c>
      <c r="B48" s="524" t="e">
        <f>VLOOKUP(A48,'Hours Detail'!$E$17:$H$1048576,4,)</f>
        <v>#N/A</v>
      </c>
      <c r="C48" s="524" t="s">
        <v>4163</v>
      </c>
      <c r="D48" s="524" t="s">
        <v>4162</v>
      </c>
      <c r="E48" s="524" t="s">
        <v>4161</v>
      </c>
      <c r="F48" s="524" t="s">
        <v>4161</v>
      </c>
      <c r="G48" s="524" t="s">
        <v>4161</v>
      </c>
      <c r="H48" s="524" t="s">
        <v>4161</v>
      </c>
      <c r="I48" s="524" t="s">
        <v>6427</v>
      </c>
      <c r="J48" s="524" t="s">
        <v>4162</v>
      </c>
      <c r="K48" s="524"/>
      <c r="L48" s="524" t="s">
        <v>6399</v>
      </c>
      <c r="M48" s="524" t="s">
        <v>188</v>
      </c>
      <c r="N48" s="524"/>
      <c r="O48" s="524"/>
    </row>
    <row r="49" spans="1:15" ht="43.5" hidden="1">
      <c r="A49" s="525">
        <v>-2011</v>
      </c>
      <c r="B49" s="524" t="e">
        <f>VLOOKUP(A49,'Hours Detail'!$E$17:$H$1048576,4,)</f>
        <v>#N/A</v>
      </c>
      <c r="C49" s="524" t="s">
        <v>4792</v>
      </c>
      <c r="D49" s="524" t="s">
        <v>4791</v>
      </c>
      <c r="E49" s="524" t="s">
        <v>4790</v>
      </c>
      <c r="F49" s="524" t="s">
        <v>4790</v>
      </c>
      <c r="G49" s="524" t="s">
        <v>4790</v>
      </c>
      <c r="H49" s="524" t="s">
        <v>4790</v>
      </c>
      <c r="I49" s="524" t="s">
        <v>6428</v>
      </c>
      <c r="J49" s="524" t="s">
        <v>4791</v>
      </c>
      <c r="K49" s="524" t="s">
        <v>6359</v>
      </c>
      <c r="L49" s="524" t="s">
        <v>6414</v>
      </c>
      <c r="M49" s="524" t="s">
        <v>6415</v>
      </c>
      <c r="N49" s="524"/>
      <c r="O49" s="524"/>
    </row>
    <row r="50" spans="1:15" ht="101.5" hidden="1">
      <c r="A50" s="525">
        <v>-2010</v>
      </c>
      <c r="B50" s="524" t="e">
        <f>VLOOKUP(A50,'Hours Detail'!$E$17:$H$1048576,4,)</f>
        <v>#N/A</v>
      </c>
      <c r="C50" s="524" t="s">
        <v>6429</v>
      </c>
      <c r="D50" s="524" t="s">
        <v>5741</v>
      </c>
      <c r="E50" s="524" t="s">
        <v>5740</v>
      </c>
      <c r="F50" s="524" t="s">
        <v>5740</v>
      </c>
      <c r="G50" s="524" t="s">
        <v>5740</v>
      </c>
      <c r="H50" s="524" t="s">
        <v>5740</v>
      </c>
      <c r="I50" s="524" t="s">
        <v>6430</v>
      </c>
      <c r="J50" s="524" t="s">
        <v>5741</v>
      </c>
      <c r="K50" s="524" t="s">
        <v>6359</v>
      </c>
      <c r="L50" s="524" t="s">
        <v>6414</v>
      </c>
      <c r="M50" s="524" t="s">
        <v>6415</v>
      </c>
      <c r="N50" s="524"/>
      <c r="O50" s="524"/>
    </row>
    <row r="51" spans="1:15" ht="246.5" hidden="1">
      <c r="A51" s="525">
        <v>-2009</v>
      </c>
      <c r="B51" s="524" t="e">
        <f>VLOOKUP(A51,'Hours Detail'!$E$17:$H$1048576,4,)</f>
        <v>#N/A</v>
      </c>
      <c r="C51" s="524" t="s">
        <v>331</v>
      </c>
      <c r="D51" s="524" t="s">
        <v>642</v>
      </c>
      <c r="E51" s="524" t="s">
        <v>331</v>
      </c>
      <c r="F51" s="524" t="s">
        <v>331</v>
      </c>
      <c r="G51" s="524" t="s">
        <v>331</v>
      </c>
      <c r="H51" s="524" t="s">
        <v>331</v>
      </c>
      <c r="I51" s="524" t="s">
        <v>4205</v>
      </c>
      <c r="J51" s="524" t="s">
        <v>642</v>
      </c>
      <c r="K51" s="524" t="s">
        <v>6359</v>
      </c>
      <c r="L51" s="524" t="s">
        <v>6414</v>
      </c>
      <c r="M51" s="524" t="s">
        <v>6415</v>
      </c>
      <c r="N51" s="524"/>
      <c r="O51" s="527" t="s">
        <v>6431</v>
      </c>
    </row>
    <row r="52" spans="1:15" ht="72.5" hidden="1">
      <c r="A52" s="525">
        <v>-2008</v>
      </c>
      <c r="B52" s="524" t="e">
        <f>VLOOKUP(A52,'Hours Detail'!$E$17:$H$1048576,4,)</f>
        <v>#N/A</v>
      </c>
      <c r="C52" s="524" t="s">
        <v>4777</v>
      </c>
      <c r="D52" s="524" t="s">
        <v>4776</v>
      </c>
      <c r="E52" s="524" t="s">
        <v>4775</v>
      </c>
      <c r="F52" s="524" t="s">
        <v>6432</v>
      </c>
      <c r="G52" s="524" t="s">
        <v>4775</v>
      </c>
      <c r="H52" s="524" t="s">
        <v>6433</v>
      </c>
      <c r="I52" s="524" t="s">
        <v>6434</v>
      </c>
      <c r="J52" s="524" t="s">
        <v>4776</v>
      </c>
      <c r="K52" s="524"/>
      <c r="L52" s="524" t="s">
        <v>6397</v>
      </c>
      <c r="M52" s="524" t="s">
        <v>2384</v>
      </c>
      <c r="N52" s="524"/>
      <c r="O52" s="524"/>
    </row>
    <row r="53" spans="1:15" ht="29" hidden="1">
      <c r="A53" s="524">
        <v>-2005</v>
      </c>
      <c r="B53" s="524" t="e">
        <f>VLOOKUP(A53,'Hours Detail'!$E$17:$H$1048576,4,)</f>
        <v>#N/A</v>
      </c>
      <c r="C53" s="524" t="s">
        <v>5711</v>
      </c>
      <c r="D53" s="524" t="s">
        <v>5710</v>
      </c>
      <c r="E53" s="524" t="s">
        <v>5709</v>
      </c>
      <c r="F53" s="524" t="s">
        <v>5709</v>
      </c>
      <c r="G53" s="524" t="s">
        <v>5709</v>
      </c>
      <c r="H53" s="524" t="s">
        <v>5709</v>
      </c>
      <c r="I53" s="524" t="s">
        <v>5710</v>
      </c>
      <c r="J53" s="524" t="s">
        <v>5710</v>
      </c>
      <c r="K53" s="524"/>
      <c r="L53" s="524" t="s">
        <v>6386</v>
      </c>
      <c r="M53" s="524" t="s">
        <v>6435</v>
      </c>
      <c r="N53" s="524"/>
      <c r="O53" s="524"/>
    </row>
    <row r="54" spans="1:15" ht="43.5" hidden="1">
      <c r="A54" s="525">
        <v>-2004</v>
      </c>
      <c r="B54" s="524" t="e">
        <f>VLOOKUP(A54,'Hours Detail'!$E$17:$H$1048576,4,)</f>
        <v>#N/A</v>
      </c>
      <c r="C54" s="524" t="s">
        <v>5519</v>
      </c>
      <c r="D54" s="524" t="s">
        <v>5518</v>
      </c>
      <c r="E54" s="524" t="s">
        <v>5517</v>
      </c>
      <c r="F54" s="524" t="s">
        <v>5517</v>
      </c>
      <c r="G54" s="524" t="s">
        <v>5517</v>
      </c>
      <c r="H54" s="524" t="s">
        <v>5517</v>
      </c>
      <c r="I54" s="524" t="s">
        <v>5518</v>
      </c>
      <c r="J54" s="524" t="s">
        <v>5518</v>
      </c>
      <c r="K54" s="524"/>
      <c r="L54" s="524" t="s">
        <v>6386</v>
      </c>
      <c r="M54" s="524" t="s">
        <v>6435</v>
      </c>
      <c r="N54" s="524"/>
      <c r="O54" s="524"/>
    </row>
    <row r="55" spans="1:15" ht="72.5" hidden="1">
      <c r="A55" s="525">
        <v>-2003</v>
      </c>
      <c r="B55" s="524" t="e">
        <f>VLOOKUP(A55,'Hours Detail'!$E$17:$H$1048576,4,)</f>
        <v>#N/A</v>
      </c>
      <c r="C55" s="524" t="s">
        <v>4241</v>
      </c>
      <c r="D55" s="524" t="s">
        <v>4240</v>
      </c>
      <c r="E55" s="524" t="s">
        <v>4239</v>
      </c>
      <c r="F55" s="524" t="s">
        <v>4239</v>
      </c>
      <c r="G55" s="524" t="s">
        <v>4239</v>
      </c>
      <c r="H55" s="524" t="s">
        <v>4239</v>
      </c>
      <c r="I55" s="524" t="s">
        <v>6436</v>
      </c>
      <c r="J55" s="524" t="s">
        <v>4240</v>
      </c>
      <c r="K55" s="524"/>
      <c r="L55" s="524" t="s">
        <v>6399</v>
      </c>
      <c r="M55" s="524" t="s">
        <v>6437</v>
      </c>
      <c r="N55" s="524"/>
      <c r="O55" s="524"/>
    </row>
    <row r="56" spans="1:15" ht="43.5" hidden="1">
      <c r="A56" s="525">
        <v>-2002</v>
      </c>
      <c r="B56" s="524" t="e">
        <f>VLOOKUP(A56,'Hours Detail'!$E$17:$H$1048576,4,)</f>
        <v>#N/A</v>
      </c>
      <c r="C56" s="524" t="s">
        <v>4844</v>
      </c>
      <c r="D56" s="524" t="s">
        <v>4843</v>
      </c>
      <c r="E56" s="524" t="s">
        <v>4842</v>
      </c>
      <c r="F56" s="524" t="s">
        <v>4842</v>
      </c>
      <c r="G56" s="524" t="s">
        <v>4842</v>
      </c>
      <c r="H56" s="524" t="s">
        <v>4842</v>
      </c>
      <c r="I56" s="524" t="s">
        <v>4843</v>
      </c>
      <c r="J56" s="524" t="s">
        <v>4843</v>
      </c>
      <c r="K56" s="524"/>
      <c r="L56" s="524" t="s">
        <v>6368</v>
      </c>
      <c r="M56" s="524" t="s">
        <v>6370</v>
      </c>
      <c r="N56" s="524"/>
      <c r="O56" s="524"/>
    </row>
    <row r="57" spans="1:15" ht="87" hidden="1">
      <c r="A57" s="524">
        <v>-1988</v>
      </c>
      <c r="B57" s="524" t="e">
        <f>VLOOKUP(A57,'Hours Detail'!$E$17:$H$1048576,4,)</f>
        <v>#N/A</v>
      </c>
      <c r="C57" s="524" t="s">
        <v>4994</v>
      </c>
      <c r="D57" s="524" t="s">
        <v>6439</v>
      </c>
      <c r="E57" s="524" t="s">
        <v>4992</v>
      </c>
      <c r="F57" s="524" t="s">
        <v>4992</v>
      </c>
      <c r="G57" s="524" t="s">
        <v>4992</v>
      </c>
      <c r="H57" s="524" t="s">
        <v>4992</v>
      </c>
      <c r="I57" s="524" t="s">
        <v>6438</v>
      </c>
      <c r="J57" s="524" t="s">
        <v>6439</v>
      </c>
      <c r="K57" s="524"/>
      <c r="L57" s="524" t="s">
        <v>6376</v>
      </c>
      <c r="M57" s="524" t="s">
        <v>6377</v>
      </c>
      <c r="N57" s="524"/>
      <c r="O57" s="524"/>
    </row>
    <row r="58" spans="1:15" ht="101.5" hidden="1">
      <c r="A58" s="524">
        <v>-1113</v>
      </c>
      <c r="B58" s="524" t="e">
        <f>VLOOKUP(A58,'Hours Detail'!$E$17:$H$1048576,4,)</f>
        <v>#N/A</v>
      </c>
      <c r="C58" s="524" t="s">
        <v>3921</v>
      </c>
      <c r="D58" s="524" t="s">
        <v>3920</v>
      </c>
      <c r="E58" s="524" t="s">
        <v>3919</v>
      </c>
      <c r="F58" s="524" t="s">
        <v>3919</v>
      </c>
      <c r="G58" s="524" t="s">
        <v>3919</v>
      </c>
      <c r="H58" s="524" t="s">
        <v>3919</v>
      </c>
      <c r="I58" s="524" t="s">
        <v>6440</v>
      </c>
      <c r="J58" s="524" t="s">
        <v>3920</v>
      </c>
      <c r="K58" s="524" t="s">
        <v>6359</v>
      </c>
      <c r="L58" s="524" t="s">
        <v>6365</v>
      </c>
      <c r="M58" s="524" t="s">
        <v>6366</v>
      </c>
      <c r="N58" s="524"/>
      <c r="O58" s="524"/>
    </row>
    <row r="59" spans="1:15" ht="58" hidden="1">
      <c r="A59" s="527">
        <v>-1050</v>
      </c>
      <c r="B59" s="524" t="e">
        <f>VLOOKUP(A59,'Hours Detail'!$E$17:$H$1048576,4,)</f>
        <v>#N/A</v>
      </c>
      <c r="C59" s="527" t="s">
        <v>1616</v>
      </c>
      <c r="D59" s="527" t="s">
        <v>4703</v>
      </c>
      <c r="E59" s="527" t="s">
        <v>2859</v>
      </c>
      <c r="F59" s="527" t="s">
        <v>1617</v>
      </c>
      <c r="G59" s="527">
        <v>283</v>
      </c>
      <c r="H59" s="527" t="s">
        <v>4705</v>
      </c>
      <c r="I59" s="527" t="s">
        <v>4704</v>
      </c>
      <c r="J59" s="527" t="s">
        <v>2890</v>
      </c>
      <c r="K59" s="527" t="s">
        <v>2890</v>
      </c>
      <c r="L59" s="527" t="s">
        <v>6441</v>
      </c>
      <c r="M59" s="524"/>
      <c r="N59" s="524"/>
      <c r="O59" s="524"/>
    </row>
    <row r="60" spans="1:15" ht="58" hidden="1">
      <c r="A60" s="527">
        <v>-1040</v>
      </c>
      <c r="B60" s="524" t="e">
        <f>VLOOKUP(A60,'Hours Detail'!$E$17:$H$1048576,4,)</f>
        <v>#N/A</v>
      </c>
      <c r="C60" s="527" t="s">
        <v>1610</v>
      </c>
      <c r="D60" s="527" t="s">
        <v>4703</v>
      </c>
      <c r="E60" s="527" t="s">
        <v>1611</v>
      </c>
      <c r="F60" s="527" t="s">
        <v>1612</v>
      </c>
      <c r="G60" s="527">
        <v>283</v>
      </c>
      <c r="H60" s="527" t="s">
        <v>4705</v>
      </c>
      <c r="I60" s="527" t="s">
        <v>4704</v>
      </c>
      <c r="J60" s="527" t="s">
        <v>2890</v>
      </c>
      <c r="K60" s="527" t="s">
        <v>2890</v>
      </c>
      <c r="L60" s="527" t="s">
        <v>6371</v>
      </c>
      <c r="M60" s="524"/>
      <c r="N60" s="524"/>
      <c r="O60" s="524"/>
    </row>
    <row r="61" spans="1:15" ht="58" hidden="1">
      <c r="A61" s="525">
        <v>-1020</v>
      </c>
      <c r="B61" s="524" t="e">
        <f>VLOOKUP(A61,'Hours Detail'!$E$17:$H$1048576,4,)</f>
        <v>#N/A</v>
      </c>
      <c r="C61" s="524" t="s">
        <v>5616</v>
      </c>
      <c r="D61" s="524" t="s">
        <v>5615</v>
      </c>
      <c r="E61" s="524" t="s">
        <v>5614</v>
      </c>
      <c r="F61" s="524" t="s">
        <v>5614</v>
      </c>
      <c r="G61" s="524" t="s">
        <v>5614</v>
      </c>
      <c r="H61" s="524" t="s">
        <v>5614</v>
      </c>
      <c r="I61" s="524" t="s">
        <v>6442</v>
      </c>
      <c r="J61" s="524" t="s">
        <v>5615</v>
      </c>
      <c r="K61" s="524" t="s">
        <v>6359</v>
      </c>
      <c r="L61" s="524" t="s">
        <v>6376</v>
      </c>
      <c r="M61" s="524" t="s">
        <v>6377</v>
      </c>
      <c r="N61" s="524"/>
      <c r="O61" s="524"/>
    </row>
    <row r="62" spans="1:15" ht="333.5" hidden="1">
      <c r="A62" s="524">
        <v>-1012</v>
      </c>
      <c r="B62" s="524" t="e">
        <f>VLOOKUP(A62,'Hours Detail'!$E$17:$H$1048576,4,)</f>
        <v>#N/A</v>
      </c>
      <c r="C62" s="524" t="s">
        <v>6443</v>
      </c>
      <c r="D62" s="524" t="s">
        <v>4831</v>
      </c>
      <c r="E62" s="524" t="s">
        <v>4830</v>
      </c>
      <c r="F62" s="524" t="s">
        <v>4830</v>
      </c>
      <c r="G62" s="524" t="s">
        <v>4830</v>
      </c>
      <c r="H62" s="524" t="s">
        <v>4830</v>
      </c>
      <c r="I62" s="524" t="s">
        <v>6444</v>
      </c>
      <c r="J62" s="524" t="s">
        <v>4831</v>
      </c>
      <c r="K62" s="524" t="s">
        <v>6359</v>
      </c>
      <c r="L62" s="524" t="s">
        <v>6376</v>
      </c>
      <c r="M62" s="524" t="s">
        <v>6377</v>
      </c>
      <c r="N62" s="524"/>
      <c r="O62" s="527" t="s">
        <v>6445</v>
      </c>
    </row>
    <row r="63" spans="1:15" ht="43.5" hidden="1">
      <c r="A63" s="525">
        <v>-1010</v>
      </c>
      <c r="B63" s="524" t="e">
        <f>VLOOKUP(A63,'Hours Detail'!$E$17:$H$1048576,4,)</f>
        <v>#N/A</v>
      </c>
      <c r="C63" s="524" t="s">
        <v>5575</v>
      </c>
      <c r="D63" s="524" t="s">
        <v>5574</v>
      </c>
      <c r="E63" s="524" t="s">
        <v>5573</v>
      </c>
      <c r="F63" s="524" t="s">
        <v>5573</v>
      </c>
      <c r="G63" s="524" t="s">
        <v>5573</v>
      </c>
      <c r="H63" s="524" t="s">
        <v>5573</v>
      </c>
      <c r="I63" s="524" t="s">
        <v>6446</v>
      </c>
      <c r="J63" s="524" t="s">
        <v>5574</v>
      </c>
      <c r="K63" s="524"/>
      <c r="L63" s="524" t="s">
        <v>6365</v>
      </c>
      <c r="M63" s="524" t="s">
        <v>6366</v>
      </c>
      <c r="N63" s="524"/>
      <c r="O63" s="524"/>
    </row>
    <row r="64" spans="1:15" ht="43.5" hidden="1">
      <c r="A64" s="525">
        <v>-1007</v>
      </c>
      <c r="B64" s="524" t="e">
        <f>VLOOKUP(A64,'Hours Detail'!$E$17:$H$1048576,4,)</f>
        <v>#N/A</v>
      </c>
      <c r="C64" s="524" t="s">
        <v>268</v>
      </c>
      <c r="D64" s="524" t="s">
        <v>1045</v>
      </c>
      <c r="E64" s="524" t="s">
        <v>268</v>
      </c>
      <c r="F64" s="524" t="s">
        <v>268</v>
      </c>
      <c r="G64" s="524" t="s">
        <v>268</v>
      </c>
      <c r="H64" s="524" t="s">
        <v>268</v>
      </c>
      <c r="I64" s="524" t="s">
        <v>6447</v>
      </c>
      <c r="J64" s="524" t="s">
        <v>1045</v>
      </c>
      <c r="K64" s="524"/>
      <c r="L64" s="524" t="s">
        <v>6397</v>
      </c>
      <c r="M64" s="524" t="s">
        <v>1</v>
      </c>
      <c r="N64" s="524"/>
      <c r="O64" s="524"/>
    </row>
    <row r="65" spans="1:15" ht="29" hidden="1">
      <c r="A65" s="527">
        <v>-1007</v>
      </c>
      <c r="B65" s="524" t="e">
        <f>VLOOKUP(A65,'Hours Detail'!$E$17:$H$1048576,4,)</f>
        <v>#N/A</v>
      </c>
      <c r="C65" s="527" t="s">
        <v>268</v>
      </c>
      <c r="D65" s="527" t="s">
        <v>1</v>
      </c>
      <c r="E65" s="527" t="s">
        <v>1045</v>
      </c>
      <c r="F65" s="527" t="s">
        <v>268</v>
      </c>
      <c r="G65" s="527">
        <v>87</v>
      </c>
      <c r="H65" s="527" t="s">
        <v>1</v>
      </c>
      <c r="I65" s="527" t="s">
        <v>852</v>
      </c>
      <c r="J65" s="527" t="s">
        <v>2890</v>
      </c>
      <c r="K65" s="527" t="s">
        <v>2890</v>
      </c>
      <c r="L65" s="527" t="s">
        <v>6371</v>
      </c>
      <c r="M65" s="524"/>
      <c r="N65" s="524"/>
      <c r="O65" s="524"/>
    </row>
    <row r="66" spans="1:15" ht="43.5" hidden="1">
      <c r="A66" s="525">
        <v>-1006</v>
      </c>
      <c r="B66" s="524" t="e">
        <f>VLOOKUP(A66,'Hours Detail'!$E$17:$H$1048576,4,)</f>
        <v>#N/A</v>
      </c>
      <c r="C66" s="524" t="s">
        <v>4762</v>
      </c>
      <c r="D66" s="524" t="s">
        <v>4761</v>
      </c>
      <c r="E66" s="524" t="s">
        <v>4760</v>
      </c>
      <c r="F66" s="524" t="s">
        <v>4760</v>
      </c>
      <c r="G66" s="524" t="s">
        <v>4760</v>
      </c>
      <c r="H66" s="524" t="s">
        <v>4760</v>
      </c>
      <c r="I66" s="524" t="s">
        <v>6448</v>
      </c>
      <c r="J66" s="524" t="s">
        <v>4761</v>
      </c>
      <c r="K66" s="524"/>
      <c r="L66" s="524" t="s">
        <v>6376</v>
      </c>
      <c r="M66" s="524" t="s">
        <v>6377</v>
      </c>
      <c r="N66" s="524"/>
      <c r="O66" s="524"/>
    </row>
    <row r="67" spans="1:15" ht="348" hidden="1">
      <c r="A67" s="524">
        <v>-1004</v>
      </c>
      <c r="B67" s="524" t="str">
        <f>VLOOKUP(A67,'Hours Detail'!$E$17:$H$1048576,4,)</f>
        <v>No</v>
      </c>
      <c r="C67" s="524" t="s">
        <v>1007</v>
      </c>
      <c r="D67" s="524" t="s">
        <v>3922</v>
      </c>
      <c r="E67" s="524" t="s">
        <v>1010</v>
      </c>
      <c r="F67" s="524" t="s">
        <v>1010</v>
      </c>
      <c r="G67" s="524" t="s">
        <v>1010</v>
      </c>
      <c r="H67" s="524" t="s">
        <v>1010</v>
      </c>
      <c r="I67" s="524" t="s">
        <v>6449</v>
      </c>
      <c r="J67" s="524" t="s">
        <v>3922</v>
      </c>
      <c r="K67" s="524" t="s">
        <v>6359</v>
      </c>
      <c r="L67" s="524" t="s">
        <v>6414</v>
      </c>
      <c r="M67" s="524" t="s">
        <v>6450</v>
      </c>
      <c r="N67" s="524"/>
      <c r="O67" s="527" t="s">
        <v>6451</v>
      </c>
    </row>
    <row r="68" spans="1:15" ht="72.5" hidden="1">
      <c r="A68" s="525">
        <v>-1003</v>
      </c>
      <c r="B68" s="524" t="e">
        <f>VLOOKUP(A68,'Hours Detail'!$E$17:$H$1048576,4,)</f>
        <v>#N/A</v>
      </c>
      <c r="C68" s="524" t="s">
        <v>4348</v>
      </c>
      <c r="D68" s="524" t="s">
        <v>6453</v>
      </c>
      <c r="E68" s="524" t="s">
        <v>4346</v>
      </c>
      <c r="F68" s="524" t="s">
        <v>4346</v>
      </c>
      <c r="G68" s="524" t="s">
        <v>4346</v>
      </c>
      <c r="H68" s="524" t="s">
        <v>4346</v>
      </c>
      <c r="I68" s="524" t="s">
        <v>6452</v>
      </c>
      <c r="J68" s="524" t="s">
        <v>6453</v>
      </c>
      <c r="K68" s="524"/>
      <c r="L68" s="524" t="s">
        <v>6376</v>
      </c>
      <c r="M68" s="524" t="s">
        <v>6377</v>
      </c>
      <c r="N68" s="524"/>
      <c r="O68" s="524"/>
    </row>
    <row r="69" spans="1:15" ht="58" hidden="1">
      <c r="A69" s="525">
        <v>-1002</v>
      </c>
      <c r="B69" s="524" t="e">
        <f>VLOOKUP(A69,'Hours Detail'!$E$17:$H$1048576,4,)</f>
        <v>#N/A</v>
      </c>
      <c r="C69" s="524" t="s">
        <v>1208</v>
      </c>
      <c r="D69" s="524" t="s">
        <v>1209</v>
      </c>
      <c r="E69" s="524" t="s">
        <v>1210</v>
      </c>
      <c r="F69" s="524" t="s">
        <v>1210</v>
      </c>
      <c r="G69" s="524" t="s">
        <v>1210</v>
      </c>
      <c r="H69" s="524" t="s">
        <v>1210</v>
      </c>
      <c r="I69" s="524" t="s">
        <v>6454</v>
      </c>
      <c r="J69" s="524" t="s">
        <v>1209</v>
      </c>
      <c r="K69" s="524"/>
      <c r="L69" s="524" t="s">
        <v>6414</v>
      </c>
      <c r="M69" s="524" t="s">
        <v>6450</v>
      </c>
      <c r="N69" s="524"/>
      <c r="O69" s="524"/>
    </row>
    <row r="70" spans="1:15" ht="43.5" hidden="1">
      <c r="A70" s="525">
        <v>-1001</v>
      </c>
      <c r="B70" s="524" t="e">
        <f>VLOOKUP(A70,'Hours Detail'!$E$17:$H$1048576,4,)</f>
        <v>#N/A</v>
      </c>
      <c r="C70" s="524" t="s">
        <v>5729</v>
      </c>
      <c r="D70" s="524" t="s">
        <v>5730</v>
      </c>
      <c r="E70" s="524" t="s">
        <v>5729</v>
      </c>
      <c r="F70" s="524" t="s">
        <v>5729</v>
      </c>
      <c r="G70" s="524" t="s">
        <v>5729</v>
      </c>
      <c r="H70" s="524" t="s">
        <v>5729</v>
      </c>
      <c r="I70" s="524" t="s">
        <v>5730</v>
      </c>
      <c r="J70" s="524" t="s">
        <v>5730</v>
      </c>
      <c r="K70" s="524"/>
      <c r="L70" s="524" t="s">
        <v>6365</v>
      </c>
      <c r="M70" s="524" t="s">
        <v>216</v>
      </c>
      <c r="N70" s="524"/>
      <c r="O70" s="524"/>
    </row>
    <row r="71" spans="1:15" ht="319" hidden="1">
      <c r="A71" s="525">
        <v>-1000</v>
      </c>
      <c r="B71" s="524" t="e">
        <f>VLOOKUP(A71,'Hours Detail'!$E$17:$H$1048576,4,)</f>
        <v>#N/A</v>
      </c>
      <c r="C71" s="524" t="s">
        <v>54</v>
      </c>
      <c r="D71" s="524" t="s">
        <v>803</v>
      </c>
      <c r="E71" s="524" t="s">
        <v>804</v>
      </c>
      <c r="F71" s="524" t="s">
        <v>6455</v>
      </c>
      <c r="G71" s="524" t="s">
        <v>6456</v>
      </c>
      <c r="H71" s="524" t="s">
        <v>6457</v>
      </c>
      <c r="I71" s="524" t="s">
        <v>6458</v>
      </c>
      <c r="J71" s="524" t="s">
        <v>803</v>
      </c>
      <c r="K71" s="524"/>
      <c r="L71" s="524" t="s">
        <v>6399</v>
      </c>
      <c r="M71" s="524" t="s">
        <v>6459</v>
      </c>
      <c r="N71" s="524"/>
      <c r="O71" s="527" t="s">
        <v>6460</v>
      </c>
    </row>
    <row r="72" spans="1:15" hidden="1">
      <c r="A72" s="524">
        <v>-999</v>
      </c>
      <c r="B72" s="524" t="e">
        <f>VLOOKUP(A72,'Hours Detail'!$E$17:$H$1048576,4,)</f>
        <v>#N/A</v>
      </c>
      <c r="C72" s="524" t="s">
        <v>5572</v>
      </c>
      <c r="D72" s="524" t="s">
        <v>5571</v>
      </c>
      <c r="E72" s="524" t="s">
        <v>5570</v>
      </c>
      <c r="F72" s="524" t="s">
        <v>5570</v>
      </c>
      <c r="G72" s="524" t="s">
        <v>5570</v>
      </c>
      <c r="H72" s="524" t="s">
        <v>5570</v>
      </c>
      <c r="I72" s="524" t="s">
        <v>6461</v>
      </c>
      <c r="J72" s="524" t="s">
        <v>5571</v>
      </c>
      <c r="K72" s="524"/>
      <c r="L72" s="524" t="s">
        <v>6400</v>
      </c>
      <c r="M72" s="524" t="s">
        <v>6401</v>
      </c>
      <c r="N72" s="524"/>
      <c r="O72" s="524"/>
    </row>
    <row r="73" spans="1:15" ht="72.5" hidden="1">
      <c r="A73" s="525">
        <v>-998</v>
      </c>
      <c r="B73" s="524" t="e">
        <f>VLOOKUP(A73,'Hours Detail'!$E$17:$H$1048576,4,)</f>
        <v>#N/A</v>
      </c>
      <c r="C73" s="524" t="s">
        <v>5569</v>
      </c>
      <c r="D73" s="524" t="s">
        <v>5568</v>
      </c>
      <c r="E73" s="524" t="s">
        <v>5567</v>
      </c>
      <c r="F73" s="524" t="s">
        <v>5567</v>
      </c>
      <c r="G73" s="524" t="s">
        <v>5567</v>
      </c>
      <c r="H73" s="524" t="s">
        <v>5567</v>
      </c>
      <c r="I73" s="524" t="s">
        <v>6462</v>
      </c>
      <c r="J73" s="524" t="s">
        <v>5568</v>
      </c>
      <c r="K73" s="524"/>
      <c r="L73" s="524" t="s">
        <v>6400</v>
      </c>
      <c r="M73" s="524" t="s">
        <v>6401</v>
      </c>
      <c r="N73" s="524"/>
      <c r="O73" s="524"/>
    </row>
    <row r="74" spans="1:15" ht="72.5" hidden="1">
      <c r="A74" s="525">
        <v>-997</v>
      </c>
      <c r="B74" s="524" t="e">
        <f>VLOOKUP(A74,'Hours Detail'!$E$17:$H$1048576,4,)</f>
        <v>#N/A</v>
      </c>
      <c r="C74" s="524" t="s">
        <v>4847</v>
      </c>
      <c r="D74" s="524" t="s">
        <v>4846</v>
      </c>
      <c r="E74" s="524" t="s">
        <v>4845</v>
      </c>
      <c r="F74" s="524" t="s">
        <v>6463</v>
      </c>
      <c r="G74" s="524" t="s">
        <v>4845</v>
      </c>
      <c r="H74" s="524" t="s">
        <v>4845</v>
      </c>
      <c r="I74" s="524" t="s">
        <v>4846</v>
      </c>
      <c r="J74" s="524" t="s">
        <v>4846</v>
      </c>
      <c r="K74" s="524"/>
      <c r="L74" s="524" t="s">
        <v>6397</v>
      </c>
      <c r="M74" s="524" t="s">
        <v>2384</v>
      </c>
      <c r="N74" s="524"/>
      <c r="O74" s="524"/>
    </row>
    <row r="75" spans="1:15" ht="159.5" hidden="1">
      <c r="A75" s="524">
        <v>-996</v>
      </c>
      <c r="B75" s="524" t="e">
        <f>VLOOKUP(A75,'Hours Detail'!$E$17:$H$1048576,4,)</f>
        <v>#N/A</v>
      </c>
      <c r="C75" s="524" t="s">
        <v>1221</v>
      </c>
      <c r="D75" s="524" t="s">
        <v>1222</v>
      </c>
      <c r="E75" s="524" t="s">
        <v>1223</v>
      </c>
      <c r="F75" s="524" t="s">
        <v>1223</v>
      </c>
      <c r="G75" s="524" t="s">
        <v>1223</v>
      </c>
      <c r="H75" s="524" t="s">
        <v>1223</v>
      </c>
      <c r="I75" s="524" t="s">
        <v>6464</v>
      </c>
      <c r="J75" s="524" t="s">
        <v>1222</v>
      </c>
      <c r="K75" s="524" t="s">
        <v>6359</v>
      </c>
      <c r="L75" s="524" t="s">
        <v>6365</v>
      </c>
      <c r="M75" s="524" t="s">
        <v>6366</v>
      </c>
      <c r="N75" s="524"/>
      <c r="O75" s="527" t="s">
        <v>6465</v>
      </c>
    </row>
    <row r="76" spans="1:15" ht="72.5" hidden="1">
      <c r="A76" s="524">
        <v>-995</v>
      </c>
      <c r="B76" s="524" t="e">
        <f>VLOOKUP(A76,'Hours Detail'!$E$17:$H$1048576,4,)</f>
        <v>#N/A</v>
      </c>
      <c r="C76" s="524" t="s">
        <v>6466</v>
      </c>
      <c r="D76" s="524" t="s">
        <v>6469</v>
      </c>
      <c r="E76" s="524" t="s">
        <v>6467</v>
      </c>
      <c r="F76" s="524" t="s">
        <v>6467</v>
      </c>
      <c r="G76" s="524" t="s">
        <v>6467</v>
      </c>
      <c r="H76" s="524" t="s">
        <v>6467</v>
      </c>
      <c r="I76" s="524" t="s">
        <v>6468</v>
      </c>
      <c r="J76" s="524" t="s">
        <v>6469</v>
      </c>
      <c r="K76" s="524"/>
      <c r="L76" s="524" t="s">
        <v>6365</v>
      </c>
      <c r="M76" s="524" t="s">
        <v>6366</v>
      </c>
      <c r="N76" s="524"/>
      <c r="O76" s="524"/>
    </row>
    <row r="77" spans="1:15" ht="348" hidden="1">
      <c r="A77" s="524">
        <v>-993</v>
      </c>
      <c r="B77" s="524" t="e">
        <f>VLOOKUP(A77,'Hours Detail'!$E$17:$H$1048576,4,)</f>
        <v>#N/A</v>
      </c>
      <c r="C77" s="524" t="s">
        <v>395</v>
      </c>
      <c r="D77" s="524" t="s">
        <v>1273</v>
      </c>
      <c r="E77" s="524" t="s">
        <v>1274</v>
      </c>
      <c r="F77" s="524" t="s">
        <v>1274</v>
      </c>
      <c r="G77" s="524" t="s">
        <v>1274</v>
      </c>
      <c r="H77" s="524" t="s">
        <v>1274</v>
      </c>
      <c r="I77" s="524" t="s">
        <v>6470</v>
      </c>
      <c r="J77" s="524" t="s">
        <v>1273</v>
      </c>
      <c r="K77" s="524"/>
      <c r="L77" s="524" t="s">
        <v>6400</v>
      </c>
      <c r="M77" s="524" t="s">
        <v>6401</v>
      </c>
      <c r="N77" s="524"/>
      <c r="O77" s="527" t="s">
        <v>6471</v>
      </c>
    </row>
    <row r="78" spans="1:15" ht="43.5" hidden="1">
      <c r="A78" s="524">
        <v>-992</v>
      </c>
      <c r="B78" s="524" t="e">
        <f>VLOOKUP(A78,'Hours Detail'!$E$17:$H$1048576,4,)</f>
        <v>#N/A</v>
      </c>
      <c r="C78" s="524" t="s">
        <v>4738</v>
      </c>
      <c r="D78" s="524" t="s">
        <v>4737</v>
      </c>
      <c r="E78" s="524" t="s">
        <v>4736</v>
      </c>
      <c r="F78" s="524" t="s">
        <v>4736</v>
      </c>
      <c r="G78" s="524" t="s">
        <v>4736</v>
      </c>
      <c r="H78" s="524" t="s">
        <v>4736</v>
      </c>
      <c r="I78" s="524" t="s">
        <v>6472</v>
      </c>
      <c r="J78" s="524" t="s">
        <v>4737</v>
      </c>
      <c r="K78" s="524"/>
      <c r="L78" s="524" t="s">
        <v>6400</v>
      </c>
      <c r="M78" s="524" t="s">
        <v>6401</v>
      </c>
      <c r="N78" s="524"/>
      <c r="O78" s="524"/>
    </row>
    <row r="79" spans="1:15" ht="43.5" hidden="1">
      <c r="A79" s="525">
        <v>-991</v>
      </c>
      <c r="B79" s="524" t="e">
        <f>VLOOKUP(A79,'Hours Detail'!$E$17:$H$1048576,4,)</f>
        <v>#N/A</v>
      </c>
      <c r="C79" s="524" t="s">
        <v>3945</v>
      </c>
      <c r="D79" s="524" t="s">
        <v>3944</v>
      </c>
      <c r="E79" s="524" t="s">
        <v>3943</v>
      </c>
      <c r="F79" s="524" t="s">
        <v>3943</v>
      </c>
      <c r="G79" s="524" t="s">
        <v>3943</v>
      </c>
      <c r="H79" s="524" t="s">
        <v>3943</v>
      </c>
      <c r="I79" s="524" t="s">
        <v>6473</v>
      </c>
      <c r="J79" s="524" t="s">
        <v>3944</v>
      </c>
      <c r="K79" s="524"/>
      <c r="L79" s="524" t="s">
        <v>6400</v>
      </c>
      <c r="M79" s="524" t="s">
        <v>6401</v>
      </c>
      <c r="N79" s="524"/>
      <c r="O79" s="524"/>
    </row>
    <row r="80" spans="1:15" ht="72.5" hidden="1">
      <c r="A80" s="524">
        <v>-990</v>
      </c>
      <c r="B80" s="524" t="e">
        <f>VLOOKUP(A80,'Hours Detail'!$E$17:$H$1048576,4,)</f>
        <v>#N/A</v>
      </c>
      <c r="C80" s="524" t="s">
        <v>4723</v>
      </c>
      <c r="D80" s="524" t="s">
        <v>4722</v>
      </c>
      <c r="E80" s="524" t="s">
        <v>4721</v>
      </c>
      <c r="F80" s="524" t="s">
        <v>4721</v>
      </c>
      <c r="G80" s="524" t="s">
        <v>4721</v>
      </c>
      <c r="H80" s="524" t="s">
        <v>4721</v>
      </c>
      <c r="I80" s="524" t="s">
        <v>6474</v>
      </c>
      <c r="J80" s="524" t="s">
        <v>6475</v>
      </c>
      <c r="K80" s="524"/>
      <c r="L80" s="524" t="s">
        <v>6400</v>
      </c>
      <c r="M80" s="524" t="s">
        <v>6401</v>
      </c>
      <c r="N80" s="524"/>
      <c r="O80" s="524"/>
    </row>
    <row r="81" spans="1:15" ht="29" hidden="1">
      <c r="A81" s="525">
        <v>-980</v>
      </c>
      <c r="B81" s="524" t="e">
        <f>VLOOKUP(A81,'Hours Detail'!$E$17:$H$1048576,4,)</f>
        <v>#N/A</v>
      </c>
      <c r="C81" s="524" t="s">
        <v>4360</v>
      </c>
      <c r="D81" s="524" t="s">
        <v>4359</v>
      </c>
      <c r="E81" s="524" t="s">
        <v>4358</v>
      </c>
      <c r="F81" s="524" t="s">
        <v>4358</v>
      </c>
      <c r="G81" s="524" t="s">
        <v>4358</v>
      </c>
      <c r="H81" s="524" t="s">
        <v>4358</v>
      </c>
      <c r="I81" s="524" t="s">
        <v>6476</v>
      </c>
      <c r="J81" s="524" t="s">
        <v>4359</v>
      </c>
      <c r="K81" s="524" t="s">
        <v>6359</v>
      </c>
      <c r="L81" s="524" t="s">
        <v>6376</v>
      </c>
      <c r="M81" s="524" t="s">
        <v>6377</v>
      </c>
      <c r="N81" s="524"/>
      <c r="O81" s="524"/>
    </row>
    <row r="82" spans="1:15" ht="58" hidden="1">
      <c r="A82" s="525">
        <v>-975</v>
      </c>
      <c r="B82" s="524" t="e">
        <f>VLOOKUP(A82,'Hours Detail'!$E$17:$H$1048576,4,)</f>
        <v>#N/A</v>
      </c>
      <c r="C82" s="524" t="s">
        <v>4351</v>
      </c>
      <c r="D82" s="524" t="s">
        <v>4350</v>
      </c>
      <c r="E82" s="524" t="s">
        <v>4349</v>
      </c>
      <c r="F82" s="524" t="s">
        <v>4349</v>
      </c>
      <c r="G82" s="524" t="s">
        <v>4349</v>
      </c>
      <c r="H82" s="524" t="s">
        <v>4349</v>
      </c>
      <c r="I82" s="524" t="s">
        <v>6477</v>
      </c>
      <c r="J82" s="524" t="s">
        <v>4350</v>
      </c>
      <c r="K82" s="524"/>
      <c r="L82" s="524" t="s">
        <v>6376</v>
      </c>
      <c r="M82" s="524" t="s">
        <v>6377</v>
      </c>
      <c r="N82" s="524"/>
      <c r="O82" s="524"/>
    </row>
    <row r="83" spans="1:15" ht="43.5" hidden="1">
      <c r="A83" s="525">
        <v>-970</v>
      </c>
      <c r="B83" s="524" t="e">
        <f>VLOOKUP(A83,'Hours Detail'!$E$17:$H$1048576,4,)</f>
        <v>#N/A</v>
      </c>
      <c r="C83" s="524" t="s">
        <v>6478</v>
      </c>
      <c r="D83" s="524" t="s">
        <v>6480</v>
      </c>
      <c r="E83" s="524" t="s">
        <v>4352</v>
      </c>
      <c r="F83" s="524" t="s">
        <v>4352</v>
      </c>
      <c r="G83" s="524" t="s">
        <v>4352</v>
      </c>
      <c r="H83" s="524" t="s">
        <v>4352</v>
      </c>
      <c r="I83" s="524" t="s">
        <v>6479</v>
      </c>
      <c r="J83" s="524" t="s">
        <v>6480</v>
      </c>
      <c r="K83" s="524" t="s">
        <v>6359</v>
      </c>
      <c r="L83" s="524" t="s">
        <v>6376</v>
      </c>
      <c r="M83" s="524" t="s">
        <v>6377</v>
      </c>
      <c r="N83" s="524"/>
      <c r="O83" s="524"/>
    </row>
    <row r="84" spans="1:15" ht="43.5" hidden="1">
      <c r="A84" s="525">
        <v>-926</v>
      </c>
      <c r="B84" s="524" t="e">
        <f>VLOOKUP(A84,'Hours Detail'!$E$17:$H$1048576,4,)</f>
        <v>#N/A</v>
      </c>
      <c r="C84" s="524" t="s">
        <v>4922</v>
      </c>
      <c r="D84" s="524" t="s">
        <v>4923</v>
      </c>
      <c r="E84" s="524" t="s">
        <v>4922</v>
      </c>
      <c r="F84" s="524" t="s">
        <v>4922</v>
      </c>
      <c r="G84" s="524" t="s">
        <v>4922</v>
      </c>
      <c r="H84" s="524" t="s">
        <v>4922</v>
      </c>
      <c r="I84" s="524" t="s">
        <v>6481</v>
      </c>
      <c r="J84" s="524" t="s">
        <v>4923</v>
      </c>
      <c r="K84" s="524"/>
      <c r="L84" s="524" t="s">
        <v>6365</v>
      </c>
      <c r="M84" s="524" t="s">
        <v>6366</v>
      </c>
      <c r="N84" s="524"/>
      <c r="O84" s="524"/>
    </row>
    <row r="85" spans="1:15" ht="72.5" hidden="1">
      <c r="A85" s="525">
        <v>-924</v>
      </c>
      <c r="B85" s="524" t="e">
        <f>VLOOKUP(A85,'Hours Detail'!$E$17:$H$1048576,4,)</f>
        <v>#N/A</v>
      </c>
      <c r="C85" s="524" t="s">
        <v>4166</v>
      </c>
      <c r="D85" s="524" t="s">
        <v>4165</v>
      </c>
      <c r="E85" s="524" t="s">
        <v>4164</v>
      </c>
      <c r="F85" s="524" t="s">
        <v>4164</v>
      </c>
      <c r="G85" s="524" t="s">
        <v>4164</v>
      </c>
      <c r="H85" s="524" t="s">
        <v>4164</v>
      </c>
      <c r="I85" s="524" t="s">
        <v>6482</v>
      </c>
      <c r="J85" s="524" t="s">
        <v>4165</v>
      </c>
      <c r="K85" s="524"/>
      <c r="L85" s="524" t="s">
        <v>6365</v>
      </c>
      <c r="M85" s="524" t="s">
        <v>6366</v>
      </c>
      <c r="N85" s="524"/>
      <c r="O85" s="524"/>
    </row>
    <row r="86" spans="1:15" ht="29" hidden="1">
      <c r="A86" s="525">
        <v>-910</v>
      </c>
      <c r="B86" s="524" t="e">
        <f>VLOOKUP(A86,'Hours Detail'!$E$17:$H$1048576,4,)</f>
        <v>#N/A</v>
      </c>
      <c r="C86" s="524" t="s">
        <v>5516</v>
      </c>
      <c r="D86" s="524" t="s">
        <v>5515</v>
      </c>
      <c r="E86" s="524" t="s">
        <v>5514</v>
      </c>
      <c r="F86" s="524" t="s">
        <v>5514</v>
      </c>
      <c r="G86" s="524" t="s">
        <v>5514</v>
      </c>
      <c r="H86" s="524" t="s">
        <v>5514</v>
      </c>
      <c r="I86" s="524" t="s">
        <v>6483</v>
      </c>
      <c r="J86" s="524" t="s">
        <v>5515</v>
      </c>
      <c r="K86" s="524"/>
      <c r="L86" s="524" t="s">
        <v>6399</v>
      </c>
      <c r="M86" s="524" t="s">
        <v>6437</v>
      </c>
      <c r="N86" s="524"/>
      <c r="O86" s="524"/>
    </row>
    <row r="87" spans="1:15" ht="29" hidden="1">
      <c r="A87" s="525">
        <v>-899</v>
      </c>
      <c r="B87" s="524" t="e">
        <f>VLOOKUP(A87,'Hours Detail'!$E$17:$H$1048576,4,)</f>
        <v>#N/A</v>
      </c>
      <c r="C87" s="524" t="s">
        <v>4786</v>
      </c>
      <c r="D87" s="524" t="s">
        <v>4785</v>
      </c>
      <c r="E87" s="524" t="s">
        <v>4784</v>
      </c>
      <c r="F87" s="524" t="s">
        <v>4784</v>
      </c>
      <c r="G87" s="524" t="s">
        <v>4784</v>
      </c>
      <c r="H87" s="524" t="s">
        <v>4784</v>
      </c>
      <c r="I87" s="524" t="s">
        <v>4785</v>
      </c>
      <c r="J87" s="524" t="s">
        <v>4785</v>
      </c>
      <c r="K87" s="524"/>
      <c r="L87" s="524" t="s">
        <v>6381</v>
      </c>
      <c r="M87" s="524" t="s">
        <v>522</v>
      </c>
      <c r="N87" s="524"/>
      <c r="O87" s="524"/>
    </row>
    <row r="88" spans="1:15" ht="43.5" hidden="1">
      <c r="A88" s="524">
        <v>-855</v>
      </c>
      <c r="B88" s="524" t="e">
        <f>VLOOKUP(A88,'Hours Detail'!$E$17:$H$1048576,4,)</f>
        <v>#N/A</v>
      </c>
      <c r="C88" s="524" t="s">
        <v>5525</v>
      </c>
      <c r="D88" s="524" t="s">
        <v>5524</v>
      </c>
      <c r="E88" s="524" t="s">
        <v>5523</v>
      </c>
      <c r="F88" s="524" t="s">
        <v>5523</v>
      </c>
      <c r="G88" s="524" t="s">
        <v>5523</v>
      </c>
      <c r="H88" s="524" t="s">
        <v>5523</v>
      </c>
      <c r="I88" s="524" t="s">
        <v>5524</v>
      </c>
      <c r="J88" s="524" t="s">
        <v>5524</v>
      </c>
      <c r="K88" s="524"/>
      <c r="L88" s="524" t="s">
        <v>6386</v>
      </c>
      <c r="M88" s="524" t="s">
        <v>6435</v>
      </c>
      <c r="N88" s="524"/>
      <c r="O88" s="524"/>
    </row>
    <row r="89" spans="1:15" ht="43.5" hidden="1">
      <c r="A89" s="524">
        <v>-851</v>
      </c>
      <c r="B89" s="524" t="e">
        <f>VLOOKUP(A89,'Hours Detail'!$E$17:$H$1048576,4,)</f>
        <v>#N/A</v>
      </c>
      <c r="C89" s="524" t="s">
        <v>4768</v>
      </c>
      <c r="D89" s="524" t="s">
        <v>4767</v>
      </c>
      <c r="E89" s="524" t="s">
        <v>4766</v>
      </c>
      <c r="F89" s="524" t="s">
        <v>4766</v>
      </c>
      <c r="G89" s="524" t="s">
        <v>4766</v>
      </c>
      <c r="H89" s="524" t="s">
        <v>4766</v>
      </c>
      <c r="I89" s="524" t="s">
        <v>6484</v>
      </c>
      <c r="J89" s="524" t="s">
        <v>4767</v>
      </c>
      <c r="K89" s="524"/>
      <c r="L89" s="524" t="s">
        <v>6386</v>
      </c>
      <c r="M89" s="524" t="s">
        <v>6435</v>
      </c>
      <c r="N89" s="524"/>
      <c r="O89" s="524"/>
    </row>
    <row r="90" spans="1:15" ht="58" hidden="1">
      <c r="A90" s="525">
        <v>-850</v>
      </c>
      <c r="B90" s="524" t="e">
        <f>VLOOKUP(A90,'Hours Detail'!$E$17:$H$1048576,4,)</f>
        <v>#N/A</v>
      </c>
      <c r="C90" s="524" t="s">
        <v>6485</v>
      </c>
      <c r="D90" s="524" t="s">
        <v>4755</v>
      </c>
      <c r="E90" s="524" t="s">
        <v>4754</v>
      </c>
      <c r="F90" s="524" t="s">
        <v>4754</v>
      </c>
      <c r="G90" s="524" t="s">
        <v>4754</v>
      </c>
      <c r="H90" s="524" t="s">
        <v>4754</v>
      </c>
      <c r="I90" s="524" t="s">
        <v>4755</v>
      </c>
      <c r="J90" s="524" t="s">
        <v>4755</v>
      </c>
      <c r="K90" s="524"/>
      <c r="L90" s="524" t="s">
        <v>6386</v>
      </c>
      <c r="M90" s="524" t="s">
        <v>6435</v>
      </c>
      <c r="N90" s="524"/>
      <c r="O90" s="524"/>
    </row>
    <row r="91" spans="1:15" ht="43.5" hidden="1">
      <c r="A91" s="525">
        <v>-821</v>
      </c>
      <c r="B91" s="524" t="e">
        <f>VLOOKUP(A91,'Hours Detail'!$E$17:$H$1048576,4,)</f>
        <v>#N/A</v>
      </c>
      <c r="C91" s="524" t="s">
        <v>4128</v>
      </c>
      <c r="D91" s="524" t="s">
        <v>4127</v>
      </c>
      <c r="E91" s="524" t="s">
        <v>4126</v>
      </c>
      <c r="F91" s="524" t="s">
        <v>4126</v>
      </c>
      <c r="G91" s="524" t="s">
        <v>4126</v>
      </c>
      <c r="H91" s="524" t="s">
        <v>4126</v>
      </c>
      <c r="I91" s="524" t="s">
        <v>6486</v>
      </c>
      <c r="J91" s="524" t="s">
        <v>4127</v>
      </c>
      <c r="K91" s="524"/>
      <c r="L91" s="524" t="s">
        <v>6381</v>
      </c>
      <c r="M91" s="524" t="s">
        <v>442</v>
      </c>
      <c r="N91" s="524"/>
      <c r="O91" s="524"/>
    </row>
    <row r="92" spans="1:15" ht="43.5" hidden="1">
      <c r="A92" s="525">
        <v>-820</v>
      </c>
      <c r="B92" s="524" t="e">
        <f>VLOOKUP(A92,'Hours Detail'!$E$17:$H$1048576,4,)</f>
        <v>#N/A</v>
      </c>
      <c r="C92" s="524" t="s">
        <v>5510</v>
      </c>
      <c r="D92" s="524" t="s">
        <v>5509</v>
      </c>
      <c r="E92" s="524" t="s">
        <v>5508</v>
      </c>
      <c r="F92" s="524" t="s">
        <v>5508</v>
      </c>
      <c r="G92" s="524" t="s">
        <v>5508</v>
      </c>
      <c r="H92" s="524" t="s">
        <v>5508</v>
      </c>
      <c r="I92" s="524" t="s">
        <v>5509</v>
      </c>
      <c r="J92" s="524" t="s">
        <v>5509</v>
      </c>
      <c r="K92" s="524"/>
      <c r="L92" s="524" t="s">
        <v>6386</v>
      </c>
      <c r="M92" s="524" t="s">
        <v>6435</v>
      </c>
      <c r="N92" s="524"/>
      <c r="O92" s="524"/>
    </row>
    <row r="93" spans="1:15" ht="29" hidden="1">
      <c r="A93" s="524">
        <v>-815</v>
      </c>
      <c r="B93" s="524" t="e">
        <f>VLOOKUP(A93,'Hours Detail'!$E$17:$H$1048576,4,)</f>
        <v>#N/A</v>
      </c>
      <c r="C93" s="524" t="s">
        <v>101</v>
      </c>
      <c r="D93" s="524" t="s">
        <v>962</v>
      </c>
      <c r="E93" s="524" t="s">
        <v>963</v>
      </c>
      <c r="F93" s="524" t="s">
        <v>963</v>
      </c>
      <c r="G93" s="524" t="s">
        <v>963</v>
      </c>
      <c r="H93" s="524" t="s">
        <v>963</v>
      </c>
      <c r="I93" s="524" t="s">
        <v>6487</v>
      </c>
      <c r="J93" s="524" t="s">
        <v>962</v>
      </c>
      <c r="K93" s="524"/>
      <c r="L93" s="524" t="s">
        <v>6386</v>
      </c>
      <c r="M93" s="524" t="s">
        <v>6488</v>
      </c>
      <c r="N93" s="524"/>
      <c r="O93" s="524"/>
    </row>
    <row r="94" spans="1:15" ht="72.5" hidden="1">
      <c r="A94" s="527">
        <v>-815</v>
      </c>
      <c r="B94" s="524" t="e">
        <f>VLOOKUP(A94,'Hours Detail'!$E$17:$H$1048576,4,)</f>
        <v>#N/A</v>
      </c>
      <c r="C94" s="527" t="s">
        <v>101</v>
      </c>
      <c r="D94" s="527" t="s">
        <v>955</v>
      </c>
      <c r="E94" s="527" t="s">
        <v>962</v>
      </c>
      <c r="F94" s="527" t="s">
        <v>963</v>
      </c>
      <c r="G94" s="527">
        <v>28</v>
      </c>
      <c r="H94" s="527" t="s">
        <v>9</v>
      </c>
      <c r="I94" s="527" t="s">
        <v>953</v>
      </c>
      <c r="J94" s="527" t="s">
        <v>2890</v>
      </c>
      <c r="K94" s="527" t="s">
        <v>2890</v>
      </c>
      <c r="L94" s="527" t="s">
        <v>6489</v>
      </c>
      <c r="M94" s="524"/>
      <c r="N94" s="524"/>
      <c r="O94" s="524"/>
    </row>
    <row r="95" spans="1:15" ht="43.5" hidden="1">
      <c r="A95" s="525">
        <v>-814</v>
      </c>
      <c r="B95" s="524" t="e">
        <f>VLOOKUP(A95,'Hours Detail'!$E$17:$H$1048576,4,)</f>
        <v>#N/A</v>
      </c>
      <c r="C95" s="524" t="s">
        <v>5684</v>
      </c>
      <c r="D95" s="524" t="s">
        <v>5683</v>
      </c>
      <c r="E95" s="524" t="s">
        <v>5682</v>
      </c>
      <c r="F95" s="524" t="s">
        <v>5682</v>
      </c>
      <c r="G95" s="524" t="s">
        <v>5682</v>
      </c>
      <c r="H95" s="524" t="s">
        <v>5682</v>
      </c>
      <c r="I95" s="524" t="s">
        <v>5683</v>
      </c>
      <c r="J95" s="524" t="s">
        <v>5683</v>
      </c>
      <c r="K95" s="524"/>
      <c r="L95" s="524" t="s">
        <v>6386</v>
      </c>
      <c r="M95" s="524" t="s">
        <v>6488</v>
      </c>
      <c r="N95" s="524"/>
      <c r="O95" s="524"/>
    </row>
    <row r="96" spans="1:15" ht="43.5" hidden="1">
      <c r="A96" s="524">
        <v>-813</v>
      </c>
      <c r="B96" s="524" t="e">
        <f>VLOOKUP(A96,'Hours Detail'!$E$17:$H$1048576,4,)</f>
        <v>#N/A</v>
      </c>
      <c r="C96" s="524" t="s">
        <v>5697</v>
      </c>
      <c r="D96" s="524" t="s">
        <v>5696</v>
      </c>
      <c r="E96" s="524" t="s">
        <v>5695</v>
      </c>
      <c r="F96" s="524" t="s">
        <v>5695</v>
      </c>
      <c r="G96" s="524" t="s">
        <v>5695</v>
      </c>
      <c r="H96" s="524" t="s">
        <v>5695</v>
      </c>
      <c r="I96" s="524" t="s">
        <v>5696</v>
      </c>
      <c r="J96" s="524" t="s">
        <v>5696</v>
      </c>
      <c r="K96" s="524"/>
      <c r="L96" s="524" t="s">
        <v>6386</v>
      </c>
      <c r="M96" s="524" t="s">
        <v>6488</v>
      </c>
      <c r="N96" s="524"/>
      <c r="O96" s="524"/>
    </row>
    <row r="97" spans="1:15" ht="43.5" hidden="1">
      <c r="A97" s="524">
        <v>-812</v>
      </c>
      <c r="B97" s="524" t="e">
        <f>VLOOKUP(A97,'Hours Detail'!$E$17:$H$1048576,4,)</f>
        <v>#N/A</v>
      </c>
      <c r="C97" s="524" t="s">
        <v>5697</v>
      </c>
      <c r="D97" s="524" t="s">
        <v>5696</v>
      </c>
      <c r="E97" s="524" t="s">
        <v>5695</v>
      </c>
      <c r="F97" s="524" t="s">
        <v>5695</v>
      </c>
      <c r="G97" s="524" t="s">
        <v>5695</v>
      </c>
      <c r="H97" s="524" t="s">
        <v>5695</v>
      </c>
      <c r="I97" s="524" t="s">
        <v>5696</v>
      </c>
      <c r="J97" s="524" t="s">
        <v>5696</v>
      </c>
      <c r="K97" s="524"/>
      <c r="L97" s="524" t="s">
        <v>6386</v>
      </c>
      <c r="M97" s="524" t="s">
        <v>6488</v>
      </c>
      <c r="N97" s="524"/>
      <c r="O97" s="524"/>
    </row>
    <row r="98" spans="1:15" ht="43.5" hidden="1">
      <c r="A98" s="524">
        <v>-811</v>
      </c>
      <c r="B98" s="524" t="e">
        <f>VLOOKUP(A98,'Hours Detail'!$E$17:$H$1048576,4,)</f>
        <v>#N/A</v>
      </c>
      <c r="C98" s="524" t="s">
        <v>5694</v>
      </c>
      <c r="D98" s="524" t="s">
        <v>5693</v>
      </c>
      <c r="E98" s="524" t="s">
        <v>5692</v>
      </c>
      <c r="F98" s="524" t="s">
        <v>5692</v>
      </c>
      <c r="G98" s="524" t="s">
        <v>5692</v>
      </c>
      <c r="H98" s="524" t="s">
        <v>5692</v>
      </c>
      <c r="I98" s="524" t="s">
        <v>5693</v>
      </c>
      <c r="J98" s="524" t="s">
        <v>5693</v>
      </c>
      <c r="K98" s="524"/>
      <c r="L98" s="524" t="s">
        <v>6386</v>
      </c>
      <c r="M98" s="524" t="s">
        <v>6488</v>
      </c>
      <c r="N98" s="524"/>
      <c r="O98" s="524"/>
    </row>
    <row r="99" spans="1:15" ht="29" hidden="1">
      <c r="A99" s="524">
        <v>-809</v>
      </c>
      <c r="B99" s="524" t="e">
        <f>VLOOKUP(A99,'Hours Detail'!$E$17:$H$1048576,4,)</f>
        <v>#N/A</v>
      </c>
      <c r="C99" s="524" t="s">
        <v>5489</v>
      </c>
      <c r="D99" s="524" t="s">
        <v>1732</v>
      </c>
      <c r="E99" s="524" t="s">
        <v>5488</v>
      </c>
      <c r="F99" s="524" t="s">
        <v>5488</v>
      </c>
      <c r="G99" s="524" t="s">
        <v>5488</v>
      </c>
      <c r="H99" s="524" t="s">
        <v>5488</v>
      </c>
      <c r="I99" s="524" t="s">
        <v>1732</v>
      </c>
      <c r="J99" s="524" t="s">
        <v>6490</v>
      </c>
      <c r="K99" s="524"/>
      <c r="L99" s="524" t="s">
        <v>6386</v>
      </c>
      <c r="M99" s="524" t="s">
        <v>6488</v>
      </c>
      <c r="N99" s="524"/>
      <c r="O99" s="524"/>
    </row>
    <row r="100" spans="1:15" ht="29" hidden="1">
      <c r="A100" s="524">
        <v>-808</v>
      </c>
      <c r="B100" s="524" t="e">
        <f>VLOOKUP(A100,'Hours Detail'!$E$17:$H$1048576,4,)</f>
        <v>#N/A</v>
      </c>
      <c r="C100" s="524" t="s">
        <v>4837</v>
      </c>
      <c r="D100" s="524" t="s">
        <v>4836</v>
      </c>
      <c r="E100" s="524" t="s">
        <v>4835</v>
      </c>
      <c r="F100" s="524" t="s">
        <v>4835</v>
      </c>
      <c r="G100" s="524" t="s">
        <v>4835</v>
      </c>
      <c r="H100" s="524" t="s">
        <v>4835</v>
      </c>
      <c r="I100" s="524" t="s">
        <v>6491</v>
      </c>
      <c r="J100" s="524" t="s">
        <v>4836</v>
      </c>
      <c r="K100" s="524"/>
      <c r="L100" s="524" t="s">
        <v>6386</v>
      </c>
      <c r="M100" s="524" t="s">
        <v>6488</v>
      </c>
      <c r="N100" s="524"/>
      <c r="O100" s="524"/>
    </row>
    <row r="101" spans="1:15" ht="43.5" hidden="1">
      <c r="A101" s="524">
        <v>-807</v>
      </c>
      <c r="B101" s="524" t="e">
        <f>VLOOKUP(A101,'Hours Detail'!$E$17:$H$1048576,4,)</f>
        <v>#N/A</v>
      </c>
      <c r="C101" s="524" t="s">
        <v>3997</v>
      </c>
      <c r="D101" s="524" t="s">
        <v>3996</v>
      </c>
      <c r="E101" s="524" t="s">
        <v>3995</v>
      </c>
      <c r="F101" s="524" t="s">
        <v>3995</v>
      </c>
      <c r="G101" s="524" t="s">
        <v>3995</v>
      </c>
      <c r="H101" s="524" t="s">
        <v>3995</v>
      </c>
      <c r="I101" s="524" t="s">
        <v>6492</v>
      </c>
      <c r="J101" s="524" t="s">
        <v>3996</v>
      </c>
      <c r="K101" s="524"/>
      <c r="L101" s="524" t="s">
        <v>6386</v>
      </c>
      <c r="M101" s="524" t="s">
        <v>6488</v>
      </c>
      <c r="N101" s="524"/>
      <c r="O101" s="524"/>
    </row>
    <row r="102" spans="1:15" ht="58" hidden="1">
      <c r="A102" s="525">
        <v>-757</v>
      </c>
      <c r="B102" s="524" t="e">
        <f>VLOOKUP(A102,'Hours Detail'!$E$17:$H$1048576,4,)</f>
        <v>#N/A</v>
      </c>
      <c r="C102" s="524" t="s">
        <v>1740</v>
      </c>
      <c r="D102" s="524" t="s">
        <v>1741</v>
      </c>
      <c r="E102" s="524" t="s">
        <v>1742</v>
      </c>
      <c r="F102" s="524" t="s">
        <v>1742</v>
      </c>
      <c r="G102" s="524" t="s">
        <v>1742</v>
      </c>
      <c r="H102" s="524" t="s">
        <v>1742</v>
      </c>
      <c r="I102" s="524" t="s">
        <v>6493</v>
      </c>
      <c r="J102" s="524" t="s">
        <v>1741</v>
      </c>
      <c r="K102" s="524"/>
      <c r="L102" s="524" t="s">
        <v>6414</v>
      </c>
      <c r="M102" s="524" t="s">
        <v>6415</v>
      </c>
      <c r="N102" s="524"/>
      <c r="O102" s="524"/>
    </row>
    <row r="103" spans="1:15" ht="72.5" hidden="1">
      <c r="A103" s="527">
        <v>-757</v>
      </c>
      <c r="B103" s="524" t="e">
        <f>VLOOKUP(A103,'Hours Detail'!$E$17:$H$1048576,4,)</f>
        <v>#N/A</v>
      </c>
      <c r="C103" s="527" t="s">
        <v>1740</v>
      </c>
      <c r="D103" s="527" t="s">
        <v>470</v>
      </c>
      <c r="E103" s="527" t="s">
        <v>1741</v>
      </c>
      <c r="F103" s="527" t="s">
        <v>1742</v>
      </c>
      <c r="G103" s="527">
        <v>3</v>
      </c>
      <c r="H103" s="527" t="s">
        <v>149</v>
      </c>
      <c r="I103" s="527" t="s">
        <v>468</v>
      </c>
      <c r="J103" s="527" t="s">
        <v>2890</v>
      </c>
      <c r="K103" s="527" t="s">
        <v>2890</v>
      </c>
      <c r="L103" s="527" t="s">
        <v>6494</v>
      </c>
      <c r="M103" s="524"/>
      <c r="N103" s="524"/>
      <c r="O103" s="524"/>
    </row>
    <row r="104" spans="1:15" ht="43.5" hidden="1">
      <c r="A104" s="525">
        <v>-756</v>
      </c>
      <c r="B104" s="524" t="e">
        <f>VLOOKUP(A104,'Hours Detail'!$E$17:$H$1048576,4,)</f>
        <v>#N/A</v>
      </c>
      <c r="C104" s="524" t="s">
        <v>6495</v>
      </c>
      <c r="D104" s="524" t="s">
        <v>6498</v>
      </c>
      <c r="E104" s="524" t="s">
        <v>6496</v>
      </c>
      <c r="F104" s="524" t="s">
        <v>6496</v>
      </c>
      <c r="G104" s="524" t="s">
        <v>6496</v>
      </c>
      <c r="H104" s="524" t="s">
        <v>6496</v>
      </c>
      <c r="I104" s="524" t="s">
        <v>6497</v>
      </c>
      <c r="J104" s="524" t="s">
        <v>6499</v>
      </c>
      <c r="K104" s="524" t="s">
        <v>6359</v>
      </c>
      <c r="L104" s="524" t="s">
        <v>6379</v>
      </c>
      <c r="M104" s="524" t="s">
        <v>6380</v>
      </c>
      <c r="N104" s="524"/>
      <c r="O104" s="524"/>
    </row>
    <row r="105" spans="1:15" ht="43.5" hidden="1">
      <c r="A105" s="524">
        <v>-751</v>
      </c>
      <c r="B105" s="524" t="e">
        <f>VLOOKUP(A105,'Hours Detail'!$E$17:$H$1048576,4,)</f>
        <v>#N/A</v>
      </c>
      <c r="C105" s="524" t="s">
        <v>1556</v>
      </c>
      <c r="D105" s="524" t="s">
        <v>1558</v>
      </c>
      <c r="E105" s="524" t="s">
        <v>1559</v>
      </c>
      <c r="F105" s="524" t="s">
        <v>1559</v>
      </c>
      <c r="G105" s="524" t="s">
        <v>1559</v>
      </c>
      <c r="H105" s="524" t="s">
        <v>1559</v>
      </c>
      <c r="I105" s="524" t="s">
        <v>1558</v>
      </c>
      <c r="J105" s="524" t="s">
        <v>1558</v>
      </c>
      <c r="K105" s="524"/>
      <c r="L105" s="524" t="s">
        <v>6414</v>
      </c>
      <c r="M105" s="524" t="s">
        <v>6415</v>
      </c>
      <c r="N105" s="524"/>
      <c r="O105" s="524"/>
    </row>
    <row r="106" spans="1:15" ht="43.5" hidden="1">
      <c r="A106" s="527">
        <v>-751</v>
      </c>
      <c r="B106" s="524" t="e">
        <f>VLOOKUP(A106,'Hours Detail'!$E$17:$H$1048576,4,)</f>
        <v>#N/A</v>
      </c>
      <c r="C106" s="527" t="s">
        <v>1556</v>
      </c>
      <c r="D106" s="527" t="s">
        <v>2177</v>
      </c>
      <c r="E106" s="527" t="s">
        <v>1558</v>
      </c>
      <c r="F106" s="527" t="s">
        <v>1559</v>
      </c>
      <c r="G106" s="527">
        <v>671</v>
      </c>
      <c r="H106" s="527" t="s">
        <v>1557</v>
      </c>
      <c r="I106" s="527" t="s">
        <v>2330</v>
      </c>
      <c r="J106" s="527" t="s">
        <v>2890</v>
      </c>
      <c r="K106" s="527" t="s">
        <v>2890</v>
      </c>
      <c r="L106" s="527" t="s">
        <v>6371</v>
      </c>
      <c r="M106" s="524"/>
      <c r="N106" s="524"/>
      <c r="O106" s="524"/>
    </row>
    <row r="107" spans="1:15" ht="43.5" hidden="1">
      <c r="A107" s="525">
        <v>-728</v>
      </c>
      <c r="B107" s="524" t="e">
        <f>VLOOKUP(A107,'Hours Detail'!$E$17:$H$1048576,4,)</f>
        <v>#N/A</v>
      </c>
      <c r="C107" s="524" t="s">
        <v>5565</v>
      </c>
      <c r="D107" s="524" t="s">
        <v>5566</v>
      </c>
      <c r="E107" s="524" t="s">
        <v>5565</v>
      </c>
      <c r="F107" s="524" t="s">
        <v>5565</v>
      </c>
      <c r="G107" s="524" t="s">
        <v>5565</v>
      </c>
      <c r="H107" s="524" t="s">
        <v>5565</v>
      </c>
      <c r="I107" s="524" t="s">
        <v>5566</v>
      </c>
      <c r="J107" s="524" t="s">
        <v>5566</v>
      </c>
      <c r="K107" s="524"/>
      <c r="L107" s="524" t="s">
        <v>6368</v>
      </c>
      <c r="M107" s="524" t="s">
        <v>2573</v>
      </c>
      <c r="N107" s="524"/>
      <c r="O107" s="524"/>
    </row>
    <row r="108" spans="1:15" ht="43.5" hidden="1">
      <c r="A108" s="525">
        <v>-727</v>
      </c>
      <c r="B108" s="524" t="e">
        <f>VLOOKUP(A108,'Hours Detail'!$E$17:$H$1048576,4,)</f>
        <v>#N/A</v>
      </c>
      <c r="C108" s="524" t="s">
        <v>5564</v>
      </c>
      <c r="D108" s="524" t="s">
        <v>5563</v>
      </c>
      <c r="E108" s="524" t="s">
        <v>5562</v>
      </c>
      <c r="F108" s="524" t="s">
        <v>5562</v>
      </c>
      <c r="G108" s="524" t="s">
        <v>5562</v>
      </c>
      <c r="H108" s="524" t="s">
        <v>5562</v>
      </c>
      <c r="I108" s="524" t="s">
        <v>5563</v>
      </c>
      <c r="J108" s="524" t="s">
        <v>5563</v>
      </c>
      <c r="K108" s="524"/>
      <c r="L108" s="524" t="s">
        <v>6368</v>
      </c>
      <c r="M108" s="524" t="s">
        <v>2573</v>
      </c>
      <c r="N108" s="524"/>
      <c r="O108" s="524"/>
    </row>
    <row r="109" spans="1:15" ht="29" hidden="1">
      <c r="A109" s="525">
        <v>-723</v>
      </c>
      <c r="B109" s="524" t="e">
        <f>VLOOKUP(A109,'Hours Detail'!$E$17:$H$1048576,4,)</f>
        <v>#N/A</v>
      </c>
      <c r="C109" s="524" t="s">
        <v>5561</v>
      </c>
      <c r="D109" s="524" t="s">
        <v>5560</v>
      </c>
      <c r="E109" s="524" t="s">
        <v>5559</v>
      </c>
      <c r="F109" s="524" t="s">
        <v>5559</v>
      </c>
      <c r="G109" s="524" t="s">
        <v>5559</v>
      </c>
      <c r="H109" s="524" t="s">
        <v>5559</v>
      </c>
      <c r="I109" s="524" t="s">
        <v>5560</v>
      </c>
      <c r="J109" s="524" t="s">
        <v>5560</v>
      </c>
      <c r="K109" s="524"/>
      <c r="L109" s="524" t="s">
        <v>6368</v>
      </c>
      <c r="M109" s="524" t="s">
        <v>2573</v>
      </c>
      <c r="N109" s="524"/>
      <c r="O109" s="524"/>
    </row>
    <row r="110" spans="1:15" ht="72.5" hidden="1">
      <c r="A110" s="525">
        <v>-712</v>
      </c>
      <c r="B110" s="524" t="e">
        <f>VLOOKUP(A110,'Hours Detail'!$E$17:$H$1048576,4,)</f>
        <v>#N/A</v>
      </c>
      <c r="C110" s="524" t="s">
        <v>4753</v>
      </c>
      <c r="D110" s="524" t="s">
        <v>4752</v>
      </c>
      <c r="E110" s="524" t="s">
        <v>4751</v>
      </c>
      <c r="F110" s="524" t="s">
        <v>4751</v>
      </c>
      <c r="G110" s="524" t="s">
        <v>4751</v>
      </c>
      <c r="H110" s="524" t="s">
        <v>4751</v>
      </c>
      <c r="I110" s="524" t="s">
        <v>4752</v>
      </c>
      <c r="J110" s="524" t="s">
        <v>4752</v>
      </c>
      <c r="K110" s="524"/>
      <c r="L110" s="524" t="s">
        <v>6368</v>
      </c>
      <c r="M110" s="524" t="s">
        <v>2573</v>
      </c>
      <c r="N110" s="524"/>
      <c r="O110" s="524"/>
    </row>
    <row r="111" spans="1:15" ht="58" hidden="1">
      <c r="A111" s="525">
        <v>-711</v>
      </c>
      <c r="B111" s="524" t="e">
        <f>VLOOKUP(A111,'Hours Detail'!$E$17:$H$1048576,4,)</f>
        <v>#N/A</v>
      </c>
      <c r="C111" s="524" t="s">
        <v>903</v>
      </c>
      <c r="D111" s="524" t="s">
        <v>904</v>
      </c>
      <c r="E111" s="524" t="s">
        <v>905</v>
      </c>
      <c r="F111" s="524" t="s">
        <v>905</v>
      </c>
      <c r="G111" s="524" t="s">
        <v>905</v>
      </c>
      <c r="H111" s="524" t="s">
        <v>905</v>
      </c>
      <c r="I111" s="524" t="s">
        <v>6500</v>
      </c>
      <c r="J111" s="524" t="s">
        <v>904</v>
      </c>
      <c r="K111" s="524"/>
      <c r="L111" s="524" t="s">
        <v>6368</v>
      </c>
      <c r="M111" s="524" t="s">
        <v>2573</v>
      </c>
      <c r="N111" s="524"/>
      <c r="O111" s="524"/>
    </row>
    <row r="112" spans="1:15" ht="58" hidden="1">
      <c r="A112" s="525">
        <v>-709</v>
      </c>
      <c r="B112" s="524" t="e">
        <f>VLOOKUP(A112,'Hours Detail'!$E$17:$H$1048576,4,)</f>
        <v>#N/A</v>
      </c>
      <c r="C112" s="524" t="s">
        <v>903</v>
      </c>
      <c r="D112" s="524" t="s">
        <v>904</v>
      </c>
      <c r="E112" s="524" t="s">
        <v>905</v>
      </c>
      <c r="F112" s="524" t="s">
        <v>905</v>
      </c>
      <c r="G112" s="524" t="s">
        <v>905</v>
      </c>
      <c r="H112" s="524" t="s">
        <v>905</v>
      </c>
      <c r="I112" s="524" t="s">
        <v>6500</v>
      </c>
      <c r="J112" s="524" t="s">
        <v>904</v>
      </c>
      <c r="K112" s="524" t="s">
        <v>6359</v>
      </c>
      <c r="L112" s="524" t="s">
        <v>6414</v>
      </c>
      <c r="M112" s="524" t="s">
        <v>6415</v>
      </c>
      <c r="N112" s="524"/>
      <c r="O112" s="524"/>
    </row>
    <row r="113" spans="1:15" ht="43.5" hidden="1">
      <c r="A113" s="525">
        <v>-700</v>
      </c>
      <c r="B113" s="524" t="e">
        <f>VLOOKUP(A113,'Hours Detail'!$E$17:$H$1048576,4,)</f>
        <v>#N/A</v>
      </c>
      <c r="C113" s="524" t="s">
        <v>635</v>
      </c>
      <c r="D113" s="524" t="s">
        <v>636</v>
      </c>
      <c r="E113" s="524" t="s">
        <v>637</v>
      </c>
      <c r="F113" s="524" t="s">
        <v>637</v>
      </c>
      <c r="G113" s="524" t="s">
        <v>637</v>
      </c>
      <c r="H113" s="524" t="s">
        <v>637</v>
      </c>
      <c r="I113" s="524" t="s">
        <v>636</v>
      </c>
      <c r="J113" s="524" t="s">
        <v>636</v>
      </c>
      <c r="K113" s="524"/>
      <c r="L113" s="524" t="s">
        <v>6414</v>
      </c>
      <c r="M113" s="524" t="s">
        <v>6415</v>
      </c>
      <c r="N113" s="524"/>
      <c r="O113" s="524"/>
    </row>
    <row r="114" spans="1:15" ht="29" hidden="1">
      <c r="A114" s="527">
        <v>-700</v>
      </c>
      <c r="B114" s="524" t="e">
        <f>VLOOKUP(A114,'Hours Detail'!$E$17:$H$1048576,4,)</f>
        <v>#N/A</v>
      </c>
      <c r="C114" s="527" t="s">
        <v>635</v>
      </c>
      <c r="D114" s="527" t="s">
        <v>2171</v>
      </c>
      <c r="E114" s="527" t="s">
        <v>636</v>
      </c>
      <c r="F114" s="527" t="s">
        <v>637</v>
      </c>
      <c r="G114" s="527">
        <v>8</v>
      </c>
      <c r="H114" s="527" t="s">
        <v>188</v>
      </c>
      <c r="I114" s="527" t="s">
        <v>2314</v>
      </c>
      <c r="J114" s="527" t="s">
        <v>2890</v>
      </c>
      <c r="K114" s="527" t="s">
        <v>2890</v>
      </c>
      <c r="L114" s="527" t="s">
        <v>6501</v>
      </c>
      <c r="M114" s="524"/>
      <c r="N114" s="524"/>
      <c r="O114" s="524"/>
    </row>
    <row r="115" spans="1:15" ht="43.5" hidden="1">
      <c r="A115" s="524">
        <v>-631</v>
      </c>
      <c r="B115" s="524" t="e">
        <f>VLOOKUP(A115,'Hours Detail'!$E$17:$H$1048576,4,)</f>
        <v>#N/A</v>
      </c>
      <c r="C115" s="524" t="s">
        <v>5733</v>
      </c>
      <c r="D115" s="524" t="s">
        <v>5732</v>
      </c>
      <c r="E115" s="524" t="s">
        <v>5731</v>
      </c>
      <c r="F115" s="524" t="s">
        <v>5731</v>
      </c>
      <c r="G115" s="524" t="s">
        <v>5731</v>
      </c>
      <c r="H115" s="524" t="s">
        <v>5731</v>
      </c>
      <c r="I115" s="524" t="s">
        <v>5732</v>
      </c>
      <c r="J115" s="524" t="s">
        <v>5732</v>
      </c>
      <c r="K115" s="524"/>
      <c r="L115" s="524" t="s">
        <v>6379</v>
      </c>
      <c r="M115" s="524" t="s">
        <v>6502</v>
      </c>
      <c r="N115" s="524"/>
      <c r="O115" s="524"/>
    </row>
    <row r="116" spans="1:15" ht="116" hidden="1">
      <c r="A116" s="524">
        <v>-630</v>
      </c>
      <c r="B116" s="524" t="e">
        <f>VLOOKUP(A116,'Hours Detail'!$E$17:$H$1048576,4,)</f>
        <v>#N/A</v>
      </c>
      <c r="C116" s="524" t="s">
        <v>5408</v>
      </c>
      <c r="D116" s="524" t="s">
        <v>5407</v>
      </c>
      <c r="E116" s="524" t="s">
        <v>5406</v>
      </c>
      <c r="F116" s="524" t="s">
        <v>5406</v>
      </c>
      <c r="G116" s="524" t="s">
        <v>5406</v>
      </c>
      <c r="H116" s="524" t="s">
        <v>5406</v>
      </c>
      <c r="I116" s="524" t="s">
        <v>5407</v>
      </c>
      <c r="J116" s="524" t="s">
        <v>5407</v>
      </c>
      <c r="K116" s="524"/>
      <c r="L116" s="524" t="s">
        <v>6379</v>
      </c>
      <c r="M116" s="524" t="s">
        <v>6502</v>
      </c>
      <c r="N116" s="524"/>
      <c r="O116" s="524"/>
    </row>
    <row r="117" spans="1:15" ht="58" hidden="1">
      <c r="A117" s="524">
        <v>-629</v>
      </c>
      <c r="B117" s="524" t="e">
        <f>VLOOKUP(A117,'Hours Detail'!$E$17:$H$1048576,4,)</f>
        <v>#N/A</v>
      </c>
      <c r="C117" s="524" t="s">
        <v>5642</v>
      </c>
      <c r="D117" s="524" t="s">
        <v>5641</v>
      </c>
      <c r="E117" s="524" t="s">
        <v>5640</v>
      </c>
      <c r="F117" s="524" t="s">
        <v>5640</v>
      </c>
      <c r="G117" s="524" t="s">
        <v>5640</v>
      </c>
      <c r="H117" s="524" t="s">
        <v>5640</v>
      </c>
      <c r="I117" s="524" t="s">
        <v>5641</v>
      </c>
      <c r="J117" s="524" t="s">
        <v>5641</v>
      </c>
      <c r="K117" s="524"/>
      <c r="L117" s="524" t="s">
        <v>6379</v>
      </c>
      <c r="M117" s="524" t="s">
        <v>6502</v>
      </c>
      <c r="N117" s="524"/>
      <c r="O117" s="524"/>
    </row>
    <row r="118" spans="1:15" ht="43.5" hidden="1">
      <c r="A118" s="524">
        <v>-628</v>
      </c>
      <c r="B118" s="524" t="e">
        <f>VLOOKUP(A118,'Hours Detail'!$E$17:$H$1048576,4,)</f>
        <v>#N/A</v>
      </c>
      <c r="C118" s="524" t="s">
        <v>5329</v>
      </c>
      <c r="D118" s="524" t="s">
        <v>5328</v>
      </c>
      <c r="E118" s="524" t="s">
        <v>5327</v>
      </c>
      <c r="F118" s="524" t="s">
        <v>5327</v>
      </c>
      <c r="G118" s="524" t="s">
        <v>5327</v>
      </c>
      <c r="H118" s="524" t="s">
        <v>5327</v>
      </c>
      <c r="I118" s="524" t="s">
        <v>5328</v>
      </c>
      <c r="J118" s="524" t="s">
        <v>5328</v>
      </c>
      <c r="K118" s="524"/>
      <c r="L118" s="524" t="s">
        <v>6379</v>
      </c>
      <c r="M118" s="524" t="s">
        <v>6502</v>
      </c>
      <c r="N118" s="524"/>
      <c r="O118" s="524"/>
    </row>
    <row r="119" spans="1:15" ht="58" hidden="1">
      <c r="A119" s="524">
        <v>-626</v>
      </c>
      <c r="B119" s="524" t="e">
        <f>VLOOKUP(A119,'Hours Detail'!$E$17:$H$1048576,4,)</f>
        <v>#N/A</v>
      </c>
      <c r="C119" s="524" t="s">
        <v>5639</v>
      </c>
      <c r="D119" s="524" t="s">
        <v>5638</v>
      </c>
      <c r="E119" s="524" t="s">
        <v>5637</v>
      </c>
      <c r="F119" s="524" t="s">
        <v>5637</v>
      </c>
      <c r="G119" s="524" t="s">
        <v>5637</v>
      </c>
      <c r="H119" s="524" t="s">
        <v>5637</v>
      </c>
      <c r="I119" s="524" t="s">
        <v>5638</v>
      </c>
      <c r="J119" s="524" t="s">
        <v>5638</v>
      </c>
      <c r="K119" s="524"/>
      <c r="L119" s="524" t="s">
        <v>6379</v>
      </c>
      <c r="M119" s="524" t="s">
        <v>6502</v>
      </c>
      <c r="N119" s="524"/>
      <c r="O119" s="524"/>
    </row>
    <row r="120" spans="1:15" ht="72.5" hidden="1">
      <c r="A120" s="524">
        <v>-624</v>
      </c>
      <c r="B120" s="524" t="e">
        <f>VLOOKUP(A120,'Hours Detail'!$E$17:$H$1048576,4,)</f>
        <v>#N/A</v>
      </c>
      <c r="C120" s="524" t="s">
        <v>5326</v>
      </c>
      <c r="D120" s="524" t="s">
        <v>5325</v>
      </c>
      <c r="E120" s="524" t="s">
        <v>5324</v>
      </c>
      <c r="F120" s="524" t="s">
        <v>5324</v>
      </c>
      <c r="G120" s="524" t="s">
        <v>5324</v>
      </c>
      <c r="H120" s="524" t="s">
        <v>5324</v>
      </c>
      <c r="I120" s="524" t="s">
        <v>5325</v>
      </c>
      <c r="J120" s="524" t="s">
        <v>5325</v>
      </c>
      <c r="K120" s="524"/>
      <c r="L120" s="524" t="s">
        <v>6379</v>
      </c>
      <c r="M120" s="524" t="s">
        <v>6502</v>
      </c>
      <c r="N120" s="524"/>
      <c r="O120" s="524"/>
    </row>
    <row r="121" spans="1:15" ht="116" hidden="1">
      <c r="A121" s="524">
        <v>-623</v>
      </c>
      <c r="B121" s="524" t="e">
        <f>VLOOKUP(A121,'Hours Detail'!$E$17:$H$1048576,4,)</f>
        <v>#N/A</v>
      </c>
      <c r="C121" s="524" t="s">
        <v>1838</v>
      </c>
      <c r="D121" s="524" t="s">
        <v>1839</v>
      </c>
      <c r="E121" s="524" t="s">
        <v>1840</v>
      </c>
      <c r="F121" s="524" t="s">
        <v>1840</v>
      </c>
      <c r="G121" s="524" t="s">
        <v>1840</v>
      </c>
      <c r="H121" s="524" t="s">
        <v>1840</v>
      </c>
      <c r="I121" s="524" t="s">
        <v>1839</v>
      </c>
      <c r="J121" s="524" t="s">
        <v>1839</v>
      </c>
      <c r="K121" s="524"/>
      <c r="L121" s="524" t="s">
        <v>6379</v>
      </c>
      <c r="M121" s="524" t="s">
        <v>6502</v>
      </c>
      <c r="N121" s="524"/>
      <c r="O121" s="524"/>
    </row>
    <row r="122" spans="1:15" ht="72.5" hidden="1">
      <c r="A122" s="527">
        <v>-623</v>
      </c>
      <c r="B122" s="524" t="e">
        <f>VLOOKUP(A122,'Hours Detail'!$E$17:$H$1048576,4,)</f>
        <v>#N/A</v>
      </c>
      <c r="C122" s="527" t="s">
        <v>1838</v>
      </c>
      <c r="D122" s="527" t="s">
        <v>770</v>
      </c>
      <c r="E122" s="527" t="s">
        <v>1839</v>
      </c>
      <c r="F122" s="527" t="s">
        <v>1840</v>
      </c>
      <c r="G122" s="527">
        <v>15</v>
      </c>
      <c r="H122" s="527" t="s">
        <v>768</v>
      </c>
      <c r="I122" s="527" t="s">
        <v>769</v>
      </c>
      <c r="J122" s="527" t="s">
        <v>2890</v>
      </c>
      <c r="K122" s="527" t="s">
        <v>2889</v>
      </c>
      <c r="L122" s="527" t="s">
        <v>6371</v>
      </c>
      <c r="M122" s="524"/>
      <c r="N122" s="524"/>
      <c r="O122" s="524"/>
    </row>
    <row r="123" spans="1:15" ht="87" hidden="1">
      <c r="A123" s="524">
        <v>-620</v>
      </c>
      <c r="B123" s="524" t="e">
        <f>VLOOKUP(A123,'Hours Detail'!$E$17:$H$1048576,4,)</f>
        <v>#N/A</v>
      </c>
      <c r="C123" s="524" t="s">
        <v>5399</v>
      </c>
      <c r="D123" s="524" t="s">
        <v>5398</v>
      </c>
      <c r="E123" s="524" t="s">
        <v>5397</v>
      </c>
      <c r="F123" s="524" t="s">
        <v>5397</v>
      </c>
      <c r="G123" s="524" t="s">
        <v>5397</v>
      </c>
      <c r="H123" s="524" t="s">
        <v>5397</v>
      </c>
      <c r="I123" s="524" t="s">
        <v>6503</v>
      </c>
      <c r="J123" s="524" t="s">
        <v>5398</v>
      </c>
      <c r="K123" s="524"/>
      <c r="L123" s="524" t="s">
        <v>6379</v>
      </c>
      <c r="M123" s="524" t="s">
        <v>6502</v>
      </c>
      <c r="N123" s="524"/>
      <c r="O123" s="524"/>
    </row>
    <row r="124" spans="1:15" ht="101.5" hidden="1">
      <c r="A124" s="524">
        <v>-618</v>
      </c>
      <c r="B124" s="524" t="e">
        <f>VLOOKUP(A124,'Hours Detail'!$E$17:$H$1048576,4,)</f>
        <v>#N/A</v>
      </c>
      <c r="C124" s="524" t="s">
        <v>1841</v>
      </c>
      <c r="D124" s="524" t="s">
        <v>1842</v>
      </c>
      <c r="E124" s="524" t="s">
        <v>1843</v>
      </c>
      <c r="F124" s="524" t="s">
        <v>1843</v>
      </c>
      <c r="G124" s="524" t="s">
        <v>1843</v>
      </c>
      <c r="H124" s="524" t="s">
        <v>1843</v>
      </c>
      <c r="I124" s="524" t="s">
        <v>1842</v>
      </c>
      <c r="J124" s="524" t="s">
        <v>1842</v>
      </c>
      <c r="K124" s="524"/>
      <c r="L124" s="524" t="s">
        <v>6379</v>
      </c>
      <c r="M124" s="524" t="s">
        <v>6502</v>
      </c>
      <c r="N124" s="524"/>
      <c r="O124" s="524"/>
    </row>
    <row r="125" spans="1:15" ht="72.5" hidden="1">
      <c r="A125" s="527">
        <v>-618</v>
      </c>
      <c r="B125" s="524" t="e">
        <f>VLOOKUP(A125,'Hours Detail'!$E$17:$H$1048576,4,)</f>
        <v>#N/A</v>
      </c>
      <c r="C125" s="527" t="s">
        <v>1841</v>
      </c>
      <c r="D125" s="527" t="s">
        <v>770</v>
      </c>
      <c r="E125" s="527" t="s">
        <v>1842</v>
      </c>
      <c r="F125" s="527" t="s">
        <v>1843</v>
      </c>
      <c r="G125" s="527">
        <v>15</v>
      </c>
      <c r="H125" s="527" t="s">
        <v>768</v>
      </c>
      <c r="I125" s="527" t="s">
        <v>769</v>
      </c>
      <c r="J125" s="527" t="s">
        <v>2890</v>
      </c>
      <c r="K125" s="527" t="s">
        <v>2889</v>
      </c>
      <c r="L125" s="527" t="s">
        <v>6371</v>
      </c>
      <c r="M125" s="524"/>
      <c r="N125" s="524"/>
      <c r="O125" s="524"/>
    </row>
    <row r="126" spans="1:15" ht="58" hidden="1">
      <c r="A126" s="524">
        <v>-617</v>
      </c>
      <c r="B126" s="524" t="e">
        <f>VLOOKUP(A126,'Hours Detail'!$E$17:$H$1048576,4,)</f>
        <v>#N/A</v>
      </c>
      <c r="C126" s="524" t="s">
        <v>1725</v>
      </c>
      <c r="D126" s="524" t="s">
        <v>1726</v>
      </c>
      <c r="E126" s="524" t="s">
        <v>1727</v>
      </c>
      <c r="F126" s="524" t="s">
        <v>1727</v>
      </c>
      <c r="G126" s="524" t="s">
        <v>1727</v>
      </c>
      <c r="H126" s="524" t="s">
        <v>1727</v>
      </c>
      <c r="I126" s="524" t="s">
        <v>1726</v>
      </c>
      <c r="J126" s="524" t="s">
        <v>1726</v>
      </c>
      <c r="K126" s="524"/>
      <c r="L126" s="524" t="s">
        <v>6379</v>
      </c>
      <c r="M126" s="524" t="s">
        <v>6502</v>
      </c>
      <c r="N126" s="524"/>
      <c r="O126" s="524"/>
    </row>
    <row r="127" spans="1:15" ht="58" hidden="1">
      <c r="A127" s="527">
        <v>-617</v>
      </c>
      <c r="B127" s="524" t="e">
        <f>VLOOKUP(A127,'Hours Detail'!$E$17:$H$1048576,4,)</f>
        <v>#N/A</v>
      </c>
      <c r="C127" s="527" t="s">
        <v>1725</v>
      </c>
      <c r="D127" s="527" t="s">
        <v>4703</v>
      </c>
      <c r="E127" s="527" t="s">
        <v>1726</v>
      </c>
      <c r="F127" s="527" t="s">
        <v>1727</v>
      </c>
      <c r="G127" s="527">
        <v>283</v>
      </c>
      <c r="H127" s="527" t="s">
        <v>4705</v>
      </c>
      <c r="I127" s="527" t="s">
        <v>4704</v>
      </c>
      <c r="J127" s="527" t="s">
        <v>2890</v>
      </c>
      <c r="K127" s="527" t="s">
        <v>2890</v>
      </c>
      <c r="L127" s="527" t="s">
        <v>6371</v>
      </c>
      <c r="M127" s="524"/>
      <c r="N127" s="524"/>
      <c r="O127" s="524"/>
    </row>
    <row r="128" spans="1:15" ht="43.5" hidden="1">
      <c r="A128" s="524">
        <v>-615</v>
      </c>
      <c r="B128" s="524" t="e">
        <f>VLOOKUP(A128,'Hours Detail'!$E$17:$H$1048576,4,)</f>
        <v>#N/A</v>
      </c>
      <c r="C128" s="524" t="s">
        <v>5636</v>
      </c>
      <c r="D128" s="524" t="s">
        <v>5635</v>
      </c>
      <c r="E128" s="524" t="s">
        <v>5634</v>
      </c>
      <c r="F128" s="524" t="s">
        <v>5634</v>
      </c>
      <c r="G128" s="524" t="s">
        <v>5634</v>
      </c>
      <c r="H128" s="524" t="s">
        <v>5634</v>
      </c>
      <c r="I128" s="524" t="s">
        <v>5635</v>
      </c>
      <c r="J128" s="524" t="s">
        <v>5635</v>
      </c>
      <c r="K128" s="524"/>
      <c r="L128" s="524" t="s">
        <v>6379</v>
      </c>
      <c r="M128" s="524" t="s">
        <v>6502</v>
      </c>
      <c r="N128" s="524"/>
      <c r="O128" s="524"/>
    </row>
    <row r="129" spans="1:15" ht="58" hidden="1">
      <c r="A129" s="524">
        <v>-614</v>
      </c>
      <c r="B129" s="524" t="e">
        <f>VLOOKUP(A129,'Hours Detail'!$E$17:$H$1048576,4,)</f>
        <v>#N/A</v>
      </c>
      <c r="C129" s="524" t="s">
        <v>5487</v>
      </c>
      <c r="D129" s="524" t="s">
        <v>5486</v>
      </c>
      <c r="E129" s="524" t="s">
        <v>5485</v>
      </c>
      <c r="F129" s="524" t="s">
        <v>5485</v>
      </c>
      <c r="G129" s="524" t="s">
        <v>5485</v>
      </c>
      <c r="H129" s="524" t="s">
        <v>5485</v>
      </c>
      <c r="I129" s="524" t="s">
        <v>5486</v>
      </c>
      <c r="J129" s="524" t="s">
        <v>5486</v>
      </c>
      <c r="K129" s="524"/>
      <c r="L129" s="524" t="s">
        <v>6379</v>
      </c>
      <c r="M129" s="524" t="s">
        <v>6502</v>
      </c>
      <c r="N129" s="524"/>
      <c r="O129" s="524"/>
    </row>
    <row r="130" spans="1:15" ht="72.5" hidden="1">
      <c r="A130" s="524">
        <v>-613</v>
      </c>
      <c r="B130" s="524" t="e">
        <f>VLOOKUP(A130,'Hours Detail'!$E$17:$H$1048576,4,)</f>
        <v>#N/A</v>
      </c>
      <c r="C130" s="524" t="s">
        <v>1728</v>
      </c>
      <c r="D130" s="524" t="s">
        <v>1729</v>
      </c>
      <c r="E130" s="524" t="s">
        <v>1730</v>
      </c>
      <c r="F130" s="524" t="s">
        <v>1730</v>
      </c>
      <c r="G130" s="524" t="s">
        <v>1730</v>
      </c>
      <c r="H130" s="524" t="s">
        <v>1730</v>
      </c>
      <c r="I130" s="524" t="s">
        <v>1729</v>
      </c>
      <c r="J130" s="524" t="s">
        <v>1729</v>
      </c>
      <c r="K130" s="524"/>
      <c r="L130" s="524" t="s">
        <v>6379</v>
      </c>
      <c r="M130" s="524" t="s">
        <v>6502</v>
      </c>
      <c r="N130" s="524"/>
      <c r="O130" s="524"/>
    </row>
    <row r="131" spans="1:15" ht="72.5" hidden="1">
      <c r="A131" s="527">
        <v>-613</v>
      </c>
      <c r="B131" s="524" t="e">
        <f>VLOOKUP(A131,'Hours Detail'!$E$17:$H$1048576,4,)</f>
        <v>#N/A</v>
      </c>
      <c r="C131" s="527" t="s">
        <v>1728</v>
      </c>
      <c r="D131" s="527" t="s">
        <v>4703</v>
      </c>
      <c r="E131" s="527" t="s">
        <v>1729</v>
      </c>
      <c r="F131" s="527" t="s">
        <v>1730</v>
      </c>
      <c r="G131" s="527">
        <v>283</v>
      </c>
      <c r="H131" s="527" t="s">
        <v>4705</v>
      </c>
      <c r="I131" s="527" t="s">
        <v>4704</v>
      </c>
      <c r="J131" s="527" t="s">
        <v>2890</v>
      </c>
      <c r="K131" s="527" t="s">
        <v>2890</v>
      </c>
      <c r="L131" s="527" t="s">
        <v>6371</v>
      </c>
      <c r="M131" s="524"/>
      <c r="N131" s="524"/>
      <c r="O131" s="524"/>
    </row>
    <row r="132" spans="1:15" ht="58" hidden="1">
      <c r="A132" s="524">
        <v>-612</v>
      </c>
      <c r="B132" s="524" t="e">
        <f>VLOOKUP(A132,'Hours Detail'!$E$17:$H$1048576,4,)</f>
        <v>#N/A</v>
      </c>
      <c r="C132" s="524" t="s">
        <v>5323</v>
      </c>
      <c r="D132" s="524" t="s">
        <v>5322</v>
      </c>
      <c r="E132" s="524" t="s">
        <v>5321</v>
      </c>
      <c r="F132" s="524" t="s">
        <v>5321</v>
      </c>
      <c r="G132" s="524" t="s">
        <v>5321</v>
      </c>
      <c r="H132" s="524" t="s">
        <v>5321</v>
      </c>
      <c r="I132" s="524" t="s">
        <v>5322</v>
      </c>
      <c r="J132" s="524" t="s">
        <v>5322</v>
      </c>
      <c r="K132" s="524"/>
      <c r="L132" s="524" t="s">
        <v>6379</v>
      </c>
      <c r="M132" s="524" t="s">
        <v>6502</v>
      </c>
      <c r="N132" s="524"/>
      <c r="O132" s="524"/>
    </row>
    <row r="133" spans="1:15" ht="58" hidden="1">
      <c r="A133" s="524">
        <v>-611</v>
      </c>
      <c r="B133" s="524" t="e">
        <f>VLOOKUP(A133,'Hours Detail'!$E$17:$H$1048576,4,)</f>
        <v>#N/A</v>
      </c>
      <c r="C133" s="524" t="s">
        <v>5484</v>
      </c>
      <c r="D133" s="524" t="s">
        <v>5483</v>
      </c>
      <c r="E133" s="524" t="s">
        <v>5482</v>
      </c>
      <c r="F133" s="524" t="s">
        <v>5482</v>
      </c>
      <c r="G133" s="524" t="s">
        <v>5482</v>
      </c>
      <c r="H133" s="524" t="s">
        <v>5482</v>
      </c>
      <c r="I133" s="524" t="s">
        <v>5483</v>
      </c>
      <c r="J133" s="524" t="s">
        <v>5483</v>
      </c>
      <c r="K133" s="524"/>
      <c r="L133" s="524" t="s">
        <v>6379</v>
      </c>
      <c r="M133" s="524" t="s">
        <v>6502</v>
      </c>
      <c r="N133" s="524"/>
      <c r="O133" s="524"/>
    </row>
    <row r="134" spans="1:15" ht="43.5" hidden="1">
      <c r="A134" s="525">
        <v>-610</v>
      </c>
      <c r="B134" s="524" t="e">
        <f>VLOOKUP(A134,'Hours Detail'!$E$17:$H$1048576,4,)</f>
        <v>#N/A</v>
      </c>
      <c r="C134" s="524" t="s">
        <v>218</v>
      </c>
      <c r="D134" s="524" t="s">
        <v>6504</v>
      </c>
      <c r="E134" s="524" t="s">
        <v>786</v>
      </c>
      <c r="F134" s="524" t="s">
        <v>786</v>
      </c>
      <c r="G134" s="524" t="s">
        <v>786</v>
      </c>
      <c r="H134" s="524" t="s">
        <v>786</v>
      </c>
      <c r="I134" s="524" t="s">
        <v>6504</v>
      </c>
      <c r="J134" s="524" t="s">
        <v>6504</v>
      </c>
      <c r="K134" s="524"/>
      <c r="L134" s="524" t="s">
        <v>6379</v>
      </c>
      <c r="M134" s="524" t="s">
        <v>6502</v>
      </c>
      <c r="N134" s="524"/>
      <c r="O134" s="524"/>
    </row>
    <row r="135" spans="1:15" ht="58" hidden="1">
      <c r="A135" s="527">
        <v>-610</v>
      </c>
      <c r="B135" s="524" t="e">
        <f>VLOOKUP(A135,'Hours Detail'!$E$17:$H$1048576,4,)</f>
        <v>#N/A</v>
      </c>
      <c r="C135" s="527" t="s">
        <v>218</v>
      </c>
      <c r="D135" s="527" t="s">
        <v>770</v>
      </c>
      <c r="E135" s="527" t="s">
        <v>785</v>
      </c>
      <c r="F135" s="527" t="s">
        <v>786</v>
      </c>
      <c r="G135" s="527">
        <v>15</v>
      </c>
      <c r="H135" s="527" t="s">
        <v>768</v>
      </c>
      <c r="I135" s="527" t="s">
        <v>769</v>
      </c>
      <c r="J135" s="527" t="s">
        <v>2890</v>
      </c>
      <c r="K135" s="527" t="s">
        <v>2889</v>
      </c>
      <c r="L135" s="527" t="s">
        <v>6371</v>
      </c>
      <c r="M135" s="524"/>
      <c r="N135" s="524"/>
      <c r="O135" s="524"/>
    </row>
    <row r="136" spans="1:15" hidden="1">
      <c r="A136" s="525">
        <v>-605</v>
      </c>
      <c r="B136" s="524" t="e">
        <f>VLOOKUP(A136,'Hours Detail'!$E$17:$H$1048576,4,)</f>
        <v>#N/A</v>
      </c>
      <c r="C136" s="524" t="s">
        <v>5735</v>
      </c>
      <c r="D136" s="524" t="s">
        <v>5735</v>
      </c>
      <c r="E136" s="524" t="s">
        <v>5735</v>
      </c>
      <c r="F136" s="524" t="s">
        <v>5735</v>
      </c>
      <c r="G136" s="524" t="s">
        <v>5735</v>
      </c>
      <c r="H136" s="524" t="s">
        <v>5735</v>
      </c>
      <c r="I136" s="524" t="s">
        <v>5735</v>
      </c>
      <c r="J136" s="524" t="s">
        <v>5735</v>
      </c>
      <c r="K136" s="524"/>
      <c r="L136" s="524" t="s">
        <v>6386</v>
      </c>
      <c r="M136" s="524" t="s">
        <v>6424</v>
      </c>
      <c r="N136" s="524"/>
      <c r="O136" s="524"/>
    </row>
    <row r="137" spans="1:15" ht="29" hidden="1">
      <c r="A137" s="524">
        <v>-603</v>
      </c>
      <c r="B137" s="524" t="e">
        <f>VLOOKUP(A137,'Hours Detail'!$E$17:$H$1048576,4,)</f>
        <v>#N/A</v>
      </c>
      <c r="C137" s="524" t="s">
        <v>5662</v>
      </c>
      <c r="D137" s="524" t="s">
        <v>5661</v>
      </c>
      <c r="E137" s="524" t="s">
        <v>5660</v>
      </c>
      <c r="F137" s="524" t="s">
        <v>5660</v>
      </c>
      <c r="G137" s="524" t="s">
        <v>5660</v>
      </c>
      <c r="H137" s="524" t="s">
        <v>5660</v>
      </c>
      <c r="I137" s="524" t="s">
        <v>5661</v>
      </c>
      <c r="J137" s="524" t="s">
        <v>5661</v>
      </c>
      <c r="K137" s="524"/>
      <c r="L137" s="524" t="s">
        <v>6381</v>
      </c>
      <c r="M137" s="524" t="s">
        <v>2313</v>
      </c>
      <c r="N137" s="524"/>
      <c r="O137" s="524"/>
    </row>
    <row r="138" spans="1:15" ht="43.5" hidden="1">
      <c r="A138" s="524">
        <v>-601</v>
      </c>
      <c r="B138" s="524" t="e">
        <f>VLOOKUP(A138,'Hours Detail'!$E$17:$H$1048576,4,)</f>
        <v>#N/A</v>
      </c>
      <c r="C138" s="524" t="s">
        <v>5387</v>
      </c>
      <c r="D138" s="524" t="s">
        <v>5386</v>
      </c>
      <c r="E138" s="524" t="s">
        <v>5385</v>
      </c>
      <c r="F138" s="524" t="s">
        <v>5385</v>
      </c>
      <c r="G138" s="524" t="s">
        <v>5385</v>
      </c>
      <c r="H138" s="524" t="s">
        <v>5385</v>
      </c>
      <c r="I138" s="524" t="s">
        <v>5386</v>
      </c>
      <c r="J138" s="524" t="s">
        <v>5386</v>
      </c>
      <c r="K138" s="524"/>
      <c r="L138" s="524" t="s">
        <v>6399</v>
      </c>
      <c r="M138" s="524" t="s">
        <v>6437</v>
      </c>
      <c r="N138" s="524"/>
      <c r="O138" s="524"/>
    </row>
    <row r="139" spans="1:15" ht="58" hidden="1">
      <c r="A139" s="525">
        <v>-530</v>
      </c>
      <c r="B139" s="524" t="e">
        <f>VLOOKUP(A139,'Hours Detail'!$E$17:$H$1048576,4,)</f>
        <v>#N/A</v>
      </c>
      <c r="C139" s="524" t="s">
        <v>5624</v>
      </c>
      <c r="D139" s="524" t="s">
        <v>4108</v>
      </c>
      <c r="E139" s="524" t="s">
        <v>5623</v>
      </c>
      <c r="F139" s="524" t="s">
        <v>5623</v>
      </c>
      <c r="G139" s="524" t="s">
        <v>5623</v>
      </c>
      <c r="H139" s="524" t="s">
        <v>5623</v>
      </c>
      <c r="I139" s="524" t="s">
        <v>4108</v>
      </c>
      <c r="J139" s="524" t="s">
        <v>4108</v>
      </c>
      <c r="K139" s="524"/>
      <c r="L139" s="524" t="s">
        <v>6386</v>
      </c>
      <c r="M139" s="524" t="s">
        <v>6424</v>
      </c>
      <c r="N139" s="524"/>
      <c r="O139" s="524"/>
    </row>
    <row r="140" spans="1:15" ht="58" hidden="1">
      <c r="A140" s="524">
        <v>-524</v>
      </c>
      <c r="B140" s="524" t="e">
        <f>VLOOKUP(A140,'Hours Detail'!$E$17:$H$1048576,4,)</f>
        <v>#N/A</v>
      </c>
      <c r="C140" s="524" t="s">
        <v>4840</v>
      </c>
      <c r="D140" s="524" t="s">
        <v>4839</v>
      </c>
      <c r="E140" s="524" t="s">
        <v>4838</v>
      </c>
      <c r="F140" s="524" t="s">
        <v>4838</v>
      </c>
      <c r="G140" s="524" t="s">
        <v>4838</v>
      </c>
      <c r="H140" s="524" t="s">
        <v>4838</v>
      </c>
      <c r="I140" s="524" t="s">
        <v>4839</v>
      </c>
      <c r="J140" s="524" t="s">
        <v>4839</v>
      </c>
      <c r="K140" s="524"/>
      <c r="L140" s="524" t="s">
        <v>6386</v>
      </c>
      <c r="M140" s="524" t="s">
        <v>4133</v>
      </c>
      <c r="N140" s="524"/>
      <c r="O140" s="524"/>
    </row>
    <row r="141" spans="1:15" ht="58" hidden="1">
      <c r="A141" s="524">
        <v>-523</v>
      </c>
      <c r="B141" s="524" t="e">
        <f>VLOOKUP(A141,'Hours Detail'!$E$17:$H$1048576,4,)</f>
        <v>#N/A</v>
      </c>
      <c r="C141" s="524" t="s">
        <v>4774</v>
      </c>
      <c r="D141" s="524" t="s">
        <v>4773</v>
      </c>
      <c r="E141" s="524" t="s">
        <v>4772</v>
      </c>
      <c r="F141" s="524" t="s">
        <v>4772</v>
      </c>
      <c r="G141" s="524" t="s">
        <v>4772</v>
      </c>
      <c r="H141" s="524" t="s">
        <v>4772</v>
      </c>
      <c r="I141" s="524" t="s">
        <v>4773</v>
      </c>
      <c r="J141" s="524" t="s">
        <v>6505</v>
      </c>
      <c r="K141" s="524"/>
      <c r="L141" s="524" t="s">
        <v>6386</v>
      </c>
      <c r="M141" s="524" t="s">
        <v>6424</v>
      </c>
      <c r="N141" s="524"/>
      <c r="O141" s="524"/>
    </row>
    <row r="142" spans="1:15" ht="43.5" hidden="1">
      <c r="A142" s="525">
        <v>-403</v>
      </c>
      <c r="B142" s="524" t="e">
        <f>VLOOKUP(A142,'Hours Detail'!$E$17:$H$1048576,4,)</f>
        <v>#N/A</v>
      </c>
      <c r="C142" s="524" t="s">
        <v>4762</v>
      </c>
      <c r="D142" s="524" t="s">
        <v>4761</v>
      </c>
      <c r="E142" s="524" t="s">
        <v>4760</v>
      </c>
      <c r="F142" s="524" t="s">
        <v>4760</v>
      </c>
      <c r="G142" s="524" t="s">
        <v>4760</v>
      </c>
      <c r="H142" s="524" t="s">
        <v>4760</v>
      </c>
      <c r="I142" s="524" t="s">
        <v>6448</v>
      </c>
      <c r="J142" s="524" t="s">
        <v>4761</v>
      </c>
      <c r="K142" s="524"/>
      <c r="L142" s="524" t="s">
        <v>6376</v>
      </c>
      <c r="M142" s="524" t="s">
        <v>6377</v>
      </c>
      <c r="N142" s="524"/>
      <c r="O142" s="524"/>
    </row>
    <row r="143" spans="1:15" ht="87" hidden="1">
      <c r="A143" s="524">
        <v>-397</v>
      </c>
      <c r="B143" s="524" t="e">
        <f>VLOOKUP(A143,'Hours Detail'!$E$17:$H$1048576,4,)</f>
        <v>#N/A</v>
      </c>
      <c r="C143" s="524" t="s">
        <v>4983</v>
      </c>
      <c r="D143" s="524" t="s">
        <v>4982</v>
      </c>
      <c r="E143" s="524" t="s">
        <v>4981</v>
      </c>
      <c r="F143" s="524" t="s">
        <v>4981</v>
      </c>
      <c r="G143" s="524" t="s">
        <v>4981</v>
      </c>
      <c r="H143" s="524" t="s">
        <v>4981</v>
      </c>
      <c r="I143" s="524" t="s">
        <v>6506</v>
      </c>
      <c r="J143" s="524" t="s">
        <v>4982</v>
      </c>
      <c r="K143" s="524"/>
      <c r="L143" s="524" t="s">
        <v>6365</v>
      </c>
      <c r="M143" s="524" t="s">
        <v>6366</v>
      </c>
      <c r="N143" s="524"/>
      <c r="O143" s="524"/>
    </row>
    <row r="144" spans="1:15" ht="87" hidden="1">
      <c r="A144" s="524">
        <v>-350</v>
      </c>
      <c r="B144" s="524" t="e">
        <f>VLOOKUP(A144,'Hours Detail'!$E$17:$H$1048576,4,)</f>
        <v>#N/A</v>
      </c>
      <c r="C144" s="524" t="s">
        <v>5333</v>
      </c>
      <c r="D144" s="524" t="s">
        <v>5332</v>
      </c>
      <c r="E144" s="524" t="s">
        <v>5331</v>
      </c>
      <c r="F144" s="524" t="s">
        <v>5331</v>
      </c>
      <c r="G144" s="524" t="s">
        <v>5331</v>
      </c>
      <c r="H144" s="524" t="s">
        <v>5331</v>
      </c>
      <c r="I144" s="524" t="s">
        <v>5332</v>
      </c>
      <c r="J144" s="524" t="s">
        <v>5332</v>
      </c>
      <c r="K144" s="524"/>
      <c r="L144" s="524" t="s">
        <v>6365</v>
      </c>
      <c r="M144" s="524" t="s">
        <v>6366</v>
      </c>
      <c r="N144" s="524"/>
      <c r="O144" s="524"/>
    </row>
    <row r="145" spans="1:15" ht="43.5" hidden="1">
      <c r="A145" s="524">
        <v>-349</v>
      </c>
      <c r="B145" s="524" t="e">
        <f>VLOOKUP(A145,'Hours Detail'!$E$17:$H$1048576,4,)</f>
        <v>#N/A</v>
      </c>
      <c r="C145" s="524" t="s">
        <v>5025</v>
      </c>
      <c r="D145" s="524" t="s">
        <v>5024</v>
      </c>
      <c r="E145" s="524" t="s">
        <v>5023</v>
      </c>
      <c r="F145" s="524" t="s">
        <v>6507</v>
      </c>
      <c r="G145" s="524" t="s">
        <v>5023</v>
      </c>
      <c r="H145" s="524" t="s">
        <v>5023</v>
      </c>
      <c r="I145" s="524" t="s">
        <v>6508</v>
      </c>
      <c r="J145" s="524" t="s">
        <v>5024</v>
      </c>
      <c r="K145" s="524"/>
      <c r="L145" s="524" t="s">
        <v>6399</v>
      </c>
      <c r="M145" s="524" t="s">
        <v>6509</v>
      </c>
      <c r="N145" s="524"/>
      <c r="O145" s="524"/>
    </row>
    <row r="146" spans="1:15" ht="72.5" hidden="1">
      <c r="A146" s="524">
        <v>-325</v>
      </c>
      <c r="B146" s="524" t="e">
        <f>VLOOKUP(A146,'Hours Detail'!$E$17:$H$1048576,4,)</f>
        <v>#N/A</v>
      </c>
      <c r="C146" s="524" t="s">
        <v>6510</v>
      </c>
      <c r="D146" s="524" t="s">
        <v>6512</v>
      </c>
      <c r="E146" s="524" t="s">
        <v>6511</v>
      </c>
      <c r="F146" s="524" t="s">
        <v>6511</v>
      </c>
      <c r="G146" s="524" t="s">
        <v>6511</v>
      </c>
      <c r="H146" s="524" t="s">
        <v>6511</v>
      </c>
      <c r="I146" s="524" t="s">
        <v>6512</v>
      </c>
      <c r="J146" s="524" t="s">
        <v>6512</v>
      </c>
      <c r="K146" s="524"/>
      <c r="L146" s="524" t="s">
        <v>6365</v>
      </c>
      <c r="M146" s="524" t="s">
        <v>6366</v>
      </c>
      <c r="N146" s="524"/>
      <c r="O146" s="524"/>
    </row>
    <row r="147" spans="1:15" ht="58" hidden="1">
      <c r="A147" s="524">
        <v>-318</v>
      </c>
      <c r="B147" s="524" t="e">
        <f>VLOOKUP(A147,'Hours Detail'!$E$17:$H$1048576,4,)</f>
        <v>#N/A</v>
      </c>
      <c r="C147" s="524" t="s">
        <v>5405</v>
      </c>
      <c r="D147" s="524" t="s">
        <v>5404</v>
      </c>
      <c r="E147" s="524" t="s">
        <v>5403</v>
      </c>
      <c r="F147" s="524" t="s">
        <v>5403</v>
      </c>
      <c r="G147" s="524" t="s">
        <v>5403</v>
      </c>
      <c r="H147" s="524" t="s">
        <v>5403</v>
      </c>
      <c r="I147" s="524" t="s">
        <v>5404</v>
      </c>
      <c r="J147" s="524" t="s">
        <v>5404</v>
      </c>
      <c r="K147" s="524"/>
      <c r="L147" s="524" t="s">
        <v>6399</v>
      </c>
      <c r="M147" s="524" t="s">
        <v>6509</v>
      </c>
      <c r="N147" s="524"/>
      <c r="O147" s="524"/>
    </row>
    <row r="148" spans="1:15" ht="29" hidden="1">
      <c r="A148" s="524">
        <v>-317</v>
      </c>
      <c r="B148" s="524" t="e">
        <f>VLOOKUP(A148,'Hours Detail'!$E$17:$H$1048576,4,)</f>
        <v>#N/A</v>
      </c>
      <c r="C148" s="524" t="s">
        <v>1235</v>
      </c>
      <c r="D148" s="524" t="s">
        <v>6514</v>
      </c>
      <c r="E148" s="524" t="s">
        <v>4851</v>
      </c>
      <c r="F148" s="524" t="s">
        <v>4851</v>
      </c>
      <c r="G148" s="524" t="s">
        <v>4851</v>
      </c>
      <c r="H148" s="524" t="s">
        <v>4851</v>
      </c>
      <c r="I148" s="524" t="s">
        <v>6513</v>
      </c>
      <c r="J148" s="524" t="s">
        <v>6514</v>
      </c>
      <c r="K148" s="524"/>
      <c r="L148" s="524" t="s">
        <v>6397</v>
      </c>
      <c r="M148" s="524" t="s">
        <v>2384</v>
      </c>
      <c r="N148" s="524"/>
      <c r="O148" s="524"/>
    </row>
    <row r="149" spans="1:15" ht="116" hidden="1">
      <c r="A149" s="527">
        <v>-317</v>
      </c>
      <c r="B149" s="524" t="e">
        <f>VLOOKUP(A149,'Hours Detail'!$E$17:$H$1048576,4,)</f>
        <v>#N/A</v>
      </c>
      <c r="C149" s="527" t="s">
        <v>1235</v>
      </c>
      <c r="D149" s="527" t="s">
        <v>4703</v>
      </c>
      <c r="E149" s="527" t="s">
        <v>1236</v>
      </c>
      <c r="F149" s="527" t="s">
        <v>1237</v>
      </c>
      <c r="G149" s="527">
        <v>283</v>
      </c>
      <c r="H149" s="527" t="s">
        <v>4705</v>
      </c>
      <c r="I149" s="527" t="s">
        <v>4704</v>
      </c>
      <c r="J149" s="527" t="s">
        <v>2890</v>
      </c>
      <c r="K149" s="527" t="s">
        <v>2890</v>
      </c>
      <c r="L149" s="527" t="s">
        <v>6515</v>
      </c>
      <c r="M149" s="524"/>
      <c r="N149" s="524"/>
      <c r="O149" s="524"/>
    </row>
    <row r="150" spans="1:15" ht="58" hidden="1">
      <c r="A150" s="525">
        <v>-316</v>
      </c>
      <c r="B150" s="524" t="e">
        <f>VLOOKUP(A150,'Hours Detail'!$E$17:$H$1048576,4,)</f>
        <v>#N/A</v>
      </c>
      <c r="C150" s="524" t="s">
        <v>5546</v>
      </c>
      <c r="D150" s="524" t="s">
        <v>5545</v>
      </c>
      <c r="E150" s="524" t="s">
        <v>5544</v>
      </c>
      <c r="F150" s="524" t="s">
        <v>5544</v>
      </c>
      <c r="G150" s="524" t="s">
        <v>5544</v>
      </c>
      <c r="H150" s="524" t="s">
        <v>5544</v>
      </c>
      <c r="I150" s="524" t="s">
        <v>6516</v>
      </c>
      <c r="J150" s="524" t="s">
        <v>5545</v>
      </c>
      <c r="K150" s="524"/>
      <c r="L150" s="524" t="s">
        <v>6399</v>
      </c>
      <c r="M150" s="524" t="s">
        <v>6437</v>
      </c>
      <c r="N150" s="524"/>
      <c r="O150" s="524"/>
    </row>
    <row r="151" spans="1:15" ht="43.5" hidden="1">
      <c r="A151" s="525">
        <v>-315</v>
      </c>
      <c r="B151" s="524" t="e">
        <f>VLOOKUP(A151,'Hours Detail'!$E$17:$H$1048576,4,)</f>
        <v>#N/A</v>
      </c>
      <c r="C151" s="524" t="s">
        <v>6517</v>
      </c>
      <c r="D151" s="524" t="s">
        <v>6520</v>
      </c>
      <c r="E151" s="524" t="s">
        <v>6518</v>
      </c>
      <c r="F151" s="524" t="s">
        <v>6518</v>
      </c>
      <c r="G151" s="524" t="s">
        <v>6518</v>
      </c>
      <c r="H151" s="524" t="s">
        <v>6518</v>
      </c>
      <c r="I151" s="524" t="s">
        <v>6519</v>
      </c>
      <c r="J151" s="524" t="s">
        <v>6520</v>
      </c>
      <c r="K151" s="524" t="s">
        <v>6359</v>
      </c>
      <c r="L151" s="524" t="s">
        <v>6365</v>
      </c>
      <c r="M151" s="524" t="s">
        <v>6366</v>
      </c>
      <c r="N151" s="524"/>
      <c r="O151" s="524"/>
    </row>
    <row r="152" spans="1:15" ht="43.5" hidden="1">
      <c r="A152" s="524">
        <v>-308</v>
      </c>
      <c r="B152" s="524" t="e">
        <f>VLOOKUP(A152,'Hours Detail'!$E$17:$H$1048576,4,)</f>
        <v>#N/A</v>
      </c>
      <c r="C152" s="524" t="s">
        <v>5659</v>
      </c>
      <c r="D152" s="524" t="s">
        <v>5658</v>
      </c>
      <c r="E152" s="524" t="s">
        <v>5657</v>
      </c>
      <c r="F152" s="524" t="s">
        <v>5657</v>
      </c>
      <c r="G152" s="524" t="s">
        <v>5657</v>
      </c>
      <c r="H152" s="524" t="s">
        <v>5657</v>
      </c>
      <c r="I152" s="524" t="s">
        <v>5658</v>
      </c>
      <c r="J152" s="524" t="s">
        <v>5658</v>
      </c>
      <c r="K152" s="524"/>
      <c r="L152" s="524" t="s">
        <v>6386</v>
      </c>
      <c r="M152" s="524" t="s">
        <v>4133</v>
      </c>
      <c r="N152" s="524"/>
      <c r="O152" s="524"/>
    </row>
    <row r="153" spans="1:15" ht="58" hidden="1">
      <c r="A153" s="525">
        <v>-299</v>
      </c>
      <c r="B153" s="524" t="e">
        <f>VLOOKUP(A153,'Hours Detail'!$E$17:$H$1048576,4,)</f>
        <v>#N/A</v>
      </c>
      <c r="C153" s="524" t="s">
        <v>5622</v>
      </c>
      <c r="D153" s="524" t="s">
        <v>5621</v>
      </c>
      <c r="E153" s="524" t="s">
        <v>5620</v>
      </c>
      <c r="F153" s="524" t="s">
        <v>5620</v>
      </c>
      <c r="G153" s="524" t="s">
        <v>5620</v>
      </c>
      <c r="H153" s="524" t="s">
        <v>5620</v>
      </c>
      <c r="I153" s="524" t="s">
        <v>6521</v>
      </c>
      <c r="J153" s="524" t="s">
        <v>5621</v>
      </c>
      <c r="K153" s="524" t="s">
        <v>6359</v>
      </c>
      <c r="L153" s="524" t="s">
        <v>6386</v>
      </c>
      <c r="M153" s="524" t="s">
        <v>6387</v>
      </c>
      <c r="N153" s="524"/>
      <c r="O153" s="524"/>
    </row>
    <row r="154" spans="1:15" ht="43.5" hidden="1">
      <c r="A154" s="525">
        <v>-298</v>
      </c>
      <c r="B154" s="524" t="e">
        <f>VLOOKUP(A154,'Hours Detail'!$E$17:$H$1048576,4,)</f>
        <v>#N/A</v>
      </c>
      <c r="C154" s="524" t="s">
        <v>4049</v>
      </c>
      <c r="D154" s="524" t="s">
        <v>4048</v>
      </c>
      <c r="E154" s="524" t="s">
        <v>4047</v>
      </c>
      <c r="F154" s="524" t="s">
        <v>4047</v>
      </c>
      <c r="G154" s="524" t="s">
        <v>4047</v>
      </c>
      <c r="H154" s="524" t="s">
        <v>4047</v>
      </c>
      <c r="I154" s="524" t="s">
        <v>6522</v>
      </c>
      <c r="J154" s="524" t="s">
        <v>4048</v>
      </c>
      <c r="K154" s="524"/>
      <c r="L154" s="524" t="s">
        <v>6386</v>
      </c>
      <c r="M154" s="524" t="s">
        <v>6387</v>
      </c>
      <c r="N154" s="524"/>
      <c r="O154" s="524"/>
    </row>
    <row r="155" spans="1:15" ht="43.5" hidden="1">
      <c r="A155" s="525">
        <v>-297</v>
      </c>
      <c r="B155" s="524" t="e">
        <f>VLOOKUP(A155,'Hours Detail'!$E$17:$H$1048576,4,)</f>
        <v>#N/A</v>
      </c>
      <c r="C155" s="524" t="s">
        <v>5619</v>
      </c>
      <c r="D155" s="524" t="s">
        <v>5618</v>
      </c>
      <c r="E155" s="524" t="s">
        <v>5617</v>
      </c>
      <c r="F155" s="524" t="s">
        <v>5617</v>
      </c>
      <c r="G155" s="524" t="s">
        <v>5617</v>
      </c>
      <c r="H155" s="524" t="s">
        <v>5617</v>
      </c>
      <c r="I155" s="524" t="s">
        <v>6523</v>
      </c>
      <c r="J155" s="524" t="s">
        <v>5618</v>
      </c>
      <c r="K155" s="524" t="s">
        <v>6359</v>
      </c>
      <c r="L155" s="524" t="s">
        <v>6386</v>
      </c>
      <c r="M155" s="524" t="s">
        <v>6387</v>
      </c>
      <c r="N155" s="524"/>
      <c r="O155" s="524"/>
    </row>
    <row r="156" spans="1:15" ht="29" hidden="1">
      <c r="A156" s="525">
        <v>-296</v>
      </c>
      <c r="B156" s="524" t="e">
        <f>VLOOKUP(A156,'Hours Detail'!$E$17:$H$1048576,4,)</f>
        <v>#N/A</v>
      </c>
      <c r="C156" s="524" t="s">
        <v>1241</v>
      </c>
      <c r="D156" s="524" t="s">
        <v>1242</v>
      </c>
      <c r="E156" s="524" t="s">
        <v>1243</v>
      </c>
      <c r="F156" s="524" t="s">
        <v>1243</v>
      </c>
      <c r="G156" s="524" t="s">
        <v>1243</v>
      </c>
      <c r="H156" s="524" t="s">
        <v>1243</v>
      </c>
      <c r="I156" s="524" t="s">
        <v>6524</v>
      </c>
      <c r="J156" s="524" t="s">
        <v>1242</v>
      </c>
      <c r="K156" s="524" t="s">
        <v>6359</v>
      </c>
      <c r="L156" s="524" t="s">
        <v>6386</v>
      </c>
      <c r="M156" s="524" t="s">
        <v>6387</v>
      </c>
      <c r="N156" s="524"/>
      <c r="O156" s="524"/>
    </row>
    <row r="157" spans="1:15" ht="58" hidden="1">
      <c r="A157" s="527">
        <v>-296</v>
      </c>
      <c r="B157" s="524" t="e">
        <f>VLOOKUP(A157,'Hours Detail'!$E$17:$H$1048576,4,)</f>
        <v>#N/A</v>
      </c>
      <c r="C157" s="527" t="s">
        <v>1241</v>
      </c>
      <c r="D157" s="527" t="s">
        <v>4703</v>
      </c>
      <c r="E157" s="527" t="s">
        <v>1242</v>
      </c>
      <c r="F157" s="527" t="s">
        <v>1243</v>
      </c>
      <c r="G157" s="527">
        <v>283</v>
      </c>
      <c r="H157" s="527" t="s">
        <v>4705</v>
      </c>
      <c r="I157" s="527" t="s">
        <v>4704</v>
      </c>
      <c r="J157" s="527" t="s">
        <v>2890</v>
      </c>
      <c r="K157" s="527" t="s">
        <v>2890</v>
      </c>
      <c r="L157" s="527" t="s">
        <v>6525</v>
      </c>
      <c r="M157" s="524"/>
      <c r="N157" s="524"/>
      <c r="O157" s="524"/>
    </row>
    <row r="158" spans="1:15" ht="43.5" hidden="1">
      <c r="A158" s="524">
        <v>-261</v>
      </c>
      <c r="B158" s="524" t="e">
        <f>VLOOKUP(A158,'Hours Detail'!$E$17:$H$1048576,4,)</f>
        <v>#N/A</v>
      </c>
      <c r="C158" s="524" t="s">
        <v>413</v>
      </c>
      <c r="D158" s="524" t="s">
        <v>1471</v>
      </c>
      <c r="E158" s="524" t="s">
        <v>1472</v>
      </c>
      <c r="F158" s="524" t="s">
        <v>1472</v>
      </c>
      <c r="G158" s="524" t="s">
        <v>1472</v>
      </c>
      <c r="H158" s="524" t="s">
        <v>1472</v>
      </c>
      <c r="I158" s="524" t="s">
        <v>6526</v>
      </c>
      <c r="J158" s="524" t="s">
        <v>1471</v>
      </c>
      <c r="K158" s="524"/>
      <c r="L158" s="524" t="s">
        <v>6400</v>
      </c>
      <c r="M158" s="524" t="s">
        <v>6401</v>
      </c>
      <c r="N158" s="524"/>
      <c r="O158" s="524"/>
    </row>
    <row r="159" spans="1:15" ht="58" hidden="1">
      <c r="A159" s="527">
        <v>-261</v>
      </c>
      <c r="B159" s="524" t="e">
        <f>VLOOKUP(A159,'Hours Detail'!$E$17:$H$1048576,4,)</f>
        <v>#N/A</v>
      </c>
      <c r="C159" s="527" t="s">
        <v>413</v>
      </c>
      <c r="D159" s="527" t="s">
        <v>1469</v>
      </c>
      <c r="E159" s="527" t="s">
        <v>1471</v>
      </c>
      <c r="F159" s="527" t="s">
        <v>1472</v>
      </c>
      <c r="G159" s="527">
        <v>302</v>
      </c>
      <c r="H159" s="527" t="s">
        <v>409</v>
      </c>
      <c r="I159" s="527" t="s">
        <v>1467</v>
      </c>
      <c r="J159" s="527" t="s">
        <v>2890</v>
      </c>
      <c r="K159" s="527" t="s">
        <v>2890</v>
      </c>
      <c r="L159" s="527" t="s">
        <v>6371</v>
      </c>
      <c r="M159" s="524"/>
      <c r="N159" s="524"/>
      <c r="O159" s="524"/>
    </row>
    <row r="160" spans="1:15" ht="58" hidden="1">
      <c r="A160" s="525">
        <v>-214</v>
      </c>
      <c r="B160" s="524" t="e">
        <f>VLOOKUP(A160,'Hours Detail'!$E$17:$H$1048576,4,)</f>
        <v>#N/A</v>
      </c>
      <c r="C160" s="524" t="s">
        <v>5531</v>
      </c>
      <c r="D160" s="524" t="s">
        <v>5530</v>
      </c>
      <c r="E160" s="524" t="s">
        <v>5529</v>
      </c>
      <c r="F160" s="524" t="s">
        <v>5529</v>
      </c>
      <c r="G160" s="524" t="s">
        <v>5529</v>
      </c>
      <c r="H160" s="524" t="s">
        <v>5529</v>
      </c>
      <c r="I160" s="524" t="s">
        <v>6527</v>
      </c>
      <c r="J160" s="524" t="s">
        <v>5530</v>
      </c>
      <c r="K160" s="524"/>
      <c r="L160" s="524" t="s">
        <v>6397</v>
      </c>
      <c r="M160" s="524" t="s">
        <v>2384</v>
      </c>
      <c r="N160" s="524"/>
      <c r="O160" s="524"/>
    </row>
    <row r="161" spans="1:15" ht="43.5" hidden="1">
      <c r="A161" s="525">
        <v>-210</v>
      </c>
      <c r="B161" s="524" t="e">
        <f>VLOOKUP(A161,'Hours Detail'!$E$17:$H$1048576,4,)</f>
        <v>#N/A</v>
      </c>
      <c r="C161" s="524" t="s">
        <v>5543</v>
      </c>
      <c r="D161" s="524" t="s">
        <v>5542</v>
      </c>
      <c r="E161" s="524" t="s">
        <v>5541</v>
      </c>
      <c r="F161" s="524" t="s">
        <v>5541</v>
      </c>
      <c r="G161" s="524" t="s">
        <v>5541</v>
      </c>
      <c r="H161" s="524" t="s">
        <v>5541</v>
      </c>
      <c r="I161" s="524" t="s">
        <v>6528</v>
      </c>
      <c r="J161" s="524" t="s">
        <v>5542</v>
      </c>
      <c r="K161" s="524" t="s">
        <v>6359</v>
      </c>
      <c r="L161" s="524" t="s">
        <v>6376</v>
      </c>
      <c r="M161" s="524" t="s">
        <v>6377</v>
      </c>
      <c r="N161" s="524"/>
      <c r="O161" s="524"/>
    </row>
    <row r="162" spans="1:15" ht="43.5" hidden="1">
      <c r="A162" s="525">
        <v>-209</v>
      </c>
      <c r="B162" s="524" t="e">
        <f>VLOOKUP(A162,'Hours Detail'!$E$17:$H$1048576,4,)</f>
        <v>#N/A</v>
      </c>
      <c r="C162" s="524" t="s">
        <v>6529</v>
      </c>
      <c r="D162" s="524" t="s">
        <v>4183</v>
      </c>
      <c r="E162" s="524" t="s">
        <v>4182</v>
      </c>
      <c r="F162" s="524" t="s">
        <v>4182</v>
      </c>
      <c r="G162" s="524" t="s">
        <v>4182</v>
      </c>
      <c r="H162" s="524" t="s">
        <v>4182</v>
      </c>
      <c r="I162" s="524" t="s">
        <v>6530</v>
      </c>
      <c r="J162" s="524" t="s">
        <v>4183</v>
      </c>
      <c r="K162" s="524" t="s">
        <v>6359</v>
      </c>
      <c r="L162" s="524" t="s">
        <v>6368</v>
      </c>
      <c r="M162" s="524" t="s">
        <v>6370</v>
      </c>
      <c r="N162" s="524"/>
      <c r="O162" s="524"/>
    </row>
    <row r="163" spans="1:15" ht="58" hidden="1">
      <c r="A163" s="525">
        <v>-208</v>
      </c>
      <c r="B163" s="524" t="e">
        <f>VLOOKUP(A163,'Hours Detail'!$E$17:$H$1048576,4,)</f>
        <v>#N/A</v>
      </c>
      <c r="C163" s="524" t="s">
        <v>6531</v>
      </c>
      <c r="D163" s="524" t="s">
        <v>5792</v>
      </c>
      <c r="E163" s="524" t="s">
        <v>5791</v>
      </c>
      <c r="F163" s="524" t="s">
        <v>5791</v>
      </c>
      <c r="G163" s="524" t="s">
        <v>5791</v>
      </c>
      <c r="H163" s="524" t="s">
        <v>5791</v>
      </c>
      <c r="I163" s="524" t="s">
        <v>5792</v>
      </c>
      <c r="J163" s="524" t="s">
        <v>5792</v>
      </c>
      <c r="K163" s="524"/>
      <c r="L163" s="524" t="s">
        <v>6368</v>
      </c>
      <c r="M163" s="524" t="s">
        <v>6370</v>
      </c>
      <c r="N163" s="524"/>
      <c r="O163" s="524"/>
    </row>
    <row r="164" spans="1:15" ht="29" hidden="1">
      <c r="A164" s="524">
        <v>-206</v>
      </c>
      <c r="B164" s="524" t="e">
        <f>VLOOKUP(A164,'Hours Detail'!$E$17:$H$1048576,4,)</f>
        <v>#N/A</v>
      </c>
      <c r="C164" s="524" t="s">
        <v>4834</v>
      </c>
      <c r="D164" s="524" t="s">
        <v>4833</v>
      </c>
      <c r="E164" s="524" t="s">
        <v>4832</v>
      </c>
      <c r="F164" s="524" t="s">
        <v>4832</v>
      </c>
      <c r="G164" s="524" t="s">
        <v>4832</v>
      </c>
      <c r="H164" s="524" t="s">
        <v>4832</v>
      </c>
      <c r="I164" s="524" t="s">
        <v>4833</v>
      </c>
      <c r="J164" s="524" t="s">
        <v>4833</v>
      </c>
      <c r="K164" s="524"/>
      <c r="L164" s="524" t="s">
        <v>6381</v>
      </c>
      <c r="M164" s="524" t="s">
        <v>2313</v>
      </c>
      <c r="N164" s="524"/>
      <c r="O164" s="524"/>
    </row>
    <row r="165" spans="1:15" ht="29" hidden="1">
      <c r="A165" s="525">
        <v>-204</v>
      </c>
      <c r="B165" s="524" t="e">
        <f>VLOOKUP(A165,'Hours Detail'!$E$17:$H$1048576,4,)</f>
        <v>#N/A</v>
      </c>
      <c r="C165" s="524" t="s">
        <v>331</v>
      </c>
      <c r="D165" s="524" t="s">
        <v>642</v>
      </c>
      <c r="E165" s="524" t="s">
        <v>331</v>
      </c>
      <c r="F165" s="524" t="s">
        <v>331</v>
      </c>
      <c r="G165" s="524" t="s">
        <v>331</v>
      </c>
      <c r="H165" s="524" t="s">
        <v>331</v>
      </c>
      <c r="I165" s="524" t="s">
        <v>4205</v>
      </c>
      <c r="J165" s="524" t="s">
        <v>642</v>
      </c>
      <c r="K165" s="524"/>
      <c r="L165" s="524" t="s">
        <v>6381</v>
      </c>
      <c r="M165" s="524" t="s">
        <v>522</v>
      </c>
      <c r="N165" s="524"/>
      <c r="O165" s="524"/>
    </row>
    <row r="166" spans="1:15" ht="43.5" hidden="1">
      <c r="A166" s="524">
        <v>-201</v>
      </c>
      <c r="B166" s="524" t="e">
        <f>VLOOKUP(A166,'Hours Detail'!$E$17:$H$1048576,4,)</f>
        <v>#N/A</v>
      </c>
      <c r="C166" s="524" t="s">
        <v>5555</v>
      </c>
      <c r="D166" s="524" t="s">
        <v>5554</v>
      </c>
      <c r="E166" s="524" t="s">
        <v>5553</v>
      </c>
      <c r="F166" s="524" t="s">
        <v>5553</v>
      </c>
      <c r="G166" s="524" t="s">
        <v>5553</v>
      </c>
      <c r="H166" s="524" t="s">
        <v>5553</v>
      </c>
      <c r="I166" s="524" t="s">
        <v>6532</v>
      </c>
      <c r="J166" s="524" t="s">
        <v>5554</v>
      </c>
      <c r="K166" s="524" t="s">
        <v>6359</v>
      </c>
      <c r="L166" s="524" t="s">
        <v>6397</v>
      </c>
      <c r="M166" s="524" t="s">
        <v>2384</v>
      </c>
      <c r="N166" s="524"/>
      <c r="O166" s="524"/>
    </row>
    <row r="167" spans="1:15" ht="43.5" hidden="1">
      <c r="A167" s="525">
        <v>-195</v>
      </c>
      <c r="B167" s="524" t="e">
        <f>VLOOKUP(A167,'Hours Detail'!$E$17:$H$1048576,4,)</f>
        <v>#N/A</v>
      </c>
      <c r="C167" s="524" t="s">
        <v>5667</v>
      </c>
      <c r="D167" s="524" t="s">
        <v>5666</v>
      </c>
      <c r="E167" s="524" t="s">
        <v>5665</v>
      </c>
      <c r="F167" s="524" t="s">
        <v>5665</v>
      </c>
      <c r="G167" s="524" t="s">
        <v>5665</v>
      </c>
      <c r="H167" s="524" t="s">
        <v>5665</v>
      </c>
      <c r="I167" s="524" t="s">
        <v>5666</v>
      </c>
      <c r="J167" s="524" t="s">
        <v>5666</v>
      </c>
      <c r="K167" s="524"/>
      <c r="L167" s="524" t="s">
        <v>6376</v>
      </c>
      <c r="M167" s="524" t="s">
        <v>6377</v>
      </c>
      <c r="N167" s="524"/>
      <c r="O167" s="524"/>
    </row>
    <row r="168" spans="1:15" ht="43.5" hidden="1">
      <c r="A168" s="525">
        <v>-192</v>
      </c>
      <c r="B168" s="524" t="e">
        <f>VLOOKUP(A168,'Hours Detail'!$E$17:$H$1048576,4,)</f>
        <v>#N/A</v>
      </c>
      <c r="C168" s="524" t="s">
        <v>5411</v>
      </c>
      <c r="D168" s="524" t="s">
        <v>5410</v>
      </c>
      <c r="E168" s="524" t="s">
        <v>5409</v>
      </c>
      <c r="F168" s="524" t="s">
        <v>5409</v>
      </c>
      <c r="G168" s="524" t="s">
        <v>5409</v>
      </c>
      <c r="H168" s="524" t="s">
        <v>5409</v>
      </c>
      <c r="I168" s="524" t="s">
        <v>5410</v>
      </c>
      <c r="J168" s="524" t="s">
        <v>5410</v>
      </c>
      <c r="K168" s="524"/>
      <c r="L168" s="524" t="s">
        <v>6386</v>
      </c>
      <c r="M168" s="524" t="s">
        <v>6435</v>
      </c>
      <c r="N168" s="524"/>
      <c r="O168" s="524"/>
    </row>
    <row r="169" spans="1:15" ht="29" hidden="1">
      <c r="A169" s="524">
        <v>-187</v>
      </c>
      <c r="B169" s="524" t="e">
        <f>VLOOKUP(A169,'Hours Detail'!$E$17:$H$1048576,4,)</f>
        <v>#N/A</v>
      </c>
      <c r="C169" s="524" t="s">
        <v>5664</v>
      </c>
      <c r="D169" s="524" t="s">
        <v>1752</v>
      </c>
      <c r="E169" s="524" t="s">
        <v>5663</v>
      </c>
      <c r="F169" s="524" t="s">
        <v>5663</v>
      </c>
      <c r="G169" s="524" t="s">
        <v>5663</v>
      </c>
      <c r="H169" s="524" t="s">
        <v>5663</v>
      </c>
      <c r="I169" s="524" t="s">
        <v>6533</v>
      </c>
      <c r="J169" s="524" t="s">
        <v>1752</v>
      </c>
      <c r="K169" s="524"/>
      <c r="L169" s="524" t="s">
        <v>6381</v>
      </c>
      <c r="M169" s="524" t="s">
        <v>522</v>
      </c>
      <c r="N169" s="524"/>
      <c r="O169" s="524"/>
    </row>
    <row r="170" spans="1:15" ht="43.5" hidden="1">
      <c r="A170" s="524">
        <v>-175</v>
      </c>
      <c r="B170" s="524" t="e">
        <f>VLOOKUP(A170,'Hours Detail'!$E$17:$H$1048576,4,)</f>
        <v>#N/A</v>
      </c>
      <c r="C170" s="524" t="s">
        <v>4771</v>
      </c>
      <c r="D170" s="524" t="s">
        <v>4770</v>
      </c>
      <c r="E170" s="524" t="s">
        <v>4769</v>
      </c>
      <c r="F170" s="524" t="s">
        <v>4769</v>
      </c>
      <c r="G170" s="524" t="s">
        <v>4769</v>
      </c>
      <c r="H170" s="524" t="s">
        <v>4769</v>
      </c>
      <c r="I170" s="524" t="s">
        <v>4770</v>
      </c>
      <c r="J170" s="524" t="s">
        <v>4770</v>
      </c>
      <c r="K170" s="524"/>
      <c r="L170" s="524" t="s">
        <v>6399</v>
      </c>
      <c r="M170" s="524" t="s">
        <v>6437</v>
      </c>
      <c r="N170" s="524"/>
      <c r="O170" s="524"/>
    </row>
    <row r="171" spans="1:15" ht="58" hidden="1">
      <c r="A171" s="524">
        <v>-162</v>
      </c>
      <c r="B171" s="524" t="e">
        <f>VLOOKUP(A171,'Hours Detail'!$E$17:$H$1048576,4,)</f>
        <v>#N/A</v>
      </c>
      <c r="C171" s="524" t="s">
        <v>6534</v>
      </c>
      <c r="D171" s="524" t="s">
        <v>6536</v>
      </c>
      <c r="E171" s="524" t="s">
        <v>6535</v>
      </c>
      <c r="F171" s="524" t="s">
        <v>6535</v>
      </c>
      <c r="G171" s="524" t="s">
        <v>6535</v>
      </c>
      <c r="H171" s="524" t="s">
        <v>6535</v>
      </c>
      <c r="I171" s="524" t="s">
        <v>6536</v>
      </c>
      <c r="J171" s="524" t="s">
        <v>6536</v>
      </c>
      <c r="K171" s="524"/>
      <c r="L171" s="524" t="s">
        <v>6414</v>
      </c>
      <c r="M171" s="524" t="s">
        <v>6415</v>
      </c>
      <c r="N171" s="524"/>
      <c r="O171" s="524"/>
    </row>
    <row r="172" spans="1:15" ht="43.5" hidden="1">
      <c r="A172" s="524">
        <v>-151</v>
      </c>
      <c r="B172" s="524" t="e">
        <f>VLOOKUP(A172,'Hours Detail'!$E$17:$H$1048576,4,)</f>
        <v>#N/A</v>
      </c>
      <c r="C172" s="524" t="s">
        <v>4858</v>
      </c>
      <c r="D172" s="524" t="s">
        <v>4857</v>
      </c>
      <c r="E172" s="524" t="s">
        <v>4856</v>
      </c>
      <c r="F172" s="524" t="s">
        <v>4856</v>
      </c>
      <c r="G172" s="524" t="s">
        <v>4856</v>
      </c>
      <c r="H172" s="524" t="s">
        <v>4856</v>
      </c>
      <c r="I172" s="524" t="s">
        <v>4857</v>
      </c>
      <c r="J172" s="524" t="s">
        <v>4857</v>
      </c>
      <c r="K172" s="524"/>
      <c r="L172" s="524" t="s">
        <v>6397</v>
      </c>
      <c r="M172" s="524" t="s">
        <v>2384</v>
      </c>
      <c r="N172" s="524"/>
      <c r="O172" s="524"/>
    </row>
    <row r="173" spans="1:15" ht="58" hidden="1">
      <c r="A173" s="524">
        <v>-150</v>
      </c>
      <c r="B173" s="524" t="e">
        <f>VLOOKUP(A173,'Hours Detail'!$E$17:$H$1048576,4,)</f>
        <v>#N/A</v>
      </c>
      <c r="C173" s="524" t="s">
        <v>5728</v>
      </c>
      <c r="D173" s="524" t="s">
        <v>5727</v>
      </c>
      <c r="E173" s="524" t="s">
        <v>5726</v>
      </c>
      <c r="F173" s="524" t="s">
        <v>5726</v>
      </c>
      <c r="G173" s="524" t="s">
        <v>5726</v>
      </c>
      <c r="H173" s="524" t="s">
        <v>5726</v>
      </c>
      <c r="I173" s="524" t="s">
        <v>5727</v>
      </c>
      <c r="J173" s="524" t="s">
        <v>5727</v>
      </c>
      <c r="K173" s="524"/>
      <c r="L173" s="524" t="s">
        <v>6397</v>
      </c>
      <c r="M173" s="524" t="s">
        <v>2384</v>
      </c>
      <c r="N173" s="524"/>
      <c r="O173" s="524"/>
    </row>
    <row r="174" spans="1:15" ht="58" hidden="1">
      <c r="A174" s="524">
        <v>-148</v>
      </c>
      <c r="B174" s="524" t="e">
        <f>VLOOKUP(A174,'Hours Detail'!$E$17:$H$1048576,4,)</f>
        <v>#N/A</v>
      </c>
      <c r="C174" s="524" t="s">
        <v>6537</v>
      </c>
      <c r="D174" s="524" t="s">
        <v>4062</v>
      </c>
      <c r="E174" s="524" t="s">
        <v>4062</v>
      </c>
      <c r="F174" s="524" t="s">
        <v>4062</v>
      </c>
      <c r="G174" s="524" t="s">
        <v>4062</v>
      </c>
      <c r="H174" s="524" t="s">
        <v>4062</v>
      </c>
      <c r="I174" s="524" t="s">
        <v>4062</v>
      </c>
      <c r="J174" s="524" t="s">
        <v>4062</v>
      </c>
      <c r="K174" s="524"/>
      <c r="L174" s="524" t="s">
        <v>6399</v>
      </c>
      <c r="M174" s="524" t="s">
        <v>6437</v>
      </c>
      <c r="N174" s="524"/>
      <c r="O174" s="524"/>
    </row>
    <row r="175" spans="1:15" ht="43.5" hidden="1">
      <c r="A175" s="525">
        <v>-147</v>
      </c>
      <c r="B175" s="524" t="e">
        <f>VLOOKUP(A175,'Hours Detail'!$E$17:$H$1048576,4,)</f>
        <v>#N/A</v>
      </c>
      <c r="C175" s="524" t="s">
        <v>6538</v>
      </c>
      <c r="D175" s="524" t="s">
        <v>1248</v>
      </c>
      <c r="E175" s="524" t="s">
        <v>5739</v>
      </c>
      <c r="F175" s="524" t="s">
        <v>5739</v>
      </c>
      <c r="G175" s="524" t="s">
        <v>5739</v>
      </c>
      <c r="H175" s="524" t="s">
        <v>5739</v>
      </c>
      <c r="I175" s="524" t="s">
        <v>6539</v>
      </c>
      <c r="J175" s="524" t="s">
        <v>1248</v>
      </c>
      <c r="K175" s="524" t="s">
        <v>6359</v>
      </c>
      <c r="L175" s="524" t="s">
        <v>6381</v>
      </c>
      <c r="M175" s="524" t="s">
        <v>2313</v>
      </c>
      <c r="N175" s="524"/>
      <c r="O175" s="524"/>
    </row>
    <row r="176" spans="1:15" ht="72.5" hidden="1">
      <c r="A176" s="527">
        <v>-147</v>
      </c>
      <c r="B176" s="524" t="e">
        <f>VLOOKUP(A176,'Hours Detail'!$E$17:$H$1048576,4,)</f>
        <v>#N/A</v>
      </c>
      <c r="C176" s="527" t="s">
        <v>378</v>
      </c>
      <c r="D176" s="527" t="s">
        <v>4703</v>
      </c>
      <c r="E176" s="527" t="s">
        <v>1248</v>
      </c>
      <c r="F176" s="527" t="s">
        <v>1249</v>
      </c>
      <c r="G176" s="527">
        <v>283</v>
      </c>
      <c r="H176" s="527" t="s">
        <v>4705</v>
      </c>
      <c r="I176" s="527" t="s">
        <v>4704</v>
      </c>
      <c r="J176" s="527" t="s">
        <v>2890</v>
      </c>
      <c r="K176" s="527" t="s">
        <v>2890</v>
      </c>
      <c r="L176" s="527" t="s">
        <v>6540</v>
      </c>
      <c r="M176" s="524"/>
      <c r="N176" s="524"/>
      <c r="O176" s="524"/>
    </row>
    <row r="177" spans="1:15" ht="58" hidden="1">
      <c r="A177" s="525">
        <v>-146</v>
      </c>
      <c r="B177" s="524" t="e">
        <f>VLOOKUP(A177,'Hours Detail'!$E$17:$H$1048576,4,)</f>
        <v>#N/A</v>
      </c>
      <c r="C177" s="524" t="s">
        <v>5540</v>
      </c>
      <c r="D177" s="524" t="s">
        <v>5539</v>
      </c>
      <c r="E177" s="524" t="s">
        <v>5538</v>
      </c>
      <c r="F177" s="524" t="s">
        <v>5538</v>
      </c>
      <c r="G177" s="524" t="s">
        <v>5538</v>
      </c>
      <c r="H177" s="524" t="s">
        <v>5538</v>
      </c>
      <c r="I177" s="524" t="s">
        <v>6541</v>
      </c>
      <c r="J177" s="524" t="s">
        <v>5539</v>
      </c>
      <c r="K177" s="524" t="s">
        <v>6359</v>
      </c>
      <c r="L177" s="524" t="s">
        <v>6381</v>
      </c>
      <c r="M177" s="524" t="s">
        <v>2313</v>
      </c>
      <c r="N177" s="524"/>
      <c r="O177" s="524"/>
    </row>
    <row r="178" spans="1:15" ht="58" hidden="1">
      <c r="A178" s="525">
        <v>-130</v>
      </c>
      <c r="B178" s="524" t="e">
        <f>VLOOKUP(A178,'Hours Detail'!$E$17:$H$1048576,4,)</f>
        <v>#N/A</v>
      </c>
      <c r="C178" s="524" t="s">
        <v>4829</v>
      </c>
      <c r="D178" s="524" t="s">
        <v>4828</v>
      </c>
      <c r="E178" s="524" t="s">
        <v>4827</v>
      </c>
      <c r="F178" s="524" t="s">
        <v>4827</v>
      </c>
      <c r="G178" s="524" t="s">
        <v>4827</v>
      </c>
      <c r="H178" s="524" t="s">
        <v>4827</v>
      </c>
      <c r="I178" s="524" t="s">
        <v>6542</v>
      </c>
      <c r="J178" s="524" t="s">
        <v>4828</v>
      </c>
      <c r="K178" s="524"/>
      <c r="L178" s="524" t="s">
        <v>6381</v>
      </c>
      <c r="M178" s="524" t="s">
        <v>522</v>
      </c>
      <c r="N178" s="524"/>
      <c r="O178" s="524"/>
    </row>
    <row r="179" spans="1:15" ht="58" hidden="1">
      <c r="A179" s="524">
        <v>-128</v>
      </c>
      <c r="B179" s="524" t="e">
        <f>VLOOKUP(A179,'Hours Detail'!$E$17:$H$1048576,4,)</f>
        <v>#N/A</v>
      </c>
      <c r="C179" s="524" t="s">
        <v>6537</v>
      </c>
      <c r="D179" s="524" t="s">
        <v>4062</v>
      </c>
      <c r="E179" s="524" t="s">
        <v>4062</v>
      </c>
      <c r="F179" s="524" t="s">
        <v>4062</v>
      </c>
      <c r="G179" s="524" t="s">
        <v>4062</v>
      </c>
      <c r="H179" s="524" t="s">
        <v>4062</v>
      </c>
      <c r="I179" s="524" t="s">
        <v>4062</v>
      </c>
      <c r="J179" s="524" t="s">
        <v>4062</v>
      </c>
      <c r="K179" s="524"/>
      <c r="L179" s="524" t="s">
        <v>6399</v>
      </c>
      <c r="M179" s="524" t="s">
        <v>6437</v>
      </c>
      <c r="N179" s="524"/>
      <c r="O179" s="524"/>
    </row>
    <row r="180" spans="1:15" ht="58" hidden="1">
      <c r="A180" s="525">
        <v>-124</v>
      </c>
      <c r="B180" s="524" t="e">
        <f>VLOOKUP(A180,'Hours Detail'!$E$17:$H$1048576,4,)</f>
        <v>#N/A</v>
      </c>
      <c r="C180" s="524" t="s">
        <v>4296</v>
      </c>
      <c r="D180" s="524" t="s">
        <v>4295</v>
      </c>
      <c r="E180" s="524" t="s">
        <v>4294</v>
      </c>
      <c r="F180" s="524" t="s">
        <v>4294</v>
      </c>
      <c r="G180" s="524" t="s">
        <v>4294</v>
      </c>
      <c r="H180" s="524" t="s">
        <v>4294</v>
      </c>
      <c r="I180" s="524" t="s">
        <v>6543</v>
      </c>
      <c r="J180" s="524" t="s">
        <v>4295</v>
      </c>
      <c r="K180" s="524" t="s">
        <v>6359</v>
      </c>
      <c r="L180" s="524" t="s">
        <v>6381</v>
      </c>
      <c r="M180" s="524" t="s">
        <v>522</v>
      </c>
      <c r="N180" s="524"/>
      <c r="O180" s="524"/>
    </row>
    <row r="181" spans="1:15" ht="43.5" hidden="1">
      <c r="A181" s="524">
        <v>-123</v>
      </c>
      <c r="B181" s="524" t="e">
        <f>VLOOKUP(A181,'Hours Detail'!$E$17:$H$1048576,4,)</f>
        <v>#N/A</v>
      </c>
      <c r="C181" s="524" t="s">
        <v>5528</v>
      </c>
      <c r="D181" s="524" t="s">
        <v>5527</v>
      </c>
      <c r="E181" s="524" t="s">
        <v>5526</v>
      </c>
      <c r="F181" s="524" t="s">
        <v>5526</v>
      </c>
      <c r="G181" s="524" t="s">
        <v>5526</v>
      </c>
      <c r="H181" s="524" t="s">
        <v>5526</v>
      </c>
      <c r="I181" s="524" t="s">
        <v>5527</v>
      </c>
      <c r="J181" s="524" t="s">
        <v>5527</v>
      </c>
      <c r="K181" s="524"/>
      <c r="L181" s="524" t="s">
        <v>6386</v>
      </c>
      <c r="M181" s="524" t="s">
        <v>4133</v>
      </c>
      <c r="N181" s="524"/>
      <c r="O181" s="524"/>
    </row>
    <row r="182" spans="1:15" ht="43.5" hidden="1">
      <c r="A182" s="525">
        <v>-122</v>
      </c>
      <c r="B182" s="524" t="e">
        <f>VLOOKUP(A182,'Hours Detail'!$E$17:$H$1048576,4,)</f>
        <v>#N/A</v>
      </c>
      <c r="C182" s="524" t="s">
        <v>4783</v>
      </c>
      <c r="D182" s="524" t="s">
        <v>6544</v>
      </c>
      <c r="E182" s="524" t="s">
        <v>4781</v>
      </c>
      <c r="F182" s="524" t="s">
        <v>4781</v>
      </c>
      <c r="G182" s="524" t="s">
        <v>4781</v>
      </c>
      <c r="H182" s="524" t="s">
        <v>4781</v>
      </c>
      <c r="I182" s="524" t="s">
        <v>6544</v>
      </c>
      <c r="J182" s="524" t="s">
        <v>6545</v>
      </c>
      <c r="K182" s="524"/>
      <c r="L182" s="524" t="s">
        <v>6381</v>
      </c>
      <c r="M182" s="524" t="s">
        <v>522</v>
      </c>
      <c r="N182" s="524"/>
      <c r="O182" s="524"/>
    </row>
    <row r="183" spans="1:15" ht="43.5" hidden="1">
      <c r="A183" s="525">
        <v>-112</v>
      </c>
      <c r="B183" s="524" t="e">
        <f>VLOOKUP(A183,'Hours Detail'!$E$17:$H$1048576,4,)</f>
        <v>#N/A</v>
      </c>
      <c r="C183" s="524" t="s">
        <v>4780</v>
      </c>
      <c r="D183" s="524" t="s">
        <v>4779</v>
      </c>
      <c r="E183" s="524" t="s">
        <v>4778</v>
      </c>
      <c r="F183" s="524" t="s">
        <v>4778</v>
      </c>
      <c r="G183" s="524" t="s">
        <v>4778</v>
      </c>
      <c r="H183" s="524" t="s">
        <v>4778</v>
      </c>
      <c r="I183" s="524" t="s">
        <v>4779</v>
      </c>
      <c r="J183" s="524" t="s">
        <v>4779</v>
      </c>
      <c r="K183" s="524"/>
      <c r="L183" s="524" t="s">
        <v>6399</v>
      </c>
      <c r="M183" s="524" t="s">
        <v>6437</v>
      </c>
      <c r="N183" s="524"/>
      <c r="O183" s="524"/>
    </row>
    <row r="184" spans="1:15" ht="43.5" hidden="1">
      <c r="A184" s="525">
        <v>-110</v>
      </c>
      <c r="B184" s="524" t="e">
        <f>VLOOKUP(A184,'Hours Detail'!$E$17:$H$1048576,4,)</f>
        <v>#N/A</v>
      </c>
      <c r="C184" s="524" t="s">
        <v>4292</v>
      </c>
      <c r="D184" s="524" t="s">
        <v>4291</v>
      </c>
      <c r="E184" s="524" t="s">
        <v>4290</v>
      </c>
      <c r="F184" s="524" t="s">
        <v>4290</v>
      </c>
      <c r="G184" s="524" t="s">
        <v>4290</v>
      </c>
      <c r="H184" s="524" t="s">
        <v>4290</v>
      </c>
      <c r="I184" s="524" t="s">
        <v>6546</v>
      </c>
      <c r="J184" s="524" t="s">
        <v>4291</v>
      </c>
      <c r="K184" s="524" t="s">
        <v>6359</v>
      </c>
      <c r="L184" s="524" t="s">
        <v>6381</v>
      </c>
      <c r="M184" s="524" t="s">
        <v>442</v>
      </c>
      <c r="N184" s="524"/>
      <c r="O184" s="524"/>
    </row>
    <row r="185" spans="1:15" ht="43.5" hidden="1">
      <c r="A185" s="525">
        <v>-107</v>
      </c>
      <c r="B185" s="524" t="e">
        <f>VLOOKUP(A185,'Hours Detail'!$E$17:$H$1048576,4,)</f>
        <v>#N/A</v>
      </c>
      <c r="C185" s="524" t="s">
        <v>5183</v>
      </c>
      <c r="D185" s="524" t="s">
        <v>5182</v>
      </c>
      <c r="E185" s="524" t="s">
        <v>5181</v>
      </c>
      <c r="F185" s="524" t="s">
        <v>5181</v>
      </c>
      <c r="G185" s="524" t="s">
        <v>5181</v>
      </c>
      <c r="H185" s="524" t="s">
        <v>5181</v>
      </c>
      <c r="I185" s="524" t="s">
        <v>5182</v>
      </c>
      <c r="J185" s="524" t="s">
        <v>5182</v>
      </c>
      <c r="K185" s="524"/>
      <c r="L185" s="524" t="s">
        <v>6365</v>
      </c>
      <c r="M185" s="524" t="s">
        <v>6366</v>
      </c>
      <c r="N185" s="524"/>
      <c r="O185" s="524"/>
    </row>
    <row r="186" spans="1:15" ht="43.5" hidden="1">
      <c r="A186" s="525">
        <v>-102</v>
      </c>
      <c r="B186" s="524" t="e">
        <f>VLOOKUP(A186,'Hours Detail'!$E$17:$H$1048576,4,)</f>
        <v>#N/A</v>
      </c>
      <c r="C186" s="524" t="s">
        <v>4266</v>
      </c>
      <c r="D186" s="524" t="s">
        <v>4265</v>
      </c>
      <c r="E186" s="524" t="s">
        <v>4264</v>
      </c>
      <c r="F186" s="524" t="s">
        <v>4264</v>
      </c>
      <c r="G186" s="524" t="s">
        <v>4264</v>
      </c>
      <c r="H186" s="524" t="s">
        <v>4264</v>
      </c>
      <c r="I186" s="524" t="s">
        <v>6547</v>
      </c>
      <c r="J186" s="524" t="s">
        <v>4265</v>
      </c>
      <c r="K186" s="524" t="s">
        <v>6359</v>
      </c>
      <c r="L186" s="524" t="s">
        <v>6397</v>
      </c>
      <c r="M186" s="524" t="s">
        <v>2384</v>
      </c>
      <c r="N186" s="524"/>
      <c r="O186" s="524"/>
    </row>
    <row r="187" spans="1:15" ht="43.5" hidden="1">
      <c r="A187" s="524">
        <v>-88</v>
      </c>
      <c r="B187" s="524" t="e">
        <f>VLOOKUP(A187,'Hours Detail'!$E$17:$H$1048576,4,)</f>
        <v>#N/A</v>
      </c>
      <c r="C187" s="524" t="s">
        <v>1646</v>
      </c>
      <c r="D187" s="524" t="s">
        <v>1647</v>
      </c>
      <c r="E187" s="524" t="s">
        <v>1648</v>
      </c>
      <c r="F187" s="524" t="s">
        <v>1648</v>
      </c>
      <c r="G187" s="524" t="s">
        <v>1648</v>
      </c>
      <c r="H187" s="524" t="s">
        <v>1648</v>
      </c>
      <c r="I187" s="524" t="s">
        <v>6548</v>
      </c>
      <c r="J187" s="524" t="s">
        <v>1647</v>
      </c>
      <c r="K187" s="524"/>
      <c r="L187" s="524" t="s">
        <v>6399</v>
      </c>
      <c r="M187" s="524" t="s">
        <v>6509</v>
      </c>
      <c r="N187" s="524"/>
      <c r="O187" s="524"/>
    </row>
    <row r="188" spans="1:15" ht="43.5" hidden="1">
      <c r="A188" s="524">
        <v>-86</v>
      </c>
      <c r="B188" s="524" t="e">
        <f>VLOOKUP(A188,'Hours Detail'!$E$17:$H$1048576,4,)</f>
        <v>#N/A</v>
      </c>
      <c r="C188" s="524" t="s">
        <v>1646</v>
      </c>
      <c r="D188" s="524" t="s">
        <v>1647</v>
      </c>
      <c r="E188" s="524" t="s">
        <v>1648</v>
      </c>
      <c r="F188" s="524" t="s">
        <v>1648</v>
      </c>
      <c r="G188" s="524" t="s">
        <v>1648</v>
      </c>
      <c r="H188" s="524" t="s">
        <v>1648</v>
      </c>
      <c r="I188" s="524" t="s">
        <v>6548</v>
      </c>
      <c r="J188" s="524" t="s">
        <v>1647</v>
      </c>
      <c r="K188" s="524"/>
      <c r="L188" s="524" t="s">
        <v>6399</v>
      </c>
      <c r="M188" s="524" t="s">
        <v>6509</v>
      </c>
      <c r="N188" s="524"/>
      <c r="O188" s="524"/>
    </row>
    <row r="189" spans="1:15" ht="43.5" hidden="1">
      <c r="A189" s="524">
        <v>-85</v>
      </c>
      <c r="B189" s="524" t="e">
        <f>VLOOKUP(A189,'Hours Detail'!$E$17:$H$1048576,4,)</f>
        <v>#N/A</v>
      </c>
      <c r="C189" s="524" t="s">
        <v>5402</v>
      </c>
      <c r="D189" s="524" t="s">
        <v>5401</v>
      </c>
      <c r="E189" s="524" t="s">
        <v>5400</v>
      </c>
      <c r="F189" s="524" t="s">
        <v>6549</v>
      </c>
      <c r="G189" s="524" t="s">
        <v>5400</v>
      </c>
      <c r="H189" s="524" t="s">
        <v>5400</v>
      </c>
      <c r="I189" s="524" t="s">
        <v>5401</v>
      </c>
      <c r="J189" s="524" t="s">
        <v>5401</v>
      </c>
      <c r="K189" s="524"/>
      <c r="L189" s="524" t="s">
        <v>6399</v>
      </c>
      <c r="M189" s="524" t="s">
        <v>6509</v>
      </c>
      <c r="N189" s="524"/>
      <c r="O189" s="524"/>
    </row>
    <row r="190" spans="1:15" ht="43.5" hidden="1">
      <c r="A190" s="524">
        <v>-81</v>
      </c>
      <c r="B190" s="524" t="e">
        <f>VLOOKUP(A190,'Hours Detail'!$E$17:$H$1048576,4,)</f>
        <v>#N/A</v>
      </c>
      <c r="C190" s="524" t="s">
        <v>1643</v>
      </c>
      <c r="D190" s="524" t="s">
        <v>1644</v>
      </c>
      <c r="E190" s="524" t="s">
        <v>5231</v>
      </c>
      <c r="F190" s="524" t="s">
        <v>5231</v>
      </c>
      <c r="G190" s="524" t="s">
        <v>5231</v>
      </c>
      <c r="H190" s="524" t="s">
        <v>5231</v>
      </c>
      <c r="I190" s="524" t="s">
        <v>1644</v>
      </c>
      <c r="J190" s="524" t="s">
        <v>1644</v>
      </c>
      <c r="K190" s="524"/>
      <c r="L190" s="524" t="s">
        <v>6399</v>
      </c>
      <c r="M190" s="524" t="s">
        <v>6509</v>
      </c>
      <c r="N190" s="524"/>
      <c r="O190" s="524"/>
    </row>
    <row r="191" spans="1:15" ht="43.5" hidden="1">
      <c r="A191" s="525">
        <v>-80</v>
      </c>
      <c r="B191" s="524" t="e">
        <f>VLOOKUP(A191,'Hours Detail'!$E$17:$H$1048576,4,)</f>
        <v>#N/A</v>
      </c>
      <c r="C191" s="524" t="s">
        <v>4227</v>
      </c>
      <c r="D191" s="524" t="s">
        <v>6551</v>
      </c>
      <c r="E191" s="524" t="s">
        <v>4225</v>
      </c>
      <c r="F191" s="524" t="s">
        <v>4225</v>
      </c>
      <c r="G191" s="524" t="s">
        <v>4225</v>
      </c>
      <c r="H191" s="524" t="s">
        <v>4225</v>
      </c>
      <c r="I191" s="524" t="s">
        <v>6550</v>
      </c>
      <c r="J191" s="524" t="s">
        <v>6551</v>
      </c>
      <c r="K191" s="524"/>
      <c r="L191" s="524" t="s">
        <v>6399</v>
      </c>
      <c r="M191" s="524" t="s">
        <v>6459</v>
      </c>
      <c r="N191" s="524"/>
      <c r="O191" s="524"/>
    </row>
    <row r="192" spans="1:15" ht="58" hidden="1">
      <c r="A192" s="524">
        <v>-77</v>
      </c>
      <c r="B192" s="524" t="e">
        <f>VLOOKUP(A192,'Hours Detail'!$E$17:$H$1048576,4,)</f>
        <v>#N/A</v>
      </c>
      <c r="C192" s="524" t="s">
        <v>5396</v>
      </c>
      <c r="D192" s="524" t="s">
        <v>5395</v>
      </c>
      <c r="E192" s="524" t="s">
        <v>5394</v>
      </c>
      <c r="F192" s="524" t="s">
        <v>5394</v>
      </c>
      <c r="G192" s="524" t="s">
        <v>5394</v>
      </c>
      <c r="H192" s="524" t="s">
        <v>5394</v>
      </c>
      <c r="I192" s="524" t="s">
        <v>5395</v>
      </c>
      <c r="J192" s="524" t="s">
        <v>5395</v>
      </c>
      <c r="K192" s="524"/>
      <c r="L192" s="524" t="s">
        <v>6381</v>
      </c>
      <c r="M192" s="524" t="s">
        <v>442</v>
      </c>
      <c r="N192" s="524"/>
      <c r="O192" s="524"/>
    </row>
    <row r="193" spans="1:15" ht="43.5" hidden="1">
      <c r="A193" s="525">
        <v>-59</v>
      </c>
      <c r="B193" s="524" t="e">
        <f>VLOOKUP(A193,'Hours Detail'!$E$17:$H$1048576,4,)</f>
        <v>#N/A</v>
      </c>
      <c r="C193" s="524" t="s">
        <v>5476</v>
      </c>
      <c r="D193" s="524" t="s">
        <v>5475</v>
      </c>
      <c r="E193" s="524" t="s">
        <v>5474</v>
      </c>
      <c r="F193" s="524" t="s">
        <v>6552</v>
      </c>
      <c r="G193" s="524" t="s">
        <v>5474</v>
      </c>
      <c r="H193" s="524" t="s">
        <v>5474</v>
      </c>
      <c r="I193" s="524" t="s">
        <v>5475</v>
      </c>
      <c r="J193" s="524" t="s">
        <v>5475</v>
      </c>
      <c r="K193" s="524"/>
      <c r="L193" s="524" t="s">
        <v>6397</v>
      </c>
      <c r="M193" s="524" t="s">
        <v>2384</v>
      </c>
      <c r="N193" s="524"/>
      <c r="O193" s="524"/>
    </row>
    <row r="194" spans="1:15" ht="43.5" hidden="1">
      <c r="A194" s="524">
        <v>-40</v>
      </c>
      <c r="B194" s="524" t="e">
        <f>VLOOKUP(A194,'Hours Detail'!$E$17:$H$1048576,4,)</f>
        <v>#N/A</v>
      </c>
      <c r="C194" s="524" t="s">
        <v>4191</v>
      </c>
      <c r="D194" s="524" t="s">
        <v>4190</v>
      </c>
      <c r="E194" s="524" t="s">
        <v>4189</v>
      </c>
      <c r="F194" s="524" t="s">
        <v>4189</v>
      </c>
      <c r="G194" s="524" t="s">
        <v>4189</v>
      </c>
      <c r="H194" s="524" t="s">
        <v>4189</v>
      </c>
      <c r="I194" s="524" t="s">
        <v>4190</v>
      </c>
      <c r="J194" s="524" t="s">
        <v>4190</v>
      </c>
      <c r="K194" s="524"/>
      <c r="L194" s="524" t="s">
        <v>6365</v>
      </c>
      <c r="M194" s="524" t="s">
        <v>6366</v>
      </c>
      <c r="N194" s="524"/>
      <c r="O194" s="524"/>
    </row>
    <row r="195" spans="1:15" ht="72.5" hidden="1">
      <c r="A195" s="524">
        <v>-39</v>
      </c>
      <c r="B195" s="524" t="e">
        <f>VLOOKUP(A195,'Hours Detail'!$E$17:$H$1048576,4,)</f>
        <v>#N/A</v>
      </c>
      <c r="C195" s="524" t="s">
        <v>5096</v>
      </c>
      <c r="D195" s="524" t="s">
        <v>5096</v>
      </c>
      <c r="E195" s="524" t="s">
        <v>5095</v>
      </c>
      <c r="F195" s="524" t="s">
        <v>5095</v>
      </c>
      <c r="G195" s="524" t="s">
        <v>5095</v>
      </c>
      <c r="H195" s="524" t="s">
        <v>5095</v>
      </c>
      <c r="I195" s="524" t="s">
        <v>5096</v>
      </c>
      <c r="J195" s="524" t="s">
        <v>5096</v>
      </c>
      <c r="K195" s="524"/>
      <c r="L195" s="524" t="s">
        <v>6399</v>
      </c>
      <c r="M195" s="524" t="s">
        <v>6509</v>
      </c>
      <c r="N195" s="524"/>
      <c r="O195" s="524"/>
    </row>
    <row r="196" spans="1:15" ht="29" hidden="1">
      <c r="A196" s="525">
        <v>-38</v>
      </c>
      <c r="B196" s="524" t="e">
        <f>VLOOKUP(A196,'Hours Detail'!$E$17:$H$1048576,4,)</f>
        <v>#N/A</v>
      </c>
      <c r="C196" s="524" t="s">
        <v>5537</v>
      </c>
      <c r="D196" s="524" t="s">
        <v>5536</v>
      </c>
      <c r="E196" s="524" t="s">
        <v>5535</v>
      </c>
      <c r="F196" s="524" t="s">
        <v>5535</v>
      </c>
      <c r="G196" s="524" t="s">
        <v>5535</v>
      </c>
      <c r="H196" s="524" t="s">
        <v>5535</v>
      </c>
      <c r="I196" s="524" t="s">
        <v>6553</v>
      </c>
      <c r="J196" s="524" t="s">
        <v>5536</v>
      </c>
      <c r="K196" s="524" t="s">
        <v>6359</v>
      </c>
      <c r="L196" s="524" t="s">
        <v>6397</v>
      </c>
      <c r="M196" s="524" t="s">
        <v>2384</v>
      </c>
      <c r="N196" s="524"/>
      <c r="O196" s="524"/>
    </row>
    <row r="197" spans="1:15" ht="43.5" hidden="1">
      <c r="A197" s="525">
        <v>-26</v>
      </c>
      <c r="B197" s="524" t="e">
        <f>VLOOKUP(A197,'Hours Detail'!$E$17:$H$1048576,4,)</f>
        <v>#N/A</v>
      </c>
      <c r="C197" s="524" t="s">
        <v>4169</v>
      </c>
      <c r="D197" s="524" t="s">
        <v>4168</v>
      </c>
      <c r="E197" s="524" t="s">
        <v>4167</v>
      </c>
      <c r="F197" s="524" t="s">
        <v>4167</v>
      </c>
      <c r="G197" s="524" t="s">
        <v>4167</v>
      </c>
      <c r="H197" s="524" t="s">
        <v>4167</v>
      </c>
      <c r="I197" s="524" t="s">
        <v>4168</v>
      </c>
      <c r="J197" s="524" t="s">
        <v>4168</v>
      </c>
      <c r="K197" s="524"/>
      <c r="L197" s="524" t="s">
        <v>6365</v>
      </c>
      <c r="M197" s="524" t="s">
        <v>6366</v>
      </c>
      <c r="N197" s="524"/>
      <c r="O197" s="524"/>
    </row>
    <row r="198" spans="1:15" ht="29" hidden="1">
      <c r="A198" s="525">
        <v>-25</v>
      </c>
      <c r="B198" s="524" t="e">
        <f>VLOOKUP(A198,'Hours Detail'!$E$17:$H$1048576,4,)</f>
        <v>#N/A</v>
      </c>
      <c r="C198" s="524" t="s">
        <v>410</v>
      </c>
      <c r="D198" s="524" t="s">
        <v>1470</v>
      </c>
      <c r="E198" s="524" t="s">
        <v>410</v>
      </c>
      <c r="F198" s="524" t="s">
        <v>410</v>
      </c>
      <c r="G198" s="524" t="s">
        <v>410</v>
      </c>
      <c r="H198" s="524" t="s">
        <v>410</v>
      </c>
      <c r="I198" s="524" t="s">
        <v>6554</v>
      </c>
      <c r="J198" s="524" t="s">
        <v>1470</v>
      </c>
      <c r="K198" s="524"/>
      <c r="L198" s="524" t="s">
        <v>6376</v>
      </c>
      <c r="M198" s="524" t="s">
        <v>6377</v>
      </c>
      <c r="N198" s="524"/>
      <c r="O198" s="524"/>
    </row>
    <row r="199" spans="1:15" ht="87" hidden="1">
      <c r="A199" s="527">
        <v>-25</v>
      </c>
      <c r="B199" s="524" t="e">
        <f>VLOOKUP(A199,'Hours Detail'!$E$17:$H$1048576,4,)</f>
        <v>#N/A</v>
      </c>
      <c r="C199" s="527" t="s">
        <v>410</v>
      </c>
      <c r="D199" s="527" t="s">
        <v>1469</v>
      </c>
      <c r="E199" s="527" t="s">
        <v>1470</v>
      </c>
      <c r="F199" s="527" t="s">
        <v>410</v>
      </c>
      <c r="G199" s="527">
        <v>302</v>
      </c>
      <c r="H199" s="527" t="s">
        <v>409</v>
      </c>
      <c r="I199" s="527" t="s">
        <v>1467</v>
      </c>
      <c r="J199" s="527" t="s">
        <v>2890</v>
      </c>
      <c r="K199" s="527" t="s">
        <v>2890</v>
      </c>
      <c r="L199" s="527" t="s">
        <v>6555</v>
      </c>
      <c r="M199" s="524"/>
      <c r="N199" s="524"/>
      <c r="O199" s="524"/>
    </row>
    <row r="200" spans="1:15" ht="58" hidden="1">
      <c r="A200" s="525">
        <v>-19</v>
      </c>
      <c r="B200" s="524" t="e">
        <f>VLOOKUP(A200,'Hours Detail'!$E$17:$H$1048576,4,)</f>
        <v>#N/A</v>
      </c>
      <c r="C200" s="524" t="s">
        <v>5610</v>
      </c>
      <c r="D200" s="524" t="s">
        <v>5609</v>
      </c>
      <c r="E200" s="524" t="s">
        <v>5608</v>
      </c>
      <c r="F200" s="524" t="s">
        <v>5608</v>
      </c>
      <c r="G200" s="524" t="s">
        <v>5608</v>
      </c>
      <c r="H200" s="524" t="s">
        <v>5608</v>
      </c>
      <c r="I200" s="524" t="s">
        <v>6556</v>
      </c>
      <c r="J200" s="524" t="s">
        <v>5609</v>
      </c>
      <c r="K200" s="524" t="s">
        <v>6359</v>
      </c>
      <c r="L200" s="524" t="s">
        <v>6376</v>
      </c>
      <c r="M200" s="524" t="s">
        <v>6377</v>
      </c>
      <c r="N200" s="524"/>
      <c r="O200" s="524"/>
    </row>
    <row r="201" spans="1:15" ht="43.5" hidden="1">
      <c r="A201" s="524">
        <v>-18</v>
      </c>
      <c r="B201" s="524" t="e">
        <f>VLOOKUP(A201,'Hours Detail'!$E$17:$H$1048576,4,)</f>
        <v>#N/A</v>
      </c>
      <c r="C201" s="524" t="s">
        <v>6557</v>
      </c>
      <c r="D201" s="524" t="s">
        <v>6560</v>
      </c>
      <c r="E201" s="524" t="s">
        <v>6558</v>
      </c>
      <c r="F201" s="524" t="s">
        <v>6558</v>
      </c>
      <c r="G201" s="524" t="s">
        <v>6558</v>
      </c>
      <c r="H201" s="524" t="s">
        <v>6558</v>
      </c>
      <c r="I201" s="524" t="s">
        <v>6559</v>
      </c>
      <c r="J201" s="524" t="s">
        <v>6560</v>
      </c>
      <c r="K201" s="524"/>
      <c r="L201" s="524" t="s">
        <v>6365</v>
      </c>
      <c r="M201" s="524" t="s">
        <v>6366</v>
      </c>
      <c r="N201" s="524"/>
      <c r="O201" s="524"/>
    </row>
    <row r="202" spans="1:15" ht="43.5" hidden="1">
      <c r="A202" s="525">
        <v>-17</v>
      </c>
      <c r="B202" s="524" t="e">
        <f>VLOOKUP(A202,'Hours Detail'!$E$17:$H$1048576,4,)</f>
        <v>#N/A</v>
      </c>
      <c r="C202" s="524" t="s">
        <v>4765</v>
      </c>
      <c r="D202" s="524" t="s">
        <v>4764</v>
      </c>
      <c r="E202" s="524" t="s">
        <v>4763</v>
      </c>
      <c r="F202" s="524" t="s">
        <v>4763</v>
      </c>
      <c r="G202" s="524" t="s">
        <v>4763</v>
      </c>
      <c r="H202" s="524" t="s">
        <v>4763</v>
      </c>
      <c r="I202" s="524" t="s">
        <v>6561</v>
      </c>
      <c r="J202" s="524" t="s">
        <v>4764</v>
      </c>
      <c r="K202" s="524"/>
      <c r="L202" s="524" t="s">
        <v>6381</v>
      </c>
      <c r="M202" s="524" t="s">
        <v>442</v>
      </c>
      <c r="N202" s="524"/>
      <c r="O202" s="524"/>
    </row>
    <row r="203" spans="1:15" ht="43.5" hidden="1">
      <c r="A203" s="525">
        <v>-16</v>
      </c>
      <c r="B203" s="524" t="e">
        <f>VLOOKUP(A203,'Hours Detail'!$E$17:$H$1048576,4,)</f>
        <v>#N/A</v>
      </c>
      <c r="C203" s="524" t="s">
        <v>214</v>
      </c>
      <c r="D203" s="524" t="s">
        <v>695</v>
      </c>
      <c r="E203" s="524" t="s">
        <v>696</v>
      </c>
      <c r="F203" s="524" t="s">
        <v>696</v>
      </c>
      <c r="G203" s="524" t="s">
        <v>696</v>
      </c>
      <c r="H203" s="524" t="s">
        <v>696</v>
      </c>
      <c r="I203" s="524" t="s">
        <v>695</v>
      </c>
      <c r="J203" s="524" t="s">
        <v>695</v>
      </c>
      <c r="K203" s="524"/>
      <c r="L203" s="524" t="s">
        <v>6365</v>
      </c>
      <c r="M203" s="524" t="s">
        <v>6366</v>
      </c>
      <c r="N203" s="524"/>
      <c r="O203" s="524"/>
    </row>
    <row r="204" spans="1:15" ht="43.5" hidden="1">
      <c r="A204" s="527">
        <v>-16</v>
      </c>
      <c r="B204" s="524" t="e">
        <f>VLOOKUP(A204,'Hours Detail'!$E$17:$H$1048576,4,)</f>
        <v>#N/A</v>
      </c>
      <c r="C204" s="527" t="s">
        <v>214</v>
      </c>
      <c r="D204" s="527" t="s">
        <v>2316</v>
      </c>
      <c r="E204" s="527" t="s">
        <v>695</v>
      </c>
      <c r="F204" s="527" t="s">
        <v>696</v>
      </c>
      <c r="G204" s="527">
        <v>10</v>
      </c>
      <c r="H204" s="527" t="s">
        <v>213</v>
      </c>
      <c r="I204" s="527" t="s">
        <v>2315</v>
      </c>
      <c r="J204" s="527" t="s">
        <v>2890</v>
      </c>
      <c r="K204" s="527" t="s">
        <v>2890</v>
      </c>
      <c r="L204" s="527" t="s">
        <v>6371</v>
      </c>
      <c r="M204" s="524"/>
      <c r="N204" s="524"/>
      <c r="O204" s="524"/>
    </row>
    <row r="205" spans="1:15" ht="43.5" hidden="1">
      <c r="A205" s="524">
        <v>-15</v>
      </c>
      <c r="B205" s="524" t="e">
        <f>VLOOKUP(A205,'Hours Detail'!$E$17:$H$1048576,4,)</f>
        <v>#N/A</v>
      </c>
      <c r="C205" s="524" t="s">
        <v>73</v>
      </c>
      <c r="D205" s="524" t="s">
        <v>579</v>
      </c>
      <c r="E205" s="524" t="s">
        <v>580</v>
      </c>
      <c r="F205" s="524" t="s">
        <v>580</v>
      </c>
      <c r="G205" s="524" t="s">
        <v>580</v>
      </c>
      <c r="H205" s="524" t="s">
        <v>580</v>
      </c>
      <c r="I205" s="524" t="s">
        <v>6562</v>
      </c>
      <c r="J205" s="524" t="s">
        <v>579</v>
      </c>
      <c r="K205" s="524"/>
      <c r="L205" s="524" t="s">
        <v>6399</v>
      </c>
      <c r="M205" s="524" t="s">
        <v>6437</v>
      </c>
      <c r="N205" s="524"/>
      <c r="O205" s="524"/>
    </row>
    <row r="206" spans="1:15" ht="87" hidden="1">
      <c r="A206" s="527">
        <v>-15</v>
      </c>
      <c r="B206" s="524" t="e">
        <f>VLOOKUP(A206,'Hours Detail'!$E$17:$H$1048576,4,)</f>
        <v>#N/A</v>
      </c>
      <c r="C206" s="527" t="s">
        <v>73</v>
      </c>
      <c r="D206" s="527" t="s">
        <v>2312</v>
      </c>
      <c r="E206" s="527" t="s">
        <v>579</v>
      </c>
      <c r="F206" s="527" t="s">
        <v>580</v>
      </c>
      <c r="G206" s="527">
        <v>6</v>
      </c>
      <c r="H206" s="527" t="s">
        <v>58</v>
      </c>
      <c r="I206" s="527" t="s">
        <v>2311</v>
      </c>
      <c r="J206" s="527" t="s">
        <v>2890</v>
      </c>
      <c r="K206" s="527" t="s">
        <v>2889</v>
      </c>
      <c r="L206" s="527" t="s">
        <v>6563</v>
      </c>
      <c r="M206" s="524"/>
      <c r="N206" s="524"/>
      <c r="O206" s="524"/>
    </row>
    <row r="207" spans="1:15" ht="43.5" hidden="1">
      <c r="A207" s="525">
        <v>-14</v>
      </c>
      <c r="B207" s="524" t="e">
        <f>VLOOKUP(A207,'Hours Detail'!$E$17:$H$1048576,4,)</f>
        <v>#N/A</v>
      </c>
      <c r="C207" s="524" t="s">
        <v>4864</v>
      </c>
      <c r="D207" s="524" t="s">
        <v>4865</v>
      </c>
      <c r="E207" s="524" t="s">
        <v>4864</v>
      </c>
      <c r="F207" s="524" t="s">
        <v>4864</v>
      </c>
      <c r="G207" s="524" t="s">
        <v>4864</v>
      </c>
      <c r="H207" s="524" t="s">
        <v>4864</v>
      </c>
      <c r="I207" s="524" t="s">
        <v>6564</v>
      </c>
      <c r="J207" s="524" t="s">
        <v>4865</v>
      </c>
      <c r="K207" s="524"/>
      <c r="L207" s="524" t="s">
        <v>6399</v>
      </c>
      <c r="M207" s="524" t="s">
        <v>6509</v>
      </c>
      <c r="N207" s="524"/>
      <c r="O207" s="524"/>
    </row>
    <row r="208" spans="1:15" ht="58" hidden="1">
      <c r="A208" s="524">
        <v>-13</v>
      </c>
      <c r="B208" s="524" t="e">
        <f>VLOOKUP(A208,'Hours Detail'!$E$17:$H$1048576,4,)</f>
        <v>#N/A</v>
      </c>
      <c r="C208" s="524" t="s">
        <v>5593</v>
      </c>
      <c r="D208" s="524" t="s">
        <v>5592</v>
      </c>
      <c r="E208" s="524" t="s">
        <v>5591</v>
      </c>
      <c r="F208" s="524" t="s">
        <v>5591</v>
      </c>
      <c r="G208" s="524" t="s">
        <v>5591</v>
      </c>
      <c r="H208" s="524" t="s">
        <v>5591</v>
      </c>
      <c r="I208" s="524" t="s">
        <v>5592</v>
      </c>
      <c r="J208" s="524" t="s">
        <v>5592</v>
      </c>
      <c r="K208" s="524"/>
      <c r="L208" s="524" t="s">
        <v>6399</v>
      </c>
      <c r="M208" s="524" t="s">
        <v>6437</v>
      </c>
      <c r="N208" s="524"/>
      <c r="O208" s="524"/>
    </row>
    <row r="209" spans="1:15" ht="29" hidden="1">
      <c r="A209" s="525">
        <v>-12</v>
      </c>
      <c r="B209" s="524" t="e">
        <f>VLOOKUP(A209,'Hours Detail'!$E$17:$H$1048576,4,)</f>
        <v>#N/A</v>
      </c>
      <c r="C209" s="524" t="s">
        <v>1250</v>
      </c>
      <c r="D209" s="524" t="s">
        <v>1251</v>
      </c>
      <c r="E209" s="524" t="s">
        <v>1252</v>
      </c>
      <c r="F209" s="524" t="s">
        <v>1252</v>
      </c>
      <c r="G209" s="524" t="s">
        <v>1252</v>
      </c>
      <c r="H209" s="524" t="s">
        <v>1252</v>
      </c>
      <c r="I209" s="524" t="s">
        <v>6565</v>
      </c>
      <c r="J209" s="524" t="s">
        <v>1251</v>
      </c>
      <c r="K209" s="524" t="s">
        <v>6359</v>
      </c>
      <c r="L209" s="524" t="s">
        <v>6386</v>
      </c>
      <c r="M209" s="524" t="s">
        <v>6435</v>
      </c>
      <c r="N209" s="524"/>
      <c r="O209" s="524"/>
    </row>
    <row r="210" spans="1:15" ht="87" hidden="1">
      <c r="A210" s="527">
        <v>-12</v>
      </c>
      <c r="B210" s="524" t="e">
        <f>VLOOKUP(A210,'Hours Detail'!$E$17:$H$1048576,4,)</f>
        <v>#N/A</v>
      </c>
      <c r="C210" s="527" t="s">
        <v>1250</v>
      </c>
      <c r="D210" s="527" t="s">
        <v>4703</v>
      </c>
      <c r="E210" s="527" t="s">
        <v>1251</v>
      </c>
      <c r="F210" s="527" t="s">
        <v>1252</v>
      </c>
      <c r="G210" s="527">
        <v>283</v>
      </c>
      <c r="H210" s="527" t="s">
        <v>4705</v>
      </c>
      <c r="I210" s="527" t="s">
        <v>4704</v>
      </c>
      <c r="J210" s="527" t="s">
        <v>2890</v>
      </c>
      <c r="K210" s="527" t="s">
        <v>2890</v>
      </c>
      <c r="L210" s="527" t="s">
        <v>6566</v>
      </c>
      <c r="M210" s="524"/>
      <c r="N210" s="524"/>
      <c r="O210" s="524"/>
    </row>
    <row r="211" spans="1:15" ht="58" hidden="1">
      <c r="A211" s="525">
        <v>-11</v>
      </c>
      <c r="B211" s="524" t="e">
        <f>VLOOKUP(A211,'Hours Detail'!$E$17:$H$1048576,4,)</f>
        <v>#N/A</v>
      </c>
      <c r="C211" s="524" t="s">
        <v>903</v>
      </c>
      <c r="D211" s="524" t="s">
        <v>904</v>
      </c>
      <c r="E211" s="524" t="s">
        <v>905</v>
      </c>
      <c r="F211" s="524" t="s">
        <v>905</v>
      </c>
      <c r="G211" s="524" t="s">
        <v>905</v>
      </c>
      <c r="H211" s="524" t="s">
        <v>905</v>
      </c>
      <c r="I211" s="524" t="s">
        <v>6500</v>
      </c>
      <c r="J211" s="524" t="s">
        <v>904</v>
      </c>
      <c r="K211" s="524"/>
      <c r="L211" s="524" t="s">
        <v>6414</v>
      </c>
      <c r="M211" s="524" t="s">
        <v>6415</v>
      </c>
      <c r="N211" s="524"/>
      <c r="O211" s="524"/>
    </row>
    <row r="212" spans="1:15" ht="29" hidden="1">
      <c r="A212" s="527">
        <v>-11</v>
      </c>
      <c r="B212" s="524" t="e">
        <f>VLOOKUP(A212,'Hours Detail'!$E$17:$H$1048576,4,)</f>
        <v>#N/A</v>
      </c>
      <c r="C212" s="527" t="s">
        <v>903</v>
      </c>
      <c r="D212" s="527" t="s">
        <v>891</v>
      </c>
      <c r="E212" s="527" t="s">
        <v>904</v>
      </c>
      <c r="F212" s="527" t="s">
        <v>905</v>
      </c>
      <c r="G212" s="527">
        <v>23</v>
      </c>
      <c r="H212" s="527" t="s">
        <v>7</v>
      </c>
      <c r="I212" s="527" t="s">
        <v>890</v>
      </c>
      <c r="J212" s="527" t="s">
        <v>2890</v>
      </c>
      <c r="K212" s="527" t="s">
        <v>2890</v>
      </c>
      <c r="L212" s="527" t="s">
        <v>6371</v>
      </c>
      <c r="M212" s="524"/>
      <c r="N212" s="524"/>
      <c r="O212" s="524"/>
    </row>
    <row r="213" spans="1:15" ht="29" hidden="1">
      <c r="A213" s="525">
        <v>-9</v>
      </c>
      <c r="B213" s="524" t="e">
        <f>VLOOKUP(A213,'Hours Detail'!$E$17:$H$1048576,4,)</f>
        <v>#N/A</v>
      </c>
      <c r="C213" s="524" t="s">
        <v>4006</v>
      </c>
      <c r="D213" s="524" t="s">
        <v>4005</v>
      </c>
      <c r="E213" s="524" t="s">
        <v>4004</v>
      </c>
      <c r="F213" s="524" t="s">
        <v>4004</v>
      </c>
      <c r="G213" s="524" t="s">
        <v>4004</v>
      </c>
      <c r="H213" s="524" t="s">
        <v>4004</v>
      </c>
      <c r="I213" s="524" t="s">
        <v>6422</v>
      </c>
      <c r="J213" s="524" t="s">
        <v>4005</v>
      </c>
      <c r="K213" s="524" t="s">
        <v>6359</v>
      </c>
      <c r="L213" s="524" t="s">
        <v>6414</v>
      </c>
      <c r="M213" s="524" t="s">
        <v>6415</v>
      </c>
      <c r="N213" s="524"/>
      <c r="O213" s="524"/>
    </row>
    <row r="214" spans="1:15" ht="43.5" hidden="1">
      <c r="A214" s="525">
        <v>-8</v>
      </c>
      <c r="B214" s="524" t="e">
        <f>VLOOKUP(A214,'Hours Detail'!$E$17:$H$1048576,4,)</f>
        <v>#N/A</v>
      </c>
      <c r="C214" s="524" t="s">
        <v>3951</v>
      </c>
      <c r="D214" s="524" t="s">
        <v>3950</v>
      </c>
      <c r="E214" s="524" t="s">
        <v>3949</v>
      </c>
      <c r="F214" s="524" t="s">
        <v>3949</v>
      </c>
      <c r="G214" s="524" t="s">
        <v>3949</v>
      </c>
      <c r="H214" s="524" t="s">
        <v>3949</v>
      </c>
      <c r="I214" s="524" t="s">
        <v>3950</v>
      </c>
      <c r="J214" s="524" t="s">
        <v>3950</v>
      </c>
      <c r="K214" s="524"/>
      <c r="L214" s="524" t="s">
        <v>6386</v>
      </c>
      <c r="M214" s="524" t="s">
        <v>6387</v>
      </c>
      <c r="N214" s="524"/>
      <c r="O214" s="524"/>
    </row>
    <row r="215" spans="1:15" ht="43.5" hidden="1">
      <c r="A215" s="525">
        <v>-6</v>
      </c>
      <c r="B215" s="524" t="e">
        <f>VLOOKUP(A215,'Hours Detail'!$E$17:$H$1048576,4,)</f>
        <v>#N/A</v>
      </c>
      <c r="C215" s="524" t="s">
        <v>4279</v>
      </c>
      <c r="D215" s="524" t="s">
        <v>4278</v>
      </c>
      <c r="E215" s="524" t="s">
        <v>4277</v>
      </c>
      <c r="F215" s="524" t="s">
        <v>4277</v>
      </c>
      <c r="G215" s="524" t="s">
        <v>4277</v>
      </c>
      <c r="H215" s="524" t="s">
        <v>4277</v>
      </c>
      <c r="I215" s="524" t="s">
        <v>6567</v>
      </c>
      <c r="J215" s="524" t="s">
        <v>4278</v>
      </c>
      <c r="K215" s="524" t="s">
        <v>6359</v>
      </c>
      <c r="L215" s="524" t="s">
        <v>6379</v>
      </c>
      <c r="M215" s="524" t="s">
        <v>6380</v>
      </c>
      <c r="N215" s="524"/>
      <c r="O215" s="524"/>
    </row>
    <row r="216" spans="1:15" ht="43.5" hidden="1">
      <c r="A216" s="525">
        <v>-5</v>
      </c>
      <c r="B216" s="524" t="e">
        <f>VLOOKUP(A216,'Hours Detail'!$E$17:$H$1048576,4,)</f>
        <v>#N/A</v>
      </c>
      <c r="C216" s="524" t="s">
        <v>4066</v>
      </c>
      <c r="D216" s="524" t="s">
        <v>4065</v>
      </c>
      <c r="E216" s="524" t="s">
        <v>4064</v>
      </c>
      <c r="F216" s="524" t="s">
        <v>4064</v>
      </c>
      <c r="G216" s="524" t="s">
        <v>4064</v>
      </c>
      <c r="H216" s="524" t="s">
        <v>4064</v>
      </c>
      <c r="I216" s="524" t="s">
        <v>6568</v>
      </c>
      <c r="J216" s="524" t="s">
        <v>4065</v>
      </c>
      <c r="K216" s="524"/>
      <c r="L216" s="524" t="s">
        <v>6399</v>
      </c>
      <c r="M216" s="524" t="s">
        <v>6437</v>
      </c>
      <c r="N216" s="524"/>
      <c r="O216" s="524"/>
    </row>
    <row r="217" spans="1:15" ht="58" hidden="1">
      <c r="A217" s="525">
        <v>-4</v>
      </c>
      <c r="B217" s="524" t="e">
        <f>VLOOKUP(A217,'Hours Detail'!$E$17:$H$1048576,4,)</f>
        <v>#N/A</v>
      </c>
      <c r="C217" s="524" t="s">
        <v>6569</v>
      </c>
      <c r="D217" s="524" t="s">
        <v>5590</v>
      </c>
      <c r="E217" s="524" t="s">
        <v>5589</v>
      </c>
      <c r="F217" s="524" t="s">
        <v>5589</v>
      </c>
      <c r="G217" s="524" t="s">
        <v>5589</v>
      </c>
      <c r="H217" s="524" t="s">
        <v>5589</v>
      </c>
      <c r="I217" s="524" t="s">
        <v>6570</v>
      </c>
      <c r="J217" s="524" t="s">
        <v>5590</v>
      </c>
      <c r="K217" s="524"/>
      <c r="L217" s="524" t="s">
        <v>6397</v>
      </c>
      <c r="M217" s="524" t="s">
        <v>2384</v>
      </c>
      <c r="N217" s="524"/>
      <c r="O217" s="524"/>
    </row>
    <row r="218" spans="1:15" ht="87" hidden="1">
      <c r="A218" s="527">
        <v>-4</v>
      </c>
      <c r="B218" s="524" t="e">
        <f>VLOOKUP(A218,'Hours Detail'!$E$17:$H$1048576,4,)</f>
        <v>#N/A</v>
      </c>
      <c r="C218" s="527" t="s">
        <v>1238</v>
      </c>
      <c r="D218" s="527" t="s">
        <v>4703</v>
      </c>
      <c r="E218" s="527" t="s">
        <v>1239</v>
      </c>
      <c r="F218" s="527" t="s">
        <v>1240</v>
      </c>
      <c r="G218" s="527">
        <v>283</v>
      </c>
      <c r="H218" s="527" t="s">
        <v>4705</v>
      </c>
      <c r="I218" s="527" t="s">
        <v>4704</v>
      </c>
      <c r="J218" s="527" t="s">
        <v>2890</v>
      </c>
      <c r="K218" s="527" t="s">
        <v>2890</v>
      </c>
      <c r="L218" s="527" t="s">
        <v>6571</v>
      </c>
      <c r="M218" s="524"/>
      <c r="N218" s="524"/>
      <c r="O218" s="524"/>
    </row>
    <row r="219" spans="1:15" ht="29" hidden="1">
      <c r="A219" s="525">
        <v>-2</v>
      </c>
      <c r="B219" s="524" t="e">
        <f>VLOOKUP(A219,'Hours Detail'!$E$17:$H$1048576,4,)</f>
        <v>#N/A</v>
      </c>
      <c r="C219" s="524" t="s">
        <v>4286</v>
      </c>
      <c r="D219" s="524" t="s">
        <v>4285</v>
      </c>
      <c r="E219" s="524" t="s">
        <v>4284</v>
      </c>
      <c r="F219" s="524" t="s">
        <v>4284</v>
      </c>
      <c r="G219" s="524" t="s">
        <v>4284</v>
      </c>
      <c r="H219" s="524" t="s">
        <v>4284</v>
      </c>
      <c r="I219" s="524" t="s">
        <v>6572</v>
      </c>
      <c r="J219" s="524" t="s">
        <v>4285</v>
      </c>
      <c r="K219" s="524" t="s">
        <v>6359</v>
      </c>
      <c r="L219" s="524" t="s">
        <v>6379</v>
      </c>
      <c r="M219" s="524" t="s">
        <v>6380</v>
      </c>
      <c r="N219" s="524"/>
      <c r="O219" s="524"/>
    </row>
    <row r="220" spans="1:15" ht="29" hidden="1">
      <c r="A220" s="525">
        <v>0</v>
      </c>
      <c r="B220" s="524" t="e">
        <f>VLOOKUP(A220,'Hours Detail'!$E$17:$H$1048576,4,)</f>
        <v>#N/A</v>
      </c>
      <c r="C220" s="524" t="s">
        <v>412</v>
      </c>
      <c r="D220" s="524" t="s">
        <v>1475</v>
      </c>
      <c r="E220" s="524" t="s">
        <v>1476</v>
      </c>
      <c r="F220" s="524" t="s">
        <v>1476</v>
      </c>
      <c r="G220" s="524" t="s">
        <v>1476</v>
      </c>
      <c r="H220" s="524" t="s">
        <v>1476</v>
      </c>
      <c r="I220" s="524" t="s">
        <v>6573</v>
      </c>
      <c r="J220" s="524" t="s">
        <v>1475</v>
      </c>
      <c r="K220" s="524"/>
      <c r="L220" s="524" t="s">
        <v>6400</v>
      </c>
      <c r="M220" s="524" t="s">
        <v>6401</v>
      </c>
      <c r="N220" s="524"/>
      <c r="O220" s="524"/>
    </row>
    <row r="221" spans="1:15" ht="58" hidden="1">
      <c r="A221" s="527">
        <v>0</v>
      </c>
      <c r="B221" s="524" t="e">
        <f>VLOOKUP(A221,'Hours Detail'!$E$17:$H$1048576,4,)</f>
        <v>#N/A</v>
      </c>
      <c r="C221" s="527" t="s">
        <v>412</v>
      </c>
      <c r="D221" s="527" t="s">
        <v>1469</v>
      </c>
      <c r="E221" s="527" t="s">
        <v>1475</v>
      </c>
      <c r="F221" s="527" t="s">
        <v>1476</v>
      </c>
      <c r="G221" s="527">
        <v>302</v>
      </c>
      <c r="H221" s="527" t="s">
        <v>409</v>
      </c>
      <c r="I221" s="527" t="s">
        <v>1467</v>
      </c>
      <c r="J221" s="527" t="s">
        <v>2890</v>
      </c>
      <c r="K221" s="527" t="s">
        <v>2890</v>
      </c>
      <c r="L221" s="527" t="s">
        <v>6371</v>
      </c>
      <c r="M221" s="524"/>
      <c r="N221" s="524"/>
      <c r="O221" s="524"/>
    </row>
    <row r="222" spans="1:15" ht="43.5">
      <c r="A222" s="525">
        <v>1</v>
      </c>
      <c r="B222" s="524" t="str">
        <f>VLOOKUP(A222,'Hours Detail'!$E$17:$H$1048576,4,)</f>
        <v>No</v>
      </c>
      <c r="C222" s="524" t="s">
        <v>163</v>
      </c>
      <c r="D222" s="524" t="s">
        <v>475</v>
      </c>
      <c r="E222" s="524" t="s">
        <v>476</v>
      </c>
      <c r="F222" s="524" t="s">
        <v>476</v>
      </c>
      <c r="G222" s="524" t="s">
        <v>476</v>
      </c>
      <c r="H222" s="524" t="s">
        <v>476</v>
      </c>
      <c r="I222" s="524" t="s">
        <v>6574</v>
      </c>
      <c r="J222" s="524" t="s">
        <v>6575</v>
      </c>
      <c r="K222" s="524" t="s">
        <v>6359</v>
      </c>
      <c r="L222" s="524" t="s">
        <v>6397</v>
      </c>
      <c r="M222" s="524" t="s">
        <v>2384</v>
      </c>
      <c r="N222" s="524" t="s">
        <v>6576</v>
      </c>
      <c r="O222" s="524"/>
    </row>
    <row r="223" spans="1:15" ht="58">
      <c r="A223" s="524">
        <v>1</v>
      </c>
      <c r="B223" s="524" t="str">
        <f>VLOOKUP(A223,'Hours Detail'!$E$17:$H$1048576,4,)</f>
        <v>No</v>
      </c>
      <c r="C223" s="524" t="s">
        <v>163</v>
      </c>
      <c r="D223" s="527" t="s">
        <v>470</v>
      </c>
      <c r="E223" s="527" t="s">
        <v>475</v>
      </c>
      <c r="F223" s="527" t="s">
        <v>476</v>
      </c>
      <c r="G223" s="527">
        <v>3</v>
      </c>
      <c r="H223" s="527" t="s">
        <v>149</v>
      </c>
      <c r="I223" s="527" t="s">
        <v>468</v>
      </c>
      <c r="J223" s="527" t="s">
        <v>2889</v>
      </c>
      <c r="K223" s="527" t="s">
        <v>2889</v>
      </c>
      <c r="L223" s="527" t="s">
        <v>6577</v>
      </c>
      <c r="M223" s="524"/>
      <c r="N223" s="524"/>
      <c r="O223" s="524"/>
    </row>
    <row r="224" spans="1:15" ht="29" hidden="1">
      <c r="A224" s="524">
        <v>2</v>
      </c>
      <c r="B224" s="524" t="e">
        <f>VLOOKUP(A224,'Hours Detail'!$E$17:$H$1048576,4,)</f>
        <v>#N/A</v>
      </c>
      <c r="C224" s="524" t="s">
        <v>5746</v>
      </c>
      <c r="D224" s="524" t="s">
        <v>5746</v>
      </c>
      <c r="E224" s="524" t="s">
        <v>5746</v>
      </c>
      <c r="F224" s="524" t="s">
        <v>5746</v>
      </c>
      <c r="G224" s="524" t="s">
        <v>5746</v>
      </c>
      <c r="H224" s="524" t="s">
        <v>5746</v>
      </c>
      <c r="I224" s="524" t="s">
        <v>5746</v>
      </c>
      <c r="J224" s="524" t="s">
        <v>5746</v>
      </c>
      <c r="K224" s="524"/>
      <c r="L224" s="524" t="s">
        <v>6400</v>
      </c>
      <c r="M224" s="524" t="s">
        <v>6401</v>
      </c>
      <c r="N224" s="524"/>
      <c r="O224" s="524"/>
    </row>
    <row r="225" spans="1:15" ht="43.5" hidden="1">
      <c r="A225" s="525">
        <v>3</v>
      </c>
      <c r="B225" s="524" t="e">
        <f>VLOOKUP(A225,'Hours Detail'!$E$17:$H$1048576,4,)</f>
        <v>#N/A</v>
      </c>
      <c r="C225" s="524" t="s">
        <v>5251</v>
      </c>
      <c r="D225" s="524" t="s">
        <v>5250</v>
      </c>
      <c r="E225" s="524" t="s">
        <v>5249</v>
      </c>
      <c r="F225" s="524" t="s">
        <v>5249</v>
      </c>
      <c r="G225" s="524" t="s">
        <v>5249</v>
      </c>
      <c r="H225" s="524" t="s">
        <v>5249</v>
      </c>
      <c r="I225" s="524" t="s">
        <v>5250</v>
      </c>
      <c r="J225" s="524" t="s">
        <v>5250</v>
      </c>
      <c r="K225" s="524"/>
      <c r="L225" s="524" t="s">
        <v>6368</v>
      </c>
      <c r="M225" s="524" t="s">
        <v>6370</v>
      </c>
      <c r="N225" s="524"/>
      <c r="O225" s="524"/>
    </row>
    <row r="226" spans="1:15" ht="130.5">
      <c r="A226" s="525">
        <v>4</v>
      </c>
      <c r="B226" s="524" t="str">
        <f>VLOOKUP(A226,'Hours Detail'!$E$17:$H$1048576,4,)</f>
        <v>No</v>
      </c>
      <c r="C226" s="524" t="s">
        <v>157</v>
      </c>
      <c r="D226" s="524" t="s">
        <v>477</v>
      </c>
      <c r="E226" s="524" t="s">
        <v>478</v>
      </c>
      <c r="F226" s="524" t="s">
        <v>478</v>
      </c>
      <c r="G226" s="524" t="s">
        <v>478</v>
      </c>
      <c r="H226" s="524" t="s">
        <v>478</v>
      </c>
      <c r="I226" s="524" t="s">
        <v>6578</v>
      </c>
      <c r="J226" s="524" t="s">
        <v>6579</v>
      </c>
      <c r="K226" s="524" t="s">
        <v>6359</v>
      </c>
      <c r="L226" s="524" t="s">
        <v>6379</v>
      </c>
      <c r="M226" s="524" t="s">
        <v>6380</v>
      </c>
      <c r="N226" s="524" t="s">
        <v>6580</v>
      </c>
      <c r="O226" s="524"/>
    </row>
    <row r="227" spans="1:15" ht="174">
      <c r="A227" s="524">
        <v>4</v>
      </c>
      <c r="B227" s="524" t="str">
        <f>VLOOKUP(A227,'Hours Detail'!$E$17:$H$1048576,4,)</f>
        <v>No</v>
      </c>
      <c r="C227" s="524" t="s">
        <v>157</v>
      </c>
      <c r="D227" s="527" t="s">
        <v>470</v>
      </c>
      <c r="E227" s="527" t="s">
        <v>477</v>
      </c>
      <c r="F227" s="527" t="s">
        <v>478</v>
      </c>
      <c r="G227" s="527">
        <v>3</v>
      </c>
      <c r="H227" s="527" t="s">
        <v>149</v>
      </c>
      <c r="I227" s="527" t="s">
        <v>468</v>
      </c>
      <c r="J227" s="527" t="s">
        <v>2889</v>
      </c>
      <c r="K227" s="527" t="s">
        <v>2889</v>
      </c>
      <c r="L227" s="527" t="s">
        <v>6581</v>
      </c>
      <c r="M227" s="524"/>
      <c r="N227" s="524"/>
      <c r="O227" s="524"/>
    </row>
    <row r="228" spans="1:15" ht="188.5">
      <c r="A228" s="525">
        <v>5</v>
      </c>
      <c r="B228" s="524" t="str">
        <f>VLOOKUP(A228,'Hours Detail'!$E$17:$H$1048576,4,)</f>
        <v>No</v>
      </c>
      <c r="C228" s="524" t="s">
        <v>27</v>
      </c>
      <c r="D228" s="524" t="s">
        <v>535</v>
      </c>
      <c r="E228" s="524" t="s">
        <v>536</v>
      </c>
      <c r="F228" s="524" t="s">
        <v>536</v>
      </c>
      <c r="G228" s="524" t="s">
        <v>6582</v>
      </c>
      <c r="H228" s="524" t="s">
        <v>536</v>
      </c>
      <c r="I228" s="524" t="s">
        <v>6583</v>
      </c>
      <c r="J228" s="524" t="s">
        <v>535</v>
      </c>
      <c r="K228" s="524" t="s">
        <v>6359</v>
      </c>
      <c r="L228" s="524" t="s">
        <v>6379</v>
      </c>
      <c r="M228" s="524" t="s">
        <v>6380</v>
      </c>
      <c r="N228" s="524" t="s">
        <v>6584</v>
      </c>
      <c r="O228" s="524"/>
    </row>
    <row r="229" spans="1:15" ht="159.5">
      <c r="A229" s="524">
        <v>5</v>
      </c>
      <c r="B229" s="524" t="str">
        <f>VLOOKUP(A229,'Hours Detail'!$E$17:$H$1048576,4,)</f>
        <v>No</v>
      </c>
      <c r="C229" s="524" t="s">
        <v>27</v>
      </c>
      <c r="D229" s="527" t="s">
        <v>2170</v>
      </c>
      <c r="E229" s="527" t="s">
        <v>535</v>
      </c>
      <c r="F229" s="527" t="s">
        <v>536</v>
      </c>
      <c r="G229" s="527">
        <v>5</v>
      </c>
      <c r="H229" s="527" t="s">
        <v>177</v>
      </c>
      <c r="I229" s="527" t="s">
        <v>2310</v>
      </c>
      <c r="J229" s="527" t="s">
        <v>2889</v>
      </c>
      <c r="K229" s="527" t="s">
        <v>2889</v>
      </c>
      <c r="L229" s="527" t="s">
        <v>6585</v>
      </c>
      <c r="M229" s="524"/>
      <c r="N229" s="524"/>
      <c r="O229" s="524"/>
    </row>
    <row r="230" spans="1:15" ht="29">
      <c r="A230" s="524">
        <v>6</v>
      </c>
      <c r="B230" s="524" t="str">
        <f>VLOOKUP(A230,'Hours Detail'!$E$17:$H$1048576,4,)</f>
        <v>No</v>
      </c>
      <c r="C230" s="524" t="s">
        <v>170</v>
      </c>
      <c r="D230" s="524" t="s">
        <v>479</v>
      </c>
      <c r="E230" s="524" t="s">
        <v>480</v>
      </c>
      <c r="F230" s="524" t="s">
        <v>480</v>
      </c>
      <c r="G230" s="524" t="s">
        <v>6586</v>
      </c>
      <c r="H230" s="524" t="s">
        <v>6586</v>
      </c>
      <c r="I230" s="524" t="s">
        <v>6587</v>
      </c>
      <c r="J230" s="524" t="s">
        <v>479</v>
      </c>
      <c r="K230" s="524" t="s">
        <v>6359</v>
      </c>
      <c r="L230" s="524" t="s">
        <v>6381</v>
      </c>
      <c r="M230" s="524" t="s">
        <v>442</v>
      </c>
      <c r="N230" s="524"/>
      <c r="O230" s="524"/>
    </row>
    <row r="231" spans="1:15" ht="203">
      <c r="A231" s="524">
        <v>6</v>
      </c>
      <c r="B231" s="524" t="str">
        <f>VLOOKUP(A231,'Hours Detail'!$E$17:$H$1048576,4,)</f>
        <v>No</v>
      </c>
      <c r="C231" s="524" t="s">
        <v>170</v>
      </c>
      <c r="D231" s="527" t="s">
        <v>470</v>
      </c>
      <c r="E231" s="527" t="s">
        <v>479</v>
      </c>
      <c r="F231" s="527" t="s">
        <v>480</v>
      </c>
      <c r="G231" s="527">
        <v>3</v>
      </c>
      <c r="H231" s="527" t="s">
        <v>149</v>
      </c>
      <c r="I231" s="527" t="s">
        <v>468</v>
      </c>
      <c r="J231" s="527" t="s">
        <v>2889</v>
      </c>
      <c r="K231" s="527" t="s">
        <v>2889</v>
      </c>
      <c r="L231" s="527" t="s">
        <v>6588</v>
      </c>
      <c r="M231" s="524"/>
      <c r="N231" s="524"/>
      <c r="O231" s="524"/>
    </row>
    <row r="232" spans="1:15" ht="87" hidden="1">
      <c r="A232" s="525">
        <v>7</v>
      </c>
      <c r="B232" s="524" t="e">
        <f>VLOOKUP(A232,'Hours Detail'!$E$17:$H$1048576,4,)</f>
        <v>#N/A</v>
      </c>
      <c r="C232" s="524" t="s">
        <v>3817</v>
      </c>
      <c r="D232" s="524" t="s">
        <v>3816</v>
      </c>
      <c r="E232" s="524" t="s">
        <v>3815</v>
      </c>
      <c r="F232" s="524" t="s">
        <v>3815</v>
      </c>
      <c r="G232" s="524" t="s">
        <v>3815</v>
      </c>
      <c r="H232" s="524" t="s">
        <v>3815</v>
      </c>
      <c r="I232" s="524" t="s">
        <v>3816</v>
      </c>
      <c r="J232" s="524" t="s">
        <v>6589</v>
      </c>
      <c r="K232" s="524"/>
      <c r="L232" s="524" t="s">
        <v>6590</v>
      </c>
      <c r="M232" s="524" t="s">
        <v>6591</v>
      </c>
      <c r="N232" s="524"/>
      <c r="O232" s="524"/>
    </row>
    <row r="233" spans="1:15" ht="72.5" hidden="1">
      <c r="A233" s="525">
        <v>8</v>
      </c>
      <c r="B233" s="524" t="e">
        <f>VLOOKUP(A233,'Hours Detail'!$E$17:$H$1048576,4,)</f>
        <v>#N/A</v>
      </c>
      <c r="C233" s="524" t="s">
        <v>4517</v>
      </c>
      <c r="D233" s="524" t="s">
        <v>4516</v>
      </c>
      <c r="E233" s="524" t="s">
        <v>4515</v>
      </c>
      <c r="F233" s="524" t="s">
        <v>4515</v>
      </c>
      <c r="G233" s="524" t="s">
        <v>4515</v>
      </c>
      <c r="H233" s="524" t="s">
        <v>4515</v>
      </c>
      <c r="I233" s="524" t="s">
        <v>4516</v>
      </c>
      <c r="J233" s="524" t="s">
        <v>4516</v>
      </c>
      <c r="K233" s="524"/>
      <c r="L233" s="524" t="s">
        <v>6590</v>
      </c>
      <c r="M233" s="524" t="s">
        <v>6592</v>
      </c>
      <c r="N233" s="524"/>
      <c r="O233" s="524"/>
    </row>
    <row r="234" spans="1:15" ht="43.5" hidden="1">
      <c r="A234" s="525">
        <v>9</v>
      </c>
      <c r="B234" s="524" t="e">
        <f>VLOOKUP(A234,'Hours Detail'!$E$17:$H$1048576,4,)</f>
        <v>#N/A</v>
      </c>
      <c r="C234" s="524" t="s">
        <v>6593</v>
      </c>
      <c r="D234" s="524" t="s">
        <v>6596</v>
      </c>
      <c r="E234" s="524" t="s">
        <v>6594</v>
      </c>
      <c r="F234" s="524" t="s">
        <v>6594</v>
      </c>
      <c r="G234" s="524" t="s">
        <v>6594</v>
      </c>
      <c r="H234" s="524" t="s">
        <v>6594</v>
      </c>
      <c r="I234" s="524" t="s">
        <v>6595</v>
      </c>
      <c r="J234" s="524" t="s">
        <v>6596</v>
      </c>
      <c r="K234" s="524"/>
      <c r="L234" s="524" t="s">
        <v>6597</v>
      </c>
      <c r="M234" s="524" t="s">
        <v>6598</v>
      </c>
      <c r="N234" s="524"/>
      <c r="O234" s="524"/>
    </row>
    <row r="235" spans="1:15" ht="29" hidden="1">
      <c r="A235" s="525">
        <v>10</v>
      </c>
      <c r="B235" s="524" t="e">
        <f>VLOOKUP(A235,'Hours Detail'!$E$17:$H$1048576,4,)</f>
        <v>#N/A</v>
      </c>
      <c r="C235" s="524" t="s">
        <v>5687</v>
      </c>
      <c r="D235" s="524" t="s">
        <v>5686</v>
      </c>
      <c r="E235" s="524" t="s">
        <v>5685</v>
      </c>
      <c r="F235" s="524" t="s">
        <v>5685</v>
      </c>
      <c r="G235" s="524" t="s">
        <v>5685</v>
      </c>
      <c r="H235" s="524" t="s">
        <v>5685</v>
      </c>
      <c r="I235" s="524" t="s">
        <v>6599</v>
      </c>
      <c r="J235" s="524" t="s">
        <v>5686</v>
      </c>
      <c r="K235" s="524"/>
      <c r="L235" s="524" t="s">
        <v>6400</v>
      </c>
      <c r="M235" s="524" t="s">
        <v>6600</v>
      </c>
      <c r="N235" s="524"/>
      <c r="O235" s="524"/>
    </row>
    <row r="236" spans="1:15" ht="58" hidden="1">
      <c r="A236" s="525">
        <v>13</v>
      </c>
      <c r="B236" s="524" t="e">
        <f>VLOOKUP(A236,'Hours Detail'!$E$17:$H$1048576,4,)</f>
        <v>#N/A</v>
      </c>
      <c r="C236" s="524" t="s">
        <v>327</v>
      </c>
      <c r="D236" s="524" t="s">
        <v>565</v>
      </c>
      <c r="E236" s="524" t="s">
        <v>566</v>
      </c>
      <c r="F236" s="524" t="s">
        <v>566</v>
      </c>
      <c r="G236" s="524" t="s">
        <v>566</v>
      </c>
      <c r="H236" s="524" t="s">
        <v>566</v>
      </c>
      <c r="I236" s="524" t="s">
        <v>6601</v>
      </c>
      <c r="J236" s="524" t="s">
        <v>565</v>
      </c>
      <c r="K236" s="524"/>
      <c r="L236" s="524" t="s">
        <v>6379</v>
      </c>
      <c r="M236" s="524" t="s">
        <v>6380</v>
      </c>
      <c r="N236" s="524"/>
      <c r="O236" s="524"/>
    </row>
    <row r="237" spans="1:15" ht="72.5" hidden="1">
      <c r="A237" s="527">
        <v>13</v>
      </c>
      <c r="B237" s="524" t="e">
        <f>VLOOKUP(A237,'Hours Detail'!$E$17:$H$1048576,4,)</f>
        <v>#N/A</v>
      </c>
      <c r="C237" s="527" t="s">
        <v>327</v>
      </c>
      <c r="D237" s="527" t="s">
        <v>2312</v>
      </c>
      <c r="E237" s="527" t="s">
        <v>565</v>
      </c>
      <c r="F237" s="527" t="s">
        <v>566</v>
      </c>
      <c r="G237" s="527">
        <v>6</v>
      </c>
      <c r="H237" s="527" t="s">
        <v>58</v>
      </c>
      <c r="I237" s="527" t="s">
        <v>2311</v>
      </c>
      <c r="J237" s="527" t="s">
        <v>2890</v>
      </c>
      <c r="K237" s="527" t="s">
        <v>2890</v>
      </c>
      <c r="L237" s="527" t="s">
        <v>6371</v>
      </c>
      <c r="M237" s="524"/>
      <c r="N237" s="524"/>
      <c r="O237" s="524"/>
    </row>
    <row r="238" spans="1:15" ht="43.5" hidden="1">
      <c r="A238" s="525">
        <v>14</v>
      </c>
      <c r="B238" s="524" t="e">
        <f>VLOOKUP(A238,'Hours Detail'!$E$17:$H$1048576,4,)</f>
        <v>#N/A</v>
      </c>
      <c r="C238" s="524" t="s">
        <v>4859</v>
      </c>
      <c r="D238" s="524" t="s">
        <v>4860</v>
      </c>
      <c r="E238" s="524" t="s">
        <v>4859</v>
      </c>
      <c r="F238" s="524" t="s">
        <v>4859</v>
      </c>
      <c r="G238" s="524" t="s">
        <v>4859</v>
      </c>
      <c r="H238" s="524" t="s">
        <v>4859</v>
      </c>
      <c r="I238" s="524" t="s">
        <v>4860</v>
      </c>
      <c r="J238" s="524" t="s">
        <v>4860</v>
      </c>
      <c r="K238" s="524"/>
      <c r="L238" s="524" t="s">
        <v>6400</v>
      </c>
      <c r="M238" s="524" t="s">
        <v>6401</v>
      </c>
      <c r="N238" s="524"/>
      <c r="O238" s="524"/>
    </row>
    <row r="239" spans="1:15" ht="43.5">
      <c r="A239" s="524">
        <v>15</v>
      </c>
      <c r="B239" s="524" t="str">
        <f>VLOOKUP(A239,'Hours Detail'!$E$17:$H$1048576,4,)</f>
        <v>No</v>
      </c>
      <c r="C239" s="524" t="s">
        <v>173</v>
      </c>
      <c r="D239" s="524" t="s">
        <v>483</v>
      </c>
      <c r="E239" s="524" t="s">
        <v>484</v>
      </c>
      <c r="F239" s="524" t="s">
        <v>484</v>
      </c>
      <c r="G239" s="524" t="s">
        <v>6602</v>
      </c>
      <c r="H239" s="524" t="s">
        <v>484</v>
      </c>
      <c r="I239" s="524" t="s">
        <v>6603</v>
      </c>
      <c r="J239" s="524" t="s">
        <v>483</v>
      </c>
      <c r="K239" s="524"/>
      <c r="L239" s="524" t="s">
        <v>6399</v>
      </c>
      <c r="M239" s="524" t="s">
        <v>6437</v>
      </c>
      <c r="N239" s="524"/>
      <c r="O239" s="524"/>
    </row>
    <row r="240" spans="1:15" ht="130.5">
      <c r="A240" s="524">
        <v>15</v>
      </c>
      <c r="B240" s="524" t="str">
        <f>VLOOKUP(A240,'Hours Detail'!$E$17:$H$1048576,4,)</f>
        <v>No</v>
      </c>
      <c r="C240" s="524" t="s">
        <v>173</v>
      </c>
      <c r="D240" s="527" t="s">
        <v>470</v>
      </c>
      <c r="E240" s="527" t="s">
        <v>483</v>
      </c>
      <c r="F240" s="527" t="s">
        <v>484</v>
      </c>
      <c r="G240" s="527">
        <v>3</v>
      </c>
      <c r="H240" s="527" t="s">
        <v>149</v>
      </c>
      <c r="I240" s="527" t="s">
        <v>468</v>
      </c>
      <c r="J240" s="527" t="s">
        <v>2889</v>
      </c>
      <c r="K240" s="527" t="s">
        <v>2889</v>
      </c>
      <c r="L240" s="527" t="s">
        <v>6604</v>
      </c>
      <c r="M240" s="524"/>
      <c r="N240" s="524"/>
      <c r="O240" s="524"/>
    </row>
    <row r="241" spans="1:15" ht="29" hidden="1">
      <c r="A241" s="524">
        <v>17</v>
      </c>
      <c r="B241" s="524" t="e">
        <f>VLOOKUP(A241,'Hours Detail'!$E$17:$H$1048576,4,)</f>
        <v>#N/A</v>
      </c>
      <c r="C241" s="524" t="s">
        <v>320</v>
      </c>
      <c r="D241" s="524" t="s">
        <v>1177</v>
      </c>
      <c r="E241" s="524" t="s">
        <v>1178</v>
      </c>
      <c r="F241" s="524" t="s">
        <v>1178</v>
      </c>
      <c r="G241" s="524" t="s">
        <v>1178</v>
      </c>
      <c r="H241" s="524" t="s">
        <v>1178</v>
      </c>
      <c r="I241" s="524" t="s">
        <v>6605</v>
      </c>
      <c r="J241" s="524" t="s">
        <v>1177</v>
      </c>
      <c r="K241" s="524"/>
      <c r="L241" s="524" t="s">
        <v>6397</v>
      </c>
      <c r="M241" s="524" t="s">
        <v>2384</v>
      </c>
      <c r="N241" s="524"/>
      <c r="O241" s="524"/>
    </row>
    <row r="242" spans="1:15" hidden="1">
      <c r="A242" s="527">
        <v>17</v>
      </c>
      <c r="B242" s="524" t="e">
        <f>VLOOKUP(A242,'Hours Detail'!$E$17:$H$1048576,4,)</f>
        <v>#N/A</v>
      </c>
      <c r="C242" s="527" t="s">
        <v>320</v>
      </c>
      <c r="D242" s="527" t="s">
        <v>2166</v>
      </c>
      <c r="E242" s="527" t="s">
        <v>1177</v>
      </c>
      <c r="F242" s="527" t="s">
        <v>1178</v>
      </c>
      <c r="G242" s="527">
        <v>105</v>
      </c>
      <c r="H242" s="527" t="s">
        <v>313</v>
      </c>
      <c r="I242" s="527" t="s">
        <v>2309</v>
      </c>
      <c r="J242" s="527" t="s">
        <v>2890</v>
      </c>
      <c r="K242" s="527" t="s">
        <v>2890</v>
      </c>
      <c r="L242" s="527" t="s">
        <v>6371</v>
      </c>
      <c r="M242" s="524"/>
      <c r="N242" s="524"/>
      <c r="O242" s="524"/>
    </row>
    <row r="243" spans="1:15" ht="217.5">
      <c r="A243" s="525">
        <v>18</v>
      </c>
      <c r="B243" s="524" t="str">
        <f>VLOOKUP(A243,'Hours Detail'!$E$17:$H$1048576,4,)</f>
        <v>No</v>
      </c>
      <c r="C243" s="524" t="s">
        <v>152</v>
      </c>
      <c r="D243" s="524" t="s">
        <v>518</v>
      </c>
      <c r="E243" s="524" t="s">
        <v>519</v>
      </c>
      <c r="F243" s="524" t="s">
        <v>519</v>
      </c>
      <c r="G243" s="524" t="s">
        <v>519</v>
      </c>
      <c r="H243" s="524" t="s">
        <v>519</v>
      </c>
      <c r="I243" s="524" t="s">
        <v>6606</v>
      </c>
      <c r="J243" s="524" t="s">
        <v>518</v>
      </c>
      <c r="K243" s="524"/>
      <c r="L243" s="524" t="s">
        <v>6399</v>
      </c>
      <c r="M243" s="524" t="s">
        <v>6437</v>
      </c>
      <c r="N243" s="524" t="s">
        <v>6607</v>
      </c>
      <c r="O243" s="524"/>
    </row>
    <row r="244" spans="1:15" ht="130.5">
      <c r="A244" s="524">
        <v>18</v>
      </c>
      <c r="B244" s="524" t="str">
        <f>VLOOKUP(A244,'Hours Detail'!$E$17:$H$1048576,4,)</f>
        <v>No</v>
      </c>
      <c r="C244" s="524" t="s">
        <v>152</v>
      </c>
      <c r="D244" s="527" t="s">
        <v>470</v>
      </c>
      <c r="E244" s="527" t="s">
        <v>518</v>
      </c>
      <c r="F244" s="527" t="s">
        <v>519</v>
      </c>
      <c r="G244" s="527">
        <v>3</v>
      </c>
      <c r="H244" s="527" t="s">
        <v>149</v>
      </c>
      <c r="I244" s="527" t="s">
        <v>468</v>
      </c>
      <c r="J244" s="527" t="s">
        <v>2889</v>
      </c>
      <c r="K244" s="527" t="s">
        <v>2889</v>
      </c>
      <c r="L244" s="527" t="s">
        <v>6608</v>
      </c>
      <c r="M244" s="524"/>
      <c r="N244" s="524"/>
      <c r="O244" s="524"/>
    </row>
    <row r="245" spans="1:15" ht="29" hidden="1">
      <c r="A245" s="525">
        <v>23</v>
      </c>
      <c r="B245" s="524" t="e">
        <f>VLOOKUP(A245,'Hours Detail'!$E$17:$H$1048576,4,)</f>
        <v>#N/A</v>
      </c>
      <c r="C245" s="524" t="s">
        <v>3912</v>
      </c>
      <c r="D245" s="524" t="s">
        <v>3911</v>
      </c>
      <c r="E245" s="524" t="s">
        <v>3910</v>
      </c>
      <c r="F245" s="524" t="s">
        <v>3910</v>
      </c>
      <c r="G245" s="524" t="s">
        <v>3910</v>
      </c>
      <c r="H245" s="524" t="s">
        <v>3910</v>
      </c>
      <c r="I245" s="524" t="s">
        <v>3911</v>
      </c>
      <c r="J245" s="524" t="s">
        <v>3911</v>
      </c>
      <c r="K245" s="524"/>
      <c r="L245" s="524" t="s">
        <v>6414</v>
      </c>
      <c r="M245" s="524" t="s">
        <v>6415</v>
      </c>
      <c r="N245" s="524"/>
      <c r="O245" s="524"/>
    </row>
    <row r="246" spans="1:15" ht="304.5" hidden="1">
      <c r="A246" s="525">
        <v>24</v>
      </c>
      <c r="B246" s="524" t="str">
        <f>VLOOKUP(A246,'Hours Detail'!$E$17:$H$1048576,4,)</f>
        <v>No</v>
      </c>
      <c r="C246" s="524" t="s">
        <v>199</v>
      </c>
      <c r="D246" s="524" t="s">
        <v>645</v>
      </c>
      <c r="E246" s="524" t="s">
        <v>646</v>
      </c>
      <c r="F246" s="524" t="s">
        <v>646</v>
      </c>
      <c r="G246" s="524" t="s">
        <v>646</v>
      </c>
      <c r="H246" s="524" t="s">
        <v>646</v>
      </c>
      <c r="I246" s="524" t="s">
        <v>6609</v>
      </c>
      <c r="J246" s="524" t="s">
        <v>645</v>
      </c>
      <c r="K246" s="524" t="s">
        <v>6359</v>
      </c>
      <c r="L246" s="524" t="s">
        <v>6399</v>
      </c>
      <c r="M246" s="524" t="s">
        <v>188</v>
      </c>
      <c r="N246" s="524" t="s">
        <v>6610</v>
      </c>
      <c r="O246" s="524"/>
    </row>
    <row r="247" spans="1:15" ht="174" hidden="1">
      <c r="A247" s="527">
        <v>24</v>
      </c>
      <c r="B247" s="524" t="str">
        <f>VLOOKUP(A247,'Hours Detail'!$E$17:$H$1048576,4,)</f>
        <v>No</v>
      </c>
      <c r="C247" s="527" t="s">
        <v>199</v>
      </c>
      <c r="D247" s="527" t="s">
        <v>2171</v>
      </c>
      <c r="E247" s="527" t="s">
        <v>645</v>
      </c>
      <c r="F247" s="527" t="s">
        <v>646</v>
      </c>
      <c r="G247" s="527">
        <v>8</v>
      </c>
      <c r="H247" s="527" t="s">
        <v>188</v>
      </c>
      <c r="I247" s="527" t="s">
        <v>2314</v>
      </c>
      <c r="J247" s="527" t="s">
        <v>2889</v>
      </c>
      <c r="K247" s="527" t="s">
        <v>2889</v>
      </c>
      <c r="L247" s="527" t="s">
        <v>6611</v>
      </c>
      <c r="M247" s="524"/>
      <c r="N247" s="524"/>
      <c r="O247" s="524"/>
    </row>
    <row r="248" spans="1:15" ht="29">
      <c r="A248" s="524">
        <v>25</v>
      </c>
      <c r="B248" s="524" t="str">
        <f>VLOOKUP(A248,'Hours Detail'!$E$17:$H$1048576,4,)</f>
        <v>No</v>
      </c>
      <c r="C248" s="524" t="s">
        <v>47</v>
      </c>
      <c r="D248" s="524" t="s">
        <v>488</v>
      </c>
      <c r="E248" s="524" t="s">
        <v>489</v>
      </c>
      <c r="F248" s="524" t="s">
        <v>489</v>
      </c>
      <c r="G248" s="524" t="s">
        <v>489</v>
      </c>
      <c r="H248" s="524" t="s">
        <v>489</v>
      </c>
      <c r="I248" s="524" t="s">
        <v>6612</v>
      </c>
      <c r="J248" s="524" t="s">
        <v>488</v>
      </c>
      <c r="K248" s="524" t="s">
        <v>6359</v>
      </c>
      <c r="L248" s="524" t="s">
        <v>6399</v>
      </c>
      <c r="M248" s="524" t="s">
        <v>6613</v>
      </c>
      <c r="N248" s="524"/>
      <c r="O248" s="524"/>
    </row>
    <row r="249" spans="1:15" ht="87">
      <c r="A249" s="524">
        <v>25</v>
      </c>
      <c r="B249" s="524" t="str">
        <f>VLOOKUP(A249,'Hours Detail'!$E$17:$H$1048576,4,)</f>
        <v>No</v>
      </c>
      <c r="C249" s="524" t="s">
        <v>47</v>
      </c>
      <c r="D249" s="527" t="s">
        <v>470</v>
      </c>
      <c r="E249" s="527" t="s">
        <v>488</v>
      </c>
      <c r="F249" s="527" t="s">
        <v>489</v>
      </c>
      <c r="G249" s="527">
        <v>3</v>
      </c>
      <c r="H249" s="527" t="s">
        <v>149</v>
      </c>
      <c r="I249" s="527" t="s">
        <v>468</v>
      </c>
      <c r="J249" s="527" t="s">
        <v>2889</v>
      </c>
      <c r="K249" s="527" t="s">
        <v>2889</v>
      </c>
      <c r="L249" s="527" t="s">
        <v>6614</v>
      </c>
      <c r="M249" s="524"/>
      <c r="N249" s="524"/>
      <c r="O249" s="524"/>
    </row>
    <row r="250" spans="1:15" ht="58" hidden="1">
      <c r="A250" s="524">
        <v>27</v>
      </c>
      <c r="B250" s="524" t="str">
        <f>VLOOKUP(A250,'Hours Detail'!$E$17:$H$1048576,4,)</f>
        <v>No</v>
      </c>
      <c r="C250" s="524" t="s">
        <v>106</v>
      </c>
      <c r="D250" s="524" t="s">
        <v>1154</v>
      </c>
      <c r="E250" s="524" t="s">
        <v>1155</v>
      </c>
      <c r="F250" s="524" t="s">
        <v>6615</v>
      </c>
      <c r="G250" s="524" t="s">
        <v>6616</v>
      </c>
      <c r="H250" s="524" t="s">
        <v>6617</v>
      </c>
      <c r="I250" s="524" t="s">
        <v>6618</v>
      </c>
      <c r="J250" s="524" t="s">
        <v>1154</v>
      </c>
      <c r="K250" s="524"/>
      <c r="L250" s="524" t="s">
        <v>6399</v>
      </c>
      <c r="M250" s="524" t="s">
        <v>6459</v>
      </c>
      <c r="N250" s="524"/>
      <c r="O250" s="524"/>
    </row>
    <row r="251" spans="1:15" ht="116" hidden="1">
      <c r="A251" s="527">
        <v>27</v>
      </c>
      <c r="B251" s="524" t="str">
        <f>VLOOKUP(A251,'Hours Detail'!$E$17:$H$1048576,4,)</f>
        <v>No</v>
      </c>
      <c r="C251" s="527" t="s">
        <v>106</v>
      </c>
      <c r="D251" s="527" t="s">
        <v>2169</v>
      </c>
      <c r="E251" s="527" t="s">
        <v>1154</v>
      </c>
      <c r="F251" s="527" t="s">
        <v>1155</v>
      </c>
      <c r="G251" s="527">
        <v>103</v>
      </c>
      <c r="H251" s="527" t="s">
        <v>22</v>
      </c>
      <c r="I251" s="527" t="s">
        <v>2308</v>
      </c>
      <c r="J251" s="527" t="s">
        <v>2889</v>
      </c>
      <c r="K251" s="527" t="s">
        <v>3150</v>
      </c>
      <c r="L251" s="527" t="s">
        <v>6619</v>
      </c>
      <c r="M251" s="524"/>
      <c r="N251" s="524"/>
      <c r="O251" s="524"/>
    </row>
    <row r="252" spans="1:15" ht="72.5" hidden="1">
      <c r="A252" s="525">
        <v>28</v>
      </c>
      <c r="B252" s="524" t="str">
        <f>VLOOKUP(A252,'Hours Detail'!$E$17:$H$1048576,4,)</f>
        <v>No</v>
      </c>
      <c r="C252" s="524" t="s">
        <v>209</v>
      </c>
      <c r="D252" s="524" t="s">
        <v>4173</v>
      </c>
      <c r="E252" s="524" t="s">
        <v>682</v>
      </c>
      <c r="F252" s="524" t="s">
        <v>682</v>
      </c>
      <c r="G252" s="524" t="s">
        <v>6620</v>
      </c>
      <c r="H252" s="524" t="s">
        <v>682</v>
      </c>
      <c r="I252" s="524" t="s">
        <v>6621</v>
      </c>
      <c r="J252" s="524" t="s">
        <v>4173</v>
      </c>
      <c r="K252" s="524"/>
      <c r="L252" s="524" t="s">
        <v>6368</v>
      </c>
      <c r="M252" s="524" t="s">
        <v>6370</v>
      </c>
      <c r="N252" s="524" t="s">
        <v>6622</v>
      </c>
      <c r="O252" s="524"/>
    </row>
    <row r="253" spans="1:15" ht="43.5" hidden="1">
      <c r="A253" s="527">
        <v>28</v>
      </c>
      <c r="B253" s="524" t="str">
        <f>VLOOKUP(A253,'Hours Detail'!$E$17:$H$1048576,4,)</f>
        <v>No</v>
      </c>
      <c r="C253" s="527" t="s">
        <v>209</v>
      </c>
      <c r="D253" s="527" t="s">
        <v>676</v>
      </c>
      <c r="E253" s="527" t="s">
        <v>681</v>
      </c>
      <c r="F253" s="527" t="s">
        <v>682</v>
      </c>
      <c r="G253" s="527">
        <v>9</v>
      </c>
      <c r="H253" s="527" t="s">
        <v>0</v>
      </c>
      <c r="I253" s="527" t="s">
        <v>674</v>
      </c>
      <c r="J253" s="527" t="s">
        <v>2889</v>
      </c>
      <c r="K253" s="527" t="s">
        <v>2890</v>
      </c>
      <c r="L253" s="527" t="s">
        <v>6371</v>
      </c>
      <c r="M253" s="524"/>
      <c r="N253" s="524"/>
      <c r="O253" s="524"/>
    </row>
    <row r="254" spans="1:15" ht="130.5">
      <c r="A254" s="525">
        <v>32</v>
      </c>
      <c r="B254" s="524" t="str">
        <f>VLOOKUP(A254,'Hours Detail'!$E$17:$H$1048576,4,)</f>
        <v>No</v>
      </c>
      <c r="C254" s="524" t="s">
        <v>4258</v>
      </c>
      <c r="D254" s="524" t="s">
        <v>2953</v>
      </c>
      <c r="E254" s="524" t="s">
        <v>4257</v>
      </c>
      <c r="F254" s="524" t="s">
        <v>4257</v>
      </c>
      <c r="G254" s="524" t="s">
        <v>4257</v>
      </c>
      <c r="H254" s="524" t="s">
        <v>4257</v>
      </c>
      <c r="I254" s="524" t="s">
        <v>6623</v>
      </c>
      <c r="J254" s="524" t="s">
        <v>2953</v>
      </c>
      <c r="K254" s="524" t="s">
        <v>6359</v>
      </c>
      <c r="L254" s="524" t="s">
        <v>6379</v>
      </c>
      <c r="M254" s="524" t="s">
        <v>6380</v>
      </c>
      <c r="N254" s="524" t="s">
        <v>6624</v>
      </c>
      <c r="O254" s="524"/>
    </row>
    <row r="255" spans="1:15" ht="130.5">
      <c r="A255" s="524">
        <v>32</v>
      </c>
      <c r="B255" s="524" t="str">
        <f>VLOOKUP(A255,'Hours Detail'!$E$17:$H$1048576,4,)</f>
        <v>No</v>
      </c>
      <c r="C255" s="524" t="s">
        <v>2952</v>
      </c>
      <c r="D255" s="527" t="s">
        <v>2170</v>
      </c>
      <c r="E255" s="527" t="s">
        <v>2953</v>
      </c>
      <c r="F255" s="527" t="s">
        <v>2954</v>
      </c>
      <c r="G255" s="527">
        <v>5</v>
      </c>
      <c r="H255" s="527" t="s">
        <v>177</v>
      </c>
      <c r="I255" s="527" t="s">
        <v>2310</v>
      </c>
      <c r="J255" s="527" t="s">
        <v>2889</v>
      </c>
      <c r="K255" s="527" t="s">
        <v>2889</v>
      </c>
      <c r="L255" s="527" t="s">
        <v>6625</v>
      </c>
      <c r="M255" s="524"/>
      <c r="N255" s="524"/>
      <c r="O255" s="524"/>
    </row>
    <row r="256" spans="1:15" ht="72.5" hidden="1">
      <c r="A256" s="525">
        <v>33</v>
      </c>
      <c r="B256" s="524" t="e">
        <f>VLOOKUP(A256,'Hours Detail'!$E$17:$H$1048576,4,)</f>
        <v>#N/A</v>
      </c>
      <c r="C256" s="524" t="s">
        <v>5136</v>
      </c>
      <c r="D256" s="524" t="s">
        <v>5137</v>
      </c>
      <c r="E256" s="524" t="s">
        <v>5136</v>
      </c>
      <c r="F256" s="524" t="s">
        <v>5136</v>
      </c>
      <c r="G256" s="524" t="s">
        <v>5136</v>
      </c>
      <c r="H256" s="524" t="s">
        <v>5136</v>
      </c>
      <c r="I256" s="524" t="s">
        <v>6626</v>
      </c>
      <c r="J256" s="524" t="s">
        <v>5137</v>
      </c>
      <c r="K256" s="524"/>
      <c r="L256" s="524" t="s">
        <v>6376</v>
      </c>
      <c r="M256" s="524" t="s">
        <v>6377</v>
      </c>
      <c r="N256" s="524"/>
      <c r="O256" s="524"/>
    </row>
    <row r="257" spans="1:15" ht="29" hidden="1">
      <c r="A257" s="525">
        <v>34</v>
      </c>
      <c r="B257" s="524" t="str">
        <f>VLOOKUP(A257,'Hours Detail'!$E$17:$H$1048576,4,)</f>
        <v>No</v>
      </c>
      <c r="C257" s="524" t="s">
        <v>274</v>
      </c>
      <c r="D257" s="524" t="s">
        <v>1090</v>
      </c>
      <c r="E257" s="524" t="s">
        <v>274</v>
      </c>
      <c r="F257" s="524" t="s">
        <v>274</v>
      </c>
      <c r="G257" s="524" t="s">
        <v>274</v>
      </c>
      <c r="H257" s="524" t="s">
        <v>274</v>
      </c>
      <c r="I257" s="524" t="s">
        <v>6627</v>
      </c>
      <c r="J257" s="524" t="s">
        <v>1090</v>
      </c>
      <c r="K257" s="524"/>
      <c r="L257" s="524" t="s">
        <v>6414</v>
      </c>
      <c r="M257" s="524" t="s">
        <v>6415</v>
      </c>
      <c r="N257" s="524"/>
      <c r="O257" s="524"/>
    </row>
    <row r="258" spans="1:15" ht="43.5" hidden="1">
      <c r="A258" s="527">
        <v>34</v>
      </c>
      <c r="B258" s="524" t="str">
        <f>VLOOKUP(A258,'Hours Detail'!$E$17:$H$1048576,4,)</f>
        <v>No</v>
      </c>
      <c r="C258" s="527" t="s">
        <v>274</v>
      </c>
      <c r="D258" s="527" t="s">
        <v>1068</v>
      </c>
      <c r="E258" s="527" t="s">
        <v>1090</v>
      </c>
      <c r="F258" s="527" t="s">
        <v>274</v>
      </c>
      <c r="G258" s="527">
        <v>88</v>
      </c>
      <c r="H258" s="527" t="s">
        <v>16</v>
      </c>
      <c r="I258" s="527" t="s">
        <v>1066</v>
      </c>
      <c r="J258" s="527" t="s">
        <v>2889</v>
      </c>
      <c r="K258" s="527" t="s">
        <v>2889</v>
      </c>
      <c r="L258" s="527" t="s">
        <v>6371</v>
      </c>
      <c r="M258" s="524"/>
      <c r="N258" s="524"/>
      <c r="O258" s="524"/>
    </row>
    <row r="259" spans="1:15" ht="72.5" hidden="1">
      <c r="A259" s="525">
        <v>35</v>
      </c>
      <c r="B259" s="524" t="e">
        <f>VLOOKUP(A259,'Hours Detail'!$E$17:$H$1048576,4,)</f>
        <v>#N/A</v>
      </c>
      <c r="C259" s="524" t="s">
        <v>543</v>
      </c>
      <c r="D259" s="524" t="s">
        <v>544</v>
      </c>
      <c r="E259" s="524" t="s">
        <v>545</v>
      </c>
      <c r="F259" s="524" t="s">
        <v>545</v>
      </c>
      <c r="G259" s="524" t="s">
        <v>545</v>
      </c>
      <c r="H259" s="524" t="s">
        <v>545</v>
      </c>
      <c r="I259" s="524" t="s">
        <v>544</v>
      </c>
      <c r="J259" s="524" t="s">
        <v>544</v>
      </c>
      <c r="K259" s="524"/>
      <c r="L259" s="524" t="s">
        <v>6397</v>
      </c>
      <c r="M259" s="524" t="s">
        <v>2384</v>
      </c>
      <c r="N259" s="524"/>
      <c r="O259" s="524"/>
    </row>
    <row r="260" spans="1:15" ht="116" hidden="1">
      <c r="A260" s="525">
        <v>36</v>
      </c>
      <c r="B260" s="524" t="str">
        <f>VLOOKUP(A260,'Hours Detail'!$E$17:$H$1048576,4,)</f>
        <v>No</v>
      </c>
      <c r="C260" s="524" t="s">
        <v>189</v>
      </c>
      <c r="D260" s="524" t="s">
        <v>660</v>
      </c>
      <c r="E260" s="524" t="s">
        <v>661</v>
      </c>
      <c r="F260" s="524" t="s">
        <v>661</v>
      </c>
      <c r="G260" s="524" t="s">
        <v>661</v>
      </c>
      <c r="H260" s="524" t="s">
        <v>661</v>
      </c>
      <c r="I260" s="524" t="s">
        <v>6628</v>
      </c>
      <c r="J260" s="524" t="s">
        <v>660</v>
      </c>
      <c r="K260" s="524"/>
      <c r="L260" s="524" t="s">
        <v>6399</v>
      </c>
      <c r="M260" s="524" t="s">
        <v>188</v>
      </c>
      <c r="N260" s="524" t="s">
        <v>6629</v>
      </c>
      <c r="O260" s="524"/>
    </row>
    <row r="261" spans="1:15" ht="29" hidden="1">
      <c r="A261" s="527">
        <v>36</v>
      </c>
      <c r="B261" s="524" t="str">
        <f>VLOOKUP(A261,'Hours Detail'!$E$17:$H$1048576,4,)</f>
        <v>No</v>
      </c>
      <c r="C261" s="527" t="s">
        <v>189</v>
      </c>
      <c r="D261" s="527" t="s">
        <v>2171</v>
      </c>
      <c r="E261" s="527" t="s">
        <v>660</v>
      </c>
      <c r="F261" s="527" t="s">
        <v>661</v>
      </c>
      <c r="G261" s="527">
        <v>8</v>
      </c>
      <c r="H261" s="527" t="s">
        <v>188</v>
      </c>
      <c r="I261" s="527" t="s">
        <v>2314</v>
      </c>
      <c r="J261" s="527" t="s">
        <v>2889</v>
      </c>
      <c r="K261" s="527" t="s">
        <v>2889</v>
      </c>
      <c r="L261" s="527" t="s">
        <v>6371</v>
      </c>
      <c r="M261" s="524"/>
      <c r="N261" s="524"/>
      <c r="O261" s="524"/>
    </row>
    <row r="262" spans="1:15" ht="43.5" hidden="1">
      <c r="A262" s="525">
        <v>39</v>
      </c>
      <c r="B262" s="524" t="e">
        <f>VLOOKUP(A262,'Hours Detail'!$E$17:$H$1048576,4,)</f>
        <v>#N/A</v>
      </c>
      <c r="C262" s="524" t="s">
        <v>4372</v>
      </c>
      <c r="D262" s="524" t="s">
        <v>4371</v>
      </c>
      <c r="E262" s="524" t="s">
        <v>4370</v>
      </c>
      <c r="F262" s="524" t="s">
        <v>4370</v>
      </c>
      <c r="G262" s="524" t="s">
        <v>4370</v>
      </c>
      <c r="H262" s="524" t="s">
        <v>4370</v>
      </c>
      <c r="I262" s="524" t="s">
        <v>4371</v>
      </c>
      <c r="J262" s="524" t="s">
        <v>4371</v>
      </c>
      <c r="K262" s="524"/>
      <c r="L262" s="524" t="s">
        <v>6397</v>
      </c>
      <c r="M262" s="524" t="s">
        <v>1</v>
      </c>
      <c r="N262" s="524"/>
      <c r="O262" s="524"/>
    </row>
    <row r="263" spans="1:15" ht="217.5">
      <c r="A263" s="525">
        <v>40</v>
      </c>
      <c r="B263" s="524" t="str">
        <f>VLOOKUP(A263,'Hours Detail'!$E$17:$H$1048576,4,)</f>
        <v>No</v>
      </c>
      <c r="C263" s="524" t="s">
        <v>4315</v>
      </c>
      <c r="D263" s="524" t="s">
        <v>1133</v>
      </c>
      <c r="E263" s="524" t="s">
        <v>6630</v>
      </c>
      <c r="F263" s="524" t="s">
        <v>6630</v>
      </c>
      <c r="G263" s="524" t="s">
        <v>6630</v>
      </c>
      <c r="H263" s="524" t="s">
        <v>6630</v>
      </c>
      <c r="I263" s="524" t="s">
        <v>6631</v>
      </c>
      <c r="J263" s="524" t="s">
        <v>1133</v>
      </c>
      <c r="K263" s="524" t="s">
        <v>6359</v>
      </c>
      <c r="L263" s="524" t="s">
        <v>6381</v>
      </c>
      <c r="M263" s="524" t="s">
        <v>442</v>
      </c>
      <c r="N263" s="524" t="s">
        <v>6632</v>
      </c>
      <c r="O263" s="524"/>
    </row>
    <row r="264" spans="1:15" ht="188.5">
      <c r="A264" s="524">
        <v>40</v>
      </c>
      <c r="B264" s="524" t="str">
        <f>VLOOKUP(A264,'Hours Detail'!$E$17:$H$1048576,4,)</f>
        <v>No</v>
      </c>
      <c r="C264" s="524" t="s">
        <v>1739</v>
      </c>
      <c r="D264" s="527" t="s">
        <v>2167</v>
      </c>
      <c r="E264" s="527" t="s">
        <v>1133</v>
      </c>
      <c r="F264" s="527" t="s">
        <v>1134</v>
      </c>
      <c r="G264" s="527">
        <v>99</v>
      </c>
      <c r="H264" s="527" t="s">
        <v>5</v>
      </c>
      <c r="I264" s="527" t="s">
        <v>2305</v>
      </c>
      <c r="J264" s="527" t="s">
        <v>2889</v>
      </c>
      <c r="K264" s="527" t="s">
        <v>2889</v>
      </c>
      <c r="L264" s="527" t="s">
        <v>6633</v>
      </c>
      <c r="M264" s="524"/>
      <c r="N264" s="524"/>
      <c r="O264" s="524"/>
    </row>
    <row r="265" spans="1:15" ht="275.5" hidden="1">
      <c r="A265" s="525">
        <v>42</v>
      </c>
      <c r="B265" s="524" t="str">
        <f>VLOOKUP(A265,'Hours Detail'!$E$17:$H$1048576,4,)</f>
        <v>No</v>
      </c>
      <c r="C265" s="524" t="s">
        <v>193</v>
      </c>
      <c r="D265" s="524" t="s">
        <v>662</v>
      </c>
      <c r="E265" s="524" t="s">
        <v>663</v>
      </c>
      <c r="F265" s="524" t="s">
        <v>663</v>
      </c>
      <c r="G265" s="524" t="s">
        <v>663</v>
      </c>
      <c r="H265" s="524" t="s">
        <v>663</v>
      </c>
      <c r="I265" s="524" t="s">
        <v>6634</v>
      </c>
      <c r="J265" s="524" t="s">
        <v>662</v>
      </c>
      <c r="K265" s="524" t="s">
        <v>6359</v>
      </c>
      <c r="L265" s="524" t="s">
        <v>6399</v>
      </c>
      <c r="M265" s="524" t="s">
        <v>188</v>
      </c>
      <c r="N265" s="524" t="s">
        <v>6635</v>
      </c>
      <c r="O265" s="524"/>
    </row>
    <row r="266" spans="1:15" ht="145" hidden="1">
      <c r="A266" s="527">
        <v>42</v>
      </c>
      <c r="B266" s="524" t="str">
        <f>VLOOKUP(A266,'Hours Detail'!$E$17:$H$1048576,4,)</f>
        <v>No</v>
      </c>
      <c r="C266" s="527" t="s">
        <v>193</v>
      </c>
      <c r="D266" s="527" t="s">
        <v>2171</v>
      </c>
      <c r="E266" s="527" t="s">
        <v>662</v>
      </c>
      <c r="F266" s="527" t="s">
        <v>663</v>
      </c>
      <c r="G266" s="527">
        <v>8</v>
      </c>
      <c r="H266" s="527" t="s">
        <v>188</v>
      </c>
      <c r="I266" s="527" t="s">
        <v>2314</v>
      </c>
      <c r="J266" s="527" t="s">
        <v>2889</v>
      </c>
      <c r="K266" s="527" t="s">
        <v>2889</v>
      </c>
      <c r="L266" s="527" t="s">
        <v>6636</v>
      </c>
      <c r="M266" s="524"/>
      <c r="N266" s="524"/>
      <c r="O266" s="524"/>
    </row>
    <row r="267" spans="1:15" ht="58" hidden="1">
      <c r="A267" s="525">
        <v>43</v>
      </c>
      <c r="B267" s="524" t="e">
        <f>VLOOKUP(A267,'Hours Detail'!$E$17:$H$1048576,4,)</f>
        <v>#N/A</v>
      </c>
      <c r="C267" s="524" t="s">
        <v>4945</v>
      </c>
      <c r="D267" s="524" t="s">
        <v>4944</v>
      </c>
      <c r="E267" s="524" t="s">
        <v>4943</v>
      </c>
      <c r="F267" s="524" t="s">
        <v>4943</v>
      </c>
      <c r="G267" s="524" t="s">
        <v>4943</v>
      </c>
      <c r="H267" s="524" t="s">
        <v>4943</v>
      </c>
      <c r="I267" s="524" t="s">
        <v>4944</v>
      </c>
      <c r="J267" s="524" t="s">
        <v>4944</v>
      </c>
      <c r="K267" s="524"/>
      <c r="L267" s="524" t="s">
        <v>6399</v>
      </c>
      <c r="M267" s="524" t="s">
        <v>188</v>
      </c>
      <c r="N267" s="524"/>
      <c r="O267" s="524"/>
    </row>
    <row r="268" spans="1:15" ht="43.5" hidden="1">
      <c r="A268" s="525">
        <v>44</v>
      </c>
      <c r="B268" s="524" t="str">
        <f>VLOOKUP(A268,'Hours Detail'!$E$17:$H$1048576,4,)</f>
        <v>No</v>
      </c>
      <c r="C268" s="524" t="s">
        <v>183</v>
      </c>
      <c r="D268" s="524" t="s">
        <v>552</v>
      </c>
      <c r="E268" s="524" t="s">
        <v>553</v>
      </c>
      <c r="F268" s="524" t="s">
        <v>553</v>
      </c>
      <c r="G268" s="524" t="s">
        <v>553</v>
      </c>
      <c r="H268" s="524" t="s">
        <v>553</v>
      </c>
      <c r="I268" s="524" t="s">
        <v>6637</v>
      </c>
      <c r="J268" s="524" t="s">
        <v>552</v>
      </c>
      <c r="K268" s="524" t="s">
        <v>6359</v>
      </c>
      <c r="L268" s="524" t="s">
        <v>6397</v>
      </c>
      <c r="M268" s="524" t="s">
        <v>2384</v>
      </c>
      <c r="N268" s="524" t="s">
        <v>6638</v>
      </c>
      <c r="O268" s="524"/>
    </row>
    <row r="269" spans="1:15" ht="217.5" hidden="1">
      <c r="A269" s="527">
        <v>44</v>
      </c>
      <c r="B269" s="524" t="str">
        <f>VLOOKUP(A269,'Hours Detail'!$E$17:$H$1048576,4,)</f>
        <v>No</v>
      </c>
      <c r="C269" s="527" t="s">
        <v>183</v>
      </c>
      <c r="D269" s="527" t="s">
        <v>2170</v>
      </c>
      <c r="E269" s="527" t="s">
        <v>552</v>
      </c>
      <c r="F269" s="527" t="s">
        <v>553</v>
      </c>
      <c r="G269" s="527">
        <v>5</v>
      </c>
      <c r="H269" s="527" t="s">
        <v>177</v>
      </c>
      <c r="I269" s="527" t="s">
        <v>2310</v>
      </c>
      <c r="J269" s="527" t="s">
        <v>2889</v>
      </c>
      <c r="K269" s="527" t="s">
        <v>2889</v>
      </c>
      <c r="L269" s="527" t="s">
        <v>6639</v>
      </c>
      <c r="M269" s="524"/>
      <c r="N269" s="524"/>
      <c r="O269" s="524"/>
    </row>
    <row r="270" spans="1:15" ht="43.5" hidden="1">
      <c r="A270" s="525">
        <v>45</v>
      </c>
      <c r="B270" s="524" t="e">
        <f>VLOOKUP(A270,'Hours Detail'!$E$17:$H$1048576,4,)</f>
        <v>#N/A</v>
      </c>
      <c r="C270" s="524" t="s">
        <v>1315</v>
      </c>
      <c r="D270" s="524" t="s">
        <v>1316</v>
      </c>
      <c r="E270" s="524" t="s">
        <v>1317</v>
      </c>
      <c r="F270" s="524" t="s">
        <v>1317</v>
      </c>
      <c r="G270" s="524" t="s">
        <v>1317</v>
      </c>
      <c r="H270" s="524" t="s">
        <v>1317</v>
      </c>
      <c r="I270" s="524" t="s">
        <v>6640</v>
      </c>
      <c r="J270" s="524" t="s">
        <v>1316</v>
      </c>
      <c r="K270" s="524" t="s">
        <v>6359</v>
      </c>
      <c r="L270" s="524" t="s">
        <v>6381</v>
      </c>
      <c r="M270" s="524" t="s">
        <v>442</v>
      </c>
      <c r="N270" s="524"/>
      <c r="O270" s="524"/>
    </row>
    <row r="271" spans="1:15" ht="116" hidden="1">
      <c r="A271" s="527">
        <v>45</v>
      </c>
      <c r="B271" s="524" t="e">
        <f>VLOOKUP(A271,'Hours Detail'!$E$17:$H$1048576,4,)</f>
        <v>#N/A</v>
      </c>
      <c r="C271" s="527" t="s">
        <v>1315</v>
      </c>
      <c r="D271" s="527" t="s">
        <v>15</v>
      </c>
      <c r="E271" s="527" t="s">
        <v>1316</v>
      </c>
      <c r="F271" s="527" t="s">
        <v>1317</v>
      </c>
      <c r="G271" s="527">
        <v>7</v>
      </c>
      <c r="H271" s="527" t="s">
        <v>15</v>
      </c>
      <c r="I271" s="527" t="s">
        <v>2313</v>
      </c>
      <c r="J271" s="527" t="s">
        <v>2890</v>
      </c>
      <c r="K271" s="527" t="s">
        <v>2890</v>
      </c>
      <c r="L271" s="527" t="s">
        <v>6641</v>
      </c>
      <c r="M271" s="524"/>
      <c r="N271" s="524"/>
      <c r="O271" s="524"/>
    </row>
    <row r="272" spans="1:15" ht="43.5" hidden="1">
      <c r="A272" s="525">
        <v>46</v>
      </c>
      <c r="B272" s="524" t="str">
        <f>VLOOKUP(A272,'Hours Detail'!$E$17:$H$1048576,4,)</f>
        <v>No</v>
      </c>
      <c r="C272" s="524" t="s">
        <v>304</v>
      </c>
      <c r="D272" s="524" t="s">
        <v>1127</v>
      </c>
      <c r="E272" s="524" t="s">
        <v>1128</v>
      </c>
      <c r="F272" s="524" t="s">
        <v>1128</v>
      </c>
      <c r="G272" s="524" t="s">
        <v>1128</v>
      </c>
      <c r="H272" s="524" t="s">
        <v>1128</v>
      </c>
      <c r="I272" s="524" t="s">
        <v>6642</v>
      </c>
      <c r="J272" s="524" t="s">
        <v>1127</v>
      </c>
      <c r="K272" s="524" t="s">
        <v>6359</v>
      </c>
      <c r="L272" s="524" t="s">
        <v>6379</v>
      </c>
      <c r="M272" s="524" t="s">
        <v>6380</v>
      </c>
      <c r="N272" s="524" t="s">
        <v>6643</v>
      </c>
      <c r="O272" s="524"/>
    </row>
    <row r="273" spans="1:15" ht="72.5" hidden="1">
      <c r="A273" s="527">
        <v>46</v>
      </c>
      <c r="B273" s="524" t="str">
        <f>VLOOKUP(A273,'Hours Detail'!$E$17:$H$1048576,4,)</f>
        <v>No</v>
      </c>
      <c r="C273" s="527" t="s">
        <v>304</v>
      </c>
      <c r="D273" s="527" t="s">
        <v>2165</v>
      </c>
      <c r="E273" s="527" t="s">
        <v>1127</v>
      </c>
      <c r="F273" s="527" t="s">
        <v>1128</v>
      </c>
      <c r="G273" s="527">
        <v>98</v>
      </c>
      <c r="H273" s="527" t="s">
        <v>303</v>
      </c>
      <c r="I273" s="527" t="s">
        <v>2304</v>
      </c>
      <c r="J273" s="527" t="s">
        <v>2889</v>
      </c>
      <c r="K273" s="527" t="s">
        <v>2889</v>
      </c>
      <c r="L273" s="527" t="s">
        <v>6644</v>
      </c>
      <c r="M273" s="524"/>
      <c r="N273" s="524"/>
      <c r="O273" s="524"/>
    </row>
    <row r="274" spans="1:15" ht="72.5" hidden="1">
      <c r="A274" s="525">
        <v>47</v>
      </c>
      <c r="B274" s="524" t="str">
        <f>VLOOKUP(A274,'Hours Detail'!$E$17:$H$1048576,4,)</f>
        <v>No</v>
      </c>
      <c r="C274" s="524" t="s">
        <v>4196</v>
      </c>
      <c r="D274" s="524" t="s">
        <v>667</v>
      </c>
      <c r="E274" s="524" t="s">
        <v>668</v>
      </c>
      <c r="F274" s="524" t="s">
        <v>668</v>
      </c>
      <c r="G274" s="524" t="s">
        <v>668</v>
      </c>
      <c r="H274" s="524" t="s">
        <v>668</v>
      </c>
      <c r="I274" s="524" t="s">
        <v>6645</v>
      </c>
      <c r="J274" s="524" t="s">
        <v>667</v>
      </c>
      <c r="K274" s="524" t="s">
        <v>6359</v>
      </c>
      <c r="L274" s="524" t="s">
        <v>6365</v>
      </c>
      <c r="M274" s="524" t="s">
        <v>216</v>
      </c>
      <c r="N274" s="524"/>
      <c r="O274" s="524"/>
    </row>
    <row r="275" spans="1:15" ht="101.5" hidden="1">
      <c r="A275" s="527">
        <v>47</v>
      </c>
      <c r="B275" s="524" t="str">
        <f>VLOOKUP(A275,'Hours Detail'!$E$17:$H$1048576,4,)</f>
        <v>No</v>
      </c>
      <c r="C275" s="527" t="s">
        <v>2899</v>
      </c>
      <c r="D275" s="527" t="s">
        <v>2171</v>
      </c>
      <c r="E275" s="527" t="s">
        <v>667</v>
      </c>
      <c r="F275" s="527" t="s">
        <v>668</v>
      </c>
      <c r="G275" s="527">
        <v>8</v>
      </c>
      <c r="H275" s="527" t="s">
        <v>188</v>
      </c>
      <c r="I275" s="527" t="s">
        <v>2314</v>
      </c>
      <c r="J275" s="527" t="s">
        <v>2889</v>
      </c>
      <c r="K275" s="527" t="s">
        <v>2889</v>
      </c>
      <c r="L275" s="527" t="s">
        <v>6646</v>
      </c>
      <c r="M275" s="524"/>
      <c r="N275" s="524"/>
      <c r="O275" s="524"/>
    </row>
    <row r="276" spans="1:15" ht="87" hidden="1">
      <c r="A276" s="524">
        <v>48</v>
      </c>
      <c r="B276" s="524" t="str">
        <f>VLOOKUP(A276,'Hours Detail'!$E$17:$H$1048576,4,)</f>
        <v>No</v>
      </c>
      <c r="C276" s="524" t="s">
        <v>75</v>
      </c>
      <c r="D276" s="524" t="s">
        <v>600</v>
      </c>
      <c r="E276" s="524" t="s">
        <v>601</v>
      </c>
      <c r="F276" s="524" t="s">
        <v>601</v>
      </c>
      <c r="G276" s="524" t="s">
        <v>601</v>
      </c>
      <c r="H276" s="524" t="s">
        <v>601</v>
      </c>
      <c r="I276" s="524" t="s">
        <v>6647</v>
      </c>
      <c r="J276" s="524" t="s">
        <v>600</v>
      </c>
      <c r="K276" s="524" t="s">
        <v>6359</v>
      </c>
      <c r="L276" s="524" t="s">
        <v>6397</v>
      </c>
      <c r="M276" s="524" t="s">
        <v>2384</v>
      </c>
      <c r="N276" s="524"/>
      <c r="O276" s="524"/>
    </row>
    <row r="277" spans="1:15" ht="101.5" hidden="1">
      <c r="A277" s="527">
        <v>48</v>
      </c>
      <c r="B277" s="524" t="str">
        <f>VLOOKUP(A277,'Hours Detail'!$E$17:$H$1048576,4,)</f>
        <v>No</v>
      </c>
      <c r="C277" s="527" t="s">
        <v>75</v>
      </c>
      <c r="D277" s="527" t="s">
        <v>2312</v>
      </c>
      <c r="E277" s="527" t="s">
        <v>600</v>
      </c>
      <c r="F277" s="527" t="s">
        <v>601</v>
      </c>
      <c r="G277" s="527">
        <v>6</v>
      </c>
      <c r="H277" s="527" t="s">
        <v>58</v>
      </c>
      <c r="I277" s="527" t="s">
        <v>2311</v>
      </c>
      <c r="J277" s="527" t="s">
        <v>2889</v>
      </c>
      <c r="K277" s="527" t="s">
        <v>2889</v>
      </c>
      <c r="L277" s="527" t="s">
        <v>6648</v>
      </c>
      <c r="M277" s="524"/>
      <c r="N277" s="524"/>
      <c r="O277" s="524"/>
    </row>
    <row r="278" spans="1:15" ht="29" hidden="1">
      <c r="A278" s="525">
        <v>49</v>
      </c>
      <c r="B278" s="524" t="str">
        <f>VLOOKUP(A278,'Hours Detail'!$E$17:$H$1048576,4,)</f>
        <v>No</v>
      </c>
      <c r="C278" s="524" t="s">
        <v>1395</v>
      </c>
      <c r="D278" s="524" t="s">
        <v>1395</v>
      </c>
      <c r="E278" s="524" t="s">
        <v>1395</v>
      </c>
      <c r="F278" s="524" t="s">
        <v>1395</v>
      </c>
      <c r="G278" s="524" t="s">
        <v>1395</v>
      </c>
      <c r="H278" s="524" t="s">
        <v>1395</v>
      </c>
      <c r="I278" s="524" t="s">
        <v>1395</v>
      </c>
      <c r="J278" s="524" t="s">
        <v>1395</v>
      </c>
      <c r="K278" s="524" t="s">
        <v>6359</v>
      </c>
      <c r="L278" s="524" t="s">
        <v>6386</v>
      </c>
      <c r="M278" s="524" t="s">
        <v>6424</v>
      </c>
      <c r="N278" s="524"/>
      <c r="O278" s="524"/>
    </row>
    <row r="279" spans="1:15" ht="101.5" hidden="1">
      <c r="A279" s="527">
        <v>49</v>
      </c>
      <c r="B279" s="524" t="str">
        <f>VLOOKUP(A279,'Hours Detail'!$E$17:$H$1048576,4,)</f>
        <v>No</v>
      </c>
      <c r="C279" s="527" t="s">
        <v>1395</v>
      </c>
      <c r="D279" s="527" t="s">
        <v>12</v>
      </c>
      <c r="E279" s="527" t="s">
        <v>1395</v>
      </c>
      <c r="F279" s="527" t="s">
        <v>1395</v>
      </c>
      <c r="G279" s="527">
        <v>14</v>
      </c>
      <c r="H279" s="527" t="s">
        <v>12</v>
      </c>
      <c r="I279" s="527" t="s">
        <v>2318</v>
      </c>
      <c r="J279" s="527" t="s">
        <v>2889</v>
      </c>
      <c r="K279" s="527" t="s">
        <v>2889</v>
      </c>
      <c r="L279" s="527" t="s">
        <v>6649</v>
      </c>
      <c r="M279" s="524"/>
      <c r="N279" s="524"/>
      <c r="O279" s="524"/>
    </row>
    <row r="280" spans="1:15" ht="29" hidden="1">
      <c r="A280" s="525">
        <v>50</v>
      </c>
      <c r="B280" s="524" t="e">
        <f>VLOOKUP(A280,'Hours Detail'!$E$17:$H$1048576,4,)</f>
        <v>#N/A</v>
      </c>
      <c r="C280" s="524" t="s">
        <v>6650</v>
      </c>
      <c r="D280" s="524" t="s">
        <v>6652</v>
      </c>
      <c r="E280" s="524" t="s">
        <v>5262</v>
      </c>
      <c r="F280" s="524" t="s">
        <v>5262</v>
      </c>
      <c r="G280" s="524" t="s">
        <v>5262</v>
      </c>
      <c r="H280" s="524" t="s">
        <v>5262</v>
      </c>
      <c r="I280" s="524" t="s">
        <v>6651</v>
      </c>
      <c r="J280" s="524" t="s">
        <v>6652</v>
      </c>
      <c r="K280" s="524"/>
      <c r="L280" s="524" t="s">
        <v>6381</v>
      </c>
      <c r="M280" s="524" t="s">
        <v>522</v>
      </c>
      <c r="N280" s="524"/>
      <c r="O280" s="524"/>
    </row>
    <row r="281" spans="1:15" ht="159.5">
      <c r="A281" s="525">
        <v>53</v>
      </c>
      <c r="B281" s="524" t="str">
        <f>VLOOKUP(A281,'Hours Detail'!$E$17:$H$1048576,4,)</f>
        <v>No</v>
      </c>
      <c r="C281" s="524" t="s">
        <v>151</v>
      </c>
      <c r="D281" s="524" t="s">
        <v>481</v>
      </c>
      <c r="E281" s="524" t="s">
        <v>482</v>
      </c>
      <c r="F281" s="524" t="s">
        <v>482</v>
      </c>
      <c r="G281" s="524" t="s">
        <v>482</v>
      </c>
      <c r="H281" s="524" t="s">
        <v>482</v>
      </c>
      <c r="I281" s="524" t="s">
        <v>6653</v>
      </c>
      <c r="J281" s="524" t="s">
        <v>481</v>
      </c>
      <c r="K281" s="524" t="s">
        <v>6359</v>
      </c>
      <c r="L281" s="524" t="s">
        <v>6379</v>
      </c>
      <c r="M281" s="524" t="s">
        <v>6380</v>
      </c>
      <c r="N281" s="524" t="s">
        <v>6654</v>
      </c>
      <c r="O281" s="524"/>
    </row>
    <row r="282" spans="1:15" ht="87">
      <c r="A282" s="524">
        <v>53</v>
      </c>
      <c r="B282" s="524" t="str">
        <f>VLOOKUP(A282,'Hours Detail'!$E$17:$H$1048576,4,)</f>
        <v>No</v>
      </c>
      <c r="C282" s="524" t="s">
        <v>151</v>
      </c>
      <c r="D282" s="527" t="s">
        <v>470</v>
      </c>
      <c r="E282" s="527" t="s">
        <v>481</v>
      </c>
      <c r="F282" s="527" t="s">
        <v>482</v>
      </c>
      <c r="G282" s="527">
        <v>3</v>
      </c>
      <c r="H282" s="527" t="s">
        <v>149</v>
      </c>
      <c r="I282" s="527" t="s">
        <v>468</v>
      </c>
      <c r="J282" s="527" t="s">
        <v>2889</v>
      </c>
      <c r="K282" s="527" t="s">
        <v>2889</v>
      </c>
      <c r="L282" s="527" t="s">
        <v>6655</v>
      </c>
      <c r="M282" s="524"/>
      <c r="N282" s="524"/>
      <c r="O282" s="524"/>
    </row>
    <row r="283" spans="1:15" ht="58" hidden="1">
      <c r="A283" s="525">
        <v>56</v>
      </c>
      <c r="B283" s="524" t="str">
        <f>VLOOKUP(A283,'Hours Detail'!$E$17:$H$1048576,4,)</f>
        <v>No</v>
      </c>
      <c r="C283" s="524" t="s">
        <v>234</v>
      </c>
      <c r="D283" s="524" t="s">
        <v>927</v>
      </c>
      <c r="E283" s="524" t="s">
        <v>928</v>
      </c>
      <c r="F283" s="524" t="s">
        <v>928</v>
      </c>
      <c r="G283" s="524" t="s">
        <v>928</v>
      </c>
      <c r="H283" s="524" t="s">
        <v>928</v>
      </c>
      <c r="I283" s="524" t="s">
        <v>6656</v>
      </c>
      <c r="J283" s="524" t="s">
        <v>927</v>
      </c>
      <c r="K283" s="524"/>
      <c r="L283" s="524" t="s">
        <v>6368</v>
      </c>
      <c r="M283" s="524" t="s">
        <v>2573</v>
      </c>
      <c r="N283" s="524"/>
      <c r="O283" s="524"/>
    </row>
    <row r="284" spans="1:15" ht="29" hidden="1">
      <c r="A284" s="527">
        <v>56</v>
      </c>
      <c r="B284" s="524" t="str">
        <f>VLOOKUP(A284,'Hours Detail'!$E$17:$H$1048576,4,)</f>
        <v>No</v>
      </c>
      <c r="C284" s="527" t="s">
        <v>234</v>
      </c>
      <c r="D284" s="527" t="s">
        <v>891</v>
      </c>
      <c r="E284" s="527" t="s">
        <v>927</v>
      </c>
      <c r="F284" s="527" t="s">
        <v>928</v>
      </c>
      <c r="G284" s="527">
        <v>23</v>
      </c>
      <c r="H284" s="527" t="s">
        <v>7</v>
      </c>
      <c r="I284" s="527" t="s">
        <v>890</v>
      </c>
      <c r="J284" s="527" t="s">
        <v>2889</v>
      </c>
      <c r="K284" s="527" t="s">
        <v>2890</v>
      </c>
      <c r="L284" s="527" t="s">
        <v>6371</v>
      </c>
      <c r="M284" s="524"/>
      <c r="N284" s="524"/>
      <c r="O284" s="524"/>
    </row>
    <row r="285" spans="1:15" ht="58" hidden="1">
      <c r="A285" s="525">
        <v>57</v>
      </c>
      <c r="B285" s="524" t="e">
        <f>VLOOKUP(A285,'Hours Detail'!$E$17:$H$1048576,4,)</f>
        <v>#N/A</v>
      </c>
      <c r="C285" s="524" t="s">
        <v>1208</v>
      </c>
      <c r="D285" s="524" t="s">
        <v>1209</v>
      </c>
      <c r="E285" s="524" t="s">
        <v>1210</v>
      </c>
      <c r="F285" s="524" t="s">
        <v>1210</v>
      </c>
      <c r="G285" s="524" t="s">
        <v>1210</v>
      </c>
      <c r="H285" s="524" t="s">
        <v>1210</v>
      </c>
      <c r="I285" s="524" t="s">
        <v>6454</v>
      </c>
      <c r="J285" s="524" t="s">
        <v>1209</v>
      </c>
      <c r="K285" s="524" t="s">
        <v>6359</v>
      </c>
      <c r="L285" s="524" t="s">
        <v>6414</v>
      </c>
      <c r="M285" s="524" t="s">
        <v>6450</v>
      </c>
      <c r="N285" s="524" t="s">
        <v>6657</v>
      </c>
      <c r="O285" s="524"/>
    </row>
    <row r="286" spans="1:15" ht="116" hidden="1">
      <c r="A286" s="527">
        <v>57</v>
      </c>
      <c r="B286" s="524" t="e">
        <f>VLOOKUP(A286,'Hours Detail'!$E$17:$H$1048576,4,)</f>
        <v>#N/A</v>
      </c>
      <c r="C286" s="527" t="s">
        <v>1208</v>
      </c>
      <c r="D286" s="527" t="s">
        <v>4703</v>
      </c>
      <c r="E286" s="527" t="s">
        <v>1209</v>
      </c>
      <c r="F286" s="527" t="s">
        <v>1210</v>
      </c>
      <c r="G286" s="527">
        <v>283</v>
      </c>
      <c r="H286" s="527" t="s">
        <v>4705</v>
      </c>
      <c r="I286" s="527" t="s">
        <v>4704</v>
      </c>
      <c r="J286" s="527" t="s">
        <v>2890</v>
      </c>
      <c r="K286" s="527" t="s">
        <v>2889</v>
      </c>
      <c r="L286" s="527" t="s">
        <v>6658</v>
      </c>
      <c r="M286" s="524"/>
      <c r="N286" s="524"/>
      <c r="O286" s="524"/>
    </row>
    <row r="287" spans="1:15" ht="43.5" hidden="1">
      <c r="A287" s="524">
        <v>58</v>
      </c>
      <c r="B287" s="524" t="e">
        <f>VLOOKUP(A287,'Hours Detail'!$E$17:$H$1048576,4,)</f>
        <v>#N/A</v>
      </c>
      <c r="C287" s="524" t="s">
        <v>1640</v>
      </c>
      <c r="D287" s="524" t="s">
        <v>1641</v>
      </c>
      <c r="E287" s="524" t="s">
        <v>1642</v>
      </c>
      <c r="F287" s="524" t="s">
        <v>1642</v>
      </c>
      <c r="G287" s="524" t="s">
        <v>1642</v>
      </c>
      <c r="H287" s="524" t="s">
        <v>1642</v>
      </c>
      <c r="I287" s="524" t="s">
        <v>1641</v>
      </c>
      <c r="J287" s="524" t="s">
        <v>1641</v>
      </c>
      <c r="K287" s="524"/>
      <c r="L287" s="524" t="s">
        <v>6399</v>
      </c>
      <c r="M287" s="524" t="s">
        <v>6459</v>
      </c>
      <c r="N287" s="524"/>
      <c r="O287" s="524"/>
    </row>
    <row r="288" spans="1:15" ht="72.5" hidden="1">
      <c r="A288" s="527">
        <v>58</v>
      </c>
      <c r="B288" s="524" t="e">
        <f>VLOOKUP(A288,'Hours Detail'!$E$17:$H$1048576,4,)</f>
        <v>#N/A</v>
      </c>
      <c r="C288" s="527" t="s">
        <v>1640</v>
      </c>
      <c r="D288" s="527" t="s">
        <v>2312</v>
      </c>
      <c r="E288" s="527" t="s">
        <v>1641</v>
      </c>
      <c r="F288" s="527" t="s">
        <v>1642</v>
      </c>
      <c r="G288" s="527">
        <v>6</v>
      </c>
      <c r="H288" s="527" t="s">
        <v>58</v>
      </c>
      <c r="I288" s="527" t="s">
        <v>2311</v>
      </c>
      <c r="J288" s="527" t="s">
        <v>2890</v>
      </c>
      <c r="K288" s="527" t="s">
        <v>2890</v>
      </c>
      <c r="L288" s="527" t="s">
        <v>6371</v>
      </c>
      <c r="M288" s="524"/>
      <c r="N288" s="524"/>
      <c r="O288" s="524"/>
    </row>
    <row r="289" spans="1:15" ht="87" hidden="1">
      <c r="A289" s="525">
        <v>60</v>
      </c>
      <c r="B289" s="524" t="e">
        <f>VLOOKUP(A289,'Hours Detail'!$E$17:$H$1048576,4,)</f>
        <v>#N/A</v>
      </c>
      <c r="C289" s="524" t="s">
        <v>3648</v>
      </c>
      <c r="D289" s="524" t="s">
        <v>3647</v>
      </c>
      <c r="E289" s="524" t="s">
        <v>3646</v>
      </c>
      <c r="F289" s="524" t="s">
        <v>3646</v>
      </c>
      <c r="G289" s="524" t="s">
        <v>3646</v>
      </c>
      <c r="H289" s="524" t="s">
        <v>3646</v>
      </c>
      <c r="I289" s="524" t="s">
        <v>3647</v>
      </c>
      <c r="J289" s="524" t="s">
        <v>3647</v>
      </c>
      <c r="K289" s="524"/>
      <c r="L289" s="524" t="s">
        <v>6381</v>
      </c>
      <c r="M289" s="524" t="s">
        <v>2313</v>
      </c>
      <c r="N289" s="524"/>
      <c r="O289" s="524"/>
    </row>
    <row r="290" spans="1:15" ht="43.5" hidden="1">
      <c r="A290" s="525">
        <v>61</v>
      </c>
      <c r="B290" s="524" t="e">
        <f>VLOOKUP(A290,'Hours Detail'!$E$17:$H$1048576,4,)</f>
        <v>#N/A</v>
      </c>
      <c r="C290" s="524" t="s">
        <v>305</v>
      </c>
      <c r="D290" s="524" t="s">
        <v>1121</v>
      </c>
      <c r="E290" s="524" t="s">
        <v>1122</v>
      </c>
      <c r="F290" s="524" t="s">
        <v>1122</v>
      </c>
      <c r="G290" s="524" t="s">
        <v>1122</v>
      </c>
      <c r="H290" s="524" t="s">
        <v>1122</v>
      </c>
      <c r="I290" s="524" t="s">
        <v>1121</v>
      </c>
      <c r="J290" s="524" t="s">
        <v>1121</v>
      </c>
      <c r="K290" s="524"/>
      <c r="L290" s="524" t="s">
        <v>6397</v>
      </c>
      <c r="M290" s="524" t="s">
        <v>6421</v>
      </c>
      <c r="N290" s="524"/>
      <c r="O290" s="524"/>
    </row>
    <row r="291" spans="1:15" ht="72.5" hidden="1">
      <c r="A291" s="527">
        <v>61</v>
      </c>
      <c r="B291" s="524" t="e">
        <f>VLOOKUP(A291,'Hours Detail'!$E$17:$H$1048576,4,)</f>
        <v>#N/A</v>
      </c>
      <c r="C291" s="527" t="s">
        <v>305</v>
      </c>
      <c r="D291" s="527" t="s">
        <v>2165</v>
      </c>
      <c r="E291" s="527" t="s">
        <v>1121</v>
      </c>
      <c r="F291" s="527" t="s">
        <v>1122</v>
      </c>
      <c r="G291" s="527">
        <v>98</v>
      </c>
      <c r="H291" s="527" t="s">
        <v>303</v>
      </c>
      <c r="I291" s="527" t="s">
        <v>2304</v>
      </c>
      <c r="J291" s="527" t="s">
        <v>2890</v>
      </c>
      <c r="K291" s="527" t="s">
        <v>2890</v>
      </c>
      <c r="L291" s="527" t="s">
        <v>6371</v>
      </c>
      <c r="M291" s="524"/>
      <c r="N291" s="524"/>
      <c r="O291" s="524"/>
    </row>
    <row r="292" spans="1:15" ht="58" hidden="1">
      <c r="A292" s="524">
        <v>62</v>
      </c>
      <c r="B292" s="524" t="e">
        <f>VLOOKUP(A292,'Hours Detail'!$E$17:$H$1048576,4,)</f>
        <v>#N/A</v>
      </c>
      <c r="C292" s="524" t="s">
        <v>436</v>
      </c>
      <c r="D292" s="524" t="s">
        <v>1541</v>
      </c>
      <c r="E292" s="524" t="s">
        <v>1542</v>
      </c>
      <c r="F292" s="524" t="s">
        <v>1542</v>
      </c>
      <c r="G292" s="524" t="s">
        <v>1542</v>
      </c>
      <c r="H292" s="524" t="s">
        <v>1542</v>
      </c>
      <c r="I292" s="524" t="s">
        <v>6659</v>
      </c>
      <c r="J292" s="524" t="s">
        <v>1541</v>
      </c>
      <c r="K292" s="524"/>
      <c r="L292" s="524" t="s">
        <v>6368</v>
      </c>
      <c r="M292" s="524" t="s">
        <v>6370</v>
      </c>
      <c r="N292" s="524"/>
      <c r="O292" s="524"/>
    </row>
    <row r="293" spans="1:15" ht="43.5" hidden="1">
      <c r="A293" s="527">
        <v>62</v>
      </c>
      <c r="B293" s="524" t="e">
        <f>VLOOKUP(A293,'Hours Detail'!$E$17:$H$1048576,4,)</f>
        <v>#N/A</v>
      </c>
      <c r="C293" s="527" t="s">
        <v>436</v>
      </c>
      <c r="D293" s="527" t="s">
        <v>1528</v>
      </c>
      <c r="E293" s="527" t="s">
        <v>1541</v>
      </c>
      <c r="F293" s="527" t="s">
        <v>1542</v>
      </c>
      <c r="G293" s="527">
        <v>511</v>
      </c>
      <c r="H293" s="527" t="s">
        <v>429</v>
      </c>
      <c r="I293" s="527" t="s">
        <v>1526</v>
      </c>
      <c r="J293" s="527" t="s">
        <v>2890</v>
      </c>
      <c r="K293" s="527" t="s">
        <v>2890</v>
      </c>
      <c r="L293" s="527" t="s">
        <v>6371</v>
      </c>
      <c r="M293" s="524"/>
      <c r="N293" s="524"/>
      <c r="O293" s="524"/>
    </row>
    <row r="294" spans="1:15" ht="58" hidden="1">
      <c r="A294" s="525">
        <v>63</v>
      </c>
      <c r="B294" s="524" t="str">
        <f>VLOOKUP(A294,'Hours Detail'!$E$17:$H$1048576,4,)</f>
        <v>No</v>
      </c>
      <c r="C294" s="524" t="s">
        <v>317</v>
      </c>
      <c r="D294" s="524" t="s">
        <v>1171</v>
      </c>
      <c r="E294" s="524" t="s">
        <v>1172</v>
      </c>
      <c r="F294" s="524" t="s">
        <v>1172</v>
      </c>
      <c r="G294" s="524" t="s">
        <v>1172</v>
      </c>
      <c r="H294" s="524" t="s">
        <v>1172</v>
      </c>
      <c r="I294" s="524" t="s">
        <v>6660</v>
      </c>
      <c r="J294" s="524" t="s">
        <v>1171</v>
      </c>
      <c r="K294" s="524" t="s">
        <v>6359</v>
      </c>
      <c r="L294" s="524" t="s">
        <v>6397</v>
      </c>
      <c r="M294" s="524" t="s">
        <v>2384</v>
      </c>
      <c r="N294" s="524"/>
      <c r="O294" s="524"/>
    </row>
    <row r="295" spans="1:15" ht="130.5" hidden="1">
      <c r="A295" s="527">
        <v>63</v>
      </c>
      <c r="B295" s="524" t="str">
        <f>VLOOKUP(A295,'Hours Detail'!$E$17:$H$1048576,4,)</f>
        <v>No</v>
      </c>
      <c r="C295" s="527" t="s">
        <v>317</v>
      </c>
      <c r="D295" s="527" t="s">
        <v>2166</v>
      </c>
      <c r="E295" s="527" t="s">
        <v>1171</v>
      </c>
      <c r="F295" s="527" t="s">
        <v>1172</v>
      </c>
      <c r="G295" s="527">
        <v>105</v>
      </c>
      <c r="H295" s="527" t="s">
        <v>313</v>
      </c>
      <c r="I295" s="527" t="s">
        <v>2309</v>
      </c>
      <c r="J295" s="527" t="s">
        <v>2889</v>
      </c>
      <c r="K295" s="527" t="s">
        <v>2889</v>
      </c>
      <c r="L295" s="527" t="s">
        <v>6661</v>
      </c>
      <c r="M295" s="524"/>
      <c r="N295" s="524"/>
      <c r="O295" s="524"/>
    </row>
    <row r="296" spans="1:15" ht="29" hidden="1">
      <c r="A296" s="524">
        <v>65</v>
      </c>
      <c r="B296" s="524" t="e">
        <f>VLOOKUP(A296,'Hours Detail'!$E$17:$H$1048576,4,)</f>
        <v>#N/A</v>
      </c>
      <c r="C296" s="524" t="s">
        <v>5277</v>
      </c>
      <c r="D296" s="524" t="s">
        <v>1695</v>
      </c>
      <c r="E296" s="524" t="s">
        <v>4276</v>
      </c>
      <c r="F296" s="524" t="s">
        <v>4276</v>
      </c>
      <c r="G296" s="524" t="s">
        <v>4276</v>
      </c>
      <c r="H296" s="524" t="s">
        <v>4276</v>
      </c>
      <c r="I296" s="524" t="s">
        <v>6662</v>
      </c>
      <c r="J296" s="524" t="s">
        <v>1695</v>
      </c>
      <c r="K296" s="524"/>
      <c r="L296" s="524" t="s">
        <v>6381</v>
      </c>
      <c r="M296" s="524" t="s">
        <v>522</v>
      </c>
      <c r="N296" s="524"/>
      <c r="O296" s="524"/>
    </row>
    <row r="297" spans="1:15" ht="29" hidden="1">
      <c r="A297" s="527">
        <v>65</v>
      </c>
      <c r="B297" s="524" t="e">
        <f>VLOOKUP(A297,'Hours Detail'!$E$17:$H$1048576,4,)</f>
        <v>#N/A</v>
      </c>
      <c r="C297" s="527" t="s">
        <v>1694</v>
      </c>
      <c r="D297" s="527" t="s">
        <v>522</v>
      </c>
      <c r="E297" s="527" t="s">
        <v>1695</v>
      </c>
      <c r="F297" s="527" t="s">
        <v>1696</v>
      </c>
      <c r="G297" s="527">
        <v>4</v>
      </c>
      <c r="H297" s="527" t="s">
        <v>10</v>
      </c>
      <c r="I297" s="527" t="s">
        <v>522</v>
      </c>
      <c r="J297" s="527" t="s">
        <v>2890</v>
      </c>
      <c r="K297" s="527" t="s">
        <v>2890</v>
      </c>
      <c r="L297" s="527" t="s">
        <v>6663</v>
      </c>
      <c r="M297" s="524"/>
      <c r="N297" s="524"/>
      <c r="O297" s="524"/>
    </row>
    <row r="298" spans="1:15" ht="87" hidden="1">
      <c r="A298" s="525">
        <v>66</v>
      </c>
      <c r="B298" s="524" t="e">
        <f>VLOOKUP(A298,'Hours Detail'!$E$17:$H$1048576,4,)</f>
        <v>#N/A</v>
      </c>
      <c r="C298" s="524" t="s">
        <v>431</v>
      </c>
      <c r="D298" s="524" t="s">
        <v>1537</v>
      </c>
      <c r="E298" s="524" t="s">
        <v>1538</v>
      </c>
      <c r="F298" s="524" t="s">
        <v>1538</v>
      </c>
      <c r="G298" s="524" t="s">
        <v>1538</v>
      </c>
      <c r="H298" s="524" t="s">
        <v>1538</v>
      </c>
      <c r="I298" s="524" t="s">
        <v>6664</v>
      </c>
      <c r="J298" s="524" t="s">
        <v>1537</v>
      </c>
      <c r="K298" s="524"/>
      <c r="L298" s="524" t="s">
        <v>6399</v>
      </c>
      <c r="M298" s="524" t="s">
        <v>6509</v>
      </c>
      <c r="N298" s="524" t="s">
        <v>6665</v>
      </c>
      <c r="O298" s="524"/>
    </row>
    <row r="299" spans="1:15" ht="29" hidden="1">
      <c r="A299" s="527">
        <v>66</v>
      </c>
      <c r="B299" s="524" t="e">
        <f>VLOOKUP(A299,'Hours Detail'!$E$17:$H$1048576,4,)</f>
        <v>#N/A</v>
      </c>
      <c r="C299" s="527" t="s">
        <v>431</v>
      </c>
      <c r="D299" s="527" t="s">
        <v>1528</v>
      </c>
      <c r="E299" s="527" t="s">
        <v>1537</v>
      </c>
      <c r="F299" s="527" t="s">
        <v>1538</v>
      </c>
      <c r="G299" s="527">
        <v>511</v>
      </c>
      <c r="H299" s="527" t="s">
        <v>429</v>
      </c>
      <c r="I299" s="527" t="s">
        <v>1526</v>
      </c>
      <c r="J299" s="527" t="s">
        <v>2890</v>
      </c>
      <c r="K299" s="527" t="s">
        <v>2890</v>
      </c>
      <c r="L299" s="527" t="s">
        <v>6371</v>
      </c>
      <c r="M299" s="524"/>
      <c r="N299" s="524"/>
      <c r="O299" s="524"/>
    </row>
    <row r="300" spans="1:15" ht="409.5">
      <c r="A300" s="525">
        <v>67</v>
      </c>
      <c r="B300" s="524" t="str">
        <f>VLOOKUP(A300,'Hours Detail'!$E$17:$H$1048576,4,)</f>
        <v>No</v>
      </c>
      <c r="C300" s="524" t="s">
        <v>147</v>
      </c>
      <c r="D300" s="524" t="s">
        <v>590</v>
      </c>
      <c r="E300" s="524" t="s">
        <v>591</v>
      </c>
      <c r="F300" s="524" t="s">
        <v>591</v>
      </c>
      <c r="G300" s="524" t="s">
        <v>591</v>
      </c>
      <c r="H300" s="524" t="s">
        <v>591</v>
      </c>
      <c r="I300" s="524" t="s">
        <v>6666</v>
      </c>
      <c r="J300" s="524" t="s">
        <v>590</v>
      </c>
      <c r="K300" s="524" t="s">
        <v>6359</v>
      </c>
      <c r="L300" s="524" t="s">
        <v>6399</v>
      </c>
      <c r="M300" s="524" t="s">
        <v>6437</v>
      </c>
      <c r="N300" s="524" t="s">
        <v>6667</v>
      </c>
      <c r="O300" s="524"/>
    </row>
    <row r="301" spans="1:15" ht="232">
      <c r="A301" s="524">
        <v>67</v>
      </c>
      <c r="B301" s="524" t="str">
        <f>VLOOKUP(A301,'Hours Detail'!$E$17:$H$1048576,4,)</f>
        <v>No</v>
      </c>
      <c r="C301" s="524" t="s">
        <v>147</v>
      </c>
      <c r="D301" s="527" t="s">
        <v>2312</v>
      </c>
      <c r="E301" s="527" t="s">
        <v>590</v>
      </c>
      <c r="F301" s="527" t="s">
        <v>591</v>
      </c>
      <c r="G301" s="527">
        <v>6</v>
      </c>
      <c r="H301" s="527" t="s">
        <v>58</v>
      </c>
      <c r="I301" s="527" t="s">
        <v>2311</v>
      </c>
      <c r="J301" s="527" t="s">
        <v>2889</v>
      </c>
      <c r="K301" s="527" t="s">
        <v>2889</v>
      </c>
      <c r="L301" s="527" t="s">
        <v>6668</v>
      </c>
      <c r="M301" s="524"/>
      <c r="N301" s="524"/>
      <c r="O301" s="524"/>
    </row>
    <row r="302" spans="1:15" ht="116" hidden="1">
      <c r="A302" s="525">
        <v>69</v>
      </c>
      <c r="B302" s="524" t="str">
        <f>VLOOKUP(A302,'Hours Detail'!$E$17:$H$1048576,4,)</f>
        <v>No</v>
      </c>
      <c r="C302" s="524" t="s">
        <v>105</v>
      </c>
      <c r="D302" s="524" t="s">
        <v>1152</v>
      </c>
      <c r="E302" s="524" t="s">
        <v>6669</v>
      </c>
      <c r="F302" s="524" t="s">
        <v>6669</v>
      </c>
      <c r="G302" s="524" t="s">
        <v>6669</v>
      </c>
      <c r="H302" s="524" t="s">
        <v>6669</v>
      </c>
      <c r="I302" s="524" t="s">
        <v>6670</v>
      </c>
      <c r="J302" s="524" t="s">
        <v>1152</v>
      </c>
      <c r="K302" s="524"/>
      <c r="L302" s="524" t="s">
        <v>6399</v>
      </c>
      <c r="M302" s="524" t="s">
        <v>6459</v>
      </c>
      <c r="N302" s="524" t="s">
        <v>6671</v>
      </c>
      <c r="O302" s="524"/>
    </row>
    <row r="303" spans="1:15" ht="145" hidden="1">
      <c r="A303" s="527">
        <v>69</v>
      </c>
      <c r="B303" s="524" t="str">
        <f>VLOOKUP(A303,'Hours Detail'!$E$17:$H$1048576,4,)</f>
        <v>No</v>
      </c>
      <c r="C303" s="527" t="s">
        <v>105</v>
      </c>
      <c r="D303" s="527" t="s">
        <v>2169</v>
      </c>
      <c r="E303" s="527" t="s">
        <v>1152</v>
      </c>
      <c r="F303" s="527" t="s">
        <v>1153</v>
      </c>
      <c r="G303" s="527">
        <v>103</v>
      </c>
      <c r="H303" s="527" t="s">
        <v>22</v>
      </c>
      <c r="I303" s="527" t="s">
        <v>2308</v>
      </c>
      <c r="J303" s="527" t="s">
        <v>2889</v>
      </c>
      <c r="K303" s="527" t="s">
        <v>3150</v>
      </c>
      <c r="L303" s="527" t="s">
        <v>6672</v>
      </c>
      <c r="M303" s="524"/>
      <c r="N303" s="524"/>
      <c r="O303" s="524"/>
    </row>
    <row r="304" spans="1:15" ht="101.5" hidden="1">
      <c r="A304" s="525">
        <v>72</v>
      </c>
      <c r="B304" s="524" t="e">
        <f>VLOOKUP(A304,'Hours Detail'!$E$17:$H$1048576,4,)</f>
        <v>#N/A</v>
      </c>
      <c r="C304" s="524" t="s">
        <v>53</v>
      </c>
      <c r="D304" s="524" t="s">
        <v>798</v>
      </c>
      <c r="E304" s="524" t="s">
        <v>799</v>
      </c>
      <c r="F304" s="524" t="s">
        <v>799</v>
      </c>
      <c r="G304" s="524" t="s">
        <v>799</v>
      </c>
      <c r="H304" s="524" t="s">
        <v>799</v>
      </c>
      <c r="I304" s="524" t="s">
        <v>798</v>
      </c>
      <c r="J304" s="524" t="s">
        <v>798</v>
      </c>
      <c r="K304" s="524"/>
      <c r="L304" s="524" t="s">
        <v>6399</v>
      </c>
      <c r="M304" s="524" t="s">
        <v>6437</v>
      </c>
      <c r="N304" s="524" t="s">
        <v>6673</v>
      </c>
      <c r="O304" s="524"/>
    </row>
    <row r="305" spans="1:15" ht="58" hidden="1">
      <c r="A305" s="527">
        <v>72</v>
      </c>
      <c r="B305" s="524" t="e">
        <f>VLOOKUP(A305,'Hours Detail'!$E$17:$H$1048576,4,)</f>
        <v>#N/A</v>
      </c>
      <c r="C305" s="527" t="s">
        <v>53</v>
      </c>
      <c r="D305" s="527" t="s">
        <v>797</v>
      </c>
      <c r="E305" s="527" t="s">
        <v>798</v>
      </c>
      <c r="F305" s="527" t="s">
        <v>799</v>
      </c>
      <c r="G305" s="527">
        <v>16</v>
      </c>
      <c r="H305" s="527" t="s">
        <v>3</v>
      </c>
      <c r="I305" s="527" t="s">
        <v>795</v>
      </c>
      <c r="J305" s="527" t="s">
        <v>2890</v>
      </c>
      <c r="K305" s="527" t="s">
        <v>2890</v>
      </c>
      <c r="L305" s="527" t="s">
        <v>6371</v>
      </c>
      <c r="M305" s="524"/>
      <c r="N305" s="524"/>
      <c r="O305" s="524"/>
    </row>
    <row r="306" spans="1:15" ht="43.5" hidden="1">
      <c r="A306" s="524">
        <v>73</v>
      </c>
      <c r="B306" s="524" t="e">
        <f>VLOOKUP(A306,'Hours Detail'!$E$17:$H$1048576,4,)</f>
        <v>#N/A</v>
      </c>
      <c r="C306" s="524" t="s">
        <v>5708</v>
      </c>
      <c r="D306" s="524" t="s">
        <v>5707</v>
      </c>
      <c r="E306" s="524" t="s">
        <v>5706</v>
      </c>
      <c r="F306" s="524" t="s">
        <v>5706</v>
      </c>
      <c r="G306" s="524" t="s">
        <v>5706</v>
      </c>
      <c r="H306" s="524" t="s">
        <v>5706</v>
      </c>
      <c r="I306" s="524" t="s">
        <v>6674</v>
      </c>
      <c r="J306" s="524" t="s">
        <v>5707</v>
      </c>
      <c r="K306" s="524"/>
      <c r="L306" s="524" t="s">
        <v>6400</v>
      </c>
      <c r="M306" s="524" t="s">
        <v>6401</v>
      </c>
      <c r="N306" s="524"/>
      <c r="O306" s="524"/>
    </row>
    <row r="307" spans="1:15" ht="43.5" hidden="1">
      <c r="A307" s="525">
        <v>74</v>
      </c>
      <c r="B307" s="524" t="e">
        <f>VLOOKUP(A307,'Hours Detail'!$E$17:$H$1048576,4,)</f>
        <v>#N/A</v>
      </c>
      <c r="C307" s="524" t="s">
        <v>5254</v>
      </c>
      <c r="D307" s="524" t="s">
        <v>5253</v>
      </c>
      <c r="E307" s="524" t="s">
        <v>5252</v>
      </c>
      <c r="F307" s="524" t="s">
        <v>5252</v>
      </c>
      <c r="G307" s="524" t="s">
        <v>5252</v>
      </c>
      <c r="H307" s="524" t="s">
        <v>5252</v>
      </c>
      <c r="I307" s="524" t="s">
        <v>6675</v>
      </c>
      <c r="J307" s="524" t="s">
        <v>5253</v>
      </c>
      <c r="K307" s="524"/>
      <c r="L307" s="524" t="s">
        <v>6383</v>
      </c>
      <c r="M307" s="524" t="s">
        <v>5080</v>
      </c>
      <c r="N307" s="524" t="s">
        <v>6676</v>
      </c>
      <c r="O307" s="524"/>
    </row>
    <row r="308" spans="1:15" ht="58" hidden="1">
      <c r="A308" s="525">
        <v>75</v>
      </c>
      <c r="B308" s="524" t="str">
        <f>VLOOKUP(A308,'Hours Detail'!$E$17:$H$1048576,4,)</f>
        <v>No</v>
      </c>
      <c r="C308" s="524" t="s">
        <v>296</v>
      </c>
      <c r="D308" s="524" t="s">
        <v>1113</v>
      </c>
      <c r="E308" s="524" t="s">
        <v>1114</v>
      </c>
      <c r="F308" s="524" t="s">
        <v>1114</v>
      </c>
      <c r="G308" s="524" t="s">
        <v>1114</v>
      </c>
      <c r="H308" s="524" t="s">
        <v>1114</v>
      </c>
      <c r="I308" s="524" t="s">
        <v>6677</v>
      </c>
      <c r="J308" s="524" t="s">
        <v>1113</v>
      </c>
      <c r="K308" s="524" t="s">
        <v>6359</v>
      </c>
      <c r="L308" s="524" t="s">
        <v>6397</v>
      </c>
      <c r="M308" s="524" t="s">
        <v>2384</v>
      </c>
      <c r="N308" s="524" t="s">
        <v>6678</v>
      </c>
      <c r="O308" s="524"/>
    </row>
    <row r="309" spans="1:15" ht="116" hidden="1">
      <c r="A309" s="527">
        <v>75</v>
      </c>
      <c r="B309" s="524" t="str">
        <f>VLOOKUP(A309,'Hours Detail'!$E$17:$H$1048576,4,)</f>
        <v>No</v>
      </c>
      <c r="C309" s="527" t="s">
        <v>296</v>
      </c>
      <c r="D309" s="527" t="s">
        <v>2164</v>
      </c>
      <c r="E309" s="527" t="s">
        <v>1113</v>
      </c>
      <c r="F309" s="527" t="s">
        <v>1114</v>
      </c>
      <c r="G309" s="527">
        <v>93</v>
      </c>
      <c r="H309" s="527" t="s">
        <v>294</v>
      </c>
      <c r="I309" s="527" t="s">
        <v>2301</v>
      </c>
      <c r="J309" s="527" t="s">
        <v>2889</v>
      </c>
      <c r="K309" s="527" t="s">
        <v>2889</v>
      </c>
      <c r="L309" s="527" t="s">
        <v>6679</v>
      </c>
      <c r="M309" s="524"/>
      <c r="N309" s="524"/>
      <c r="O309" s="524"/>
    </row>
    <row r="310" spans="1:15" ht="87" hidden="1">
      <c r="A310" s="524">
        <v>77</v>
      </c>
      <c r="B310" s="524" t="e">
        <f>VLOOKUP(A310,'Hours Detail'!$E$17:$H$1048576,4,)</f>
        <v>#N/A</v>
      </c>
      <c r="C310" s="524" t="s">
        <v>1715</v>
      </c>
      <c r="D310" s="524" t="s">
        <v>1716</v>
      </c>
      <c r="E310" s="524" t="s">
        <v>1717</v>
      </c>
      <c r="F310" s="524" t="s">
        <v>1717</v>
      </c>
      <c r="G310" s="524" t="s">
        <v>1717</v>
      </c>
      <c r="H310" s="524" t="s">
        <v>1717</v>
      </c>
      <c r="I310" s="524" t="s">
        <v>6680</v>
      </c>
      <c r="J310" s="524" t="s">
        <v>1716</v>
      </c>
      <c r="K310" s="524"/>
      <c r="L310" s="524" t="s">
        <v>6399</v>
      </c>
      <c r="M310" s="524" t="s">
        <v>6459</v>
      </c>
      <c r="N310" s="524"/>
      <c r="O310" s="524"/>
    </row>
    <row r="311" spans="1:15" ht="101.5" hidden="1">
      <c r="A311" s="527">
        <v>77</v>
      </c>
      <c r="B311" s="524" t="e">
        <f>VLOOKUP(A311,'Hours Detail'!$E$17:$H$1048576,4,)</f>
        <v>#N/A</v>
      </c>
      <c r="C311" s="527" t="s">
        <v>1715</v>
      </c>
      <c r="D311" s="527" t="s">
        <v>4703</v>
      </c>
      <c r="E311" s="527" t="s">
        <v>1716</v>
      </c>
      <c r="F311" s="527" t="s">
        <v>1717</v>
      </c>
      <c r="G311" s="527">
        <v>283</v>
      </c>
      <c r="H311" s="527" t="s">
        <v>4705</v>
      </c>
      <c r="I311" s="527" t="s">
        <v>4704</v>
      </c>
      <c r="J311" s="527" t="s">
        <v>2890</v>
      </c>
      <c r="K311" s="527" t="s">
        <v>2890</v>
      </c>
      <c r="L311" s="527" t="s">
        <v>6681</v>
      </c>
      <c r="M311" s="524"/>
      <c r="N311" s="524"/>
      <c r="O311" s="524"/>
    </row>
    <row r="312" spans="1:15" ht="87" hidden="1">
      <c r="A312" s="525">
        <v>78</v>
      </c>
      <c r="B312" s="524" t="str">
        <f>VLOOKUP(A312,'Hours Detail'!$E$17:$H$1048576,4,)</f>
        <v>No</v>
      </c>
      <c r="C312" s="524" t="s">
        <v>3720</v>
      </c>
      <c r="D312" s="524" t="s">
        <v>3719</v>
      </c>
      <c r="E312" s="524" t="s">
        <v>3719</v>
      </c>
      <c r="F312" s="524" t="s">
        <v>3719</v>
      </c>
      <c r="G312" s="524" t="s">
        <v>3719</v>
      </c>
      <c r="H312" s="524" t="s">
        <v>3719</v>
      </c>
      <c r="I312" s="524" t="s">
        <v>3719</v>
      </c>
      <c r="J312" s="524" t="s">
        <v>3719</v>
      </c>
      <c r="K312" s="524"/>
      <c r="L312" s="524" t="s">
        <v>6590</v>
      </c>
      <c r="M312" s="524" t="s">
        <v>5878</v>
      </c>
      <c r="N312" s="524" t="s">
        <v>6682</v>
      </c>
      <c r="O312" s="524"/>
    </row>
    <row r="313" spans="1:15" ht="72.5" hidden="1">
      <c r="A313" s="525">
        <v>79</v>
      </c>
      <c r="B313" s="524" t="e">
        <f>VLOOKUP(A313,'Hours Detail'!$E$17:$H$1048576,4,)</f>
        <v>#N/A</v>
      </c>
      <c r="C313" s="524" t="s">
        <v>63</v>
      </c>
      <c r="D313" s="524" t="s">
        <v>586</v>
      </c>
      <c r="E313" s="524" t="s">
        <v>587</v>
      </c>
      <c r="F313" s="524" t="s">
        <v>587</v>
      </c>
      <c r="G313" s="524" t="s">
        <v>587</v>
      </c>
      <c r="H313" s="524" t="s">
        <v>587</v>
      </c>
      <c r="I313" s="524" t="s">
        <v>6683</v>
      </c>
      <c r="J313" s="524" t="s">
        <v>586</v>
      </c>
      <c r="K313" s="524" t="s">
        <v>6359</v>
      </c>
      <c r="L313" s="524" t="s">
        <v>6399</v>
      </c>
      <c r="M313" s="524" t="s">
        <v>6437</v>
      </c>
      <c r="N313" s="524" t="s">
        <v>6684</v>
      </c>
      <c r="O313" s="524"/>
    </row>
    <row r="314" spans="1:15" ht="174" hidden="1">
      <c r="A314" s="527">
        <v>79</v>
      </c>
      <c r="B314" s="524" t="e">
        <f>VLOOKUP(A314,'Hours Detail'!$E$17:$H$1048576,4,)</f>
        <v>#N/A</v>
      </c>
      <c r="C314" s="527" t="s">
        <v>63</v>
      </c>
      <c r="D314" s="527" t="s">
        <v>2312</v>
      </c>
      <c r="E314" s="527" t="s">
        <v>586</v>
      </c>
      <c r="F314" s="527" t="s">
        <v>587</v>
      </c>
      <c r="G314" s="527">
        <v>6</v>
      </c>
      <c r="H314" s="527" t="s">
        <v>58</v>
      </c>
      <c r="I314" s="527" t="s">
        <v>2311</v>
      </c>
      <c r="J314" s="527" t="s">
        <v>2890</v>
      </c>
      <c r="K314" s="527" t="s">
        <v>2889</v>
      </c>
      <c r="L314" s="527" t="s">
        <v>6685</v>
      </c>
      <c r="M314" s="524"/>
      <c r="N314" s="524"/>
      <c r="O314" s="524"/>
    </row>
    <row r="315" spans="1:15" ht="29" hidden="1">
      <c r="A315" s="525">
        <v>80</v>
      </c>
      <c r="B315" s="524" t="str">
        <f>VLOOKUP(A315,'Hours Detail'!$E$17:$H$1048576,4,)</f>
        <v>No</v>
      </c>
      <c r="C315" s="524" t="s">
        <v>1507</v>
      </c>
      <c r="D315" s="524" t="s">
        <v>1508</v>
      </c>
      <c r="E315" s="524" t="s">
        <v>1509</v>
      </c>
      <c r="F315" s="524" t="s">
        <v>1509</v>
      </c>
      <c r="G315" s="524" t="s">
        <v>1509</v>
      </c>
      <c r="H315" s="524" t="s">
        <v>1509</v>
      </c>
      <c r="I315" s="524" t="s">
        <v>6686</v>
      </c>
      <c r="J315" s="524" t="s">
        <v>1508</v>
      </c>
      <c r="K315" s="524"/>
      <c r="L315" s="524" t="s">
        <v>6368</v>
      </c>
      <c r="M315" s="524" t="s">
        <v>2573</v>
      </c>
      <c r="N315" s="524" t="s">
        <v>6687</v>
      </c>
      <c r="O315" s="524"/>
    </row>
    <row r="316" spans="1:15" ht="29" hidden="1">
      <c r="A316" s="527">
        <v>80</v>
      </c>
      <c r="B316" s="524" t="str">
        <f>VLOOKUP(A316,'Hours Detail'!$E$17:$H$1048576,4,)</f>
        <v>No</v>
      </c>
      <c r="C316" s="527" t="s">
        <v>1507</v>
      </c>
      <c r="D316" s="527" t="s">
        <v>3090</v>
      </c>
      <c r="E316" s="527" t="s">
        <v>1508</v>
      </c>
      <c r="F316" s="527" t="s">
        <v>1509</v>
      </c>
      <c r="G316" s="527">
        <v>331</v>
      </c>
      <c r="H316" s="527" t="s">
        <v>3084</v>
      </c>
      <c r="I316" s="527" t="s">
        <v>3087</v>
      </c>
      <c r="J316" s="527" t="s">
        <v>2889</v>
      </c>
      <c r="K316" s="527" t="s">
        <v>2890</v>
      </c>
      <c r="L316" s="527" t="s">
        <v>6371</v>
      </c>
      <c r="M316" s="524"/>
      <c r="N316" s="524"/>
      <c r="O316" s="524"/>
    </row>
    <row r="317" spans="1:15" ht="58" hidden="1">
      <c r="A317" s="524">
        <v>82</v>
      </c>
      <c r="B317" s="524" t="e">
        <f>VLOOKUP(A317,'Hours Detail'!$E$17:$H$1048576,4,)</f>
        <v>#N/A</v>
      </c>
      <c r="C317" s="524" t="s">
        <v>1873</v>
      </c>
      <c r="D317" s="524" t="s">
        <v>1874</v>
      </c>
      <c r="E317" s="524" t="s">
        <v>1875</v>
      </c>
      <c r="F317" s="524" t="s">
        <v>1875</v>
      </c>
      <c r="G317" s="524" t="s">
        <v>1875</v>
      </c>
      <c r="H317" s="524" t="s">
        <v>1875</v>
      </c>
      <c r="I317" s="524" t="s">
        <v>1874</v>
      </c>
      <c r="J317" s="524" t="s">
        <v>1874</v>
      </c>
      <c r="K317" s="524"/>
      <c r="L317" s="524" t="s">
        <v>6365</v>
      </c>
      <c r="M317" s="524" t="s">
        <v>216</v>
      </c>
      <c r="N317" s="524"/>
      <c r="O317" s="524"/>
    </row>
    <row r="318" spans="1:15" ht="43.5" hidden="1">
      <c r="A318" s="527">
        <v>82</v>
      </c>
      <c r="B318" s="524" t="e">
        <f>VLOOKUP(A318,'Hours Detail'!$E$17:$H$1048576,4,)</f>
        <v>#N/A</v>
      </c>
      <c r="C318" s="527" t="s">
        <v>1873</v>
      </c>
      <c r="D318" s="527" t="s">
        <v>1011</v>
      </c>
      <c r="E318" s="527" t="s">
        <v>1874</v>
      </c>
      <c r="F318" s="527" t="s">
        <v>1875</v>
      </c>
      <c r="G318" s="527">
        <v>38</v>
      </c>
      <c r="H318" s="527" t="s">
        <v>42</v>
      </c>
      <c r="I318" s="527" t="s">
        <v>1009</v>
      </c>
      <c r="J318" s="527" t="s">
        <v>2890</v>
      </c>
      <c r="K318" s="527" t="s">
        <v>2889</v>
      </c>
      <c r="L318" s="527" t="s">
        <v>6371</v>
      </c>
      <c r="M318" s="524"/>
      <c r="N318" s="524"/>
      <c r="O318" s="524"/>
    </row>
    <row r="319" spans="1:15" ht="43.5" hidden="1">
      <c r="A319" s="524">
        <v>83</v>
      </c>
      <c r="B319" s="524" t="e">
        <f>VLOOKUP(A319,'Hours Detail'!$E$17:$H$1048576,4,)</f>
        <v>#N/A</v>
      </c>
      <c r="C319" s="524" t="s">
        <v>1757</v>
      </c>
      <c r="D319" s="524" t="s">
        <v>1758</v>
      </c>
      <c r="E319" s="524" t="s">
        <v>1759</v>
      </c>
      <c r="F319" s="524" t="s">
        <v>1759</v>
      </c>
      <c r="G319" s="524" t="s">
        <v>1759</v>
      </c>
      <c r="H319" s="524" t="s">
        <v>1759</v>
      </c>
      <c r="I319" s="524" t="s">
        <v>1758</v>
      </c>
      <c r="J319" s="524" t="s">
        <v>1758</v>
      </c>
      <c r="K319" s="524"/>
      <c r="L319" s="524" t="s">
        <v>6397</v>
      </c>
      <c r="M319" s="524" t="s">
        <v>2384</v>
      </c>
      <c r="N319" s="524"/>
      <c r="O319" s="524"/>
    </row>
    <row r="320" spans="1:15" ht="58" hidden="1">
      <c r="A320" s="527">
        <v>83</v>
      </c>
      <c r="B320" s="524" t="e">
        <f>VLOOKUP(A320,'Hours Detail'!$E$17:$H$1048576,4,)</f>
        <v>#N/A</v>
      </c>
      <c r="C320" s="527" t="s">
        <v>1757</v>
      </c>
      <c r="D320" s="527" t="s">
        <v>2170</v>
      </c>
      <c r="E320" s="527" t="s">
        <v>1758</v>
      </c>
      <c r="F320" s="527" t="s">
        <v>1759</v>
      </c>
      <c r="G320" s="527">
        <v>5</v>
      </c>
      <c r="H320" s="527" t="s">
        <v>177</v>
      </c>
      <c r="I320" s="527" t="s">
        <v>2310</v>
      </c>
      <c r="J320" s="527" t="s">
        <v>2890</v>
      </c>
      <c r="K320" s="527" t="s">
        <v>2890</v>
      </c>
      <c r="L320" s="527" t="s">
        <v>6371</v>
      </c>
      <c r="M320" s="524"/>
      <c r="N320" s="524"/>
      <c r="O320" s="524"/>
    </row>
    <row r="321" spans="1:15" ht="72.5" hidden="1">
      <c r="A321" s="525">
        <v>84</v>
      </c>
      <c r="B321" s="524" t="e">
        <f>VLOOKUP(A321,'Hours Detail'!$E$17:$H$1048576,4,)</f>
        <v>#N/A</v>
      </c>
      <c r="C321" s="524" t="s">
        <v>59</v>
      </c>
      <c r="D321" s="524" t="s">
        <v>602</v>
      </c>
      <c r="E321" s="524" t="s">
        <v>603</v>
      </c>
      <c r="F321" s="524" t="s">
        <v>6688</v>
      </c>
      <c r="G321" s="524" t="s">
        <v>603</v>
      </c>
      <c r="H321" s="524" t="s">
        <v>603</v>
      </c>
      <c r="I321" s="524" t="s">
        <v>602</v>
      </c>
      <c r="J321" s="524" t="s">
        <v>602</v>
      </c>
      <c r="K321" s="524"/>
      <c r="L321" s="524" t="s">
        <v>6399</v>
      </c>
      <c r="M321" s="524" t="s">
        <v>6437</v>
      </c>
      <c r="N321" s="524" t="s">
        <v>6689</v>
      </c>
      <c r="O321" s="524"/>
    </row>
    <row r="322" spans="1:15" ht="72.5" hidden="1">
      <c r="A322" s="527">
        <v>84</v>
      </c>
      <c r="B322" s="524" t="e">
        <f>VLOOKUP(A322,'Hours Detail'!$E$17:$H$1048576,4,)</f>
        <v>#N/A</v>
      </c>
      <c r="C322" s="527" t="s">
        <v>59</v>
      </c>
      <c r="D322" s="527" t="s">
        <v>2312</v>
      </c>
      <c r="E322" s="527" t="s">
        <v>602</v>
      </c>
      <c r="F322" s="527" t="s">
        <v>603</v>
      </c>
      <c r="G322" s="527">
        <v>6</v>
      </c>
      <c r="H322" s="527" t="s">
        <v>58</v>
      </c>
      <c r="I322" s="527" t="s">
        <v>2311</v>
      </c>
      <c r="J322" s="527" t="s">
        <v>2890</v>
      </c>
      <c r="K322" s="527" t="s">
        <v>2890</v>
      </c>
      <c r="L322" s="527" t="s">
        <v>6371</v>
      </c>
      <c r="M322" s="524"/>
      <c r="N322" s="524"/>
      <c r="O322" s="524"/>
    </row>
    <row r="323" spans="1:15" ht="43.5">
      <c r="A323" s="524">
        <v>85</v>
      </c>
      <c r="B323" s="524" t="str">
        <f>VLOOKUP(A323,'Hours Detail'!$E$17:$H$1048576,4,)</f>
        <v>No</v>
      </c>
      <c r="C323" s="524" t="s">
        <v>71</v>
      </c>
      <c r="D323" s="524" t="s">
        <v>596</v>
      </c>
      <c r="E323" s="524" t="s">
        <v>597</v>
      </c>
      <c r="F323" s="524" t="s">
        <v>6690</v>
      </c>
      <c r="G323" s="524" t="s">
        <v>6691</v>
      </c>
      <c r="H323" s="524" t="s">
        <v>6692</v>
      </c>
      <c r="I323" s="524" t="s">
        <v>6693</v>
      </c>
      <c r="J323" s="524" t="s">
        <v>6694</v>
      </c>
      <c r="K323" s="524"/>
      <c r="L323" s="524" t="s">
        <v>6399</v>
      </c>
      <c r="M323" s="524" t="s">
        <v>6509</v>
      </c>
      <c r="N323" s="524"/>
      <c r="O323" s="524"/>
    </row>
    <row r="324" spans="1:15" ht="116">
      <c r="A324" s="524">
        <v>85</v>
      </c>
      <c r="B324" s="524" t="str">
        <f>VLOOKUP(A324,'Hours Detail'!$E$17:$H$1048576,4,)</f>
        <v>No</v>
      </c>
      <c r="C324" s="524" t="s">
        <v>71</v>
      </c>
      <c r="D324" s="527" t="s">
        <v>2312</v>
      </c>
      <c r="E324" s="527" t="s">
        <v>596</v>
      </c>
      <c r="F324" s="527" t="s">
        <v>597</v>
      </c>
      <c r="G324" s="527">
        <v>6</v>
      </c>
      <c r="H324" s="527" t="s">
        <v>58</v>
      </c>
      <c r="I324" s="527" t="s">
        <v>2311</v>
      </c>
      <c r="J324" s="527" t="s">
        <v>2889</v>
      </c>
      <c r="K324" s="527" t="s">
        <v>2889</v>
      </c>
      <c r="L324" s="527" t="s">
        <v>6695</v>
      </c>
      <c r="M324" s="524"/>
      <c r="N324" s="524"/>
      <c r="O324" s="524"/>
    </row>
    <row r="325" spans="1:15" ht="116" hidden="1">
      <c r="A325" s="525">
        <v>86</v>
      </c>
      <c r="B325" s="524" t="e">
        <f>VLOOKUP(A325,'Hours Detail'!$E$17:$H$1048576,4,)</f>
        <v>#N/A</v>
      </c>
      <c r="C325" s="524" t="s">
        <v>60</v>
      </c>
      <c r="D325" s="524" t="s">
        <v>598</v>
      </c>
      <c r="E325" s="524" t="s">
        <v>599</v>
      </c>
      <c r="F325" s="524" t="s">
        <v>6696</v>
      </c>
      <c r="G325" s="524" t="s">
        <v>599</v>
      </c>
      <c r="H325" s="524" t="s">
        <v>599</v>
      </c>
      <c r="I325" s="524" t="s">
        <v>598</v>
      </c>
      <c r="J325" s="524" t="s">
        <v>598</v>
      </c>
      <c r="K325" s="524"/>
      <c r="L325" s="524" t="s">
        <v>6399</v>
      </c>
      <c r="M325" s="524" t="s">
        <v>6437</v>
      </c>
      <c r="N325" s="524" t="s">
        <v>6697</v>
      </c>
      <c r="O325" s="524"/>
    </row>
    <row r="326" spans="1:15" ht="72.5" hidden="1">
      <c r="A326" s="527">
        <v>86</v>
      </c>
      <c r="B326" s="524" t="e">
        <f>VLOOKUP(A326,'Hours Detail'!$E$17:$H$1048576,4,)</f>
        <v>#N/A</v>
      </c>
      <c r="C326" s="527" t="s">
        <v>60</v>
      </c>
      <c r="D326" s="527" t="s">
        <v>2312</v>
      </c>
      <c r="E326" s="527" t="s">
        <v>598</v>
      </c>
      <c r="F326" s="527" t="s">
        <v>599</v>
      </c>
      <c r="G326" s="527">
        <v>6</v>
      </c>
      <c r="H326" s="527" t="s">
        <v>58</v>
      </c>
      <c r="I326" s="527" t="s">
        <v>2311</v>
      </c>
      <c r="J326" s="527" t="s">
        <v>2890</v>
      </c>
      <c r="K326" s="527" t="s">
        <v>2890</v>
      </c>
      <c r="L326" s="527" t="s">
        <v>6371</v>
      </c>
      <c r="M326" s="524"/>
      <c r="N326" s="524"/>
      <c r="O326" s="524"/>
    </row>
    <row r="327" spans="1:15" ht="217.5" hidden="1">
      <c r="A327" s="525">
        <v>87</v>
      </c>
      <c r="B327" s="524" t="str">
        <f>VLOOKUP(A327,'Hours Detail'!$E$17:$H$1048576,4,)</f>
        <v>No</v>
      </c>
      <c r="C327" s="524" t="s">
        <v>4376</v>
      </c>
      <c r="D327" s="524" t="s">
        <v>1181</v>
      </c>
      <c r="E327" s="524" t="s">
        <v>1182</v>
      </c>
      <c r="F327" s="524" t="s">
        <v>1182</v>
      </c>
      <c r="G327" s="524" t="s">
        <v>1182</v>
      </c>
      <c r="H327" s="524" t="s">
        <v>1182</v>
      </c>
      <c r="I327" s="524" t="s">
        <v>6698</v>
      </c>
      <c r="J327" s="524" t="s">
        <v>1181</v>
      </c>
      <c r="K327" s="524" t="s">
        <v>6359</v>
      </c>
      <c r="L327" s="524" t="s">
        <v>6381</v>
      </c>
      <c r="M327" s="524" t="s">
        <v>6699</v>
      </c>
      <c r="N327" s="524" t="s">
        <v>6700</v>
      </c>
      <c r="O327" s="524"/>
    </row>
    <row r="328" spans="1:15" ht="246.5" hidden="1">
      <c r="A328" s="527">
        <v>87</v>
      </c>
      <c r="B328" s="524" t="str">
        <f>VLOOKUP(A328,'Hours Detail'!$E$17:$H$1048576,4,)</f>
        <v>No</v>
      </c>
      <c r="C328" s="527" t="s">
        <v>1737</v>
      </c>
      <c r="D328" s="527" t="s">
        <v>2162</v>
      </c>
      <c r="E328" s="527" t="s">
        <v>1181</v>
      </c>
      <c r="F328" s="527" t="s">
        <v>1182</v>
      </c>
      <c r="G328" s="527">
        <v>182</v>
      </c>
      <c r="H328" s="527" t="s">
        <v>2</v>
      </c>
      <c r="I328" s="527" t="s">
        <v>2298</v>
      </c>
      <c r="J328" s="527" t="s">
        <v>2889</v>
      </c>
      <c r="K328" s="527" t="s">
        <v>2889</v>
      </c>
      <c r="L328" s="527" t="s">
        <v>6701</v>
      </c>
      <c r="M328" s="524"/>
      <c r="N328" s="524"/>
      <c r="O328" s="524"/>
    </row>
    <row r="329" spans="1:15" hidden="1">
      <c r="A329" s="524">
        <v>88</v>
      </c>
      <c r="B329" s="524" t="str">
        <f>VLOOKUP(A329,'Hours Detail'!$E$17:$H$1048576,4,)</f>
        <v>No</v>
      </c>
      <c r="C329" s="524" t="s">
        <v>1504</v>
      </c>
      <c r="D329" s="524" t="s">
        <v>1504</v>
      </c>
      <c r="E329" s="524" t="s">
        <v>1504</v>
      </c>
      <c r="F329" s="524" t="s">
        <v>1504</v>
      </c>
      <c r="G329" s="524" t="s">
        <v>1504</v>
      </c>
      <c r="H329" s="524" t="s">
        <v>1504</v>
      </c>
      <c r="I329" s="524" t="s">
        <v>1504</v>
      </c>
      <c r="J329" s="524" t="s">
        <v>1504</v>
      </c>
      <c r="K329" s="524"/>
      <c r="L329" s="524" t="s">
        <v>6399</v>
      </c>
      <c r="M329" s="524" t="s">
        <v>188</v>
      </c>
      <c r="N329" s="524"/>
      <c r="O329" s="524"/>
    </row>
    <row r="330" spans="1:15" ht="29" hidden="1">
      <c r="A330" s="527">
        <v>88</v>
      </c>
      <c r="B330" s="524" t="str">
        <f>VLOOKUP(A330,'Hours Detail'!$E$17:$H$1048576,4,)</f>
        <v>No</v>
      </c>
      <c r="C330" s="527" t="s">
        <v>1504</v>
      </c>
      <c r="D330" s="527" t="s">
        <v>3091</v>
      </c>
      <c r="E330" s="527" t="s">
        <v>1504</v>
      </c>
      <c r="F330" s="527" t="s">
        <v>1504</v>
      </c>
      <c r="G330" s="527">
        <v>935</v>
      </c>
      <c r="H330" s="527" t="s">
        <v>3085</v>
      </c>
      <c r="I330" s="527" t="s">
        <v>3088</v>
      </c>
      <c r="J330" s="527" t="s">
        <v>2889</v>
      </c>
      <c r="K330" s="527" t="s">
        <v>2890</v>
      </c>
      <c r="L330" s="527" t="s">
        <v>6371</v>
      </c>
      <c r="M330" s="524"/>
      <c r="N330" s="524"/>
      <c r="O330" s="524"/>
    </row>
    <row r="331" spans="1:15" ht="58" hidden="1">
      <c r="A331" s="524">
        <v>89</v>
      </c>
      <c r="B331" s="524" t="str">
        <f>VLOOKUP(A331,'Hours Detail'!$E$17:$H$1048576,4,)</f>
        <v>No</v>
      </c>
      <c r="C331" s="524" t="s">
        <v>104</v>
      </c>
      <c r="D331" s="524" t="s">
        <v>4306</v>
      </c>
      <c r="E331" s="524" t="s">
        <v>1158</v>
      </c>
      <c r="F331" s="524" t="s">
        <v>1158</v>
      </c>
      <c r="G331" s="524" t="s">
        <v>1158</v>
      </c>
      <c r="H331" s="524" t="s">
        <v>1158</v>
      </c>
      <c r="I331" s="524" t="s">
        <v>6702</v>
      </c>
      <c r="J331" s="524" t="s">
        <v>4306</v>
      </c>
      <c r="K331" s="524"/>
      <c r="L331" s="524" t="s">
        <v>6399</v>
      </c>
      <c r="M331" s="524" t="s">
        <v>6459</v>
      </c>
      <c r="N331" s="524"/>
      <c r="O331" s="524"/>
    </row>
    <row r="332" spans="1:15" ht="116" hidden="1">
      <c r="A332" s="527">
        <v>89</v>
      </c>
      <c r="B332" s="524" t="str">
        <f>VLOOKUP(A332,'Hours Detail'!$E$17:$H$1048576,4,)</f>
        <v>No</v>
      </c>
      <c r="C332" s="527" t="s">
        <v>104</v>
      </c>
      <c r="D332" s="527" t="s">
        <v>1159</v>
      </c>
      <c r="E332" s="527" t="s">
        <v>1156</v>
      </c>
      <c r="F332" s="527" t="s">
        <v>1158</v>
      </c>
      <c r="G332" s="527">
        <v>104</v>
      </c>
      <c r="H332" s="527" t="s">
        <v>23</v>
      </c>
      <c r="I332" s="527" t="s">
        <v>1157</v>
      </c>
      <c r="J332" s="527" t="s">
        <v>2889</v>
      </c>
      <c r="K332" s="527" t="s">
        <v>2890</v>
      </c>
      <c r="L332" s="527" t="s">
        <v>6703</v>
      </c>
      <c r="M332" s="524"/>
      <c r="N332" s="524"/>
      <c r="O332" s="524"/>
    </row>
    <row r="333" spans="1:15" ht="43.5" hidden="1">
      <c r="A333" s="525">
        <v>90</v>
      </c>
      <c r="B333" s="524" t="e">
        <f>VLOOKUP(A333,'Hours Detail'!$E$17:$H$1048576,4,)</f>
        <v>#N/A</v>
      </c>
      <c r="C333" s="524" t="s">
        <v>136</v>
      </c>
      <c r="D333" s="524" t="s">
        <v>758</v>
      </c>
      <c r="E333" s="524" t="s">
        <v>136</v>
      </c>
      <c r="F333" s="524" t="s">
        <v>136</v>
      </c>
      <c r="G333" s="524" t="s">
        <v>136</v>
      </c>
      <c r="H333" s="524" t="s">
        <v>136</v>
      </c>
      <c r="I333" s="524" t="s">
        <v>758</v>
      </c>
      <c r="J333" s="524" t="s">
        <v>758</v>
      </c>
      <c r="K333" s="524"/>
      <c r="L333" s="524" t="s">
        <v>6376</v>
      </c>
      <c r="M333" s="524" t="s">
        <v>6377</v>
      </c>
      <c r="N333" s="524"/>
      <c r="O333" s="524"/>
    </row>
    <row r="334" spans="1:15" ht="29" hidden="1">
      <c r="A334" s="527">
        <v>90</v>
      </c>
      <c r="B334" s="524" t="e">
        <f>VLOOKUP(A334,'Hours Detail'!$E$17:$H$1048576,4,)</f>
        <v>#N/A</v>
      </c>
      <c r="C334" s="527" t="s">
        <v>136</v>
      </c>
      <c r="D334" s="527" t="s">
        <v>12</v>
      </c>
      <c r="E334" s="527" t="s">
        <v>758</v>
      </c>
      <c r="F334" s="527" t="s">
        <v>136</v>
      </c>
      <c r="G334" s="527">
        <v>14</v>
      </c>
      <c r="H334" s="527" t="s">
        <v>12</v>
      </c>
      <c r="I334" s="527" t="s">
        <v>2318</v>
      </c>
      <c r="J334" s="527" t="s">
        <v>2890</v>
      </c>
      <c r="K334" s="527" t="s">
        <v>2890</v>
      </c>
      <c r="L334" s="527" t="s">
        <v>6371</v>
      </c>
      <c r="M334" s="524"/>
      <c r="N334" s="524"/>
      <c r="O334" s="524"/>
    </row>
    <row r="335" spans="1:15" ht="58" hidden="1">
      <c r="A335" s="525">
        <v>91</v>
      </c>
      <c r="B335" s="524" t="e">
        <f>VLOOKUP(A335,'Hours Detail'!$E$17:$H$1048576,4,)</f>
        <v>#N/A</v>
      </c>
      <c r="C335" s="524" t="s">
        <v>195</v>
      </c>
      <c r="D335" s="524" t="s">
        <v>658</v>
      </c>
      <c r="E335" s="524" t="s">
        <v>659</v>
      </c>
      <c r="F335" s="524" t="s">
        <v>659</v>
      </c>
      <c r="G335" s="524" t="s">
        <v>659</v>
      </c>
      <c r="H335" s="524" t="s">
        <v>659</v>
      </c>
      <c r="I335" s="524" t="s">
        <v>658</v>
      </c>
      <c r="J335" s="524" t="s">
        <v>658</v>
      </c>
      <c r="K335" s="524"/>
      <c r="L335" s="524" t="s">
        <v>6399</v>
      </c>
      <c r="M335" s="524" t="s">
        <v>188</v>
      </c>
      <c r="N335" s="524"/>
      <c r="O335" s="524"/>
    </row>
    <row r="336" spans="1:15" ht="43.5" hidden="1">
      <c r="A336" s="527">
        <v>91</v>
      </c>
      <c r="B336" s="524" t="e">
        <f>VLOOKUP(A336,'Hours Detail'!$E$17:$H$1048576,4,)</f>
        <v>#N/A</v>
      </c>
      <c r="C336" s="527" t="s">
        <v>195</v>
      </c>
      <c r="D336" s="527" t="s">
        <v>2171</v>
      </c>
      <c r="E336" s="527" t="s">
        <v>658</v>
      </c>
      <c r="F336" s="527" t="s">
        <v>659</v>
      </c>
      <c r="G336" s="527">
        <v>8</v>
      </c>
      <c r="H336" s="527" t="s">
        <v>188</v>
      </c>
      <c r="I336" s="527" t="s">
        <v>2314</v>
      </c>
      <c r="J336" s="527" t="s">
        <v>2890</v>
      </c>
      <c r="K336" s="527" t="s">
        <v>2889</v>
      </c>
      <c r="L336" s="527" t="s">
        <v>6371</v>
      </c>
      <c r="M336" s="524"/>
      <c r="N336" s="524"/>
      <c r="O336" s="524"/>
    </row>
    <row r="337" spans="1:15" ht="58" hidden="1">
      <c r="A337" s="524">
        <v>92</v>
      </c>
      <c r="B337" s="524" t="str">
        <f>VLOOKUP(A337,'Hours Detail'!$E$17:$H$1048576,4,)</f>
        <v>No</v>
      </c>
      <c r="C337" s="524" t="s">
        <v>103</v>
      </c>
      <c r="D337" s="524" t="s">
        <v>4307</v>
      </c>
      <c r="E337" s="524" t="s">
        <v>1165</v>
      </c>
      <c r="F337" s="524" t="s">
        <v>1165</v>
      </c>
      <c r="G337" s="524" t="s">
        <v>1165</v>
      </c>
      <c r="H337" s="524" t="s">
        <v>1165</v>
      </c>
      <c r="I337" s="524" t="s">
        <v>6704</v>
      </c>
      <c r="J337" s="524" t="s">
        <v>4307</v>
      </c>
      <c r="K337" s="524"/>
      <c r="L337" s="524" t="s">
        <v>6399</v>
      </c>
      <c r="M337" s="524" t="s">
        <v>6459</v>
      </c>
      <c r="N337" s="524"/>
      <c r="O337" s="524"/>
    </row>
    <row r="338" spans="1:15" ht="101.5" hidden="1">
      <c r="A338" s="527">
        <v>92</v>
      </c>
      <c r="B338" s="524" t="str">
        <f>VLOOKUP(A338,'Hours Detail'!$E$17:$H$1048576,4,)</f>
        <v>No</v>
      </c>
      <c r="C338" s="527" t="s">
        <v>103</v>
      </c>
      <c r="D338" s="527" t="s">
        <v>1159</v>
      </c>
      <c r="E338" s="527" t="s">
        <v>1164</v>
      </c>
      <c r="F338" s="527" t="s">
        <v>1165</v>
      </c>
      <c r="G338" s="527">
        <v>104</v>
      </c>
      <c r="H338" s="527" t="s">
        <v>23</v>
      </c>
      <c r="I338" s="527" t="s">
        <v>1157</v>
      </c>
      <c r="J338" s="527" t="s">
        <v>2889</v>
      </c>
      <c r="K338" s="527" t="s">
        <v>2890</v>
      </c>
      <c r="L338" s="527" t="s">
        <v>6705</v>
      </c>
      <c r="M338" s="524"/>
      <c r="N338" s="524"/>
      <c r="O338" s="524"/>
    </row>
    <row r="339" spans="1:15" ht="43.5" hidden="1">
      <c r="A339" s="524">
        <v>93</v>
      </c>
      <c r="B339" s="524" t="e">
        <f>VLOOKUP(A339,'Hours Detail'!$E$17:$H$1048576,4,)</f>
        <v>#N/A</v>
      </c>
      <c r="C339" s="524" t="s">
        <v>129</v>
      </c>
      <c r="D339" s="524" t="s">
        <v>723</v>
      </c>
      <c r="E339" s="524" t="s">
        <v>724</v>
      </c>
      <c r="F339" s="524" t="s">
        <v>724</v>
      </c>
      <c r="G339" s="524" t="s">
        <v>724</v>
      </c>
      <c r="H339" s="524" t="s">
        <v>724</v>
      </c>
      <c r="I339" s="524" t="s">
        <v>723</v>
      </c>
      <c r="J339" s="524" t="s">
        <v>723</v>
      </c>
      <c r="K339" s="524"/>
      <c r="L339" s="524" t="s">
        <v>6399</v>
      </c>
      <c r="M339" s="524" t="s">
        <v>6613</v>
      </c>
      <c r="N339" s="524"/>
      <c r="O339" s="524"/>
    </row>
    <row r="340" spans="1:15" ht="29" hidden="1">
      <c r="A340" s="527">
        <v>94</v>
      </c>
      <c r="B340" s="524" t="e">
        <f>VLOOKUP(A340,'Hours Detail'!$E$17:$H$1048576,4,)</f>
        <v>#N/A</v>
      </c>
      <c r="C340" s="527" t="s">
        <v>434</v>
      </c>
      <c r="D340" s="527" t="s">
        <v>1528</v>
      </c>
      <c r="E340" s="527" t="s">
        <v>1534</v>
      </c>
      <c r="F340" s="527" t="s">
        <v>1535</v>
      </c>
      <c r="G340" s="527">
        <v>511</v>
      </c>
      <c r="H340" s="527" t="s">
        <v>429</v>
      </c>
      <c r="I340" s="527" t="s">
        <v>1526</v>
      </c>
      <c r="J340" s="527" t="s">
        <v>2890</v>
      </c>
      <c r="K340" s="527" t="s">
        <v>2890</v>
      </c>
      <c r="L340" s="527" t="s">
        <v>6371</v>
      </c>
      <c r="M340" s="524"/>
      <c r="N340" s="524"/>
      <c r="O340" s="524"/>
    </row>
    <row r="341" spans="1:15" ht="29" hidden="1">
      <c r="A341" s="525">
        <v>96</v>
      </c>
      <c r="B341" s="524" t="e">
        <f>VLOOKUP(A341,'Hours Detail'!$E$17:$H$1048576,4,)</f>
        <v>#N/A</v>
      </c>
      <c r="C341" s="524" t="s">
        <v>42</v>
      </c>
      <c r="D341" s="524" t="s">
        <v>1009</v>
      </c>
      <c r="E341" s="524" t="s">
        <v>1011</v>
      </c>
      <c r="F341" s="524" t="s">
        <v>1011</v>
      </c>
      <c r="G341" s="524" t="s">
        <v>1011</v>
      </c>
      <c r="H341" s="524" t="s">
        <v>1011</v>
      </c>
      <c r="I341" s="524" t="s">
        <v>6706</v>
      </c>
      <c r="J341" s="524" t="s">
        <v>1009</v>
      </c>
      <c r="K341" s="524"/>
      <c r="L341" s="524" t="s">
        <v>6376</v>
      </c>
      <c r="M341" s="524" t="s">
        <v>6416</v>
      </c>
      <c r="N341" s="524"/>
      <c r="O341" s="524"/>
    </row>
    <row r="342" spans="1:15" ht="29" hidden="1">
      <c r="A342" s="527">
        <v>96</v>
      </c>
      <c r="B342" s="524" t="e">
        <f>VLOOKUP(A342,'Hours Detail'!$E$17:$H$1048576,4,)</f>
        <v>#N/A</v>
      </c>
      <c r="C342" s="527" t="s">
        <v>42</v>
      </c>
      <c r="D342" s="527" t="s">
        <v>1528</v>
      </c>
      <c r="E342" s="527" t="s">
        <v>1009</v>
      </c>
      <c r="F342" s="527" t="s">
        <v>1011</v>
      </c>
      <c r="G342" s="527">
        <v>511</v>
      </c>
      <c r="H342" s="527" t="s">
        <v>429</v>
      </c>
      <c r="I342" s="527" t="s">
        <v>1526</v>
      </c>
      <c r="J342" s="527" t="s">
        <v>2890</v>
      </c>
      <c r="K342" s="527" t="s">
        <v>2890</v>
      </c>
      <c r="L342" s="527" t="s">
        <v>6371</v>
      </c>
      <c r="M342" s="524"/>
      <c r="N342" s="524"/>
      <c r="O342" s="524"/>
    </row>
    <row r="343" spans="1:15" ht="43.5" hidden="1">
      <c r="A343" s="525">
        <v>97</v>
      </c>
      <c r="B343" s="524" t="e">
        <f>VLOOKUP(A343,'Hours Detail'!$E$17:$H$1048576,4,)</f>
        <v>#N/A</v>
      </c>
      <c r="C343" s="524" t="s">
        <v>433</v>
      </c>
      <c r="D343" s="524" t="s">
        <v>1536</v>
      </c>
      <c r="E343" s="524" t="s">
        <v>433</v>
      </c>
      <c r="F343" s="524" t="s">
        <v>433</v>
      </c>
      <c r="G343" s="524" t="s">
        <v>433</v>
      </c>
      <c r="H343" s="524" t="s">
        <v>433</v>
      </c>
      <c r="I343" s="524" t="s">
        <v>1536</v>
      </c>
      <c r="J343" s="524" t="s">
        <v>1536</v>
      </c>
      <c r="K343" s="524"/>
      <c r="L343" s="524" t="s">
        <v>6379</v>
      </c>
      <c r="M343" s="524" t="s">
        <v>6380</v>
      </c>
      <c r="N343" s="524"/>
      <c r="O343" s="524"/>
    </row>
    <row r="344" spans="1:15" ht="29" hidden="1">
      <c r="A344" s="527">
        <v>97</v>
      </c>
      <c r="B344" s="524" t="e">
        <f>VLOOKUP(A344,'Hours Detail'!$E$17:$H$1048576,4,)</f>
        <v>#N/A</v>
      </c>
      <c r="C344" s="527" t="s">
        <v>433</v>
      </c>
      <c r="D344" s="527" t="s">
        <v>1528</v>
      </c>
      <c r="E344" s="527" t="s">
        <v>1536</v>
      </c>
      <c r="F344" s="527" t="s">
        <v>433</v>
      </c>
      <c r="G344" s="527">
        <v>511</v>
      </c>
      <c r="H344" s="527" t="s">
        <v>429</v>
      </c>
      <c r="I344" s="527" t="s">
        <v>1526</v>
      </c>
      <c r="J344" s="527" t="s">
        <v>2890</v>
      </c>
      <c r="K344" s="527" t="s">
        <v>2890</v>
      </c>
      <c r="L344" s="527" t="s">
        <v>6371</v>
      </c>
      <c r="M344" s="524"/>
      <c r="N344" s="524"/>
      <c r="O344" s="524"/>
    </row>
    <row r="345" spans="1:15" ht="29" hidden="1">
      <c r="A345" s="524">
        <v>100</v>
      </c>
      <c r="B345" s="524" t="str">
        <f>VLOOKUP(A345,'Hours Detail'!$E$17:$H$1048576,4,)</f>
        <v>No</v>
      </c>
      <c r="C345" s="524" t="s">
        <v>172</v>
      </c>
      <c r="D345" s="524" t="s">
        <v>471</v>
      </c>
      <c r="E345" s="524" t="s">
        <v>472</v>
      </c>
      <c r="F345" s="524" t="s">
        <v>472</v>
      </c>
      <c r="G345" s="524" t="s">
        <v>472</v>
      </c>
      <c r="H345" s="524" t="s">
        <v>472</v>
      </c>
      <c r="I345" s="524" t="s">
        <v>6707</v>
      </c>
      <c r="J345" s="524" t="s">
        <v>471</v>
      </c>
      <c r="K345" s="524" t="s">
        <v>6359</v>
      </c>
      <c r="L345" s="524" t="s">
        <v>6381</v>
      </c>
      <c r="M345" s="524" t="s">
        <v>442</v>
      </c>
      <c r="N345" s="524"/>
      <c r="O345" s="524"/>
    </row>
    <row r="346" spans="1:15" ht="116" hidden="1">
      <c r="A346" s="527">
        <v>100</v>
      </c>
      <c r="B346" s="524" t="str">
        <f>VLOOKUP(A346,'Hours Detail'!$E$17:$H$1048576,4,)</f>
        <v>No</v>
      </c>
      <c r="C346" s="527" t="s">
        <v>172</v>
      </c>
      <c r="D346" s="527" t="s">
        <v>470</v>
      </c>
      <c r="E346" s="527" t="s">
        <v>471</v>
      </c>
      <c r="F346" s="527" t="s">
        <v>472</v>
      </c>
      <c r="G346" s="527">
        <v>3</v>
      </c>
      <c r="H346" s="527" t="s">
        <v>149</v>
      </c>
      <c r="I346" s="527" t="s">
        <v>468</v>
      </c>
      <c r="J346" s="527" t="s">
        <v>2889</v>
      </c>
      <c r="K346" s="527" t="s">
        <v>2889</v>
      </c>
      <c r="L346" s="527" t="s">
        <v>6708</v>
      </c>
      <c r="M346" s="524"/>
      <c r="N346" s="524"/>
      <c r="O346" s="524"/>
    </row>
    <row r="347" spans="1:15" ht="72.5" hidden="1">
      <c r="A347" s="525">
        <v>101</v>
      </c>
      <c r="B347" s="524" t="e">
        <f>VLOOKUP(A347,'Hours Detail'!$E$17:$H$1048576,4,)</f>
        <v>#N/A</v>
      </c>
      <c r="C347" s="524" t="s">
        <v>369</v>
      </c>
      <c r="D347" s="524" t="s">
        <v>1219</v>
      </c>
      <c r="E347" s="524" t="s">
        <v>1220</v>
      </c>
      <c r="F347" s="524" t="s">
        <v>1220</v>
      </c>
      <c r="G347" s="524" t="s">
        <v>1220</v>
      </c>
      <c r="H347" s="524" t="s">
        <v>1220</v>
      </c>
      <c r="I347" s="524" t="s">
        <v>6709</v>
      </c>
      <c r="J347" s="524" t="s">
        <v>1219</v>
      </c>
      <c r="K347" s="524" t="s">
        <v>6359</v>
      </c>
      <c r="L347" s="524" t="s">
        <v>6381</v>
      </c>
      <c r="M347" s="524" t="s">
        <v>442</v>
      </c>
      <c r="N347" s="524"/>
      <c r="O347" s="524"/>
    </row>
    <row r="348" spans="1:15" ht="116" hidden="1">
      <c r="A348" s="527">
        <v>101</v>
      </c>
      <c r="B348" s="524" t="e">
        <f>VLOOKUP(A348,'Hours Detail'!$E$17:$H$1048576,4,)</f>
        <v>#N/A</v>
      </c>
      <c r="C348" s="527" t="s">
        <v>369</v>
      </c>
      <c r="D348" s="527" t="s">
        <v>4703</v>
      </c>
      <c r="E348" s="527" t="s">
        <v>1219</v>
      </c>
      <c r="F348" s="527" t="s">
        <v>1220</v>
      </c>
      <c r="G348" s="527">
        <v>283</v>
      </c>
      <c r="H348" s="527" t="s">
        <v>4705</v>
      </c>
      <c r="I348" s="527" t="s">
        <v>4704</v>
      </c>
      <c r="J348" s="527" t="s">
        <v>2890</v>
      </c>
      <c r="K348" s="527" t="s">
        <v>2889</v>
      </c>
      <c r="L348" s="527" t="s">
        <v>6710</v>
      </c>
      <c r="M348" s="524"/>
      <c r="N348" s="524"/>
      <c r="O348" s="524"/>
    </row>
    <row r="349" spans="1:15" ht="43.5" hidden="1">
      <c r="A349" s="525">
        <v>103</v>
      </c>
      <c r="B349" s="524" t="e">
        <f>VLOOKUP(A349,'Hours Detail'!$E$17:$H$1048576,4,)</f>
        <v>#N/A</v>
      </c>
      <c r="C349" s="524" t="s">
        <v>87</v>
      </c>
      <c r="D349" s="524" t="s">
        <v>731</v>
      </c>
      <c r="E349" s="524" t="s">
        <v>732</v>
      </c>
      <c r="F349" s="524" t="s">
        <v>732</v>
      </c>
      <c r="G349" s="524" t="s">
        <v>732</v>
      </c>
      <c r="H349" s="524" t="s">
        <v>732</v>
      </c>
      <c r="I349" s="524" t="s">
        <v>731</v>
      </c>
      <c r="J349" s="524" t="s">
        <v>731</v>
      </c>
      <c r="K349" s="524"/>
      <c r="L349" s="524" t="s">
        <v>6386</v>
      </c>
      <c r="M349" s="524" t="s">
        <v>6435</v>
      </c>
      <c r="N349" s="524" t="s">
        <v>6711</v>
      </c>
      <c r="O349" s="524"/>
    </row>
    <row r="350" spans="1:15" ht="29" hidden="1">
      <c r="A350" s="527">
        <v>103</v>
      </c>
      <c r="B350" s="524" t="e">
        <f>VLOOKUP(A350,'Hours Detail'!$E$17:$H$1048576,4,)</f>
        <v>#N/A</v>
      </c>
      <c r="C350" s="527" t="s">
        <v>87</v>
      </c>
      <c r="D350" s="527" t="s">
        <v>728</v>
      </c>
      <c r="E350" s="527" t="s">
        <v>731</v>
      </c>
      <c r="F350" s="527" t="s">
        <v>732</v>
      </c>
      <c r="G350" s="527">
        <v>12</v>
      </c>
      <c r="H350" s="527" t="s">
        <v>4</v>
      </c>
      <c r="I350" s="527" t="s">
        <v>726</v>
      </c>
      <c r="J350" s="527" t="s">
        <v>2890</v>
      </c>
      <c r="K350" s="527" t="s">
        <v>2890</v>
      </c>
      <c r="L350" s="527" t="s">
        <v>6712</v>
      </c>
      <c r="M350" s="524"/>
      <c r="N350" s="524"/>
      <c r="O350" s="524"/>
    </row>
    <row r="351" spans="1:15" ht="43.5" hidden="1">
      <c r="A351" s="525">
        <v>104</v>
      </c>
      <c r="B351" s="524" t="e">
        <f>VLOOKUP(A351,'Hours Detail'!$E$17:$H$1048576,4,)</f>
        <v>#N/A</v>
      </c>
      <c r="C351" s="524" t="s">
        <v>86</v>
      </c>
      <c r="D351" s="524" t="s">
        <v>733</v>
      </c>
      <c r="E351" s="524" t="s">
        <v>734</v>
      </c>
      <c r="F351" s="524" t="s">
        <v>734</v>
      </c>
      <c r="G351" s="524" t="s">
        <v>734</v>
      </c>
      <c r="H351" s="524" t="s">
        <v>734</v>
      </c>
      <c r="I351" s="524" t="s">
        <v>733</v>
      </c>
      <c r="J351" s="524" t="s">
        <v>733</v>
      </c>
      <c r="K351" s="524"/>
      <c r="L351" s="524" t="s">
        <v>6386</v>
      </c>
      <c r="M351" s="524" t="s">
        <v>6435</v>
      </c>
      <c r="N351" s="524" t="s">
        <v>6713</v>
      </c>
      <c r="O351" s="524"/>
    </row>
    <row r="352" spans="1:15" ht="43.5" hidden="1">
      <c r="A352" s="527">
        <v>104</v>
      </c>
      <c r="B352" s="524" t="e">
        <f>VLOOKUP(A352,'Hours Detail'!$E$17:$H$1048576,4,)</f>
        <v>#N/A</v>
      </c>
      <c r="C352" s="527" t="s">
        <v>86</v>
      </c>
      <c r="D352" s="527" t="s">
        <v>728</v>
      </c>
      <c r="E352" s="527" t="s">
        <v>733</v>
      </c>
      <c r="F352" s="527" t="s">
        <v>734</v>
      </c>
      <c r="G352" s="527">
        <v>12</v>
      </c>
      <c r="H352" s="527" t="s">
        <v>4</v>
      </c>
      <c r="I352" s="527" t="s">
        <v>726</v>
      </c>
      <c r="J352" s="527" t="s">
        <v>2890</v>
      </c>
      <c r="K352" s="527" t="s">
        <v>2890</v>
      </c>
      <c r="L352" s="527" t="s">
        <v>6712</v>
      </c>
      <c r="M352" s="524"/>
      <c r="N352" s="524"/>
      <c r="O352" s="524"/>
    </row>
    <row r="353" spans="1:15" ht="72.5" hidden="1">
      <c r="A353" s="525">
        <v>105</v>
      </c>
      <c r="B353" s="524" t="e">
        <f>VLOOKUP(A353,'Hours Detail'!$E$17:$H$1048576,4,)</f>
        <v>#N/A</v>
      </c>
      <c r="C353" s="524" t="s">
        <v>85</v>
      </c>
      <c r="D353" s="524" t="s">
        <v>735</v>
      </c>
      <c r="E353" s="524" t="s">
        <v>736</v>
      </c>
      <c r="F353" s="524" t="s">
        <v>736</v>
      </c>
      <c r="G353" s="524" t="s">
        <v>736</v>
      </c>
      <c r="H353" s="524" t="s">
        <v>736</v>
      </c>
      <c r="I353" s="524" t="s">
        <v>735</v>
      </c>
      <c r="J353" s="524" t="s">
        <v>735</v>
      </c>
      <c r="K353" s="524"/>
      <c r="L353" s="524" t="s">
        <v>6386</v>
      </c>
      <c r="M353" s="524" t="s">
        <v>6435</v>
      </c>
      <c r="N353" s="524" t="s">
        <v>6714</v>
      </c>
      <c r="O353" s="524"/>
    </row>
    <row r="354" spans="1:15" ht="29" hidden="1">
      <c r="A354" s="527">
        <v>105</v>
      </c>
      <c r="B354" s="524" t="e">
        <f>VLOOKUP(A354,'Hours Detail'!$E$17:$H$1048576,4,)</f>
        <v>#N/A</v>
      </c>
      <c r="C354" s="527" t="s">
        <v>85</v>
      </c>
      <c r="D354" s="527" t="s">
        <v>728</v>
      </c>
      <c r="E354" s="527" t="s">
        <v>735</v>
      </c>
      <c r="F354" s="527" t="s">
        <v>736</v>
      </c>
      <c r="G354" s="527">
        <v>12</v>
      </c>
      <c r="H354" s="527" t="s">
        <v>4</v>
      </c>
      <c r="I354" s="527" t="s">
        <v>726</v>
      </c>
      <c r="J354" s="527" t="s">
        <v>2890</v>
      </c>
      <c r="K354" s="527" t="s">
        <v>2890</v>
      </c>
      <c r="L354" s="527" t="s">
        <v>6712</v>
      </c>
      <c r="M354" s="524"/>
      <c r="N354" s="524"/>
      <c r="O354" s="524"/>
    </row>
    <row r="355" spans="1:15" ht="72.5" hidden="1">
      <c r="A355" s="525">
        <v>106</v>
      </c>
      <c r="B355" s="524" t="str">
        <f>VLOOKUP(A355,'Hours Detail'!$E$17:$H$1048576,4,)</f>
        <v>No</v>
      </c>
      <c r="C355" s="524" t="s">
        <v>29</v>
      </c>
      <c r="D355" s="524" t="s">
        <v>550</v>
      </c>
      <c r="E355" s="524" t="s">
        <v>551</v>
      </c>
      <c r="F355" s="524" t="s">
        <v>551</v>
      </c>
      <c r="G355" s="524" t="s">
        <v>551</v>
      </c>
      <c r="H355" s="524" t="s">
        <v>6715</v>
      </c>
      <c r="I355" s="524" t="s">
        <v>6716</v>
      </c>
      <c r="J355" s="524" t="s">
        <v>550</v>
      </c>
      <c r="K355" s="524" t="s">
        <v>6359</v>
      </c>
      <c r="L355" s="524" t="s">
        <v>6399</v>
      </c>
      <c r="M355" s="524" t="s">
        <v>6437</v>
      </c>
      <c r="N355" s="524" t="s">
        <v>6717</v>
      </c>
      <c r="O355" s="524"/>
    </row>
    <row r="356" spans="1:15" ht="116" hidden="1">
      <c r="A356" s="527">
        <v>106</v>
      </c>
      <c r="B356" s="524" t="str">
        <f>VLOOKUP(A356,'Hours Detail'!$E$17:$H$1048576,4,)</f>
        <v>No</v>
      </c>
      <c r="C356" s="527" t="s">
        <v>29</v>
      </c>
      <c r="D356" s="527" t="s">
        <v>2170</v>
      </c>
      <c r="E356" s="527" t="s">
        <v>550</v>
      </c>
      <c r="F356" s="527" t="s">
        <v>551</v>
      </c>
      <c r="G356" s="527">
        <v>5</v>
      </c>
      <c r="H356" s="527" t="s">
        <v>177</v>
      </c>
      <c r="I356" s="527" t="s">
        <v>2310</v>
      </c>
      <c r="J356" s="527" t="s">
        <v>2889</v>
      </c>
      <c r="K356" s="527" t="s">
        <v>2889</v>
      </c>
      <c r="L356" s="527" t="s">
        <v>6718</v>
      </c>
      <c r="M356" s="524"/>
      <c r="N356" s="524"/>
      <c r="O356" s="524"/>
    </row>
    <row r="357" spans="1:15" ht="87">
      <c r="A357" s="525">
        <v>107</v>
      </c>
      <c r="B357" s="524" t="str">
        <f>VLOOKUP(A357,'Hours Detail'!$E$17:$H$1048576,4,)</f>
        <v>No</v>
      </c>
      <c r="C357" s="524" t="s">
        <v>4558</v>
      </c>
      <c r="D357" s="524" t="s">
        <v>4557</v>
      </c>
      <c r="E357" s="524" t="s">
        <v>6719</v>
      </c>
      <c r="F357" s="524" t="s">
        <v>6719</v>
      </c>
      <c r="G357" s="524" t="s">
        <v>6719</v>
      </c>
      <c r="H357" s="524" t="s">
        <v>6719</v>
      </c>
      <c r="I357" s="524" t="s">
        <v>6720</v>
      </c>
      <c r="J357" s="524" t="s">
        <v>4557</v>
      </c>
      <c r="K357" s="524"/>
      <c r="L357" s="524" t="s">
        <v>6590</v>
      </c>
      <c r="M357" s="524" t="s">
        <v>5878</v>
      </c>
      <c r="N357" s="524" t="s">
        <v>6721</v>
      </c>
      <c r="O357" s="524"/>
    </row>
    <row r="358" spans="1:15" ht="43.5" hidden="1">
      <c r="A358" s="524">
        <v>108</v>
      </c>
      <c r="B358" s="524" t="e">
        <f>VLOOKUP(A358,'Hours Detail'!$E$17:$H$1048576,4,)</f>
        <v>#N/A</v>
      </c>
      <c r="C358" s="524" t="s">
        <v>1709</v>
      </c>
      <c r="D358" s="524" t="s">
        <v>1710</v>
      </c>
      <c r="E358" s="524" t="s">
        <v>1711</v>
      </c>
      <c r="F358" s="524" t="s">
        <v>1711</v>
      </c>
      <c r="G358" s="524" t="s">
        <v>1711</v>
      </c>
      <c r="H358" s="524" t="s">
        <v>1711</v>
      </c>
      <c r="I358" s="524" t="s">
        <v>6722</v>
      </c>
      <c r="J358" s="524" t="s">
        <v>1710</v>
      </c>
      <c r="K358" s="524" t="s">
        <v>6359</v>
      </c>
      <c r="L358" s="524" t="s">
        <v>6414</v>
      </c>
      <c r="M358" s="524" t="s">
        <v>6415</v>
      </c>
      <c r="N358" s="524"/>
      <c r="O358" s="524"/>
    </row>
    <row r="359" spans="1:15" ht="58" hidden="1">
      <c r="A359" s="527">
        <v>108</v>
      </c>
      <c r="B359" s="524" t="e">
        <f>VLOOKUP(A359,'Hours Detail'!$E$17:$H$1048576,4,)</f>
        <v>#N/A</v>
      </c>
      <c r="C359" s="527" t="s">
        <v>1709</v>
      </c>
      <c r="D359" s="527" t="s">
        <v>4703</v>
      </c>
      <c r="E359" s="527" t="s">
        <v>1710</v>
      </c>
      <c r="F359" s="527" t="s">
        <v>1711</v>
      </c>
      <c r="G359" s="527">
        <v>283</v>
      </c>
      <c r="H359" s="527" t="s">
        <v>4705</v>
      </c>
      <c r="I359" s="527" t="s">
        <v>4704</v>
      </c>
      <c r="J359" s="527" t="s">
        <v>2890</v>
      </c>
      <c r="K359" s="527" t="s">
        <v>2890</v>
      </c>
      <c r="L359" s="527" t="s">
        <v>6723</v>
      </c>
      <c r="M359" s="524"/>
      <c r="N359" s="524"/>
      <c r="O359" s="524"/>
    </row>
    <row r="360" spans="1:15" ht="58" hidden="1">
      <c r="A360" s="525">
        <v>109</v>
      </c>
      <c r="B360" s="524" t="str">
        <f>VLOOKUP(A360,'Hours Detail'!$E$17:$H$1048576,4,)</f>
        <v>No</v>
      </c>
      <c r="C360" s="524" t="s">
        <v>108</v>
      </c>
      <c r="D360" s="524" t="s">
        <v>1129</v>
      </c>
      <c r="E360" s="524" t="s">
        <v>1130</v>
      </c>
      <c r="F360" s="524" t="s">
        <v>1130</v>
      </c>
      <c r="G360" s="524" t="s">
        <v>1130</v>
      </c>
      <c r="H360" s="524" t="s">
        <v>1130</v>
      </c>
      <c r="I360" s="524" t="s">
        <v>6724</v>
      </c>
      <c r="J360" s="524" t="s">
        <v>1129</v>
      </c>
      <c r="K360" s="524" t="s">
        <v>6359</v>
      </c>
      <c r="L360" s="524" t="s">
        <v>6381</v>
      </c>
      <c r="M360" s="524" t="s">
        <v>522</v>
      </c>
      <c r="N360" s="524" t="s">
        <v>6725</v>
      </c>
      <c r="O360" s="524"/>
    </row>
    <row r="361" spans="1:15" ht="145" hidden="1">
      <c r="A361" s="527">
        <v>109</v>
      </c>
      <c r="B361" s="524" t="str">
        <f>VLOOKUP(A361,'Hours Detail'!$E$17:$H$1048576,4,)</f>
        <v>No</v>
      </c>
      <c r="C361" s="527" t="s">
        <v>108</v>
      </c>
      <c r="D361" s="527" t="s">
        <v>2167</v>
      </c>
      <c r="E361" s="527" t="s">
        <v>1129</v>
      </c>
      <c r="F361" s="527" t="s">
        <v>1130</v>
      </c>
      <c r="G361" s="527">
        <v>99</v>
      </c>
      <c r="H361" s="527" t="s">
        <v>5</v>
      </c>
      <c r="I361" s="527" t="s">
        <v>2305</v>
      </c>
      <c r="J361" s="527" t="s">
        <v>2889</v>
      </c>
      <c r="K361" s="527" t="s">
        <v>2889</v>
      </c>
      <c r="L361" s="527" t="s">
        <v>6726</v>
      </c>
      <c r="M361" s="524"/>
      <c r="N361" s="524"/>
      <c r="O361" s="524"/>
    </row>
    <row r="362" spans="1:15" ht="43.5">
      <c r="A362" s="525">
        <v>110</v>
      </c>
      <c r="B362" s="524" t="str">
        <f>VLOOKUP(A362,'Hours Detail'!$E$17:$H$1048576,4,)</f>
        <v>No</v>
      </c>
      <c r="C362" s="524" t="s">
        <v>4436</v>
      </c>
      <c r="D362" s="524" t="s">
        <v>4437</v>
      </c>
      <c r="E362" s="524" t="s">
        <v>4436</v>
      </c>
      <c r="F362" s="524" t="s">
        <v>4436</v>
      </c>
      <c r="G362" s="524" t="s">
        <v>4436</v>
      </c>
      <c r="H362" s="524" t="s">
        <v>4436</v>
      </c>
      <c r="I362" s="524" t="s">
        <v>4437</v>
      </c>
      <c r="J362" s="524" t="s">
        <v>4437</v>
      </c>
      <c r="K362" s="524"/>
      <c r="L362" s="524" t="s">
        <v>6590</v>
      </c>
      <c r="M362" s="524" t="s">
        <v>6727</v>
      </c>
      <c r="N362" s="524" t="s">
        <v>6728</v>
      </c>
      <c r="O362" s="524"/>
    </row>
    <row r="363" spans="1:15" ht="43.5" hidden="1">
      <c r="A363" s="524">
        <v>114</v>
      </c>
      <c r="B363" s="524" t="e">
        <f>VLOOKUP(A363,'Hours Detail'!$E$17:$H$1048576,4,)</f>
        <v>#N/A</v>
      </c>
      <c r="C363" s="524" t="s">
        <v>5282</v>
      </c>
      <c r="D363" s="524" t="s">
        <v>1707</v>
      </c>
      <c r="E363" s="524" t="s">
        <v>4270</v>
      </c>
      <c r="F363" s="524" t="s">
        <v>4270</v>
      </c>
      <c r="G363" s="524" t="s">
        <v>4270</v>
      </c>
      <c r="H363" s="524" t="s">
        <v>4270</v>
      </c>
      <c r="I363" s="524" t="s">
        <v>6729</v>
      </c>
      <c r="J363" s="524" t="s">
        <v>1707</v>
      </c>
      <c r="K363" s="524" t="s">
        <v>6359</v>
      </c>
      <c r="L363" s="524" t="s">
        <v>6381</v>
      </c>
      <c r="M363" s="524" t="s">
        <v>522</v>
      </c>
      <c r="N363" s="524"/>
      <c r="O363" s="524"/>
    </row>
    <row r="364" spans="1:15" ht="87" hidden="1">
      <c r="A364" s="527">
        <v>114</v>
      </c>
      <c r="B364" s="524" t="e">
        <f>VLOOKUP(A364,'Hours Detail'!$E$17:$H$1048576,4,)</f>
        <v>#N/A</v>
      </c>
      <c r="C364" s="527" t="s">
        <v>1706</v>
      </c>
      <c r="D364" s="527" t="s">
        <v>4703</v>
      </c>
      <c r="E364" s="527" t="s">
        <v>1707</v>
      </c>
      <c r="F364" s="527" t="s">
        <v>1708</v>
      </c>
      <c r="G364" s="527">
        <v>283</v>
      </c>
      <c r="H364" s="527" t="s">
        <v>4705</v>
      </c>
      <c r="I364" s="527" t="s">
        <v>4704</v>
      </c>
      <c r="J364" s="527" t="s">
        <v>2890</v>
      </c>
      <c r="K364" s="527" t="s">
        <v>2890</v>
      </c>
      <c r="L364" s="527" t="s">
        <v>6730</v>
      </c>
      <c r="M364" s="524"/>
      <c r="N364" s="524"/>
      <c r="O364" s="524"/>
    </row>
    <row r="365" spans="1:15" ht="43.5" hidden="1">
      <c r="A365" s="524">
        <v>115</v>
      </c>
      <c r="B365" s="524" t="e">
        <f>VLOOKUP(A365,'Hours Detail'!$E$17:$H$1048576,4,)</f>
        <v>#N/A</v>
      </c>
      <c r="C365" s="524" t="s">
        <v>5281</v>
      </c>
      <c r="D365" s="524" t="s">
        <v>5280</v>
      </c>
      <c r="E365" s="524" t="s">
        <v>5279</v>
      </c>
      <c r="F365" s="524" t="s">
        <v>5279</v>
      </c>
      <c r="G365" s="524" t="s">
        <v>5279</v>
      </c>
      <c r="H365" s="524" t="s">
        <v>5279</v>
      </c>
      <c r="I365" s="524" t="s">
        <v>6731</v>
      </c>
      <c r="J365" s="524" t="s">
        <v>5280</v>
      </c>
      <c r="K365" s="524" t="s">
        <v>6359</v>
      </c>
      <c r="L365" s="524" t="s">
        <v>6381</v>
      </c>
      <c r="M365" s="524" t="s">
        <v>442</v>
      </c>
      <c r="N365" s="524"/>
      <c r="O365" s="524"/>
    </row>
    <row r="366" spans="1:15" ht="72.5" hidden="1">
      <c r="A366" s="527">
        <v>115</v>
      </c>
      <c r="B366" s="524" t="e">
        <f>VLOOKUP(A366,'Hours Detail'!$E$17:$H$1048576,4,)</f>
        <v>#N/A</v>
      </c>
      <c r="C366" s="527" t="s">
        <v>1703</v>
      </c>
      <c r="D366" s="527" t="s">
        <v>4703</v>
      </c>
      <c r="E366" s="527" t="s">
        <v>1704</v>
      </c>
      <c r="F366" s="527" t="s">
        <v>1705</v>
      </c>
      <c r="G366" s="527">
        <v>283</v>
      </c>
      <c r="H366" s="527" t="s">
        <v>4705</v>
      </c>
      <c r="I366" s="527" t="s">
        <v>4704</v>
      </c>
      <c r="J366" s="527" t="s">
        <v>2890</v>
      </c>
      <c r="K366" s="527" t="s">
        <v>2890</v>
      </c>
      <c r="L366" s="527" t="s">
        <v>6732</v>
      </c>
      <c r="M366" s="524"/>
      <c r="N366" s="524"/>
      <c r="O366" s="524"/>
    </row>
    <row r="367" spans="1:15" ht="43.5" hidden="1">
      <c r="A367" s="525">
        <v>116</v>
      </c>
      <c r="B367" s="524" t="e">
        <f>VLOOKUP(A367,'Hours Detail'!$E$17:$H$1048576,4,)</f>
        <v>#N/A</v>
      </c>
      <c r="C367" s="524" t="s">
        <v>194</v>
      </c>
      <c r="D367" s="524" t="s">
        <v>671</v>
      </c>
      <c r="E367" s="524" t="s">
        <v>672</v>
      </c>
      <c r="F367" s="524" t="s">
        <v>672</v>
      </c>
      <c r="G367" s="524" t="s">
        <v>672</v>
      </c>
      <c r="H367" s="524" t="s">
        <v>672</v>
      </c>
      <c r="I367" s="524" t="s">
        <v>671</v>
      </c>
      <c r="J367" s="524" t="s">
        <v>671</v>
      </c>
      <c r="K367" s="524"/>
      <c r="L367" s="524" t="s">
        <v>6399</v>
      </c>
      <c r="M367" s="524" t="s">
        <v>188</v>
      </c>
      <c r="N367" s="524" t="s">
        <v>6733</v>
      </c>
      <c r="O367" s="524"/>
    </row>
    <row r="368" spans="1:15" ht="29" hidden="1">
      <c r="A368" s="527">
        <v>116</v>
      </c>
      <c r="B368" s="524" t="e">
        <f>VLOOKUP(A368,'Hours Detail'!$E$17:$H$1048576,4,)</f>
        <v>#N/A</v>
      </c>
      <c r="C368" s="527" t="s">
        <v>194</v>
      </c>
      <c r="D368" s="527" t="s">
        <v>2171</v>
      </c>
      <c r="E368" s="527" t="s">
        <v>671</v>
      </c>
      <c r="F368" s="527" t="s">
        <v>672</v>
      </c>
      <c r="G368" s="527">
        <v>8</v>
      </c>
      <c r="H368" s="527" t="s">
        <v>188</v>
      </c>
      <c r="I368" s="527" t="s">
        <v>2314</v>
      </c>
      <c r="J368" s="527" t="s">
        <v>2890</v>
      </c>
      <c r="K368" s="527" t="s">
        <v>2890</v>
      </c>
      <c r="L368" s="527" t="s">
        <v>6371</v>
      </c>
      <c r="M368" s="524"/>
      <c r="N368" s="524"/>
      <c r="O368" s="524"/>
    </row>
    <row r="369" spans="1:15" ht="58" hidden="1">
      <c r="A369" s="524">
        <v>117</v>
      </c>
      <c r="B369" s="524" t="e">
        <f>VLOOKUP(A369,'Hours Detail'!$E$17:$H$1048576,4,)</f>
        <v>#N/A</v>
      </c>
      <c r="C369" s="524" t="s">
        <v>5278</v>
      </c>
      <c r="D369" s="524" t="s">
        <v>1701</v>
      </c>
      <c r="E369" s="524" t="s">
        <v>4216</v>
      </c>
      <c r="F369" s="524" t="s">
        <v>4216</v>
      </c>
      <c r="G369" s="524" t="s">
        <v>4216</v>
      </c>
      <c r="H369" s="524" t="s">
        <v>4216</v>
      </c>
      <c r="I369" s="524" t="s">
        <v>6734</v>
      </c>
      <c r="J369" s="524" t="s">
        <v>1701</v>
      </c>
      <c r="K369" s="524" t="s">
        <v>6359</v>
      </c>
      <c r="L369" s="524" t="s">
        <v>6381</v>
      </c>
      <c r="M369" s="524" t="s">
        <v>2313</v>
      </c>
      <c r="N369" s="524"/>
      <c r="O369" s="524"/>
    </row>
    <row r="370" spans="1:15" ht="58" hidden="1">
      <c r="A370" s="527">
        <v>117</v>
      </c>
      <c r="B370" s="524" t="e">
        <f>VLOOKUP(A370,'Hours Detail'!$E$17:$H$1048576,4,)</f>
        <v>#N/A</v>
      </c>
      <c r="C370" s="527" t="s">
        <v>1700</v>
      </c>
      <c r="D370" s="527" t="s">
        <v>4703</v>
      </c>
      <c r="E370" s="527" t="s">
        <v>1701</v>
      </c>
      <c r="F370" s="527" t="s">
        <v>1702</v>
      </c>
      <c r="G370" s="527">
        <v>283</v>
      </c>
      <c r="H370" s="527" t="s">
        <v>4705</v>
      </c>
      <c r="I370" s="527" t="s">
        <v>4704</v>
      </c>
      <c r="J370" s="527" t="s">
        <v>2890</v>
      </c>
      <c r="K370" s="527" t="s">
        <v>2890</v>
      </c>
      <c r="L370" s="527" t="s">
        <v>6735</v>
      </c>
      <c r="M370" s="524"/>
      <c r="N370" s="524"/>
      <c r="O370" s="524"/>
    </row>
    <row r="371" spans="1:15" ht="72.5" hidden="1">
      <c r="A371" s="524">
        <v>118</v>
      </c>
      <c r="B371" s="524" t="e">
        <f>VLOOKUP(A371,'Hours Detail'!$E$17:$H$1048576,4,)</f>
        <v>#N/A</v>
      </c>
      <c r="C371" s="524" t="s">
        <v>1697</v>
      </c>
      <c r="D371" s="524" t="s">
        <v>1698</v>
      </c>
      <c r="E371" s="524" t="s">
        <v>1699</v>
      </c>
      <c r="F371" s="524" t="s">
        <v>1699</v>
      </c>
      <c r="G371" s="524" t="s">
        <v>1699</v>
      </c>
      <c r="H371" s="524" t="s">
        <v>1699</v>
      </c>
      <c r="I371" s="524" t="s">
        <v>6736</v>
      </c>
      <c r="J371" s="524" t="s">
        <v>1698</v>
      </c>
      <c r="K371" s="524" t="s">
        <v>6359</v>
      </c>
      <c r="L371" s="524" t="s">
        <v>6381</v>
      </c>
      <c r="M371" s="524" t="s">
        <v>522</v>
      </c>
      <c r="N371" s="524"/>
      <c r="O371" s="524"/>
    </row>
    <row r="372" spans="1:15" ht="87" hidden="1">
      <c r="A372" s="527">
        <v>118</v>
      </c>
      <c r="B372" s="524" t="e">
        <f>VLOOKUP(A372,'Hours Detail'!$E$17:$H$1048576,4,)</f>
        <v>#N/A</v>
      </c>
      <c r="C372" s="527" t="s">
        <v>1697</v>
      </c>
      <c r="D372" s="527" t="s">
        <v>4703</v>
      </c>
      <c r="E372" s="527" t="s">
        <v>1698</v>
      </c>
      <c r="F372" s="527" t="s">
        <v>1699</v>
      </c>
      <c r="G372" s="527">
        <v>283</v>
      </c>
      <c r="H372" s="527" t="s">
        <v>4705</v>
      </c>
      <c r="I372" s="527" t="s">
        <v>4704</v>
      </c>
      <c r="J372" s="527" t="s">
        <v>2890</v>
      </c>
      <c r="K372" s="527" t="s">
        <v>2890</v>
      </c>
      <c r="L372" s="527" t="s">
        <v>6737</v>
      </c>
      <c r="M372" s="524"/>
      <c r="N372" s="524"/>
      <c r="O372" s="524"/>
    </row>
    <row r="373" spans="1:15" ht="43.5" hidden="1">
      <c r="A373" s="525">
        <v>119</v>
      </c>
      <c r="B373" s="524" t="e">
        <f>VLOOKUP(A373,'Hours Detail'!$E$17:$H$1048576,4,)</f>
        <v>#N/A</v>
      </c>
      <c r="C373" s="524" t="s">
        <v>353</v>
      </c>
      <c r="D373" s="524" t="s">
        <v>1255</v>
      </c>
      <c r="E373" s="524" t="s">
        <v>1256</v>
      </c>
      <c r="F373" s="524" t="s">
        <v>1256</v>
      </c>
      <c r="G373" s="524" t="s">
        <v>1256</v>
      </c>
      <c r="H373" s="524" t="s">
        <v>1256</v>
      </c>
      <c r="I373" s="524" t="s">
        <v>1255</v>
      </c>
      <c r="J373" s="524" t="s">
        <v>1255</v>
      </c>
      <c r="K373" s="524"/>
      <c r="L373" s="524" t="s">
        <v>6399</v>
      </c>
      <c r="M373" s="524" t="s">
        <v>188</v>
      </c>
      <c r="N373" s="524"/>
      <c r="O373" s="524"/>
    </row>
    <row r="374" spans="1:15" ht="58" hidden="1">
      <c r="A374" s="527">
        <v>119</v>
      </c>
      <c r="B374" s="524" t="e">
        <f>VLOOKUP(A374,'Hours Detail'!$E$17:$H$1048576,4,)</f>
        <v>#N/A</v>
      </c>
      <c r="C374" s="527" t="s">
        <v>353</v>
      </c>
      <c r="D374" s="527" t="s">
        <v>4703</v>
      </c>
      <c r="E374" s="527" t="s">
        <v>1255</v>
      </c>
      <c r="F374" s="527" t="s">
        <v>1256</v>
      </c>
      <c r="G374" s="527">
        <v>283</v>
      </c>
      <c r="H374" s="527" t="s">
        <v>4705</v>
      </c>
      <c r="I374" s="527" t="s">
        <v>4704</v>
      </c>
      <c r="J374" s="527" t="s">
        <v>2890</v>
      </c>
      <c r="K374" s="527" t="s">
        <v>2890</v>
      </c>
      <c r="L374" s="527" t="s">
        <v>6371</v>
      </c>
      <c r="M374" s="524"/>
      <c r="N374" s="524"/>
      <c r="O374" s="524"/>
    </row>
    <row r="375" spans="1:15" ht="29" hidden="1">
      <c r="A375" s="525">
        <v>120</v>
      </c>
      <c r="B375" s="524" t="e">
        <f>VLOOKUP(A375,'Hours Detail'!$E$17:$H$1048576,4,)</f>
        <v>#N/A</v>
      </c>
      <c r="C375" s="524" t="s">
        <v>118</v>
      </c>
      <c r="D375" s="524" t="s">
        <v>606</v>
      </c>
      <c r="E375" s="524" t="s">
        <v>607</v>
      </c>
      <c r="F375" s="524" t="s">
        <v>607</v>
      </c>
      <c r="G375" s="524" t="s">
        <v>607</v>
      </c>
      <c r="H375" s="524" t="s">
        <v>607</v>
      </c>
      <c r="I375" s="524" t="s">
        <v>606</v>
      </c>
      <c r="J375" s="524" t="s">
        <v>606</v>
      </c>
      <c r="K375" s="524"/>
      <c r="L375" s="524" t="s">
        <v>6381</v>
      </c>
      <c r="M375" s="524" t="s">
        <v>2313</v>
      </c>
      <c r="N375" s="524"/>
      <c r="O375" s="524"/>
    </row>
    <row r="376" spans="1:15" ht="29" hidden="1">
      <c r="A376" s="527">
        <v>120</v>
      </c>
      <c r="B376" s="524" t="e">
        <f>VLOOKUP(A376,'Hours Detail'!$E$17:$H$1048576,4,)</f>
        <v>#N/A</v>
      </c>
      <c r="C376" s="527" t="s">
        <v>118</v>
      </c>
      <c r="D376" s="527" t="s">
        <v>15</v>
      </c>
      <c r="E376" s="527" t="s">
        <v>606</v>
      </c>
      <c r="F376" s="527" t="s">
        <v>607</v>
      </c>
      <c r="G376" s="527">
        <v>7</v>
      </c>
      <c r="H376" s="527" t="s">
        <v>15</v>
      </c>
      <c r="I376" s="527" t="s">
        <v>2313</v>
      </c>
      <c r="J376" s="527" t="s">
        <v>2890</v>
      </c>
      <c r="K376" s="527" t="s">
        <v>2890</v>
      </c>
      <c r="L376" s="527" t="s">
        <v>6371</v>
      </c>
      <c r="M376" s="524"/>
      <c r="N376" s="524"/>
      <c r="O376" s="524"/>
    </row>
    <row r="377" spans="1:15" ht="43.5" hidden="1">
      <c r="A377" s="524">
        <v>121</v>
      </c>
      <c r="B377" s="524" t="str">
        <f>VLOOKUP(A377,'Hours Detail'!$E$17:$H$1048576,4,)</f>
        <v>No</v>
      </c>
      <c r="C377" s="524" t="s">
        <v>419</v>
      </c>
      <c r="D377" s="524" t="s">
        <v>1510</v>
      </c>
      <c r="E377" s="524" t="s">
        <v>419</v>
      </c>
      <c r="F377" s="524" t="s">
        <v>419</v>
      </c>
      <c r="G377" s="524" t="s">
        <v>419</v>
      </c>
      <c r="H377" s="524" t="s">
        <v>419</v>
      </c>
      <c r="I377" s="524" t="s">
        <v>1510</v>
      </c>
      <c r="J377" s="524" t="s">
        <v>1510</v>
      </c>
      <c r="K377" s="524"/>
      <c r="L377" s="524" t="s">
        <v>6381</v>
      </c>
      <c r="M377" s="524" t="s">
        <v>2313</v>
      </c>
      <c r="N377" s="524"/>
      <c r="O377" s="524"/>
    </row>
    <row r="378" spans="1:15" ht="29" hidden="1">
      <c r="A378" s="527">
        <v>121</v>
      </c>
      <c r="B378" s="524" t="str">
        <f>VLOOKUP(A378,'Hours Detail'!$E$17:$H$1048576,4,)</f>
        <v>No</v>
      </c>
      <c r="C378" s="527" t="s">
        <v>419</v>
      </c>
      <c r="D378" s="527" t="s">
        <v>3090</v>
      </c>
      <c r="E378" s="527" t="s">
        <v>1510</v>
      </c>
      <c r="F378" s="527" t="s">
        <v>419</v>
      </c>
      <c r="G378" s="527">
        <v>331</v>
      </c>
      <c r="H378" s="527" t="s">
        <v>3084</v>
      </c>
      <c r="I378" s="527" t="s">
        <v>3087</v>
      </c>
      <c r="J378" s="527" t="s">
        <v>2889</v>
      </c>
      <c r="K378" s="527" t="s">
        <v>2890</v>
      </c>
      <c r="L378" s="527" t="s">
        <v>6371</v>
      </c>
      <c r="M378" s="524"/>
      <c r="N378" s="524"/>
      <c r="O378" s="524"/>
    </row>
    <row r="379" spans="1:15" ht="87" hidden="1">
      <c r="A379" s="525">
        <v>122</v>
      </c>
      <c r="B379" s="524" t="str">
        <f>VLOOKUP(A379,'Hours Detail'!$E$17:$H$1048576,4,)</f>
        <v>No</v>
      </c>
      <c r="C379" s="524" t="s">
        <v>6738</v>
      </c>
      <c r="D379" s="524" t="s">
        <v>4195</v>
      </c>
      <c r="E379" s="524" t="s">
        <v>4194</v>
      </c>
      <c r="F379" s="524" t="s">
        <v>4194</v>
      </c>
      <c r="G379" s="524" t="s">
        <v>4194</v>
      </c>
      <c r="H379" s="524" t="s">
        <v>4194</v>
      </c>
      <c r="I379" s="524" t="s">
        <v>6739</v>
      </c>
      <c r="J379" s="524" t="s">
        <v>4195</v>
      </c>
      <c r="K379" s="524"/>
      <c r="L379" s="524" t="s">
        <v>6399</v>
      </c>
      <c r="M379" s="524" t="s">
        <v>188</v>
      </c>
      <c r="N379" s="524"/>
      <c r="O379" s="524"/>
    </row>
    <row r="380" spans="1:15" ht="43.5" hidden="1">
      <c r="A380" s="527">
        <v>122</v>
      </c>
      <c r="B380" s="524" t="str">
        <f>VLOOKUP(A380,'Hours Detail'!$E$17:$H$1048576,4,)</f>
        <v>No</v>
      </c>
      <c r="C380" s="527" t="s">
        <v>197</v>
      </c>
      <c r="D380" s="527" t="s">
        <v>2171</v>
      </c>
      <c r="E380" s="527" t="s">
        <v>669</v>
      </c>
      <c r="F380" s="527" t="s">
        <v>670</v>
      </c>
      <c r="G380" s="527">
        <v>8</v>
      </c>
      <c r="H380" s="527" t="s">
        <v>188</v>
      </c>
      <c r="I380" s="527" t="s">
        <v>2314</v>
      </c>
      <c r="J380" s="527" t="s">
        <v>2889</v>
      </c>
      <c r="K380" s="527" t="s">
        <v>2890</v>
      </c>
      <c r="L380" s="527" t="s">
        <v>6371</v>
      </c>
      <c r="M380" s="524"/>
      <c r="N380" s="524"/>
      <c r="O380" s="524"/>
    </row>
    <row r="381" spans="1:15" ht="29" hidden="1">
      <c r="A381" s="525">
        <v>123</v>
      </c>
      <c r="B381" s="524" t="e">
        <f>VLOOKUP(A381,'Hours Detail'!$E$17:$H$1048576,4,)</f>
        <v>#N/A</v>
      </c>
      <c r="C381" s="524" t="s">
        <v>160</v>
      </c>
      <c r="D381" s="524" t="s">
        <v>520</v>
      </c>
      <c r="E381" s="524" t="s">
        <v>521</v>
      </c>
      <c r="F381" s="524" t="s">
        <v>521</v>
      </c>
      <c r="G381" s="524" t="s">
        <v>521</v>
      </c>
      <c r="H381" s="524" t="s">
        <v>521</v>
      </c>
      <c r="I381" s="524" t="s">
        <v>6740</v>
      </c>
      <c r="J381" s="524" t="s">
        <v>520</v>
      </c>
      <c r="K381" s="524" t="s">
        <v>6359</v>
      </c>
      <c r="L381" s="524" t="s">
        <v>6376</v>
      </c>
      <c r="M381" s="524" t="s">
        <v>6377</v>
      </c>
      <c r="N381" s="524"/>
      <c r="O381" s="524"/>
    </row>
    <row r="382" spans="1:15" ht="101.5" hidden="1">
      <c r="A382" s="527">
        <v>123</v>
      </c>
      <c r="B382" s="524" t="e">
        <f>VLOOKUP(A382,'Hours Detail'!$E$17:$H$1048576,4,)</f>
        <v>#N/A</v>
      </c>
      <c r="C382" s="527" t="s">
        <v>160</v>
      </c>
      <c r="D382" s="527" t="s">
        <v>470</v>
      </c>
      <c r="E382" s="527" t="s">
        <v>520</v>
      </c>
      <c r="F382" s="527" t="s">
        <v>521</v>
      </c>
      <c r="G382" s="527">
        <v>3</v>
      </c>
      <c r="H382" s="527" t="s">
        <v>149</v>
      </c>
      <c r="I382" s="527" t="s">
        <v>468</v>
      </c>
      <c r="J382" s="527" t="s">
        <v>2890</v>
      </c>
      <c r="K382" s="527" t="s">
        <v>2889</v>
      </c>
      <c r="L382" s="527" t="s">
        <v>6741</v>
      </c>
      <c r="M382" s="524"/>
      <c r="N382" s="524"/>
      <c r="O382" s="524"/>
    </row>
    <row r="383" spans="1:15" ht="43.5" hidden="1">
      <c r="A383" s="525">
        <v>124</v>
      </c>
      <c r="B383" s="524" t="str">
        <f>VLOOKUP(A383,'Hours Detail'!$E$17:$H$1048576,4,)</f>
        <v>No</v>
      </c>
      <c r="C383" s="524" t="s">
        <v>114</v>
      </c>
      <c r="D383" s="524" t="s">
        <v>623</v>
      </c>
      <c r="E383" s="524" t="s">
        <v>624</v>
      </c>
      <c r="F383" s="524" t="s">
        <v>624</v>
      </c>
      <c r="G383" s="524" t="s">
        <v>624</v>
      </c>
      <c r="H383" s="524" t="s">
        <v>624</v>
      </c>
      <c r="I383" s="524" t="s">
        <v>623</v>
      </c>
      <c r="J383" s="524" t="s">
        <v>623</v>
      </c>
      <c r="K383" s="524"/>
      <c r="L383" s="524" t="s">
        <v>6381</v>
      </c>
      <c r="M383" s="524" t="s">
        <v>2313</v>
      </c>
      <c r="N383" s="524" t="s">
        <v>6742</v>
      </c>
      <c r="O383" s="524"/>
    </row>
    <row r="384" spans="1:15" ht="29" hidden="1">
      <c r="A384" s="527">
        <v>124</v>
      </c>
      <c r="B384" s="524" t="str">
        <f>VLOOKUP(A384,'Hours Detail'!$E$17:$H$1048576,4,)</f>
        <v>No</v>
      </c>
      <c r="C384" s="527" t="s">
        <v>114</v>
      </c>
      <c r="D384" s="527" t="s">
        <v>15</v>
      </c>
      <c r="E384" s="527" t="s">
        <v>623</v>
      </c>
      <c r="F384" s="527" t="s">
        <v>624</v>
      </c>
      <c r="G384" s="527">
        <v>7</v>
      </c>
      <c r="H384" s="527" t="s">
        <v>15</v>
      </c>
      <c r="I384" s="527" t="s">
        <v>2313</v>
      </c>
      <c r="J384" s="527" t="s">
        <v>2889</v>
      </c>
      <c r="K384" s="527" t="s">
        <v>2890</v>
      </c>
      <c r="L384" s="527" t="s">
        <v>6501</v>
      </c>
      <c r="M384" s="524"/>
      <c r="N384" s="524"/>
      <c r="O384" s="524"/>
    </row>
    <row r="385" spans="1:15" ht="58" hidden="1">
      <c r="A385" s="524">
        <v>125</v>
      </c>
      <c r="B385" s="524" t="e">
        <f>VLOOKUP(A385,'Hours Detail'!$E$17:$H$1048576,4,)</f>
        <v>#N/A</v>
      </c>
      <c r="C385" s="524" t="s">
        <v>5670</v>
      </c>
      <c r="D385" s="524" t="s">
        <v>6744</v>
      </c>
      <c r="E385" s="524" t="s">
        <v>5668</v>
      </c>
      <c r="F385" s="524" t="s">
        <v>5668</v>
      </c>
      <c r="G385" s="524" t="s">
        <v>5668</v>
      </c>
      <c r="H385" s="524" t="s">
        <v>5668</v>
      </c>
      <c r="I385" s="524" t="s">
        <v>6743</v>
      </c>
      <c r="J385" s="524" t="s">
        <v>6744</v>
      </c>
      <c r="K385" s="524" t="s">
        <v>6359</v>
      </c>
      <c r="L385" s="524" t="s">
        <v>6381</v>
      </c>
      <c r="M385" s="524" t="s">
        <v>2313</v>
      </c>
      <c r="N385" s="524"/>
      <c r="O385" s="524"/>
    </row>
    <row r="386" spans="1:15" ht="72.5" hidden="1">
      <c r="A386" s="525">
        <v>126</v>
      </c>
      <c r="B386" s="524" t="str">
        <f>VLOOKUP(A386,'Hours Detail'!$E$17:$H$1048576,4,)</f>
        <v>No</v>
      </c>
      <c r="C386" s="524" t="s">
        <v>115</v>
      </c>
      <c r="D386" s="524" t="s">
        <v>625</v>
      </c>
      <c r="E386" s="524" t="s">
        <v>626</v>
      </c>
      <c r="F386" s="524" t="s">
        <v>626</v>
      </c>
      <c r="G386" s="524" t="s">
        <v>626</v>
      </c>
      <c r="H386" s="524" t="s">
        <v>626</v>
      </c>
      <c r="I386" s="524" t="s">
        <v>625</v>
      </c>
      <c r="J386" s="524" t="s">
        <v>625</v>
      </c>
      <c r="K386" s="524"/>
      <c r="L386" s="524" t="s">
        <v>6381</v>
      </c>
      <c r="M386" s="524" t="s">
        <v>2313</v>
      </c>
      <c r="N386" s="524"/>
      <c r="O386" s="524"/>
    </row>
    <row r="387" spans="1:15" ht="58" hidden="1">
      <c r="A387" s="527">
        <v>126</v>
      </c>
      <c r="B387" s="524" t="str">
        <f>VLOOKUP(A387,'Hours Detail'!$E$17:$H$1048576,4,)</f>
        <v>No</v>
      </c>
      <c r="C387" s="527" t="s">
        <v>115</v>
      </c>
      <c r="D387" s="527" t="s">
        <v>15</v>
      </c>
      <c r="E387" s="527" t="s">
        <v>625</v>
      </c>
      <c r="F387" s="527" t="s">
        <v>626</v>
      </c>
      <c r="G387" s="527">
        <v>7</v>
      </c>
      <c r="H387" s="527" t="s">
        <v>15</v>
      </c>
      <c r="I387" s="527" t="s">
        <v>2313</v>
      </c>
      <c r="J387" s="527" t="s">
        <v>2889</v>
      </c>
      <c r="K387" s="527" t="s">
        <v>2890</v>
      </c>
      <c r="L387" s="527" t="s">
        <v>6501</v>
      </c>
      <c r="M387" s="524"/>
      <c r="N387" s="524"/>
      <c r="O387" s="524"/>
    </row>
    <row r="388" spans="1:15" ht="72.5" hidden="1">
      <c r="A388" s="525">
        <v>127</v>
      </c>
      <c r="B388" s="524" t="str">
        <f>VLOOKUP(A388,'Hours Detail'!$E$17:$H$1048576,4,)</f>
        <v>No</v>
      </c>
      <c r="C388" s="524" t="s">
        <v>84</v>
      </c>
      <c r="D388" s="524" t="s">
        <v>744</v>
      </c>
      <c r="E388" s="524" t="s">
        <v>745</v>
      </c>
      <c r="F388" s="524" t="s">
        <v>745</v>
      </c>
      <c r="G388" s="524" t="s">
        <v>745</v>
      </c>
      <c r="H388" s="524" t="s">
        <v>745</v>
      </c>
      <c r="I388" s="524" t="s">
        <v>6745</v>
      </c>
      <c r="J388" s="524" t="s">
        <v>6746</v>
      </c>
      <c r="K388" s="524"/>
      <c r="L388" s="524" t="s">
        <v>6386</v>
      </c>
      <c r="M388" s="524" t="s">
        <v>6435</v>
      </c>
      <c r="N388" s="524" t="s">
        <v>6747</v>
      </c>
      <c r="O388" s="524"/>
    </row>
    <row r="389" spans="1:15" ht="72.5" hidden="1">
      <c r="A389" s="527">
        <v>127</v>
      </c>
      <c r="B389" s="524" t="str">
        <f>VLOOKUP(A389,'Hours Detail'!$E$17:$H$1048576,4,)</f>
        <v>No</v>
      </c>
      <c r="C389" s="527" t="s">
        <v>84</v>
      </c>
      <c r="D389" s="527" t="s">
        <v>728</v>
      </c>
      <c r="E389" s="527" t="s">
        <v>744</v>
      </c>
      <c r="F389" s="527" t="s">
        <v>745</v>
      </c>
      <c r="G389" s="527">
        <v>12</v>
      </c>
      <c r="H389" s="527" t="s">
        <v>4</v>
      </c>
      <c r="I389" s="527" t="s">
        <v>726</v>
      </c>
      <c r="J389" s="527" t="s">
        <v>2889</v>
      </c>
      <c r="K389" s="527" t="s">
        <v>2890</v>
      </c>
      <c r="L389" s="527" t="s">
        <v>6748</v>
      </c>
      <c r="M389" s="524"/>
      <c r="N389" s="524"/>
      <c r="O389" s="524"/>
    </row>
    <row r="390" spans="1:15" ht="29" hidden="1">
      <c r="A390" s="524">
        <v>129</v>
      </c>
      <c r="B390" s="524" t="e">
        <f>VLOOKUP(A390,'Hours Detail'!$E$17:$H$1048576,4,)</f>
        <v>#N/A</v>
      </c>
      <c r="C390" s="524" t="s">
        <v>5277</v>
      </c>
      <c r="D390" s="524" t="s">
        <v>1695</v>
      </c>
      <c r="E390" s="524" t="s">
        <v>4276</v>
      </c>
      <c r="F390" s="524" t="s">
        <v>4276</v>
      </c>
      <c r="G390" s="524" t="s">
        <v>4276</v>
      </c>
      <c r="H390" s="524" t="s">
        <v>4276</v>
      </c>
      <c r="I390" s="524" t="s">
        <v>6662</v>
      </c>
      <c r="J390" s="524" t="s">
        <v>1695</v>
      </c>
      <c r="K390" s="524" t="s">
        <v>6359</v>
      </c>
      <c r="L390" s="524" t="s">
        <v>6381</v>
      </c>
      <c r="M390" s="524" t="s">
        <v>522</v>
      </c>
      <c r="N390" s="524"/>
      <c r="O390" s="524"/>
    </row>
    <row r="391" spans="1:15" ht="87" hidden="1">
      <c r="A391" s="527">
        <v>129</v>
      </c>
      <c r="B391" s="524" t="e">
        <f>VLOOKUP(A391,'Hours Detail'!$E$17:$H$1048576,4,)</f>
        <v>#N/A</v>
      </c>
      <c r="C391" s="527" t="s">
        <v>1694</v>
      </c>
      <c r="D391" s="527" t="s">
        <v>4703</v>
      </c>
      <c r="E391" s="527" t="s">
        <v>1695</v>
      </c>
      <c r="F391" s="527" t="s">
        <v>1696</v>
      </c>
      <c r="G391" s="527">
        <v>283</v>
      </c>
      <c r="H391" s="527" t="s">
        <v>4705</v>
      </c>
      <c r="I391" s="527" t="s">
        <v>4704</v>
      </c>
      <c r="J391" s="527" t="s">
        <v>2890</v>
      </c>
      <c r="K391" s="527" t="s">
        <v>2890</v>
      </c>
      <c r="L391" s="527" t="s">
        <v>6749</v>
      </c>
      <c r="M391" s="524"/>
      <c r="N391" s="524"/>
      <c r="O391" s="524"/>
    </row>
    <row r="392" spans="1:15" ht="87" hidden="1">
      <c r="A392" s="525">
        <v>130</v>
      </c>
      <c r="B392" s="524" t="e">
        <f>VLOOKUP(A392,'Hours Detail'!$E$17:$H$1048576,4,)</f>
        <v>#N/A</v>
      </c>
      <c r="C392" s="524" t="s">
        <v>192</v>
      </c>
      <c r="D392" s="524" t="s">
        <v>665</v>
      </c>
      <c r="E392" s="524" t="s">
        <v>666</v>
      </c>
      <c r="F392" s="524" t="s">
        <v>666</v>
      </c>
      <c r="G392" s="524" t="s">
        <v>666</v>
      </c>
      <c r="H392" s="524" t="s">
        <v>666</v>
      </c>
      <c r="I392" s="524" t="s">
        <v>665</v>
      </c>
      <c r="J392" s="524" t="s">
        <v>665</v>
      </c>
      <c r="K392" s="524"/>
      <c r="L392" s="524" t="s">
        <v>6381</v>
      </c>
      <c r="M392" s="524" t="s">
        <v>522</v>
      </c>
      <c r="N392" s="524" t="s">
        <v>6750</v>
      </c>
      <c r="O392" s="524"/>
    </row>
    <row r="393" spans="1:15" ht="72.5" hidden="1">
      <c r="A393" s="527">
        <v>130</v>
      </c>
      <c r="B393" s="524" t="e">
        <f>VLOOKUP(A393,'Hours Detail'!$E$17:$H$1048576,4,)</f>
        <v>#N/A</v>
      </c>
      <c r="C393" s="527" t="s">
        <v>192</v>
      </c>
      <c r="D393" s="527" t="s">
        <v>2171</v>
      </c>
      <c r="E393" s="527" t="s">
        <v>665</v>
      </c>
      <c r="F393" s="527" t="s">
        <v>666</v>
      </c>
      <c r="G393" s="527">
        <v>8</v>
      </c>
      <c r="H393" s="527" t="s">
        <v>188</v>
      </c>
      <c r="I393" s="527" t="s">
        <v>2314</v>
      </c>
      <c r="J393" s="527" t="s">
        <v>2890</v>
      </c>
      <c r="K393" s="527" t="s">
        <v>2889</v>
      </c>
      <c r="L393" s="527" t="s">
        <v>6751</v>
      </c>
      <c r="M393" s="524"/>
      <c r="N393" s="524"/>
      <c r="O393" s="524"/>
    </row>
    <row r="394" spans="1:15" ht="246.5">
      <c r="A394" s="525">
        <v>132</v>
      </c>
      <c r="B394" s="524" t="str">
        <f>VLOOKUP(A394,'Hours Detail'!$E$17:$H$1048576,4,)</f>
        <v>No</v>
      </c>
      <c r="C394" s="524" t="s">
        <v>155</v>
      </c>
      <c r="D394" s="524" t="s">
        <v>508</v>
      </c>
      <c r="E394" s="524" t="s">
        <v>509</v>
      </c>
      <c r="F394" s="524" t="s">
        <v>509</v>
      </c>
      <c r="G394" s="524" t="s">
        <v>509</v>
      </c>
      <c r="H394" s="524" t="s">
        <v>509</v>
      </c>
      <c r="I394" s="524" t="s">
        <v>6752</v>
      </c>
      <c r="J394" s="524" t="s">
        <v>508</v>
      </c>
      <c r="K394" s="524" t="s">
        <v>6359</v>
      </c>
      <c r="L394" s="524" t="s">
        <v>6381</v>
      </c>
      <c r="M394" s="524" t="s">
        <v>522</v>
      </c>
      <c r="N394" s="524" t="s">
        <v>6753</v>
      </c>
      <c r="O394" s="524"/>
    </row>
    <row r="395" spans="1:15" ht="232">
      <c r="A395" s="524">
        <v>132</v>
      </c>
      <c r="B395" s="524" t="str">
        <f>VLOOKUP(A395,'Hours Detail'!$E$17:$H$1048576,4,)</f>
        <v>No</v>
      </c>
      <c r="C395" s="524" t="s">
        <v>155</v>
      </c>
      <c r="D395" s="527" t="s">
        <v>470</v>
      </c>
      <c r="E395" s="527" t="s">
        <v>508</v>
      </c>
      <c r="F395" s="527" t="s">
        <v>509</v>
      </c>
      <c r="G395" s="527">
        <v>3</v>
      </c>
      <c r="H395" s="527" t="s">
        <v>149</v>
      </c>
      <c r="I395" s="527" t="s">
        <v>468</v>
      </c>
      <c r="J395" s="527" t="s">
        <v>2889</v>
      </c>
      <c r="K395" s="527" t="s">
        <v>2889</v>
      </c>
      <c r="L395" s="527" t="s">
        <v>6754</v>
      </c>
      <c r="M395" s="524"/>
      <c r="N395" s="524"/>
      <c r="O395" s="524"/>
    </row>
    <row r="396" spans="1:15" ht="101.5" hidden="1">
      <c r="A396" s="524">
        <v>133</v>
      </c>
      <c r="B396" s="524" t="e">
        <f>VLOOKUP(A396,'Hours Detail'!$E$17:$H$1048576,4,)</f>
        <v>#N/A</v>
      </c>
      <c r="C396" s="524" t="s">
        <v>5211</v>
      </c>
      <c r="D396" s="524" t="s">
        <v>4275</v>
      </c>
      <c r="E396" s="524" t="s">
        <v>4274</v>
      </c>
      <c r="F396" s="524" t="s">
        <v>4274</v>
      </c>
      <c r="G396" s="524" t="s">
        <v>4274</v>
      </c>
      <c r="H396" s="524" t="s">
        <v>4274</v>
      </c>
      <c r="I396" s="524" t="s">
        <v>6755</v>
      </c>
      <c r="J396" s="524" t="s">
        <v>6756</v>
      </c>
      <c r="K396" s="524" t="s">
        <v>6359</v>
      </c>
      <c r="L396" s="524" t="s">
        <v>6381</v>
      </c>
      <c r="M396" s="524" t="s">
        <v>522</v>
      </c>
      <c r="N396" s="524"/>
      <c r="O396" s="524"/>
    </row>
    <row r="397" spans="1:15" ht="87" hidden="1">
      <c r="A397" s="527">
        <v>133</v>
      </c>
      <c r="B397" s="524" t="e">
        <f>VLOOKUP(A397,'Hours Detail'!$E$17:$H$1048576,4,)</f>
        <v>#N/A</v>
      </c>
      <c r="C397" s="527" t="s">
        <v>1691</v>
      </c>
      <c r="D397" s="527" t="s">
        <v>4703</v>
      </c>
      <c r="E397" s="527" t="s">
        <v>1692</v>
      </c>
      <c r="F397" s="527" t="s">
        <v>1693</v>
      </c>
      <c r="G397" s="527">
        <v>283</v>
      </c>
      <c r="H397" s="527" t="s">
        <v>4705</v>
      </c>
      <c r="I397" s="527" t="s">
        <v>4704</v>
      </c>
      <c r="J397" s="527" t="s">
        <v>2890</v>
      </c>
      <c r="K397" s="527" t="s">
        <v>2890</v>
      </c>
      <c r="L397" s="527" t="s">
        <v>6757</v>
      </c>
      <c r="M397" s="524"/>
      <c r="N397" s="524"/>
      <c r="O397" s="524"/>
    </row>
    <row r="398" spans="1:15" ht="130.5" hidden="1">
      <c r="A398" s="525">
        <v>135</v>
      </c>
      <c r="B398" s="524" t="str">
        <f>VLOOKUP(A398,'Hours Detail'!$E$17:$H$1048576,4,)</f>
        <v>No</v>
      </c>
      <c r="C398" s="524" t="s">
        <v>127</v>
      </c>
      <c r="D398" s="524" t="s">
        <v>707</v>
      </c>
      <c r="E398" s="524" t="s">
        <v>708</v>
      </c>
      <c r="F398" s="524" t="s">
        <v>708</v>
      </c>
      <c r="G398" s="524" t="s">
        <v>708</v>
      </c>
      <c r="H398" s="524" t="s">
        <v>708</v>
      </c>
      <c r="I398" s="524" t="s">
        <v>6758</v>
      </c>
      <c r="J398" s="524" t="s">
        <v>707</v>
      </c>
      <c r="K398" s="524"/>
      <c r="L398" s="524" t="s">
        <v>6386</v>
      </c>
      <c r="M398" s="524" t="s">
        <v>4133</v>
      </c>
      <c r="N398" s="524" t="s">
        <v>6759</v>
      </c>
      <c r="O398" s="524"/>
    </row>
    <row r="399" spans="1:15" ht="72.5" hidden="1">
      <c r="A399" s="527">
        <v>135</v>
      </c>
      <c r="B399" s="524" t="str">
        <f>VLOOKUP(A399,'Hours Detail'!$E$17:$H$1048576,4,)</f>
        <v>No</v>
      </c>
      <c r="C399" s="527" t="s">
        <v>127</v>
      </c>
      <c r="D399" s="527" t="s">
        <v>706</v>
      </c>
      <c r="E399" s="527" t="s">
        <v>707</v>
      </c>
      <c r="F399" s="527" t="s">
        <v>708</v>
      </c>
      <c r="G399" s="527">
        <v>11</v>
      </c>
      <c r="H399" s="527" t="s">
        <v>6</v>
      </c>
      <c r="I399" s="527" t="s">
        <v>705</v>
      </c>
      <c r="J399" s="527" t="s">
        <v>2889</v>
      </c>
      <c r="K399" s="527" t="s">
        <v>2890</v>
      </c>
      <c r="L399" s="527" t="s">
        <v>6760</v>
      </c>
      <c r="M399" s="524"/>
      <c r="N399" s="524"/>
      <c r="O399" s="524"/>
    </row>
    <row r="400" spans="1:15" ht="72.5" hidden="1">
      <c r="A400" s="524">
        <v>137</v>
      </c>
      <c r="B400" s="524" t="e">
        <f>VLOOKUP(A400,'Hours Detail'!$E$17:$H$1048576,4,)</f>
        <v>#N/A</v>
      </c>
      <c r="C400" s="524" t="s">
        <v>130</v>
      </c>
      <c r="D400" s="524" t="s">
        <v>709</v>
      </c>
      <c r="E400" s="524" t="s">
        <v>710</v>
      </c>
      <c r="F400" s="524" t="s">
        <v>710</v>
      </c>
      <c r="G400" s="524" t="s">
        <v>710</v>
      </c>
      <c r="H400" s="524" t="s">
        <v>710</v>
      </c>
      <c r="I400" s="524" t="s">
        <v>709</v>
      </c>
      <c r="J400" s="524" t="s">
        <v>709</v>
      </c>
      <c r="K400" s="524"/>
      <c r="L400" s="524" t="s">
        <v>6386</v>
      </c>
      <c r="M400" s="524" t="s">
        <v>4133</v>
      </c>
      <c r="N400" s="524"/>
      <c r="O400" s="524"/>
    </row>
    <row r="401" spans="1:15" ht="72.5" hidden="1">
      <c r="A401" s="527">
        <v>137</v>
      </c>
      <c r="B401" s="524" t="e">
        <f>VLOOKUP(A401,'Hours Detail'!$E$17:$H$1048576,4,)</f>
        <v>#N/A</v>
      </c>
      <c r="C401" s="527" t="s">
        <v>130</v>
      </c>
      <c r="D401" s="527" t="s">
        <v>706</v>
      </c>
      <c r="E401" s="527" t="s">
        <v>709</v>
      </c>
      <c r="F401" s="527" t="s">
        <v>710</v>
      </c>
      <c r="G401" s="527">
        <v>11</v>
      </c>
      <c r="H401" s="527" t="s">
        <v>6</v>
      </c>
      <c r="I401" s="527" t="s">
        <v>705</v>
      </c>
      <c r="J401" s="527" t="s">
        <v>2890</v>
      </c>
      <c r="K401" s="527" t="s">
        <v>2890</v>
      </c>
      <c r="L401" s="527" t="s">
        <v>6761</v>
      </c>
      <c r="M401" s="524"/>
      <c r="N401" s="524"/>
      <c r="O401" s="524"/>
    </row>
    <row r="402" spans="1:15" ht="58" hidden="1">
      <c r="A402" s="525">
        <v>138</v>
      </c>
      <c r="B402" s="524" t="e">
        <f>VLOOKUP(A402,'Hours Detail'!$E$17:$H$1048576,4,)</f>
        <v>#N/A</v>
      </c>
      <c r="C402" s="524" t="s">
        <v>198</v>
      </c>
      <c r="D402" s="524" t="s">
        <v>629</v>
      </c>
      <c r="E402" s="524" t="s">
        <v>630</v>
      </c>
      <c r="F402" s="524" t="s">
        <v>630</v>
      </c>
      <c r="G402" s="524" t="s">
        <v>630</v>
      </c>
      <c r="H402" s="524" t="s">
        <v>630</v>
      </c>
      <c r="I402" s="524" t="s">
        <v>629</v>
      </c>
      <c r="J402" s="524" t="s">
        <v>629</v>
      </c>
      <c r="K402" s="524"/>
      <c r="L402" s="524" t="s">
        <v>6368</v>
      </c>
      <c r="M402" s="524" t="s">
        <v>6370</v>
      </c>
      <c r="N402" s="524"/>
      <c r="O402" s="524"/>
    </row>
    <row r="403" spans="1:15" ht="43.5" hidden="1">
      <c r="A403" s="527">
        <v>138</v>
      </c>
      <c r="B403" s="524" t="e">
        <f>VLOOKUP(A403,'Hours Detail'!$E$17:$H$1048576,4,)</f>
        <v>#N/A</v>
      </c>
      <c r="C403" s="527" t="s">
        <v>198</v>
      </c>
      <c r="D403" s="527" t="s">
        <v>2171</v>
      </c>
      <c r="E403" s="527" t="s">
        <v>629</v>
      </c>
      <c r="F403" s="527" t="s">
        <v>630</v>
      </c>
      <c r="G403" s="527">
        <v>8</v>
      </c>
      <c r="H403" s="527" t="s">
        <v>188</v>
      </c>
      <c r="I403" s="527" t="s">
        <v>2314</v>
      </c>
      <c r="J403" s="527" t="s">
        <v>2890</v>
      </c>
      <c r="K403" s="527" t="s">
        <v>2889</v>
      </c>
      <c r="L403" s="527" t="s">
        <v>6371</v>
      </c>
      <c r="M403" s="524"/>
      <c r="N403" s="524"/>
      <c r="O403" s="524"/>
    </row>
    <row r="404" spans="1:15" ht="101.5" hidden="1">
      <c r="A404" s="525">
        <v>139</v>
      </c>
      <c r="B404" s="524" t="e">
        <f>VLOOKUP(A404,'Hours Detail'!$E$17:$H$1048576,4,)</f>
        <v>#N/A</v>
      </c>
      <c r="C404" s="524" t="s">
        <v>191</v>
      </c>
      <c r="D404" s="524" t="s">
        <v>631</v>
      </c>
      <c r="E404" s="524" t="s">
        <v>632</v>
      </c>
      <c r="F404" s="524" t="s">
        <v>632</v>
      </c>
      <c r="G404" s="524" t="s">
        <v>632</v>
      </c>
      <c r="H404" s="524" t="s">
        <v>632</v>
      </c>
      <c r="I404" s="524" t="s">
        <v>631</v>
      </c>
      <c r="J404" s="524" t="s">
        <v>631</v>
      </c>
      <c r="K404" s="524"/>
      <c r="L404" s="524" t="s">
        <v>6399</v>
      </c>
      <c r="M404" s="524" t="s">
        <v>188</v>
      </c>
      <c r="N404" s="524" t="s">
        <v>6762</v>
      </c>
      <c r="O404" s="524"/>
    </row>
    <row r="405" spans="1:15" ht="43.5" hidden="1">
      <c r="A405" s="527">
        <v>139</v>
      </c>
      <c r="B405" s="524" t="e">
        <f>VLOOKUP(A405,'Hours Detail'!$E$17:$H$1048576,4,)</f>
        <v>#N/A</v>
      </c>
      <c r="C405" s="527" t="s">
        <v>191</v>
      </c>
      <c r="D405" s="527" t="s">
        <v>2171</v>
      </c>
      <c r="E405" s="527" t="s">
        <v>631</v>
      </c>
      <c r="F405" s="527" t="s">
        <v>632</v>
      </c>
      <c r="G405" s="527">
        <v>8</v>
      </c>
      <c r="H405" s="527" t="s">
        <v>188</v>
      </c>
      <c r="I405" s="527" t="s">
        <v>2314</v>
      </c>
      <c r="J405" s="527" t="s">
        <v>2890</v>
      </c>
      <c r="K405" s="527" t="s">
        <v>2889</v>
      </c>
      <c r="L405" s="527" t="s">
        <v>6371</v>
      </c>
      <c r="M405" s="524"/>
      <c r="N405" s="524"/>
      <c r="O405" s="524"/>
    </row>
    <row r="406" spans="1:15" ht="72.5" hidden="1">
      <c r="A406" s="525">
        <v>140</v>
      </c>
      <c r="B406" s="524" t="e">
        <f>VLOOKUP(A406,'Hours Detail'!$E$17:$H$1048576,4,)</f>
        <v>#N/A</v>
      </c>
      <c r="C406" s="524" t="s">
        <v>4056</v>
      </c>
      <c r="D406" s="524" t="s">
        <v>4055</v>
      </c>
      <c r="E406" s="524" t="s">
        <v>4054</v>
      </c>
      <c r="F406" s="524" t="s">
        <v>4054</v>
      </c>
      <c r="G406" s="524" t="s">
        <v>4054</v>
      </c>
      <c r="H406" s="524" t="s">
        <v>4054</v>
      </c>
      <c r="I406" s="524" t="s">
        <v>6763</v>
      </c>
      <c r="J406" s="524" t="s">
        <v>4055</v>
      </c>
      <c r="K406" s="524"/>
      <c r="L406" s="524" t="s">
        <v>6399</v>
      </c>
      <c r="M406" s="524" t="s">
        <v>6437</v>
      </c>
      <c r="N406" s="524" t="s">
        <v>6764</v>
      </c>
      <c r="O406" s="524"/>
    </row>
    <row r="407" spans="1:15" ht="43.5" hidden="1">
      <c r="A407" s="524">
        <v>141</v>
      </c>
      <c r="B407" s="524" t="e">
        <f>VLOOKUP(A407,'Hours Detail'!$E$17:$H$1048576,4,)</f>
        <v>#N/A</v>
      </c>
      <c r="C407" s="524" t="s">
        <v>5210</v>
      </c>
      <c r="D407" s="524" t="s">
        <v>1689</v>
      </c>
      <c r="E407" s="524" t="s">
        <v>4269</v>
      </c>
      <c r="F407" s="524" t="s">
        <v>4269</v>
      </c>
      <c r="G407" s="524" t="s">
        <v>4269</v>
      </c>
      <c r="H407" s="524" t="s">
        <v>4269</v>
      </c>
      <c r="I407" s="524" t="s">
        <v>6765</v>
      </c>
      <c r="J407" s="524" t="s">
        <v>1689</v>
      </c>
      <c r="K407" s="524" t="s">
        <v>6359</v>
      </c>
      <c r="L407" s="524" t="s">
        <v>6381</v>
      </c>
      <c r="M407" s="524" t="s">
        <v>522</v>
      </c>
      <c r="N407" s="524"/>
      <c r="O407" s="524"/>
    </row>
    <row r="408" spans="1:15" ht="87" hidden="1">
      <c r="A408" s="527">
        <v>141</v>
      </c>
      <c r="B408" s="524" t="e">
        <f>VLOOKUP(A408,'Hours Detail'!$E$17:$H$1048576,4,)</f>
        <v>#N/A</v>
      </c>
      <c r="C408" s="527" t="s">
        <v>1688</v>
      </c>
      <c r="D408" s="527" t="s">
        <v>4703</v>
      </c>
      <c r="E408" s="527" t="s">
        <v>1689</v>
      </c>
      <c r="F408" s="527" t="s">
        <v>1690</v>
      </c>
      <c r="G408" s="527">
        <v>283</v>
      </c>
      <c r="H408" s="527" t="s">
        <v>4705</v>
      </c>
      <c r="I408" s="527" t="s">
        <v>4704</v>
      </c>
      <c r="J408" s="527" t="s">
        <v>2890</v>
      </c>
      <c r="K408" s="527" t="s">
        <v>2890</v>
      </c>
      <c r="L408" s="527" t="s">
        <v>6766</v>
      </c>
      <c r="M408" s="524"/>
      <c r="N408" s="524"/>
      <c r="O408" s="524"/>
    </row>
    <row r="409" spans="1:15" ht="72.5" hidden="1">
      <c r="A409" s="524">
        <v>142</v>
      </c>
      <c r="B409" s="524" t="e">
        <f>VLOOKUP(A409,'Hours Detail'!$E$17:$H$1048576,4,)</f>
        <v>#N/A</v>
      </c>
      <c r="C409" s="524" t="s">
        <v>5209</v>
      </c>
      <c r="D409" s="524" t="s">
        <v>1686</v>
      </c>
      <c r="E409" s="524" t="s">
        <v>4137</v>
      </c>
      <c r="F409" s="524" t="s">
        <v>4137</v>
      </c>
      <c r="G409" s="524" t="s">
        <v>4137</v>
      </c>
      <c r="H409" s="524" t="s">
        <v>4137</v>
      </c>
      <c r="I409" s="524" t="s">
        <v>6767</v>
      </c>
      <c r="J409" s="524" t="s">
        <v>1686</v>
      </c>
      <c r="K409" s="524" t="s">
        <v>6359</v>
      </c>
      <c r="L409" s="524" t="s">
        <v>6381</v>
      </c>
      <c r="M409" s="524" t="s">
        <v>522</v>
      </c>
      <c r="N409" s="524"/>
      <c r="O409" s="524"/>
    </row>
    <row r="410" spans="1:15" ht="87" hidden="1">
      <c r="A410" s="527">
        <v>142</v>
      </c>
      <c r="B410" s="524" t="e">
        <f>VLOOKUP(A410,'Hours Detail'!$E$17:$H$1048576,4,)</f>
        <v>#N/A</v>
      </c>
      <c r="C410" s="527" t="s">
        <v>1685</v>
      </c>
      <c r="D410" s="527" t="s">
        <v>4703</v>
      </c>
      <c r="E410" s="527" t="s">
        <v>1686</v>
      </c>
      <c r="F410" s="527" t="s">
        <v>1687</v>
      </c>
      <c r="G410" s="527">
        <v>283</v>
      </c>
      <c r="H410" s="527" t="s">
        <v>4705</v>
      </c>
      <c r="I410" s="527" t="s">
        <v>4704</v>
      </c>
      <c r="J410" s="527" t="s">
        <v>2890</v>
      </c>
      <c r="K410" s="527" t="s">
        <v>2890</v>
      </c>
      <c r="L410" s="527" t="s">
        <v>6766</v>
      </c>
      <c r="M410" s="524"/>
      <c r="N410" s="524"/>
      <c r="O410" s="524"/>
    </row>
    <row r="411" spans="1:15" ht="246.5">
      <c r="A411" s="525">
        <v>143</v>
      </c>
      <c r="B411" s="524" t="str">
        <f>VLOOKUP(A411,'Hours Detail'!$E$17:$H$1048576,4,)</f>
        <v>No</v>
      </c>
      <c r="C411" s="524" t="s">
        <v>121</v>
      </c>
      <c r="D411" s="524" t="s">
        <v>531</v>
      </c>
      <c r="E411" s="524" t="s">
        <v>532</v>
      </c>
      <c r="F411" s="524" t="s">
        <v>532</v>
      </c>
      <c r="G411" s="524" t="s">
        <v>532</v>
      </c>
      <c r="H411" s="524" t="s">
        <v>532</v>
      </c>
      <c r="I411" s="524" t="s">
        <v>6768</v>
      </c>
      <c r="J411" s="524" t="s">
        <v>531</v>
      </c>
      <c r="K411" s="524" t="s">
        <v>6359</v>
      </c>
      <c r="L411" s="524" t="s">
        <v>6381</v>
      </c>
      <c r="M411" s="524" t="s">
        <v>522</v>
      </c>
      <c r="N411" s="524" t="s">
        <v>6769</v>
      </c>
      <c r="O411" s="524"/>
    </row>
    <row r="412" spans="1:15" ht="174">
      <c r="A412" s="524">
        <v>143</v>
      </c>
      <c r="B412" s="524" t="str">
        <f>VLOOKUP(A412,'Hours Detail'!$E$17:$H$1048576,4,)</f>
        <v>No</v>
      </c>
      <c r="C412" s="524" t="s">
        <v>121</v>
      </c>
      <c r="D412" s="527" t="s">
        <v>522</v>
      </c>
      <c r="E412" s="527" t="s">
        <v>531</v>
      </c>
      <c r="F412" s="527" t="s">
        <v>532</v>
      </c>
      <c r="G412" s="527">
        <v>4</v>
      </c>
      <c r="H412" s="527" t="s">
        <v>10</v>
      </c>
      <c r="I412" s="527" t="s">
        <v>522</v>
      </c>
      <c r="J412" s="527" t="s">
        <v>2889</v>
      </c>
      <c r="K412" s="527" t="s">
        <v>2889</v>
      </c>
      <c r="L412" s="527" t="s">
        <v>6770</v>
      </c>
      <c r="M412" s="524"/>
      <c r="N412" s="524"/>
      <c r="O412" s="524"/>
    </row>
    <row r="413" spans="1:15" ht="29" hidden="1">
      <c r="A413" s="524">
        <v>145</v>
      </c>
      <c r="B413" s="524" t="e">
        <f>VLOOKUP(A413,'Hours Detail'!$E$17:$H$1048576,4,)</f>
        <v>#N/A</v>
      </c>
      <c r="C413" s="524" t="s">
        <v>186</v>
      </c>
      <c r="D413" s="524" t="s">
        <v>559</v>
      </c>
      <c r="E413" s="524" t="s">
        <v>560</v>
      </c>
      <c r="F413" s="524" t="s">
        <v>560</v>
      </c>
      <c r="G413" s="524" t="s">
        <v>560</v>
      </c>
      <c r="H413" s="524" t="s">
        <v>560</v>
      </c>
      <c r="I413" s="524" t="s">
        <v>559</v>
      </c>
      <c r="J413" s="524" t="s">
        <v>559</v>
      </c>
      <c r="K413" s="524"/>
      <c r="L413" s="524" t="s">
        <v>6397</v>
      </c>
      <c r="M413" s="524" t="s">
        <v>6421</v>
      </c>
      <c r="N413" s="524"/>
      <c r="O413" s="524"/>
    </row>
    <row r="414" spans="1:15" ht="58" hidden="1">
      <c r="A414" s="527">
        <v>145</v>
      </c>
      <c r="B414" s="524" t="e">
        <f>VLOOKUP(A414,'Hours Detail'!$E$17:$H$1048576,4,)</f>
        <v>#N/A</v>
      </c>
      <c r="C414" s="527" t="s">
        <v>186</v>
      </c>
      <c r="D414" s="527" t="s">
        <v>2170</v>
      </c>
      <c r="E414" s="527" t="s">
        <v>559</v>
      </c>
      <c r="F414" s="527" t="s">
        <v>560</v>
      </c>
      <c r="G414" s="527">
        <v>5</v>
      </c>
      <c r="H414" s="527" t="s">
        <v>177</v>
      </c>
      <c r="I414" s="527" t="s">
        <v>2310</v>
      </c>
      <c r="J414" s="527" t="s">
        <v>2890</v>
      </c>
      <c r="K414" s="527" t="s">
        <v>2889</v>
      </c>
      <c r="L414" s="527" t="s">
        <v>6371</v>
      </c>
      <c r="M414" s="524"/>
      <c r="N414" s="524"/>
      <c r="O414" s="524"/>
    </row>
    <row r="415" spans="1:15" ht="130.5" hidden="1">
      <c r="A415" s="525">
        <v>146</v>
      </c>
      <c r="B415" s="524" t="str">
        <f>VLOOKUP(A415,'Hours Detail'!$E$17:$H$1048576,4,)</f>
        <v>No</v>
      </c>
      <c r="C415" s="524" t="s">
        <v>122</v>
      </c>
      <c r="D415" s="524" t="s">
        <v>525</v>
      </c>
      <c r="E415" s="524" t="s">
        <v>526</v>
      </c>
      <c r="F415" s="524" t="s">
        <v>526</v>
      </c>
      <c r="G415" s="524" t="s">
        <v>526</v>
      </c>
      <c r="H415" s="524" t="s">
        <v>526</v>
      </c>
      <c r="I415" s="524" t="s">
        <v>6771</v>
      </c>
      <c r="J415" s="524" t="s">
        <v>525</v>
      </c>
      <c r="K415" s="524" t="s">
        <v>6359</v>
      </c>
      <c r="L415" s="524" t="s">
        <v>6381</v>
      </c>
      <c r="M415" s="524" t="s">
        <v>522</v>
      </c>
      <c r="N415" s="524" t="s">
        <v>6772</v>
      </c>
      <c r="O415" s="524"/>
    </row>
    <row r="416" spans="1:15" ht="145" hidden="1">
      <c r="A416" s="527">
        <v>146</v>
      </c>
      <c r="B416" s="524" t="str">
        <f>VLOOKUP(A416,'Hours Detail'!$E$17:$H$1048576,4,)</f>
        <v>No</v>
      </c>
      <c r="C416" s="527" t="s">
        <v>122</v>
      </c>
      <c r="D416" s="527" t="s">
        <v>522</v>
      </c>
      <c r="E416" s="527" t="s">
        <v>525</v>
      </c>
      <c r="F416" s="527" t="s">
        <v>526</v>
      </c>
      <c r="G416" s="527">
        <v>4</v>
      </c>
      <c r="H416" s="527" t="s">
        <v>10</v>
      </c>
      <c r="I416" s="527" t="s">
        <v>522</v>
      </c>
      <c r="J416" s="527" t="s">
        <v>2889</v>
      </c>
      <c r="K416" s="527" t="s">
        <v>2889</v>
      </c>
      <c r="L416" s="527" t="s">
        <v>6773</v>
      </c>
      <c r="M416" s="524"/>
      <c r="N416" s="524"/>
      <c r="O416" s="524"/>
    </row>
    <row r="417" spans="1:15" ht="101.5" hidden="1">
      <c r="A417" s="525">
        <v>147</v>
      </c>
      <c r="B417" s="524" t="str">
        <f>VLOOKUP(A417,'Hours Detail'!$E$17:$H$1048576,4,)</f>
        <v>No</v>
      </c>
      <c r="C417" s="524" t="s">
        <v>174</v>
      </c>
      <c r="D417" s="524" t="s">
        <v>523</v>
      </c>
      <c r="E417" s="524" t="s">
        <v>524</v>
      </c>
      <c r="F417" s="524" t="s">
        <v>524</v>
      </c>
      <c r="G417" s="524" t="s">
        <v>524</v>
      </c>
      <c r="H417" s="524" t="s">
        <v>524</v>
      </c>
      <c r="I417" s="524" t="s">
        <v>6774</v>
      </c>
      <c r="J417" s="524" t="s">
        <v>523</v>
      </c>
      <c r="K417" s="524" t="s">
        <v>6359</v>
      </c>
      <c r="L417" s="524" t="s">
        <v>6399</v>
      </c>
      <c r="M417" s="524" t="s">
        <v>188</v>
      </c>
      <c r="N417" s="524" t="s">
        <v>6775</v>
      </c>
      <c r="O417" s="524"/>
    </row>
    <row r="418" spans="1:15" ht="101.5" hidden="1">
      <c r="A418" s="527">
        <v>147</v>
      </c>
      <c r="B418" s="524" t="str">
        <f>VLOOKUP(A418,'Hours Detail'!$E$17:$H$1048576,4,)</f>
        <v>No</v>
      </c>
      <c r="C418" s="527" t="s">
        <v>174</v>
      </c>
      <c r="D418" s="527" t="s">
        <v>522</v>
      </c>
      <c r="E418" s="527" t="s">
        <v>523</v>
      </c>
      <c r="F418" s="527" t="s">
        <v>524</v>
      </c>
      <c r="G418" s="527">
        <v>4</v>
      </c>
      <c r="H418" s="527" t="s">
        <v>10</v>
      </c>
      <c r="I418" s="527" t="s">
        <v>522</v>
      </c>
      <c r="J418" s="527" t="s">
        <v>2889</v>
      </c>
      <c r="K418" s="527" t="s">
        <v>2889</v>
      </c>
      <c r="L418" s="527" t="s">
        <v>6776</v>
      </c>
      <c r="M418" s="524"/>
      <c r="N418" s="524"/>
      <c r="O418" s="524"/>
    </row>
    <row r="419" spans="1:15" ht="58" hidden="1">
      <c r="A419" s="525">
        <v>148</v>
      </c>
      <c r="B419" s="524" t="str">
        <f>VLOOKUP(A419,'Hours Detail'!$E$17:$H$1048576,4,)</f>
        <v>No</v>
      </c>
      <c r="C419" s="524" t="s">
        <v>207</v>
      </c>
      <c r="D419" s="524" t="s">
        <v>693</v>
      </c>
      <c r="E419" s="524" t="s">
        <v>694</v>
      </c>
      <c r="F419" s="524" t="s">
        <v>694</v>
      </c>
      <c r="G419" s="524" t="s">
        <v>694</v>
      </c>
      <c r="H419" s="524" t="s">
        <v>694</v>
      </c>
      <c r="I419" s="524" t="s">
        <v>6777</v>
      </c>
      <c r="J419" s="524" t="s">
        <v>693</v>
      </c>
      <c r="K419" s="524" t="s">
        <v>6359</v>
      </c>
      <c r="L419" s="524" t="s">
        <v>6368</v>
      </c>
      <c r="M419" s="524" t="s">
        <v>6370</v>
      </c>
      <c r="N419" s="524"/>
      <c r="O419" s="524"/>
    </row>
    <row r="420" spans="1:15" ht="101.5" hidden="1">
      <c r="A420" s="527">
        <v>148</v>
      </c>
      <c r="B420" s="524" t="str">
        <f>VLOOKUP(A420,'Hours Detail'!$E$17:$H$1048576,4,)</f>
        <v>No</v>
      </c>
      <c r="C420" s="527" t="s">
        <v>207</v>
      </c>
      <c r="D420" s="527" t="s">
        <v>676</v>
      </c>
      <c r="E420" s="527" t="s">
        <v>693</v>
      </c>
      <c r="F420" s="527" t="s">
        <v>694</v>
      </c>
      <c r="G420" s="527">
        <v>9</v>
      </c>
      <c r="H420" s="527" t="s">
        <v>0</v>
      </c>
      <c r="I420" s="527" t="s">
        <v>674</v>
      </c>
      <c r="J420" s="527" t="s">
        <v>2889</v>
      </c>
      <c r="K420" s="527" t="s">
        <v>2889</v>
      </c>
      <c r="L420" s="527" t="s">
        <v>6778</v>
      </c>
      <c r="M420" s="524"/>
      <c r="N420" s="524"/>
      <c r="O420" s="524"/>
    </row>
    <row r="421" spans="1:15" ht="43.5" hidden="1">
      <c r="A421" s="524">
        <v>149</v>
      </c>
      <c r="B421" s="524" t="e">
        <f>VLOOKUP(A421,'Hours Detail'!$E$17:$H$1048576,4,)</f>
        <v>#N/A</v>
      </c>
      <c r="C421" s="524" t="s">
        <v>5208</v>
      </c>
      <c r="D421" s="524" t="s">
        <v>1683</v>
      </c>
      <c r="E421" s="524" t="s">
        <v>4268</v>
      </c>
      <c r="F421" s="524" t="s">
        <v>4268</v>
      </c>
      <c r="G421" s="524" t="s">
        <v>4268</v>
      </c>
      <c r="H421" s="524" t="s">
        <v>4268</v>
      </c>
      <c r="I421" s="524" t="s">
        <v>6779</v>
      </c>
      <c r="J421" s="524" t="s">
        <v>1683</v>
      </c>
      <c r="K421" s="524" t="s">
        <v>6359</v>
      </c>
      <c r="L421" s="524" t="s">
        <v>6381</v>
      </c>
      <c r="M421" s="524" t="s">
        <v>522</v>
      </c>
      <c r="N421" s="524"/>
      <c r="O421" s="524"/>
    </row>
    <row r="422" spans="1:15" ht="101.5" hidden="1">
      <c r="A422" s="527">
        <v>149</v>
      </c>
      <c r="B422" s="524" t="e">
        <f>VLOOKUP(A422,'Hours Detail'!$E$17:$H$1048576,4,)</f>
        <v>#N/A</v>
      </c>
      <c r="C422" s="527" t="s">
        <v>1682</v>
      </c>
      <c r="D422" s="527" t="s">
        <v>4703</v>
      </c>
      <c r="E422" s="527" t="s">
        <v>1683</v>
      </c>
      <c r="F422" s="527" t="s">
        <v>1684</v>
      </c>
      <c r="G422" s="527">
        <v>283</v>
      </c>
      <c r="H422" s="527" t="s">
        <v>4705</v>
      </c>
      <c r="I422" s="527" t="s">
        <v>4704</v>
      </c>
      <c r="J422" s="527" t="s">
        <v>2890</v>
      </c>
      <c r="K422" s="527" t="s">
        <v>2890</v>
      </c>
      <c r="L422" s="527" t="s">
        <v>6780</v>
      </c>
      <c r="M422" s="524"/>
      <c r="N422" s="524"/>
      <c r="O422" s="524"/>
    </row>
    <row r="423" spans="1:15" ht="29" hidden="1">
      <c r="A423" s="524">
        <v>151</v>
      </c>
      <c r="B423" s="524" t="e">
        <f>VLOOKUP(A423,'Hours Detail'!$E$17:$H$1048576,4,)</f>
        <v>#N/A</v>
      </c>
      <c r="C423" s="524" t="s">
        <v>1772</v>
      </c>
      <c r="D423" s="524" t="s">
        <v>1773</v>
      </c>
      <c r="E423" s="524" t="s">
        <v>1774</v>
      </c>
      <c r="F423" s="524" t="s">
        <v>1774</v>
      </c>
      <c r="G423" s="524" t="s">
        <v>1774</v>
      </c>
      <c r="H423" s="524" t="s">
        <v>1774</v>
      </c>
      <c r="I423" s="524" t="s">
        <v>1773</v>
      </c>
      <c r="J423" s="524" t="s">
        <v>1773</v>
      </c>
      <c r="K423" s="524"/>
      <c r="L423" s="524" t="s">
        <v>6368</v>
      </c>
      <c r="M423" s="524" t="s">
        <v>6370</v>
      </c>
      <c r="N423" s="524"/>
      <c r="O423" s="524"/>
    </row>
    <row r="424" spans="1:15" ht="58" hidden="1">
      <c r="A424" s="527">
        <v>151</v>
      </c>
      <c r="B424" s="524" t="e">
        <f>VLOOKUP(A424,'Hours Detail'!$E$17:$H$1048576,4,)</f>
        <v>#N/A</v>
      </c>
      <c r="C424" s="527" t="s">
        <v>1772</v>
      </c>
      <c r="D424" s="527" t="s">
        <v>2170</v>
      </c>
      <c r="E424" s="527" t="s">
        <v>1773</v>
      </c>
      <c r="F424" s="527" t="s">
        <v>1774</v>
      </c>
      <c r="G424" s="527">
        <v>5</v>
      </c>
      <c r="H424" s="527" t="s">
        <v>177</v>
      </c>
      <c r="I424" s="527" t="s">
        <v>2310</v>
      </c>
      <c r="J424" s="527" t="s">
        <v>2890</v>
      </c>
      <c r="K424" s="527" t="s">
        <v>2890</v>
      </c>
      <c r="L424" s="527" t="s">
        <v>6371</v>
      </c>
      <c r="M424" s="524"/>
      <c r="N424" s="524"/>
      <c r="O424" s="524"/>
    </row>
    <row r="425" spans="1:15" ht="29" hidden="1">
      <c r="A425" s="524">
        <v>152</v>
      </c>
      <c r="B425" s="524" t="e">
        <f>VLOOKUP(A425,'Hours Detail'!$E$17:$H$1048576,4,)</f>
        <v>#N/A</v>
      </c>
      <c r="C425" s="524" t="s">
        <v>1745</v>
      </c>
      <c r="D425" s="524" t="s">
        <v>1746</v>
      </c>
      <c r="E425" s="524" t="s">
        <v>1747</v>
      </c>
      <c r="F425" s="524" t="s">
        <v>1747</v>
      </c>
      <c r="G425" s="524" t="s">
        <v>1747</v>
      </c>
      <c r="H425" s="524" t="s">
        <v>1747</v>
      </c>
      <c r="I425" s="524" t="s">
        <v>1746</v>
      </c>
      <c r="J425" s="524" t="s">
        <v>1746</v>
      </c>
      <c r="K425" s="524"/>
      <c r="L425" s="524" t="s">
        <v>6379</v>
      </c>
      <c r="M425" s="524" t="s">
        <v>6380</v>
      </c>
      <c r="N425" s="524"/>
      <c r="O425" s="524"/>
    </row>
    <row r="426" spans="1:15" ht="58" hidden="1">
      <c r="A426" s="527">
        <v>152</v>
      </c>
      <c r="B426" s="524" t="e">
        <f>VLOOKUP(A426,'Hours Detail'!$E$17:$H$1048576,4,)</f>
        <v>#N/A</v>
      </c>
      <c r="C426" s="527" t="s">
        <v>1745</v>
      </c>
      <c r="D426" s="527" t="s">
        <v>470</v>
      </c>
      <c r="E426" s="527" t="s">
        <v>1746</v>
      </c>
      <c r="F426" s="527" t="s">
        <v>1747</v>
      </c>
      <c r="G426" s="527">
        <v>3</v>
      </c>
      <c r="H426" s="527" t="s">
        <v>149</v>
      </c>
      <c r="I426" s="527" t="s">
        <v>468</v>
      </c>
      <c r="J426" s="527" t="s">
        <v>2890</v>
      </c>
      <c r="K426" s="527" t="s">
        <v>2890</v>
      </c>
      <c r="L426" s="527" t="s">
        <v>6371</v>
      </c>
      <c r="M426" s="524"/>
      <c r="N426" s="524"/>
      <c r="O426" s="524"/>
    </row>
    <row r="427" spans="1:15" ht="87" hidden="1">
      <c r="A427" s="524">
        <v>153</v>
      </c>
      <c r="B427" s="524" t="e">
        <f>VLOOKUP(A427,'Hours Detail'!$E$17:$H$1048576,4,)</f>
        <v>#N/A</v>
      </c>
      <c r="C427" s="524" t="s">
        <v>1637</v>
      </c>
      <c r="D427" s="524" t="s">
        <v>1638</v>
      </c>
      <c r="E427" s="524" t="s">
        <v>4177</v>
      </c>
      <c r="F427" s="524" t="s">
        <v>4177</v>
      </c>
      <c r="G427" s="524" t="s">
        <v>4177</v>
      </c>
      <c r="H427" s="524" t="s">
        <v>4177</v>
      </c>
      <c r="I427" s="524" t="s">
        <v>6781</v>
      </c>
      <c r="J427" s="524" t="s">
        <v>1638</v>
      </c>
      <c r="K427" s="524"/>
      <c r="L427" s="524" t="s">
        <v>6399</v>
      </c>
      <c r="M427" s="524" t="s">
        <v>6613</v>
      </c>
      <c r="N427" s="524"/>
      <c r="O427" s="524"/>
    </row>
    <row r="428" spans="1:15" ht="43.5" hidden="1">
      <c r="A428" s="527">
        <v>153</v>
      </c>
      <c r="B428" s="524" t="e">
        <f>VLOOKUP(A428,'Hours Detail'!$E$17:$H$1048576,4,)</f>
        <v>#N/A</v>
      </c>
      <c r="C428" s="527" t="s">
        <v>1637</v>
      </c>
      <c r="D428" s="527" t="s">
        <v>676</v>
      </c>
      <c r="E428" s="527" t="s">
        <v>1638</v>
      </c>
      <c r="F428" s="527" t="s">
        <v>1639</v>
      </c>
      <c r="G428" s="527">
        <v>9</v>
      </c>
      <c r="H428" s="527" t="s">
        <v>0</v>
      </c>
      <c r="I428" s="527" t="s">
        <v>674</v>
      </c>
      <c r="J428" s="527" t="s">
        <v>2890</v>
      </c>
      <c r="K428" s="527" t="s">
        <v>2890</v>
      </c>
      <c r="L428" s="527" t="s">
        <v>6371</v>
      </c>
      <c r="M428" s="524"/>
      <c r="N428" s="524"/>
      <c r="O428" s="524"/>
    </row>
    <row r="429" spans="1:15" ht="58" hidden="1">
      <c r="A429" s="524">
        <v>154</v>
      </c>
      <c r="B429" s="524" t="e">
        <f>VLOOKUP(A429,'Hours Detail'!$E$17:$H$1048576,4,)</f>
        <v>#N/A</v>
      </c>
      <c r="C429" s="524" t="s">
        <v>1820</v>
      </c>
      <c r="D429" s="524" t="s">
        <v>1821</v>
      </c>
      <c r="E429" s="524" t="s">
        <v>1822</v>
      </c>
      <c r="F429" s="524" t="s">
        <v>1822</v>
      </c>
      <c r="G429" s="524" t="s">
        <v>1822</v>
      </c>
      <c r="H429" s="524" t="s">
        <v>1822</v>
      </c>
      <c r="I429" s="524" t="s">
        <v>1821</v>
      </c>
      <c r="J429" s="524" t="s">
        <v>1821</v>
      </c>
      <c r="K429" s="524"/>
      <c r="L429" s="524" t="s">
        <v>6414</v>
      </c>
      <c r="M429" s="524" t="s">
        <v>6415</v>
      </c>
      <c r="N429" s="524"/>
      <c r="O429" s="524"/>
    </row>
    <row r="430" spans="1:15" ht="43.5" hidden="1">
      <c r="A430" s="527">
        <v>154</v>
      </c>
      <c r="B430" s="524" t="e">
        <f>VLOOKUP(A430,'Hours Detail'!$E$17:$H$1048576,4,)</f>
        <v>#N/A</v>
      </c>
      <c r="C430" s="527" t="s">
        <v>1820</v>
      </c>
      <c r="D430" s="527" t="s">
        <v>676</v>
      </c>
      <c r="E430" s="527" t="s">
        <v>1821</v>
      </c>
      <c r="F430" s="527" t="s">
        <v>1822</v>
      </c>
      <c r="G430" s="527">
        <v>9</v>
      </c>
      <c r="H430" s="527" t="s">
        <v>0</v>
      </c>
      <c r="I430" s="527" t="s">
        <v>674</v>
      </c>
      <c r="J430" s="527" t="s">
        <v>2890</v>
      </c>
      <c r="K430" s="527" t="s">
        <v>2890</v>
      </c>
      <c r="L430" s="527" t="s">
        <v>6371</v>
      </c>
      <c r="M430" s="524"/>
      <c r="N430" s="524"/>
      <c r="O430" s="524"/>
    </row>
    <row r="431" spans="1:15" ht="58" hidden="1">
      <c r="A431" s="524">
        <v>155</v>
      </c>
      <c r="B431" s="524" t="e">
        <f>VLOOKUP(A431,'Hours Detail'!$E$17:$H$1048576,4,)</f>
        <v>#N/A</v>
      </c>
      <c r="C431" s="524" t="s">
        <v>4176</v>
      </c>
      <c r="D431" s="524" t="s">
        <v>1818</v>
      </c>
      <c r="E431" s="524" t="s">
        <v>1819</v>
      </c>
      <c r="F431" s="524" t="s">
        <v>1819</v>
      </c>
      <c r="G431" s="524" t="s">
        <v>1819</v>
      </c>
      <c r="H431" s="524" t="s">
        <v>1819</v>
      </c>
      <c r="I431" s="524" t="s">
        <v>1818</v>
      </c>
      <c r="J431" s="524" t="s">
        <v>1818</v>
      </c>
      <c r="K431" s="524"/>
      <c r="L431" s="524" t="s">
        <v>6399</v>
      </c>
      <c r="M431" s="524" t="s">
        <v>6437</v>
      </c>
      <c r="N431" s="524"/>
      <c r="O431" s="524"/>
    </row>
    <row r="432" spans="1:15" ht="43.5" hidden="1">
      <c r="A432" s="527">
        <v>155</v>
      </c>
      <c r="B432" s="524" t="e">
        <f>VLOOKUP(A432,'Hours Detail'!$E$17:$H$1048576,4,)</f>
        <v>#N/A</v>
      </c>
      <c r="C432" s="527" t="s">
        <v>2901</v>
      </c>
      <c r="D432" s="527" t="s">
        <v>676</v>
      </c>
      <c r="E432" s="527" t="s">
        <v>1818</v>
      </c>
      <c r="F432" s="527" t="s">
        <v>1819</v>
      </c>
      <c r="G432" s="527">
        <v>9</v>
      </c>
      <c r="H432" s="527" t="s">
        <v>0</v>
      </c>
      <c r="I432" s="527" t="s">
        <v>674</v>
      </c>
      <c r="J432" s="527" t="s">
        <v>2890</v>
      </c>
      <c r="K432" s="527" t="s">
        <v>2890</v>
      </c>
      <c r="L432" s="527" t="s">
        <v>6371</v>
      </c>
      <c r="M432" s="524"/>
      <c r="N432" s="524"/>
      <c r="O432" s="524"/>
    </row>
    <row r="433" spans="1:15" ht="43.5" hidden="1">
      <c r="A433" s="524">
        <v>156</v>
      </c>
      <c r="B433" s="524" t="e">
        <f>VLOOKUP(A433,'Hours Detail'!$E$17:$H$1048576,4,)</f>
        <v>#N/A</v>
      </c>
      <c r="C433" s="524" t="s">
        <v>1718</v>
      </c>
      <c r="D433" s="524" t="s">
        <v>1719</v>
      </c>
      <c r="E433" s="524" t="s">
        <v>4259</v>
      </c>
      <c r="F433" s="524" t="s">
        <v>4259</v>
      </c>
      <c r="G433" s="524" t="s">
        <v>4259</v>
      </c>
      <c r="H433" s="524" t="s">
        <v>4259</v>
      </c>
      <c r="I433" s="524" t="s">
        <v>6782</v>
      </c>
      <c r="J433" s="524" t="s">
        <v>1719</v>
      </c>
      <c r="K433" s="524"/>
      <c r="L433" s="524" t="s">
        <v>6397</v>
      </c>
      <c r="M433" s="524" t="s">
        <v>2384</v>
      </c>
      <c r="N433" s="524"/>
      <c r="O433" s="524"/>
    </row>
    <row r="434" spans="1:15" ht="58" hidden="1">
      <c r="A434" s="527">
        <v>156</v>
      </c>
      <c r="B434" s="524" t="e">
        <f>VLOOKUP(A434,'Hours Detail'!$E$17:$H$1048576,4,)</f>
        <v>#N/A</v>
      </c>
      <c r="C434" s="527" t="s">
        <v>1718</v>
      </c>
      <c r="D434" s="527" t="s">
        <v>2170</v>
      </c>
      <c r="E434" s="527" t="s">
        <v>1719</v>
      </c>
      <c r="F434" s="527" t="s">
        <v>1720</v>
      </c>
      <c r="G434" s="527">
        <v>5</v>
      </c>
      <c r="H434" s="527" t="s">
        <v>177</v>
      </c>
      <c r="I434" s="527" t="s">
        <v>2310</v>
      </c>
      <c r="J434" s="527" t="s">
        <v>2890</v>
      </c>
      <c r="K434" s="527" t="s">
        <v>2890</v>
      </c>
      <c r="L434" s="527" t="s">
        <v>6371</v>
      </c>
      <c r="M434" s="524"/>
      <c r="N434" s="524"/>
      <c r="O434" s="524"/>
    </row>
    <row r="435" spans="1:15" ht="87" hidden="1">
      <c r="A435" s="524">
        <v>157</v>
      </c>
      <c r="B435" s="524" t="e">
        <f>VLOOKUP(A435,'Hours Detail'!$E$17:$H$1048576,4,)</f>
        <v>#N/A</v>
      </c>
      <c r="C435" s="524" t="s">
        <v>1634</v>
      </c>
      <c r="D435" s="524" t="s">
        <v>1635</v>
      </c>
      <c r="E435" s="524" t="s">
        <v>4192</v>
      </c>
      <c r="F435" s="524" t="s">
        <v>4192</v>
      </c>
      <c r="G435" s="524" t="s">
        <v>4192</v>
      </c>
      <c r="H435" s="524" t="s">
        <v>4192</v>
      </c>
      <c r="I435" s="524" t="s">
        <v>6783</v>
      </c>
      <c r="J435" s="524" t="s">
        <v>1635</v>
      </c>
      <c r="K435" s="524"/>
      <c r="L435" s="524" t="s">
        <v>6399</v>
      </c>
      <c r="M435" s="524" t="s">
        <v>6459</v>
      </c>
      <c r="N435" s="524"/>
      <c r="O435" s="524"/>
    </row>
    <row r="436" spans="1:15" ht="43.5" hidden="1">
      <c r="A436" s="527">
        <v>157</v>
      </c>
      <c r="B436" s="524" t="e">
        <f>VLOOKUP(A436,'Hours Detail'!$E$17:$H$1048576,4,)</f>
        <v>#N/A</v>
      </c>
      <c r="C436" s="527" t="s">
        <v>1634</v>
      </c>
      <c r="D436" s="527" t="s">
        <v>2171</v>
      </c>
      <c r="E436" s="527" t="s">
        <v>1635</v>
      </c>
      <c r="F436" s="527" t="s">
        <v>1636</v>
      </c>
      <c r="G436" s="527">
        <v>8</v>
      </c>
      <c r="H436" s="527" t="s">
        <v>188</v>
      </c>
      <c r="I436" s="527" t="s">
        <v>2314</v>
      </c>
      <c r="J436" s="527" t="s">
        <v>2890</v>
      </c>
      <c r="K436" s="527" t="s">
        <v>2890</v>
      </c>
      <c r="L436" s="527" t="s">
        <v>6784</v>
      </c>
      <c r="M436" s="524"/>
      <c r="N436" s="524"/>
      <c r="O436" s="524"/>
    </row>
    <row r="437" spans="1:15" ht="87" hidden="1">
      <c r="A437" s="524">
        <v>158</v>
      </c>
      <c r="B437" s="524" t="e">
        <f>VLOOKUP(A437,'Hours Detail'!$E$17:$H$1048576,4,)</f>
        <v>#N/A</v>
      </c>
      <c r="C437" s="524" t="s">
        <v>5207</v>
      </c>
      <c r="D437" s="524" t="s">
        <v>1680</v>
      </c>
      <c r="E437" s="524" t="s">
        <v>4267</v>
      </c>
      <c r="F437" s="524" t="s">
        <v>4267</v>
      </c>
      <c r="G437" s="524" t="s">
        <v>4267</v>
      </c>
      <c r="H437" s="524" t="s">
        <v>4267</v>
      </c>
      <c r="I437" s="524" t="s">
        <v>6785</v>
      </c>
      <c r="J437" s="524" t="s">
        <v>1680</v>
      </c>
      <c r="K437" s="524" t="s">
        <v>6359</v>
      </c>
      <c r="L437" s="524" t="s">
        <v>6381</v>
      </c>
      <c r="M437" s="524" t="s">
        <v>522</v>
      </c>
      <c r="N437" s="524"/>
      <c r="O437" s="524"/>
    </row>
    <row r="438" spans="1:15" ht="72.5" hidden="1">
      <c r="A438" s="527">
        <v>158</v>
      </c>
      <c r="B438" s="524" t="e">
        <f>VLOOKUP(A438,'Hours Detail'!$E$17:$H$1048576,4,)</f>
        <v>#N/A</v>
      </c>
      <c r="C438" s="527" t="s">
        <v>1679</v>
      </c>
      <c r="D438" s="527" t="s">
        <v>4703</v>
      </c>
      <c r="E438" s="527" t="s">
        <v>1680</v>
      </c>
      <c r="F438" s="527" t="s">
        <v>1681</v>
      </c>
      <c r="G438" s="527">
        <v>283</v>
      </c>
      <c r="H438" s="527" t="s">
        <v>4705</v>
      </c>
      <c r="I438" s="527" t="s">
        <v>4704</v>
      </c>
      <c r="J438" s="527" t="s">
        <v>2890</v>
      </c>
      <c r="K438" s="527" t="s">
        <v>2890</v>
      </c>
      <c r="L438" s="527" t="s">
        <v>6786</v>
      </c>
      <c r="M438" s="524"/>
      <c r="N438" s="524"/>
      <c r="O438" s="524"/>
    </row>
    <row r="439" spans="1:15" ht="29" hidden="1">
      <c r="A439" s="524">
        <v>159</v>
      </c>
      <c r="B439" s="524" t="e">
        <f>VLOOKUP(A439,'Hours Detail'!$E$17:$H$1048576,4,)</f>
        <v>#N/A</v>
      </c>
      <c r="C439" s="524" t="s">
        <v>1766</v>
      </c>
      <c r="D439" s="524" t="s">
        <v>1767</v>
      </c>
      <c r="E439" s="524" t="s">
        <v>1768</v>
      </c>
      <c r="F439" s="524" t="s">
        <v>1768</v>
      </c>
      <c r="G439" s="524" t="s">
        <v>1768</v>
      </c>
      <c r="H439" s="524" t="s">
        <v>1768</v>
      </c>
      <c r="I439" s="524" t="s">
        <v>1767</v>
      </c>
      <c r="J439" s="524" t="s">
        <v>1767</v>
      </c>
      <c r="K439" s="524"/>
      <c r="L439" s="524" t="s">
        <v>6414</v>
      </c>
      <c r="M439" s="524" t="s">
        <v>6415</v>
      </c>
      <c r="N439" s="524"/>
      <c r="O439" s="524"/>
    </row>
    <row r="440" spans="1:15" ht="58" hidden="1">
      <c r="A440" s="527">
        <v>159</v>
      </c>
      <c r="B440" s="524" t="e">
        <f>VLOOKUP(A440,'Hours Detail'!$E$17:$H$1048576,4,)</f>
        <v>#N/A</v>
      </c>
      <c r="C440" s="527" t="s">
        <v>1766</v>
      </c>
      <c r="D440" s="527" t="s">
        <v>2170</v>
      </c>
      <c r="E440" s="527" t="s">
        <v>1767</v>
      </c>
      <c r="F440" s="527" t="s">
        <v>1768</v>
      </c>
      <c r="G440" s="527">
        <v>5</v>
      </c>
      <c r="H440" s="527" t="s">
        <v>177</v>
      </c>
      <c r="I440" s="527" t="s">
        <v>2310</v>
      </c>
      <c r="J440" s="527" t="s">
        <v>2890</v>
      </c>
      <c r="K440" s="527" t="s">
        <v>2890</v>
      </c>
      <c r="L440" s="527" t="s">
        <v>6371</v>
      </c>
      <c r="M440" s="524"/>
      <c r="N440" s="524"/>
      <c r="O440" s="524"/>
    </row>
    <row r="441" spans="1:15" ht="43.5" hidden="1">
      <c r="A441" s="524">
        <v>160</v>
      </c>
      <c r="B441" s="524" t="e">
        <f>VLOOKUP(A441,'Hours Detail'!$E$17:$H$1048576,4,)</f>
        <v>#N/A</v>
      </c>
      <c r="C441" s="524" t="s">
        <v>1859</v>
      </c>
      <c r="D441" s="524" t="s">
        <v>1860</v>
      </c>
      <c r="E441" s="524" t="s">
        <v>1861</v>
      </c>
      <c r="F441" s="524" t="s">
        <v>1861</v>
      </c>
      <c r="G441" s="524" t="s">
        <v>1861</v>
      </c>
      <c r="H441" s="524" t="s">
        <v>1861</v>
      </c>
      <c r="I441" s="524" t="s">
        <v>6787</v>
      </c>
      <c r="J441" s="524" t="s">
        <v>1860</v>
      </c>
      <c r="K441" s="524"/>
      <c r="L441" s="524" t="s">
        <v>6414</v>
      </c>
      <c r="M441" s="524" t="s">
        <v>6415</v>
      </c>
      <c r="N441" s="524"/>
      <c r="O441" s="524"/>
    </row>
    <row r="442" spans="1:15" ht="43.5" hidden="1">
      <c r="A442" s="527">
        <v>160</v>
      </c>
      <c r="B442" s="524" t="e">
        <f>VLOOKUP(A442,'Hours Detail'!$E$17:$H$1048576,4,)</f>
        <v>#N/A</v>
      </c>
      <c r="C442" s="527" t="s">
        <v>1859</v>
      </c>
      <c r="D442" s="527" t="s">
        <v>2174</v>
      </c>
      <c r="E442" s="527" t="s">
        <v>1860</v>
      </c>
      <c r="F442" s="527" t="s">
        <v>1861</v>
      </c>
      <c r="G442" s="527">
        <v>26</v>
      </c>
      <c r="H442" s="527" t="s">
        <v>237</v>
      </c>
      <c r="I442" s="527" t="s">
        <v>2322</v>
      </c>
      <c r="J442" s="527" t="s">
        <v>2890</v>
      </c>
      <c r="K442" s="527" t="s">
        <v>2889</v>
      </c>
      <c r="L442" s="527" t="s">
        <v>6371</v>
      </c>
      <c r="M442" s="524"/>
      <c r="N442" s="524"/>
      <c r="O442" s="524"/>
    </row>
    <row r="443" spans="1:15" ht="72.5" hidden="1">
      <c r="A443" s="524">
        <v>161</v>
      </c>
      <c r="B443" s="524" t="e">
        <f>VLOOKUP(A443,'Hours Detail'!$E$17:$H$1048576,4,)</f>
        <v>#N/A</v>
      </c>
      <c r="C443" s="524" t="s">
        <v>5206</v>
      </c>
      <c r="D443" s="524" t="s">
        <v>5205</v>
      </c>
      <c r="E443" s="524" t="s">
        <v>5204</v>
      </c>
      <c r="F443" s="524" t="s">
        <v>5204</v>
      </c>
      <c r="G443" s="524" t="s">
        <v>5204</v>
      </c>
      <c r="H443" s="524" t="s">
        <v>5204</v>
      </c>
      <c r="I443" s="524" t="s">
        <v>6788</v>
      </c>
      <c r="J443" s="524" t="s">
        <v>5205</v>
      </c>
      <c r="K443" s="524" t="s">
        <v>6359</v>
      </c>
      <c r="L443" s="524" t="s">
        <v>6381</v>
      </c>
      <c r="M443" s="524" t="s">
        <v>442</v>
      </c>
      <c r="N443" s="524"/>
      <c r="O443" s="524"/>
    </row>
    <row r="444" spans="1:15" ht="87" hidden="1">
      <c r="A444" s="527">
        <v>161</v>
      </c>
      <c r="B444" s="524" t="e">
        <f>VLOOKUP(A444,'Hours Detail'!$E$17:$H$1048576,4,)</f>
        <v>#N/A</v>
      </c>
      <c r="C444" s="527" t="s">
        <v>1712</v>
      </c>
      <c r="D444" s="527" t="s">
        <v>4703</v>
      </c>
      <c r="E444" s="527" t="s">
        <v>1713</v>
      </c>
      <c r="F444" s="527" t="s">
        <v>1714</v>
      </c>
      <c r="G444" s="527">
        <v>283</v>
      </c>
      <c r="H444" s="527" t="s">
        <v>4705</v>
      </c>
      <c r="I444" s="527" t="s">
        <v>4704</v>
      </c>
      <c r="J444" s="527" t="s">
        <v>2890</v>
      </c>
      <c r="K444" s="527" t="s">
        <v>2890</v>
      </c>
      <c r="L444" s="527" t="s">
        <v>6789</v>
      </c>
      <c r="M444" s="524"/>
      <c r="N444" s="524"/>
      <c r="O444" s="524"/>
    </row>
    <row r="445" spans="1:15" ht="72.5" hidden="1">
      <c r="A445" s="525">
        <v>162</v>
      </c>
      <c r="B445" s="524" t="e">
        <f>VLOOKUP(A445,'Hours Detail'!$E$17:$H$1048576,4,)</f>
        <v>#N/A</v>
      </c>
      <c r="C445" s="524" t="s">
        <v>205</v>
      </c>
      <c r="D445" s="524" t="s">
        <v>633</v>
      </c>
      <c r="E445" s="524" t="s">
        <v>634</v>
      </c>
      <c r="F445" s="524" t="s">
        <v>634</v>
      </c>
      <c r="G445" s="524" t="s">
        <v>634</v>
      </c>
      <c r="H445" s="524" t="s">
        <v>634</v>
      </c>
      <c r="I445" s="524" t="s">
        <v>633</v>
      </c>
      <c r="J445" s="524" t="s">
        <v>6790</v>
      </c>
      <c r="K445" s="524"/>
      <c r="L445" s="524" t="s">
        <v>6399</v>
      </c>
      <c r="M445" s="524" t="s">
        <v>6437</v>
      </c>
      <c r="N445" s="524"/>
      <c r="O445" s="524"/>
    </row>
    <row r="446" spans="1:15" ht="43.5" hidden="1">
      <c r="A446" s="527">
        <v>162</v>
      </c>
      <c r="B446" s="524" t="e">
        <f>VLOOKUP(A446,'Hours Detail'!$E$17:$H$1048576,4,)</f>
        <v>#N/A</v>
      </c>
      <c r="C446" s="527" t="s">
        <v>205</v>
      </c>
      <c r="D446" s="527" t="s">
        <v>2171</v>
      </c>
      <c r="E446" s="527" t="s">
        <v>633</v>
      </c>
      <c r="F446" s="527" t="s">
        <v>634</v>
      </c>
      <c r="G446" s="527">
        <v>8</v>
      </c>
      <c r="H446" s="527" t="s">
        <v>188</v>
      </c>
      <c r="I446" s="527" t="s">
        <v>2314</v>
      </c>
      <c r="J446" s="527" t="s">
        <v>2890</v>
      </c>
      <c r="K446" s="527" t="s">
        <v>2889</v>
      </c>
      <c r="L446" s="527" t="s">
        <v>6371</v>
      </c>
      <c r="M446" s="524"/>
      <c r="N446" s="524"/>
      <c r="O446" s="524"/>
    </row>
    <row r="447" spans="1:15" ht="43.5" hidden="1">
      <c r="A447" s="524">
        <v>163</v>
      </c>
      <c r="B447" s="524" t="e">
        <f>VLOOKUP(A447,'Hours Detail'!$E$17:$H$1048576,4,)</f>
        <v>#N/A</v>
      </c>
      <c r="C447" s="524" t="s">
        <v>1709</v>
      </c>
      <c r="D447" s="524" t="s">
        <v>1710</v>
      </c>
      <c r="E447" s="524" t="s">
        <v>1711</v>
      </c>
      <c r="F447" s="524" t="s">
        <v>1711</v>
      </c>
      <c r="G447" s="524" t="s">
        <v>1711</v>
      </c>
      <c r="H447" s="524" t="s">
        <v>1711</v>
      </c>
      <c r="I447" s="524" t="s">
        <v>6722</v>
      </c>
      <c r="J447" s="524" t="s">
        <v>1710</v>
      </c>
      <c r="K447" s="524"/>
      <c r="L447" s="524" t="s">
        <v>6414</v>
      </c>
      <c r="M447" s="524" t="s">
        <v>6415</v>
      </c>
      <c r="N447" s="524"/>
      <c r="O447" s="524"/>
    </row>
    <row r="448" spans="1:15" ht="29" hidden="1">
      <c r="A448" s="527">
        <v>163</v>
      </c>
      <c r="B448" s="524" t="e">
        <f>VLOOKUP(A448,'Hours Detail'!$E$17:$H$1048576,4,)</f>
        <v>#N/A</v>
      </c>
      <c r="C448" s="527" t="s">
        <v>1709</v>
      </c>
      <c r="D448" s="527" t="s">
        <v>2174</v>
      </c>
      <c r="E448" s="527" t="s">
        <v>1710</v>
      </c>
      <c r="F448" s="527" t="s">
        <v>1711</v>
      </c>
      <c r="G448" s="527">
        <v>26</v>
      </c>
      <c r="H448" s="527" t="s">
        <v>237</v>
      </c>
      <c r="I448" s="527" t="s">
        <v>2322</v>
      </c>
      <c r="J448" s="527" t="s">
        <v>2890</v>
      </c>
      <c r="K448" s="527" t="s">
        <v>2889</v>
      </c>
      <c r="L448" s="527" t="s">
        <v>6371</v>
      </c>
      <c r="M448" s="524"/>
      <c r="N448" s="524"/>
      <c r="O448" s="524"/>
    </row>
    <row r="449" spans="1:15" ht="58" hidden="1">
      <c r="A449" s="524">
        <v>164</v>
      </c>
      <c r="B449" s="524" t="e">
        <f>VLOOKUP(A449,'Hours Detail'!$E$17:$H$1048576,4,)</f>
        <v>#N/A</v>
      </c>
      <c r="C449" s="524" t="s">
        <v>1721</v>
      </c>
      <c r="D449" s="524" t="s">
        <v>1722</v>
      </c>
      <c r="E449" s="524" t="s">
        <v>1723</v>
      </c>
      <c r="F449" s="524" t="s">
        <v>1723</v>
      </c>
      <c r="G449" s="524" t="s">
        <v>1723</v>
      </c>
      <c r="H449" s="524" t="s">
        <v>1723</v>
      </c>
      <c r="I449" s="524" t="s">
        <v>6791</v>
      </c>
      <c r="J449" s="524" t="s">
        <v>1722</v>
      </c>
      <c r="K449" s="524"/>
      <c r="L449" s="524" t="s">
        <v>6397</v>
      </c>
      <c r="M449" s="524" t="s">
        <v>2384</v>
      </c>
      <c r="N449" s="524"/>
      <c r="O449" s="524"/>
    </row>
    <row r="450" spans="1:15" ht="58" hidden="1">
      <c r="A450" s="527">
        <v>164</v>
      </c>
      <c r="B450" s="524" t="e">
        <f>VLOOKUP(A450,'Hours Detail'!$E$17:$H$1048576,4,)</f>
        <v>#N/A</v>
      </c>
      <c r="C450" s="527" t="s">
        <v>1721</v>
      </c>
      <c r="D450" s="527" t="s">
        <v>2170</v>
      </c>
      <c r="E450" s="527" t="s">
        <v>1722</v>
      </c>
      <c r="F450" s="527" t="s">
        <v>1723</v>
      </c>
      <c r="G450" s="527">
        <v>5</v>
      </c>
      <c r="H450" s="527" t="s">
        <v>177</v>
      </c>
      <c r="I450" s="527" t="s">
        <v>2310</v>
      </c>
      <c r="J450" s="527" t="s">
        <v>2890</v>
      </c>
      <c r="K450" s="527" t="s">
        <v>2889</v>
      </c>
      <c r="L450" s="527" t="s">
        <v>6371</v>
      </c>
      <c r="M450" s="524"/>
      <c r="N450" s="524"/>
      <c r="O450" s="524"/>
    </row>
    <row r="451" spans="1:15" ht="43.5" hidden="1">
      <c r="A451" s="524">
        <v>165</v>
      </c>
      <c r="B451" s="524" t="e">
        <f>VLOOKUP(A451,'Hours Detail'!$E$17:$H$1048576,4,)</f>
        <v>#N/A</v>
      </c>
      <c r="C451" s="524" t="s">
        <v>1814</v>
      </c>
      <c r="D451" s="524" t="s">
        <v>1815</v>
      </c>
      <c r="E451" s="524" t="s">
        <v>1816</v>
      </c>
      <c r="F451" s="524" t="s">
        <v>1816</v>
      </c>
      <c r="G451" s="524" t="s">
        <v>1816</v>
      </c>
      <c r="H451" s="524" t="s">
        <v>1816</v>
      </c>
      <c r="I451" s="524" t="s">
        <v>1815</v>
      </c>
      <c r="J451" s="524" t="s">
        <v>1815</v>
      </c>
      <c r="K451" s="524"/>
      <c r="L451" s="524" t="s">
        <v>6381</v>
      </c>
      <c r="M451" s="524" t="s">
        <v>522</v>
      </c>
      <c r="N451" s="524"/>
      <c r="O451" s="524"/>
    </row>
    <row r="452" spans="1:15" ht="29" hidden="1">
      <c r="A452" s="527">
        <v>165</v>
      </c>
      <c r="B452" s="524" t="e">
        <f>VLOOKUP(A452,'Hours Detail'!$E$17:$H$1048576,4,)</f>
        <v>#N/A</v>
      </c>
      <c r="C452" s="527" t="s">
        <v>1814</v>
      </c>
      <c r="D452" s="527" t="s">
        <v>2171</v>
      </c>
      <c r="E452" s="527" t="s">
        <v>1815</v>
      </c>
      <c r="F452" s="527" t="s">
        <v>1816</v>
      </c>
      <c r="G452" s="527">
        <v>8</v>
      </c>
      <c r="H452" s="527" t="s">
        <v>188</v>
      </c>
      <c r="I452" s="527" t="s">
        <v>2314</v>
      </c>
      <c r="J452" s="527" t="s">
        <v>2890</v>
      </c>
      <c r="K452" s="527" t="s">
        <v>2890</v>
      </c>
      <c r="L452" s="527" t="s">
        <v>6784</v>
      </c>
      <c r="M452" s="524"/>
      <c r="N452" s="524"/>
      <c r="O452" s="524"/>
    </row>
    <row r="453" spans="1:15" ht="72.5" hidden="1">
      <c r="A453" s="524">
        <v>166</v>
      </c>
      <c r="B453" s="524" t="e">
        <f>VLOOKUP(A453,'Hours Detail'!$E$17:$H$1048576,4,)</f>
        <v>#N/A</v>
      </c>
      <c r="C453" s="524" t="s">
        <v>6792</v>
      </c>
      <c r="D453" s="524" t="s">
        <v>3659</v>
      </c>
      <c r="E453" s="524" t="s">
        <v>3658</v>
      </c>
      <c r="F453" s="524" t="s">
        <v>3658</v>
      </c>
      <c r="G453" s="524" t="s">
        <v>3658</v>
      </c>
      <c r="H453" s="524" t="s">
        <v>3658</v>
      </c>
      <c r="I453" s="524" t="s">
        <v>3659</v>
      </c>
      <c r="J453" s="524" t="s">
        <v>3659</v>
      </c>
      <c r="K453" s="524"/>
      <c r="L453" s="524" t="s">
        <v>6368</v>
      </c>
      <c r="M453" s="524" t="s">
        <v>6370</v>
      </c>
      <c r="N453" s="524"/>
      <c r="O453" s="524"/>
    </row>
    <row r="454" spans="1:15" ht="58" hidden="1">
      <c r="A454" s="527">
        <v>166</v>
      </c>
      <c r="B454" s="524" t="e">
        <f>VLOOKUP(A454,'Hours Detail'!$E$17:$H$1048576,4,)</f>
        <v>#N/A</v>
      </c>
      <c r="C454" s="527" t="s">
        <v>438</v>
      </c>
      <c r="D454" s="527" t="s">
        <v>1528</v>
      </c>
      <c r="E454" s="527" t="s">
        <v>1543</v>
      </c>
      <c r="F454" s="527" t="s">
        <v>1544</v>
      </c>
      <c r="G454" s="527">
        <v>511</v>
      </c>
      <c r="H454" s="527" t="s">
        <v>429</v>
      </c>
      <c r="I454" s="527" t="s">
        <v>1526</v>
      </c>
      <c r="J454" s="527" t="s">
        <v>2890</v>
      </c>
      <c r="K454" s="527" t="s">
        <v>2890</v>
      </c>
      <c r="L454" s="527" t="s">
        <v>6371</v>
      </c>
      <c r="M454" s="524"/>
      <c r="N454" s="524"/>
      <c r="O454" s="524"/>
    </row>
    <row r="455" spans="1:15" ht="29" hidden="1">
      <c r="A455" s="525">
        <v>169</v>
      </c>
      <c r="B455" s="524" t="e">
        <f>VLOOKUP(A455,'Hours Detail'!$E$17:$H$1048576,4,)</f>
        <v>#N/A</v>
      </c>
      <c r="C455" s="524" t="s">
        <v>4889</v>
      </c>
      <c r="D455" s="524" t="s">
        <v>4888</v>
      </c>
      <c r="E455" s="524" t="s">
        <v>4887</v>
      </c>
      <c r="F455" s="524" t="s">
        <v>4887</v>
      </c>
      <c r="G455" s="524" t="s">
        <v>4887</v>
      </c>
      <c r="H455" s="524" t="s">
        <v>4887</v>
      </c>
      <c r="I455" s="524" t="s">
        <v>6793</v>
      </c>
      <c r="J455" s="524" t="s">
        <v>4888</v>
      </c>
      <c r="K455" s="524"/>
      <c r="L455" s="524" t="s">
        <v>6376</v>
      </c>
      <c r="M455" s="524" t="s">
        <v>6377</v>
      </c>
      <c r="N455" s="524"/>
      <c r="O455" s="524"/>
    </row>
    <row r="456" spans="1:15" ht="58" hidden="1">
      <c r="A456" s="524">
        <v>170</v>
      </c>
      <c r="B456" s="524" t="e">
        <f>VLOOKUP(A456,'Hours Detail'!$E$17:$H$1048576,4,)</f>
        <v>#N/A</v>
      </c>
      <c r="C456" s="524" t="s">
        <v>437</v>
      </c>
      <c r="D456" s="524" t="s">
        <v>1539</v>
      </c>
      <c r="E456" s="524" t="s">
        <v>1540</v>
      </c>
      <c r="F456" s="524" t="s">
        <v>6794</v>
      </c>
      <c r="G456" s="524" t="s">
        <v>1540</v>
      </c>
      <c r="H456" s="524" t="s">
        <v>1540</v>
      </c>
      <c r="I456" s="524" t="s">
        <v>1539</v>
      </c>
      <c r="J456" s="524" t="s">
        <v>1539</v>
      </c>
      <c r="K456" s="524"/>
      <c r="L456" s="524" t="s">
        <v>6399</v>
      </c>
      <c r="M456" s="524" t="s">
        <v>6437</v>
      </c>
      <c r="N456" s="524"/>
      <c r="O456" s="524"/>
    </row>
    <row r="457" spans="1:15" ht="43.5" hidden="1">
      <c r="A457" s="527">
        <v>170</v>
      </c>
      <c r="B457" s="524" t="e">
        <f>VLOOKUP(A457,'Hours Detail'!$E$17:$H$1048576,4,)</f>
        <v>#N/A</v>
      </c>
      <c r="C457" s="527" t="s">
        <v>437</v>
      </c>
      <c r="D457" s="527" t="s">
        <v>1528</v>
      </c>
      <c r="E457" s="527" t="s">
        <v>1539</v>
      </c>
      <c r="F457" s="527" t="s">
        <v>1540</v>
      </c>
      <c r="G457" s="527">
        <v>511</v>
      </c>
      <c r="H457" s="527" t="s">
        <v>429</v>
      </c>
      <c r="I457" s="527" t="s">
        <v>1526</v>
      </c>
      <c r="J457" s="527" t="s">
        <v>2890</v>
      </c>
      <c r="K457" s="527" t="s">
        <v>2890</v>
      </c>
      <c r="L457" s="527" t="s">
        <v>6371</v>
      </c>
      <c r="M457" s="524"/>
      <c r="N457" s="524"/>
      <c r="O457" s="524"/>
    </row>
    <row r="458" spans="1:15" ht="72.5" hidden="1">
      <c r="A458" s="525">
        <v>171</v>
      </c>
      <c r="B458" s="524" t="e">
        <f>VLOOKUP(A458,'Hours Detail'!$E$17:$H$1048576,4,)</f>
        <v>#N/A</v>
      </c>
      <c r="C458" s="524" t="s">
        <v>66</v>
      </c>
      <c r="D458" s="524" t="s">
        <v>594</v>
      </c>
      <c r="E458" s="524" t="s">
        <v>595</v>
      </c>
      <c r="F458" s="524" t="s">
        <v>595</v>
      </c>
      <c r="G458" s="524" t="s">
        <v>595</v>
      </c>
      <c r="H458" s="524" t="s">
        <v>595</v>
      </c>
      <c r="I458" s="524" t="s">
        <v>594</v>
      </c>
      <c r="J458" s="524" t="s">
        <v>594</v>
      </c>
      <c r="K458" s="524"/>
      <c r="L458" s="524" t="s">
        <v>6399</v>
      </c>
      <c r="M458" s="524" t="s">
        <v>6437</v>
      </c>
      <c r="N458" s="524" t="s">
        <v>6795</v>
      </c>
      <c r="O458" s="524"/>
    </row>
    <row r="459" spans="1:15" ht="72.5" hidden="1">
      <c r="A459" s="527">
        <v>171</v>
      </c>
      <c r="B459" s="524" t="e">
        <f>VLOOKUP(A459,'Hours Detail'!$E$17:$H$1048576,4,)</f>
        <v>#N/A</v>
      </c>
      <c r="C459" s="527" t="s">
        <v>66</v>
      </c>
      <c r="D459" s="527" t="s">
        <v>2312</v>
      </c>
      <c r="E459" s="527" t="s">
        <v>594</v>
      </c>
      <c r="F459" s="527" t="s">
        <v>595</v>
      </c>
      <c r="G459" s="527">
        <v>6</v>
      </c>
      <c r="H459" s="527" t="s">
        <v>58</v>
      </c>
      <c r="I459" s="527" t="s">
        <v>2311</v>
      </c>
      <c r="J459" s="527" t="s">
        <v>2890</v>
      </c>
      <c r="K459" s="527" t="s">
        <v>2890</v>
      </c>
      <c r="L459" s="527" t="s">
        <v>6371</v>
      </c>
      <c r="M459" s="524"/>
      <c r="N459" s="524"/>
      <c r="O459" s="524"/>
    </row>
    <row r="460" spans="1:15" ht="72.5" hidden="1">
      <c r="A460" s="525">
        <v>172</v>
      </c>
      <c r="B460" s="524" t="e">
        <f>VLOOKUP(A460,'Hours Detail'!$E$17:$H$1048576,4,)</f>
        <v>#N/A</v>
      </c>
      <c r="C460" s="524" t="s">
        <v>430</v>
      </c>
      <c r="D460" s="524" t="s">
        <v>1545</v>
      </c>
      <c r="E460" s="524" t="s">
        <v>1546</v>
      </c>
      <c r="F460" s="524" t="s">
        <v>1546</v>
      </c>
      <c r="G460" s="524" t="s">
        <v>6796</v>
      </c>
      <c r="H460" s="524" t="s">
        <v>1546</v>
      </c>
      <c r="I460" s="524" t="s">
        <v>1545</v>
      </c>
      <c r="J460" s="524" t="s">
        <v>1545</v>
      </c>
      <c r="K460" s="524"/>
      <c r="L460" s="524" t="s">
        <v>6379</v>
      </c>
      <c r="M460" s="524" t="s">
        <v>6502</v>
      </c>
      <c r="N460" s="524"/>
      <c r="O460" s="524"/>
    </row>
    <row r="461" spans="1:15" ht="58" hidden="1">
      <c r="A461" s="527">
        <v>172</v>
      </c>
      <c r="B461" s="524" t="e">
        <f>VLOOKUP(A461,'Hours Detail'!$E$17:$H$1048576,4,)</f>
        <v>#N/A</v>
      </c>
      <c r="C461" s="527" t="s">
        <v>430</v>
      </c>
      <c r="D461" s="527" t="s">
        <v>1528</v>
      </c>
      <c r="E461" s="527" t="s">
        <v>1545</v>
      </c>
      <c r="F461" s="527" t="s">
        <v>1546</v>
      </c>
      <c r="G461" s="527">
        <v>511</v>
      </c>
      <c r="H461" s="527" t="s">
        <v>429</v>
      </c>
      <c r="I461" s="527" t="s">
        <v>1526</v>
      </c>
      <c r="J461" s="527" t="s">
        <v>2890</v>
      </c>
      <c r="K461" s="527" t="s">
        <v>2890</v>
      </c>
      <c r="L461" s="527" t="s">
        <v>6371</v>
      </c>
      <c r="M461" s="524"/>
      <c r="N461" s="524"/>
      <c r="O461" s="524"/>
    </row>
    <row r="462" spans="1:15" ht="159.5" hidden="1">
      <c r="A462" s="525">
        <v>175</v>
      </c>
      <c r="B462" s="524" t="e">
        <f>VLOOKUP(A462,'Hours Detail'!$E$17:$H$1048576,4,)</f>
        <v>#N/A</v>
      </c>
      <c r="C462" s="524" t="s">
        <v>6797</v>
      </c>
      <c r="D462" s="524" t="s">
        <v>6799</v>
      </c>
      <c r="E462" s="524" t="s">
        <v>517</v>
      </c>
      <c r="F462" s="524" t="s">
        <v>517</v>
      </c>
      <c r="G462" s="524" t="s">
        <v>517</v>
      </c>
      <c r="H462" s="524" t="s">
        <v>517</v>
      </c>
      <c r="I462" s="524" t="s">
        <v>6798</v>
      </c>
      <c r="J462" s="524" t="s">
        <v>6799</v>
      </c>
      <c r="K462" s="524" t="s">
        <v>6359</v>
      </c>
      <c r="L462" s="524" t="s">
        <v>6379</v>
      </c>
      <c r="M462" s="524" t="s">
        <v>6380</v>
      </c>
      <c r="N462" s="524" t="s">
        <v>6800</v>
      </c>
      <c r="O462" s="524"/>
    </row>
    <row r="463" spans="1:15" ht="130.5" hidden="1">
      <c r="A463" s="527">
        <v>175</v>
      </c>
      <c r="B463" s="524" t="e">
        <f>VLOOKUP(A463,'Hours Detail'!$E$17:$H$1048576,4,)</f>
        <v>#N/A</v>
      </c>
      <c r="C463" s="527" t="s">
        <v>161</v>
      </c>
      <c r="D463" s="527" t="s">
        <v>470</v>
      </c>
      <c r="E463" s="527" t="s">
        <v>516</v>
      </c>
      <c r="F463" s="527" t="s">
        <v>517</v>
      </c>
      <c r="G463" s="527">
        <v>3</v>
      </c>
      <c r="H463" s="527" t="s">
        <v>149</v>
      </c>
      <c r="I463" s="527" t="s">
        <v>468</v>
      </c>
      <c r="J463" s="527" t="s">
        <v>2890</v>
      </c>
      <c r="K463" s="527" t="s">
        <v>2890</v>
      </c>
      <c r="L463" s="527" t="s">
        <v>6801</v>
      </c>
      <c r="M463" s="524"/>
      <c r="N463" s="524"/>
      <c r="O463" s="524"/>
    </row>
    <row r="464" spans="1:15" ht="43.5" hidden="1">
      <c r="A464" s="525">
        <v>178</v>
      </c>
      <c r="B464" s="524" t="e">
        <f>VLOOKUP(A464,'Hours Detail'!$E$17:$H$1048576,4,)</f>
        <v>#N/A</v>
      </c>
      <c r="C464" s="524" t="s">
        <v>164</v>
      </c>
      <c r="D464" s="524" t="s">
        <v>504</v>
      </c>
      <c r="E464" s="524" t="s">
        <v>505</v>
      </c>
      <c r="F464" s="524" t="s">
        <v>505</v>
      </c>
      <c r="G464" s="524" t="s">
        <v>505</v>
      </c>
      <c r="H464" s="524" t="s">
        <v>505</v>
      </c>
      <c r="I464" s="524" t="s">
        <v>504</v>
      </c>
      <c r="J464" s="524" t="s">
        <v>504</v>
      </c>
      <c r="K464" s="524"/>
      <c r="L464" s="524" t="s">
        <v>6381</v>
      </c>
      <c r="M464" s="524" t="s">
        <v>442</v>
      </c>
      <c r="N464" s="524"/>
      <c r="O464" s="524"/>
    </row>
    <row r="465" spans="1:15" ht="58" hidden="1">
      <c r="A465" s="527">
        <v>178</v>
      </c>
      <c r="B465" s="524" t="e">
        <f>VLOOKUP(A465,'Hours Detail'!$E$17:$H$1048576,4,)</f>
        <v>#N/A</v>
      </c>
      <c r="C465" s="527" t="s">
        <v>164</v>
      </c>
      <c r="D465" s="527" t="s">
        <v>470</v>
      </c>
      <c r="E465" s="527" t="s">
        <v>504</v>
      </c>
      <c r="F465" s="527" t="s">
        <v>505</v>
      </c>
      <c r="G465" s="527">
        <v>3</v>
      </c>
      <c r="H465" s="527" t="s">
        <v>149</v>
      </c>
      <c r="I465" s="527" t="s">
        <v>468</v>
      </c>
      <c r="J465" s="527" t="s">
        <v>2890</v>
      </c>
      <c r="K465" s="527" t="s">
        <v>2890</v>
      </c>
      <c r="L465" s="527" t="s">
        <v>6371</v>
      </c>
      <c r="M465" s="524"/>
      <c r="N465" s="524"/>
      <c r="O465" s="524"/>
    </row>
    <row r="466" spans="1:15" ht="58" hidden="1">
      <c r="A466" s="524">
        <v>179</v>
      </c>
      <c r="B466" s="524" t="e">
        <f>VLOOKUP(A466,'Hours Detail'!$E$17:$H$1048576,4,)</f>
        <v>#N/A</v>
      </c>
      <c r="C466" s="524" t="s">
        <v>1786</v>
      </c>
      <c r="D466" s="524" t="s">
        <v>1787</v>
      </c>
      <c r="E466" s="524" t="s">
        <v>1788</v>
      </c>
      <c r="F466" s="524" t="s">
        <v>1788</v>
      </c>
      <c r="G466" s="524" t="s">
        <v>1788</v>
      </c>
      <c r="H466" s="524" t="s">
        <v>1788</v>
      </c>
      <c r="I466" s="524" t="s">
        <v>1787</v>
      </c>
      <c r="J466" s="524" t="s">
        <v>1787</v>
      </c>
      <c r="K466" s="524"/>
      <c r="L466" s="524" t="s">
        <v>6381</v>
      </c>
      <c r="M466" s="524" t="s">
        <v>2313</v>
      </c>
      <c r="N466" s="524"/>
      <c r="O466" s="524"/>
    </row>
    <row r="467" spans="1:15" ht="58" hidden="1">
      <c r="A467" s="527">
        <v>179</v>
      </c>
      <c r="B467" s="524" t="e">
        <f>VLOOKUP(A467,'Hours Detail'!$E$17:$H$1048576,4,)</f>
        <v>#N/A</v>
      </c>
      <c r="C467" s="527" t="s">
        <v>1786</v>
      </c>
      <c r="D467" s="527" t="s">
        <v>15</v>
      </c>
      <c r="E467" s="527" t="s">
        <v>1787</v>
      </c>
      <c r="F467" s="527" t="s">
        <v>1788</v>
      </c>
      <c r="G467" s="527">
        <v>7</v>
      </c>
      <c r="H467" s="527" t="s">
        <v>15</v>
      </c>
      <c r="I467" s="527" t="s">
        <v>2313</v>
      </c>
      <c r="J467" s="527" t="s">
        <v>2890</v>
      </c>
      <c r="K467" s="527" t="s">
        <v>2890</v>
      </c>
      <c r="L467" s="527" t="s">
        <v>6802</v>
      </c>
      <c r="M467" s="524"/>
      <c r="N467" s="524"/>
      <c r="O467" s="524"/>
    </row>
    <row r="468" spans="1:15" ht="101.5" hidden="1">
      <c r="A468" s="524">
        <v>180</v>
      </c>
      <c r="B468" s="524" t="e">
        <f>VLOOKUP(A468,'Hours Detail'!$E$17:$H$1048576,4,)</f>
        <v>#N/A</v>
      </c>
      <c r="C468" s="524" t="s">
        <v>5211</v>
      </c>
      <c r="D468" s="524" t="s">
        <v>4275</v>
      </c>
      <c r="E468" s="524" t="s">
        <v>4274</v>
      </c>
      <c r="F468" s="524" t="s">
        <v>4274</v>
      </c>
      <c r="G468" s="524" t="s">
        <v>4274</v>
      </c>
      <c r="H468" s="524" t="s">
        <v>4274</v>
      </c>
      <c r="I468" s="524" t="s">
        <v>6755</v>
      </c>
      <c r="J468" s="524" t="s">
        <v>6756</v>
      </c>
      <c r="K468" s="524"/>
      <c r="L468" s="524" t="s">
        <v>6381</v>
      </c>
      <c r="M468" s="524" t="s">
        <v>522</v>
      </c>
      <c r="N468" s="524"/>
      <c r="O468" s="524"/>
    </row>
    <row r="469" spans="1:15" ht="72.5" hidden="1">
      <c r="A469" s="527">
        <v>180</v>
      </c>
      <c r="B469" s="524" t="e">
        <f>VLOOKUP(A469,'Hours Detail'!$E$17:$H$1048576,4,)</f>
        <v>#N/A</v>
      </c>
      <c r="C469" s="527" t="s">
        <v>1691</v>
      </c>
      <c r="D469" s="527" t="s">
        <v>522</v>
      </c>
      <c r="E469" s="527" t="s">
        <v>1692</v>
      </c>
      <c r="F469" s="527" t="s">
        <v>1693</v>
      </c>
      <c r="G469" s="527">
        <v>4</v>
      </c>
      <c r="H469" s="527" t="s">
        <v>10</v>
      </c>
      <c r="I469" s="527" t="s">
        <v>522</v>
      </c>
      <c r="J469" s="527" t="s">
        <v>2890</v>
      </c>
      <c r="K469" s="527" t="s">
        <v>2890</v>
      </c>
      <c r="L469" s="527" t="s">
        <v>6803</v>
      </c>
      <c r="M469" s="524"/>
      <c r="N469" s="524"/>
      <c r="O469" s="524"/>
    </row>
    <row r="470" spans="1:15" ht="43.5" hidden="1">
      <c r="A470" s="524">
        <v>181</v>
      </c>
      <c r="B470" s="524" t="e">
        <f>VLOOKUP(A470,'Hours Detail'!$E$17:$H$1048576,4,)</f>
        <v>#N/A</v>
      </c>
      <c r="C470" s="524" t="s">
        <v>5282</v>
      </c>
      <c r="D470" s="524" t="s">
        <v>1707</v>
      </c>
      <c r="E470" s="524" t="s">
        <v>4270</v>
      </c>
      <c r="F470" s="524" t="s">
        <v>4270</v>
      </c>
      <c r="G470" s="524" t="s">
        <v>4270</v>
      </c>
      <c r="H470" s="524" t="s">
        <v>4270</v>
      </c>
      <c r="I470" s="524" t="s">
        <v>6729</v>
      </c>
      <c r="J470" s="524" t="s">
        <v>1707</v>
      </c>
      <c r="K470" s="524"/>
      <c r="L470" s="524" t="s">
        <v>6381</v>
      </c>
      <c r="M470" s="524" t="s">
        <v>522</v>
      </c>
      <c r="N470" s="524"/>
      <c r="O470" s="524"/>
    </row>
    <row r="471" spans="1:15" ht="29" hidden="1">
      <c r="A471" s="527">
        <v>181</v>
      </c>
      <c r="B471" s="524" t="e">
        <f>VLOOKUP(A471,'Hours Detail'!$E$17:$H$1048576,4,)</f>
        <v>#N/A</v>
      </c>
      <c r="C471" s="527" t="s">
        <v>1706</v>
      </c>
      <c r="D471" s="527" t="s">
        <v>522</v>
      </c>
      <c r="E471" s="527" t="s">
        <v>1707</v>
      </c>
      <c r="F471" s="527" t="s">
        <v>1708</v>
      </c>
      <c r="G471" s="527">
        <v>4</v>
      </c>
      <c r="H471" s="527" t="s">
        <v>10</v>
      </c>
      <c r="I471" s="527" t="s">
        <v>522</v>
      </c>
      <c r="J471" s="527" t="s">
        <v>2890</v>
      </c>
      <c r="K471" s="527" t="s">
        <v>2890</v>
      </c>
      <c r="L471" s="527" t="s">
        <v>6663</v>
      </c>
      <c r="M471" s="524"/>
      <c r="N471" s="524"/>
      <c r="O471" s="524"/>
    </row>
    <row r="472" spans="1:15" ht="29" hidden="1">
      <c r="A472" s="524">
        <v>182</v>
      </c>
      <c r="B472" s="524" t="e">
        <f>VLOOKUP(A472,'Hours Detail'!$E$17:$H$1048576,4,)</f>
        <v>#N/A</v>
      </c>
      <c r="C472" s="524" t="s">
        <v>1811</v>
      </c>
      <c r="D472" s="524" t="s">
        <v>1812</v>
      </c>
      <c r="E472" s="524" t="s">
        <v>1813</v>
      </c>
      <c r="F472" s="524" t="s">
        <v>1813</v>
      </c>
      <c r="G472" s="524" t="s">
        <v>1813</v>
      </c>
      <c r="H472" s="524" t="s">
        <v>1813</v>
      </c>
      <c r="I472" s="524" t="s">
        <v>1812</v>
      </c>
      <c r="J472" s="524" t="s">
        <v>1812</v>
      </c>
      <c r="K472" s="524"/>
      <c r="L472" s="524" t="s">
        <v>6381</v>
      </c>
      <c r="M472" s="524" t="s">
        <v>522</v>
      </c>
      <c r="N472" s="524"/>
      <c r="O472" s="524"/>
    </row>
    <row r="473" spans="1:15" ht="29" hidden="1">
      <c r="A473" s="527">
        <v>182</v>
      </c>
      <c r="B473" s="524" t="e">
        <f>VLOOKUP(A473,'Hours Detail'!$E$17:$H$1048576,4,)</f>
        <v>#N/A</v>
      </c>
      <c r="C473" s="527" t="s">
        <v>1811</v>
      </c>
      <c r="D473" s="527" t="s">
        <v>2171</v>
      </c>
      <c r="E473" s="527" t="s">
        <v>1812</v>
      </c>
      <c r="F473" s="527" t="s">
        <v>1813</v>
      </c>
      <c r="G473" s="527">
        <v>8</v>
      </c>
      <c r="H473" s="527" t="s">
        <v>188</v>
      </c>
      <c r="I473" s="527" t="s">
        <v>2314</v>
      </c>
      <c r="J473" s="527" t="s">
        <v>2890</v>
      </c>
      <c r="K473" s="527" t="s">
        <v>2890</v>
      </c>
      <c r="L473" s="527" t="s">
        <v>6784</v>
      </c>
      <c r="M473" s="524"/>
      <c r="N473" s="524"/>
      <c r="O473" s="524"/>
    </row>
    <row r="474" spans="1:15" ht="58" hidden="1">
      <c r="A474" s="527">
        <v>183</v>
      </c>
      <c r="B474" s="524" t="e">
        <f>VLOOKUP(A474,'Hours Detail'!$E$17:$H$1048576,4,)</f>
        <v>#N/A</v>
      </c>
      <c r="C474" s="527" t="s">
        <v>1399</v>
      </c>
      <c r="D474" s="527" t="s">
        <v>4703</v>
      </c>
      <c r="E474" s="527" t="s">
        <v>1400</v>
      </c>
      <c r="F474" s="527" t="s">
        <v>1401</v>
      </c>
      <c r="G474" s="527">
        <v>283</v>
      </c>
      <c r="H474" s="527" t="s">
        <v>4705</v>
      </c>
      <c r="I474" s="527" t="s">
        <v>4704</v>
      </c>
      <c r="J474" s="527" t="s">
        <v>2890</v>
      </c>
      <c r="K474" s="527" t="s">
        <v>2890</v>
      </c>
      <c r="L474" s="527" t="s">
        <v>6371</v>
      </c>
      <c r="M474" s="524"/>
      <c r="N474" s="524"/>
      <c r="O474" s="524"/>
    </row>
    <row r="475" spans="1:15" ht="43.5" hidden="1">
      <c r="A475" s="524">
        <v>184</v>
      </c>
      <c r="B475" s="524" t="e">
        <f>VLOOKUP(A475,'Hours Detail'!$E$17:$H$1048576,4,)</f>
        <v>#N/A</v>
      </c>
      <c r="C475" s="524" t="s">
        <v>1808</v>
      </c>
      <c r="D475" s="524" t="s">
        <v>1809</v>
      </c>
      <c r="E475" s="524" t="s">
        <v>1810</v>
      </c>
      <c r="F475" s="524" t="s">
        <v>1810</v>
      </c>
      <c r="G475" s="524" t="s">
        <v>1810</v>
      </c>
      <c r="H475" s="524" t="s">
        <v>1810</v>
      </c>
      <c r="I475" s="524" t="s">
        <v>1809</v>
      </c>
      <c r="J475" s="524" t="s">
        <v>1809</v>
      </c>
      <c r="K475" s="524"/>
      <c r="L475" s="524" t="s">
        <v>6381</v>
      </c>
      <c r="M475" s="524" t="s">
        <v>522</v>
      </c>
      <c r="N475" s="524"/>
      <c r="O475" s="524"/>
    </row>
    <row r="476" spans="1:15" ht="43.5" hidden="1">
      <c r="A476" s="527">
        <v>184</v>
      </c>
      <c r="B476" s="524" t="e">
        <f>VLOOKUP(A476,'Hours Detail'!$E$17:$H$1048576,4,)</f>
        <v>#N/A</v>
      </c>
      <c r="C476" s="527" t="s">
        <v>1808</v>
      </c>
      <c r="D476" s="527" t="s">
        <v>2171</v>
      </c>
      <c r="E476" s="527" t="s">
        <v>1809</v>
      </c>
      <c r="F476" s="527" t="s">
        <v>1810</v>
      </c>
      <c r="G476" s="527">
        <v>8</v>
      </c>
      <c r="H476" s="527" t="s">
        <v>188</v>
      </c>
      <c r="I476" s="527" t="s">
        <v>2314</v>
      </c>
      <c r="J476" s="527" t="s">
        <v>2890</v>
      </c>
      <c r="K476" s="527" t="s">
        <v>2890</v>
      </c>
      <c r="L476" s="527" t="s">
        <v>6784</v>
      </c>
      <c r="M476" s="524"/>
      <c r="N476" s="524"/>
      <c r="O476" s="524"/>
    </row>
    <row r="477" spans="1:15" ht="87" hidden="1">
      <c r="A477" s="524">
        <v>185</v>
      </c>
      <c r="B477" s="524" t="e">
        <f>VLOOKUP(A477,'Hours Detail'!$E$17:$H$1048576,4,)</f>
        <v>#N/A</v>
      </c>
      <c r="C477" s="524" t="s">
        <v>1703</v>
      </c>
      <c r="D477" s="524" t="s">
        <v>1704</v>
      </c>
      <c r="E477" s="524" t="s">
        <v>1705</v>
      </c>
      <c r="F477" s="524" t="s">
        <v>1705</v>
      </c>
      <c r="G477" s="524" t="s">
        <v>1705</v>
      </c>
      <c r="H477" s="524" t="s">
        <v>1705</v>
      </c>
      <c r="I477" s="524" t="s">
        <v>6804</v>
      </c>
      <c r="J477" s="524" t="s">
        <v>1704</v>
      </c>
      <c r="K477" s="524"/>
      <c r="L477" s="524" t="s">
        <v>6381</v>
      </c>
      <c r="M477" s="524" t="s">
        <v>442</v>
      </c>
      <c r="N477" s="524"/>
      <c r="O477" s="524"/>
    </row>
    <row r="478" spans="1:15" ht="29" hidden="1">
      <c r="A478" s="527">
        <v>185</v>
      </c>
      <c r="B478" s="524" t="e">
        <f>VLOOKUP(A478,'Hours Detail'!$E$17:$H$1048576,4,)</f>
        <v>#N/A</v>
      </c>
      <c r="C478" s="527" t="s">
        <v>1703</v>
      </c>
      <c r="D478" s="527" t="s">
        <v>2167</v>
      </c>
      <c r="E478" s="527" t="s">
        <v>1704</v>
      </c>
      <c r="F478" s="527" t="s">
        <v>1705</v>
      </c>
      <c r="G478" s="527">
        <v>99</v>
      </c>
      <c r="H478" s="527" t="s">
        <v>5</v>
      </c>
      <c r="I478" s="527" t="s">
        <v>2305</v>
      </c>
      <c r="J478" s="527" t="s">
        <v>2890</v>
      </c>
      <c r="K478" s="527" t="s">
        <v>2890</v>
      </c>
      <c r="L478" s="527" t="s">
        <v>6371</v>
      </c>
      <c r="M478" s="524"/>
      <c r="N478" s="524"/>
      <c r="O478" s="524"/>
    </row>
    <row r="479" spans="1:15" ht="43.5" hidden="1">
      <c r="A479" s="524">
        <v>186</v>
      </c>
      <c r="B479" s="524" t="e">
        <f>VLOOKUP(A479,'Hours Detail'!$E$17:$H$1048576,4,)</f>
        <v>#N/A</v>
      </c>
      <c r="C479" s="524" t="s">
        <v>1835</v>
      </c>
      <c r="D479" s="524" t="s">
        <v>1836</v>
      </c>
      <c r="E479" s="524" t="s">
        <v>1837</v>
      </c>
      <c r="F479" s="524" t="s">
        <v>1837</v>
      </c>
      <c r="G479" s="524" t="s">
        <v>1837</v>
      </c>
      <c r="H479" s="524" t="s">
        <v>1837</v>
      </c>
      <c r="I479" s="524" t="s">
        <v>1836</v>
      </c>
      <c r="J479" s="524" t="s">
        <v>1836</v>
      </c>
      <c r="K479" s="524"/>
      <c r="L479" s="524" t="s">
        <v>6381</v>
      </c>
      <c r="M479" s="524" t="s">
        <v>442</v>
      </c>
      <c r="N479" s="524"/>
      <c r="O479" s="524"/>
    </row>
    <row r="480" spans="1:15" ht="43.5" hidden="1">
      <c r="A480" s="527">
        <v>186</v>
      </c>
      <c r="B480" s="524" t="e">
        <f>VLOOKUP(A480,'Hours Detail'!$E$17:$H$1048576,4,)</f>
        <v>#N/A</v>
      </c>
      <c r="C480" s="527" t="s">
        <v>1835</v>
      </c>
      <c r="D480" s="527" t="s">
        <v>728</v>
      </c>
      <c r="E480" s="527" t="s">
        <v>1836</v>
      </c>
      <c r="F480" s="527" t="s">
        <v>1837</v>
      </c>
      <c r="G480" s="527">
        <v>12</v>
      </c>
      <c r="H480" s="527" t="s">
        <v>4</v>
      </c>
      <c r="I480" s="527" t="s">
        <v>726</v>
      </c>
      <c r="J480" s="527" t="s">
        <v>2890</v>
      </c>
      <c r="K480" s="527" t="s">
        <v>2890</v>
      </c>
      <c r="L480" s="527" t="s">
        <v>6712</v>
      </c>
      <c r="M480" s="524"/>
      <c r="N480" s="524"/>
      <c r="O480" s="524"/>
    </row>
    <row r="481" spans="1:15" ht="29" hidden="1">
      <c r="A481" s="524">
        <v>187</v>
      </c>
      <c r="B481" s="524" t="e">
        <f>VLOOKUP(A481,'Hours Detail'!$E$17:$H$1048576,4,)</f>
        <v>#N/A</v>
      </c>
      <c r="C481" s="524" t="s">
        <v>1751</v>
      </c>
      <c r="D481" s="524" t="s">
        <v>1752</v>
      </c>
      <c r="E481" s="524" t="s">
        <v>1753</v>
      </c>
      <c r="F481" s="524" t="s">
        <v>1753</v>
      </c>
      <c r="G481" s="524" t="s">
        <v>1753</v>
      </c>
      <c r="H481" s="524" t="s">
        <v>1753</v>
      </c>
      <c r="I481" s="524" t="s">
        <v>1752</v>
      </c>
      <c r="J481" s="524" t="s">
        <v>1752</v>
      </c>
      <c r="K481" s="524"/>
      <c r="L481" s="524" t="s">
        <v>6381</v>
      </c>
      <c r="M481" s="524" t="s">
        <v>522</v>
      </c>
      <c r="N481" s="524"/>
      <c r="O481" s="524"/>
    </row>
    <row r="482" spans="1:15" ht="29" hidden="1">
      <c r="A482" s="527">
        <v>187</v>
      </c>
      <c r="B482" s="524" t="e">
        <f>VLOOKUP(A482,'Hours Detail'!$E$17:$H$1048576,4,)</f>
        <v>#N/A</v>
      </c>
      <c r="C482" s="527" t="s">
        <v>1751</v>
      </c>
      <c r="D482" s="527" t="s">
        <v>522</v>
      </c>
      <c r="E482" s="527" t="s">
        <v>1752</v>
      </c>
      <c r="F482" s="527" t="s">
        <v>1753</v>
      </c>
      <c r="G482" s="527">
        <v>4</v>
      </c>
      <c r="H482" s="527" t="s">
        <v>10</v>
      </c>
      <c r="I482" s="527" t="s">
        <v>522</v>
      </c>
      <c r="J482" s="527" t="s">
        <v>2890</v>
      </c>
      <c r="K482" s="527" t="s">
        <v>2890</v>
      </c>
      <c r="L482" s="527" t="s">
        <v>6663</v>
      </c>
      <c r="M482" s="524"/>
      <c r="N482" s="524"/>
      <c r="O482" s="524"/>
    </row>
    <row r="483" spans="1:15" ht="58" hidden="1">
      <c r="A483" s="524">
        <v>188</v>
      </c>
      <c r="B483" s="524" t="e">
        <f>VLOOKUP(A483,'Hours Detail'!$E$17:$H$1048576,4,)</f>
        <v>#N/A</v>
      </c>
      <c r="C483" s="524" t="s">
        <v>5278</v>
      </c>
      <c r="D483" s="524" t="s">
        <v>1701</v>
      </c>
      <c r="E483" s="524" t="s">
        <v>4216</v>
      </c>
      <c r="F483" s="524" t="s">
        <v>4216</v>
      </c>
      <c r="G483" s="524" t="s">
        <v>4216</v>
      </c>
      <c r="H483" s="524" t="s">
        <v>4216</v>
      </c>
      <c r="I483" s="524" t="s">
        <v>6734</v>
      </c>
      <c r="J483" s="524" t="s">
        <v>1701</v>
      </c>
      <c r="K483" s="524"/>
      <c r="L483" s="524" t="s">
        <v>6381</v>
      </c>
      <c r="M483" s="524" t="s">
        <v>2313</v>
      </c>
      <c r="N483" s="524"/>
      <c r="O483" s="524"/>
    </row>
    <row r="484" spans="1:15" ht="43.5" hidden="1">
      <c r="A484" s="527">
        <v>188</v>
      </c>
      <c r="B484" s="524" t="e">
        <f>VLOOKUP(A484,'Hours Detail'!$E$17:$H$1048576,4,)</f>
        <v>#N/A</v>
      </c>
      <c r="C484" s="527" t="s">
        <v>1700</v>
      </c>
      <c r="D484" s="527" t="s">
        <v>15</v>
      </c>
      <c r="E484" s="527" t="s">
        <v>1701</v>
      </c>
      <c r="F484" s="527" t="s">
        <v>1702</v>
      </c>
      <c r="G484" s="527">
        <v>7</v>
      </c>
      <c r="H484" s="527" t="s">
        <v>15</v>
      </c>
      <c r="I484" s="527" t="s">
        <v>2313</v>
      </c>
      <c r="J484" s="527" t="s">
        <v>2890</v>
      </c>
      <c r="K484" s="527" t="s">
        <v>2890</v>
      </c>
      <c r="L484" s="527" t="s">
        <v>6501</v>
      </c>
      <c r="M484" s="524"/>
      <c r="N484" s="524"/>
      <c r="O484" s="524"/>
    </row>
    <row r="485" spans="1:15" ht="43.5" hidden="1">
      <c r="A485" s="524">
        <v>189</v>
      </c>
      <c r="B485" s="524" t="e">
        <f>VLOOKUP(A485,'Hours Detail'!$E$17:$H$1048576,4,)</f>
        <v>#N/A</v>
      </c>
      <c r="C485" s="524" t="s">
        <v>5210</v>
      </c>
      <c r="D485" s="524" t="s">
        <v>1689</v>
      </c>
      <c r="E485" s="524" t="s">
        <v>4269</v>
      </c>
      <c r="F485" s="524" t="s">
        <v>4269</v>
      </c>
      <c r="G485" s="524" t="s">
        <v>4269</v>
      </c>
      <c r="H485" s="524" t="s">
        <v>4269</v>
      </c>
      <c r="I485" s="524" t="s">
        <v>6765</v>
      </c>
      <c r="J485" s="524" t="s">
        <v>1689</v>
      </c>
      <c r="K485" s="524"/>
      <c r="L485" s="524" t="s">
        <v>6381</v>
      </c>
      <c r="M485" s="524" t="s">
        <v>522</v>
      </c>
      <c r="N485" s="524"/>
      <c r="O485" s="524"/>
    </row>
    <row r="486" spans="1:15" ht="43.5" hidden="1">
      <c r="A486" s="527">
        <v>189</v>
      </c>
      <c r="B486" s="524" t="e">
        <f>VLOOKUP(A486,'Hours Detail'!$E$17:$H$1048576,4,)</f>
        <v>#N/A</v>
      </c>
      <c r="C486" s="527" t="s">
        <v>1688</v>
      </c>
      <c r="D486" s="527" t="s">
        <v>522</v>
      </c>
      <c r="E486" s="527" t="s">
        <v>1689</v>
      </c>
      <c r="F486" s="527" t="s">
        <v>1690</v>
      </c>
      <c r="G486" s="527">
        <v>4</v>
      </c>
      <c r="H486" s="527" t="s">
        <v>10</v>
      </c>
      <c r="I486" s="527" t="s">
        <v>522</v>
      </c>
      <c r="J486" s="527" t="s">
        <v>2890</v>
      </c>
      <c r="K486" s="527" t="s">
        <v>2890</v>
      </c>
      <c r="L486" s="527" t="s">
        <v>6663</v>
      </c>
      <c r="M486" s="524"/>
      <c r="N486" s="524"/>
      <c r="O486" s="524"/>
    </row>
    <row r="487" spans="1:15" ht="43.5" hidden="1">
      <c r="A487" s="524">
        <v>190</v>
      </c>
      <c r="B487" s="524" t="e">
        <f>VLOOKUP(A487,'Hours Detail'!$E$17:$H$1048576,4,)</f>
        <v>#N/A</v>
      </c>
      <c r="C487" s="524" t="s">
        <v>1748</v>
      </c>
      <c r="D487" s="524" t="s">
        <v>1749</v>
      </c>
      <c r="E487" s="524" t="s">
        <v>1750</v>
      </c>
      <c r="F487" s="524" t="s">
        <v>1750</v>
      </c>
      <c r="G487" s="524" t="s">
        <v>1750</v>
      </c>
      <c r="H487" s="524" t="s">
        <v>1750</v>
      </c>
      <c r="I487" s="524" t="s">
        <v>1749</v>
      </c>
      <c r="J487" s="524" t="s">
        <v>1749</v>
      </c>
      <c r="K487" s="524"/>
      <c r="L487" s="524" t="s">
        <v>6381</v>
      </c>
      <c r="M487" s="524" t="s">
        <v>522</v>
      </c>
      <c r="N487" s="524"/>
      <c r="O487" s="524"/>
    </row>
    <row r="488" spans="1:15" ht="43.5" hidden="1">
      <c r="A488" s="527">
        <v>190</v>
      </c>
      <c r="B488" s="524" t="e">
        <f>VLOOKUP(A488,'Hours Detail'!$E$17:$H$1048576,4,)</f>
        <v>#N/A</v>
      </c>
      <c r="C488" s="527" t="s">
        <v>1748</v>
      </c>
      <c r="D488" s="527" t="s">
        <v>522</v>
      </c>
      <c r="E488" s="527" t="s">
        <v>1749</v>
      </c>
      <c r="F488" s="527" t="s">
        <v>1750</v>
      </c>
      <c r="G488" s="527">
        <v>4</v>
      </c>
      <c r="H488" s="527" t="s">
        <v>10</v>
      </c>
      <c r="I488" s="527" t="s">
        <v>522</v>
      </c>
      <c r="J488" s="527" t="s">
        <v>2890</v>
      </c>
      <c r="K488" s="527" t="s">
        <v>2890</v>
      </c>
      <c r="L488" s="527" t="s">
        <v>6663</v>
      </c>
      <c r="M488" s="524"/>
      <c r="N488" s="524"/>
      <c r="O488" s="524"/>
    </row>
    <row r="489" spans="1:15" ht="87" hidden="1">
      <c r="A489" s="525">
        <v>191</v>
      </c>
      <c r="B489" s="524" t="e">
        <f>VLOOKUP(A489,'Hours Detail'!$E$17:$H$1048576,4,)</f>
        <v>#N/A</v>
      </c>
      <c r="C489" s="524" t="s">
        <v>5189</v>
      </c>
      <c r="D489" s="524" t="s">
        <v>5188</v>
      </c>
      <c r="E489" s="524" t="s">
        <v>5187</v>
      </c>
      <c r="F489" s="524" t="s">
        <v>5187</v>
      </c>
      <c r="G489" s="524" t="s">
        <v>5187</v>
      </c>
      <c r="H489" s="524" t="s">
        <v>5187</v>
      </c>
      <c r="I489" s="524" t="s">
        <v>5188</v>
      </c>
      <c r="J489" s="524" t="s">
        <v>5188</v>
      </c>
      <c r="K489" s="524"/>
      <c r="L489" s="524" t="s">
        <v>6383</v>
      </c>
      <c r="M489" s="524" t="s">
        <v>5080</v>
      </c>
      <c r="N489" s="524"/>
      <c r="O489" s="524"/>
    </row>
    <row r="490" spans="1:15" ht="72.5" hidden="1">
      <c r="A490" s="524">
        <v>192</v>
      </c>
      <c r="B490" s="524" t="e">
        <f>VLOOKUP(A490,'Hours Detail'!$E$17:$H$1048576,4,)</f>
        <v>#N/A</v>
      </c>
      <c r="C490" s="524" t="s">
        <v>5209</v>
      </c>
      <c r="D490" s="524" t="s">
        <v>1686</v>
      </c>
      <c r="E490" s="524" t="s">
        <v>4137</v>
      </c>
      <c r="F490" s="524" t="s">
        <v>4137</v>
      </c>
      <c r="G490" s="524" t="s">
        <v>4137</v>
      </c>
      <c r="H490" s="524" t="s">
        <v>4137</v>
      </c>
      <c r="I490" s="524" t="s">
        <v>6767</v>
      </c>
      <c r="J490" s="524" t="s">
        <v>1686</v>
      </c>
      <c r="K490" s="524"/>
      <c r="L490" s="524" t="s">
        <v>6381</v>
      </c>
      <c r="M490" s="524" t="s">
        <v>522</v>
      </c>
      <c r="N490" s="524"/>
      <c r="O490" s="524"/>
    </row>
    <row r="491" spans="1:15" ht="58" hidden="1">
      <c r="A491" s="527">
        <v>192</v>
      </c>
      <c r="B491" s="524" t="e">
        <f>VLOOKUP(A491,'Hours Detail'!$E$17:$H$1048576,4,)</f>
        <v>#N/A</v>
      </c>
      <c r="C491" s="527" t="s">
        <v>1685</v>
      </c>
      <c r="D491" s="527" t="s">
        <v>706</v>
      </c>
      <c r="E491" s="527" t="s">
        <v>1686</v>
      </c>
      <c r="F491" s="527" t="s">
        <v>1687</v>
      </c>
      <c r="G491" s="527">
        <v>11</v>
      </c>
      <c r="H491" s="527" t="s">
        <v>6</v>
      </c>
      <c r="I491" s="527" t="s">
        <v>705</v>
      </c>
      <c r="J491" s="527" t="s">
        <v>2890</v>
      </c>
      <c r="K491" s="527" t="s">
        <v>2890</v>
      </c>
      <c r="L491" s="527" t="s">
        <v>6805</v>
      </c>
      <c r="M491" s="524"/>
      <c r="N491" s="524"/>
      <c r="O491" s="524"/>
    </row>
    <row r="492" spans="1:15" ht="43.5" hidden="1">
      <c r="A492" s="524">
        <v>193</v>
      </c>
      <c r="B492" s="524" t="e">
        <f>VLOOKUP(A492,'Hours Detail'!$E$17:$H$1048576,4,)</f>
        <v>#N/A</v>
      </c>
      <c r="C492" s="524" t="s">
        <v>1789</v>
      </c>
      <c r="D492" s="524" t="s">
        <v>1790</v>
      </c>
      <c r="E492" s="524" t="s">
        <v>1791</v>
      </c>
      <c r="F492" s="524" t="s">
        <v>1791</v>
      </c>
      <c r="G492" s="524" t="s">
        <v>1791</v>
      </c>
      <c r="H492" s="524" t="s">
        <v>1791</v>
      </c>
      <c r="I492" s="524" t="s">
        <v>1790</v>
      </c>
      <c r="J492" s="524" t="s">
        <v>1790</v>
      </c>
      <c r="K492" s="524"/>
      <c r="L492" s="524" t="s">
        <v>6381</v>
      </c>
      <c r="M492" s="524" t="s">
        <v>2313</v>
      </c>
      <c r="N492" s="524"/>
      <c r="O492" s="524"/>
    </row>
    <row r="493" spans="1:15" ht="43.5" hidden="1">
      <c r="A493" s="527">
        <v>193</v>
      </c>
      <c r="B493" s="524" t="e">
        <f>VLOOKUP(A493,'Hours Detail'!$E$17:$H$1048576,4,)</f>
        <v>#N/A</v>
      </c>
      <c r="C493" s="527" t="s">
        <v>1789</v>
      </c>
      <c r="D493" s="527" t="s">
        <v>15</v>
      </c>
      <c r="E493" s="527" t="s">
        <v>1790</v>
      </c>
      <c r="F493" s="527" t="s">
        <v>1791</v>
      </c>
      <c r="G493" s="527">
        <v>7</v>
      </c>
      <c r="H493" s="527" t="s">
        <v>15</v>
      </c>
      <c r="I493" s="527" t="s">
        <v>2313</v>
      </c>
      <c r="J493" s="527" t="s">
        <v>2890</v>
      </c>
      <c r="K493" s="527" t="s">
        <v>2890</v>
      </c>
      <c r="L493" s="527" t="s">
        <v>6501</v>
      </c>
      <c r="M493" s="524"/>
      <c r="N493" s="524"/>
      <c r="O493" s="524"/>
    </row>
    <row r="494" spans="1:15" ht="58" hidden="1">
      <c r="A494" s="524">
        <v>194</v>
      </c>
      <c r="B494" s="524" t="e">
        <f>VLOOKUP(A494,'Hours Detail'!$E$17:$H$1048576,4,)</f>
        <v>#N/A</v>
      </c>
      <c r="C494" s="524" t="s">
        <v>1763</v>
      </c>
      <c r="D494" s="524" t="s">
        <v>1764</v>
      </c>
      <c r="E494" s="524" t="s">
        <v>4256</v>
      </c>
      <c r="F494" s="524" t="s">
        <v>6806</v>
      </c>
      <c r="G494" s="524" t="s">
        <v>4256</v>
      </c>
      <c r="H494" s="524" t="s">
        <v>4256</v>
      </c>
      <c r="I494" s="524" t="s">
        <v>1764</v>
      </c>
      <c r="J494" s="524" t="s">
        <v>1764</v>
      </c>
      <c r="K494" s="524"/>
      <c r="L494" s="524" t="s">
        <v>6397</v>
      </c>
      <c r="M494" s="524" t="s">
        <v>2384</v>
      </c>
      <c r="N494" s="524"/>
      <c r="O494" s="524"/>
    </row>
    <row r="495" spans="1:15" ht="58" hidden="1">
      <c r="A495" s="527">
        <v>194</v>
      </c>
      <c r="B495" s="524" t="e">
        <f>VLOOKUP(A495,'Hours Detail'!$E$17:$H$1048576,4,)</f>
        <v>#N/A</v>
      </c>
      <c r="C495" s="527" t="s">
        <v>1763</v>
      </c>
      <c r="D495" s="527" t="s">
        <v>2170</v>
      </c>
      <c r="E495" s="527" t="s">
        <v>1764</v>
      </c>
      <c r="F495" s="527" t="s">
        <v>1765</v>
      </c>
      <c r="G495" s="527">
        <v>5</v>
      </c>
      <c r="H495" s="527" t="s">
        <v>177</v>
      </c>
      <c r="I495" s="527" t="s">
        <v>2310</v>
      </c>
      <c r="J495" s="527" t="s">
        <v>2890</v>
      </c>
      <c r="K495" s="527" t="s">
        <v>2890</v>
      </c>
      <c r="L495" s="527" t="s">
        <v>6371</v>
      </c>
      <c r="M495" s="524"/>
      <c r="N495" s="524"/>
      <c r="O495" s="524"/>
    </row>
    <row r="496" spans="1:15" ht="58" hidden="1">
      <c r="A496" s="524">
        <v>195</v>
      </c>
      <c r="B496" s="524" t="e">
        <f>VLOOKUP(A496,'Hours Detail'!$E$17:$H$1048576,4,)</f>
        <v>#N/A</v>
      </c>
      <c r="C496" s="524" t="s">
        <v>1775</v>
      </c>
      <c r="D496" s="524" t="s">
        <v>1776</v>
      </c>
      <c r="E496" s="524" t="s">
        <v>1777</v>
      </c>
      <c r="F496" s="524" t="s">
        <v>1777</v>
      </c>
      <c r="G496" s="524" t="s">
        <v>1777</v>
      </c>
      <c r="H496" s="524" t="s">
        <v>1777</v>
      </c>
      <c r="I496" s="524" t="s">
        <v>1776</v>
      </c>
      <c r="J496" s="524" t="s">
        <v>1776</v>
      </c>
      <c r="K496" s="524"/>
      <c r="L496" s="524" t="s">
        <v>6399</v>
      </c>
      <c r="M496" s="524" t="s">
        <v>6437</v>
      </c>
      <c r="N496" s="524"/>
      <c r="O496" s="524"/>
    </row>
    <row r="497" spans="1:15" ht="72.5" hidden="1">
      <c r="A497" s="527">
        <v>195</v>
      </c>
      <c r="B497" s="524" t="e">
        <f>VLOOKUP(A497,'Hours Detail'!$E$17:$H$1048576,4,)</f>
        <v>#N/A</v>
      </c>
      <c r="C497" s="527" t="s">
        <v>1775</v>
      </c>
      <c r="D497" s="527" t="s">
        <v>2312</v>
      </c>
      <c r="E497" s="527" t="s">
        <v>1776</v>
      </c>
      <c r="F497" s="527" t="s">
        <v>1777</v>
      </c>
      <c r="G497" s="527">
        <v>6</v>
      </c>
      <c r="H497" s="527" t="s">
        <v>58</v>
      </c>
      <c r="I497" s="527" t="s">
        <v>2311</v>
      </c>
      <c r="J497" s="527" t="s">
        <v>2890</v>
      </c>
      <c r="K497" s="527" t="s">
        <v>2890</v>
      </c>
      <c r="L497" s="527" t="s">
        <v>6371</v>
      </c>
      <c r="M497" s="524"/>
      <c r="N497" s="524"/>
      <c r="O497" s="524"/>
    </row>
    <row r="498" spans="1:15" ht="72.5" hidden="1">
      <c r="A498" s="524">
        <v>196</v>
      </c>
      <c r="B498" s="524" t="e">
        <f>VLOOKUP(A498,'Hours Detail'!$E$17:$H$1048576,4,)</f>
        <v>#N/A</v>
      </c>
      <c r="C498" s="524" t="s">
        <v>4193</v>
      </c>
      <c r="D498" s="524" t="s">
        <v>1800</v>
      </c>
      <c r="E498" s="524" t="s">
        <v>1801</v>
      </c>
      <c r="F498" s="524" t="s">
        <v>1801</v>
      </c>
      <c r="G498" s="524" t="s">
        <v>1801</v>
      </c>
      <c r="H498" s="524" t="s">
        <v>1801</v>
      </c>
      <c r="I498" s="524" t="s">
        <v>1800</v>
      </c>
      <c r="J498" s="524" t="s">
        <v>6807</v>
      </c>
      <c r="K498" s="524"/>
      <c r="L498" s="524" t="s">
        <v>6381</v>
      </c>
      <c r="M498" s="524" t="s">
        <v>522</v>
      </c>
      <c r="N498" s="524"/>
      <c r="O498" s="524"/>
    </row>
    <row r="499" spans="1:15" ht="58" hidden="1">
      <c r="A499" s="527">
        <v>196</v>
      </c>
      <c r="B499" s="524" t="e">
        <f>VLOOKUP(A499,'Hours Detail'!$E$17:$H$1048576,4,)</f>
        <v>#N/A</v>
      </c>
      <c r="C499" s="527" t="s">
        <v>2898</v>
      </c>
      <c r="D499" s="527" t="s">
        <v>2171</v>
      </c>
      <c r="E499" s="527" t="s">
        <v>1800</v>
      </c>
      <c r="F499" s="527" t="s">
        <v>1801</v>
      </c>
      <c r="G499" s="527">
        <v>8</v>
      </c>
      <c r="H499" s="527" t="s">
        <v>188</v>
      </c>
      <c r="I499" s="527" t="s">
        <v>2314</v>
      </c>
      <c r="J499" s="527" t="s">
        <v>2890</v>
      </c>
      <c r="K499" s="527" t="s">
        <v>2890</v>
      </c>
      <c r="L499" s="527" t="s">
        <v>6371</v>
      </c>
      <c r="M499" s="524"/>
      <c r="N499" s="524"/>
      <c r="O499" s="524"/>
    </row>
    <row r="500" spans="1:15" ht="43.5" hidden="1">
      <c r="A500" s="524">
        <v>197</v>
      </c>
      <c r="B500" s="524" t="e">
        <f>VLOOKUP(A500,'Hours Detail'!$E$17:$H$1048576,4,)</f>
        <v>#N/A</v>
      </c>
      <c r="C500" s="524" t="s">
        <v>1795</v>
      </c>
      <c r="D500" s="524" t="s">
        <v>1790</v>
      </c>
      <c r="E500" s="524" t="s">
        <v>1796</v>
      </c>
      <c r="F500" s="524" t="s">
        <v>1796</v>
      </c>
      <c r="G500" s="524" t="s">
        <v>1796</v>
      </c>
      <c r="H500" s="524" t="s">
        <v>1796</v>
      </c>
      <c r="I500" s="524" t="s">
        <v>1790</v>
      </c>
      <c r="J500" s="524" t="s">
        <v>1790</v>
      </c>
      <c r="K500" s="524"/>
      <c r="L500" s="524" t="s">
        <v>6381</v>
      </c>
      <c r="M500" s="524" t="s">
        <v>2313</v>
      </c>
      <c r="N500" s="524"/>
      <c r="O500" s="524"/>
    </row>
    <row r="501" spans="1:15" ht="43.5" hidden="1">
      <c r="A501" s="527">
        <v>197</v>
      </c>
      <c r="B501" s="524" t="e">
        <f>VLOOKUP(A501,'Hours Detail'!$E$17:$H$1048576,4,)</f>
        <v>#N/A</v>
      </c>
      <c r="C501" s="527" t="s">
        <v>1795</v>
      </c>
      <c r="D501" s="527" t="s">
        <v>15</v>
      </c>
      <c r="E501" s="527" t="s">
        <v>1790</v>
      </c>
      <c r="F501" s="527" t="s">
        <v>1796</v>
      </c>
      <c r="G501" s="527">
        <v>7</v>
      </c>
      <c r="H501" s="527" t="s">
        <v>15</v>
      </c>
      <c r="I501" s="527" t="s">
        <v>2313</v>
      </c>
      <c r="J501" s="527" t="s">
        <v>2890</v>
      </c>
      <c r="K501" s="527" t="s">
        <v>2890</v>
      </c>
      <c r="L501" s="527" t="s">
        <v>6501</v>
      </c>
      <c r="M501" s="524"/>
      <c r="N501" s="524"/>
      <c r="O501" s="524"/>
    </row>
    <row r="502" spans="1:15" ht="43.5" hidden="1">
      <c r="A502" s="524">
        <v>198</v>
      </c>
      <c r="B502" s="524" t="e">
        <f>VLOOKUP(A502,'Hours Detail'!$E$17:$H$1048576,4,)</f>
        <v>#N/A</v>
      </c>
      <c r="C502" s="524" t="s">
        <v>1792</v>
      </c>
      <c r="D502" s="524" t="s">
        <v>1793</v>
      </c>
      <c r="E502" s="524" t="s">
        <v>1794</v>
      </c>
      <c r="F502" s="524" t="s">
        <v>1794</v>
      </c>
      <c r="G502" s="524" t="s">
        <v>1794</v>
      </c>
      <c r="H502" s="524" t="s">
        <v>1794</v>
      </c>
      <c r="I502" s="524" t="s">
        <v>1793</v>
      </c>
      <c r="J502" s="524" t="s">
        <v>1793</v>
      </c>
      <c r="K502" s="524"/>
      <c r="L502" s="524" t="s">
        <v>6381</v>
      </c>
      <c r="M502" s="524" t="s">
        <v>2313</v>
      </c>
      <c r="N502" s="524"/>
      <c r="O502" s="524"/>
    </row>
    <row r="503" spans="1:15" ht="43.5" hidden="1">
      <c r="A503" s="527">
        <v>198</v>
      </c>
      <c r="B503" s="524" t="e">
        <f>VLOOKUP(A503,'Hours Detail'!$E$17:$H$1048576,4,)</f>
        <v>#N/A</v>
      </c>
      <c r="C503" s="527" t="s">
        <v>1792</v>
      </c>
      <c r="D503" s="527" t="s">
        <v>15</v>
      </c>
      <c r="E503" s="527" t="s">
        <v>1793</v>
      </c>
      <c r="F503" s="527" t="s">
        <v>1794</v>
      </c>
      <c r="G503" s="527">
        <v>7</v>
      </c>
      <c r="H503" s="527" t="s">
        <v>15</v>
      </c>
      <c r="I503" s="527" t="s">
        <v>2313</v>
      </c>
      <c r="J503" s="527" t="s">
        <v>2890</v>
      </c>
      <c r="K503" s="527" t="s">
        <v>2890</v>
      </c>
      <c r="L503" s="527" t="s">
        <v>6501</v>
      </c>
      <c r="M503" s="524"/>
      <c r="N503" s="524"/>
      <c r="O503" s="524"/>
    </row>
    <row r="504" spans="1:15" ht="87" hidden="1">
      <c r="A504" s="524">
        <v>199</v>
      </c>
      <c r="B504" s="524" t="e">
        <f>VLOOKUP(A504,'Hours Detail'!$E$17:$H$1048576,4,)</f>
        <v>#N/A</v>
      </c>
      <c r="C504" s="524" t="s">
        <v>5207</v>
      </c>
      <c r="D504" s="524" t="s">
        <v>1680</v>
      </c>
      <c r="E504" s="524" t="s">
        <v>4267</v>
      </c>
      <c r="F504" s="524" t="s">
        <v>4267</v>
      </c>
      <c r="G504" s="524" t="s">
        <v>4267</v>
      </c>
      <c r="H504" s="524" t="s">
        <v>4267</v>
      </c>
      <c r="I504" s="524" t="s">
        <v>6785</v>
      </c>
      <c r="J504" s="524" t="s">
        <v>1680</v>
      </c>
      <c r="K504" s="524"/>
      <c r="L504" s="524" t="s">
        <v>6381</v>
      </c>
      <c r="M504" s="524" t="s">
        <v>522</v>
      </c>
      <c r="N504" s="524"/>
      <c r="O504" s="524"/>
    </row>
    <row r="505" spans="1:15" ht="43.5" hidden="1">
      <c r="A505" s="527">
        <v>199</v>
      </c>
      <c r="B505" s="524" t="e">
        <f>VLOOKUP(A505,'Hours Detail'!$E$17:$H$1048576,4,)</f>
        <v>#N/A</v>
      </c>
      <c r="C505" s="527" t="s">
        <v>1679</v>
      </c>
      <c r="D505" s="527" t="s">
        <v>522</v>
      </c>
      <c r="E505" s="527" t="s">
        <v>1680</v>
      </c>
      <c r="F505" s="527" t="s">
        <v>1681</v>
      </c>
      <c r="G505" s="527">
        <v>4</v>
      </c>
      <c r="H505" s="527" t="s">
        <v>10</v>
      </c>
      <c r="I505" s="527" t="s">
        <v>522</v>
      </c>
      <c r="J505" s="527" t="s">
        <v>2890</v>
      </c>
      <c r="K505" s="527" t="s">
        <v>2890</v>
      </c>
      <c r="L505" s="527" t="s">
        <v>6371</v>
      </c>
      <c r="M505" s="524"/>
      <c r="N505" s="524"/>
      <c r="O505" s="524"/>
    </row>
    <row r="506" spans="1:15" ht="43.5" hidden="1">
      <c r="A506" s="525">
        <v>204</v>
      </c>
      <c r="B506" s="524" t="e">
        <f>VLOOKUP(A506,'Hours Detail'!$E$17:$H$1048576,4,)</f>
        <v>#N/A</v>
      </c>
      <c r="C506" s="524" t="s">
        <v>432</v>
      </c>
      <c r="D506" s="524" t="s">
        <v>761</v>
      </c>
      <c r="E506" s="524" t="s">
        <v>1547</v>
      </c>
      <c r="F506" s="524" t="s">
        <v>1547</v>
      </c>
      <c r="G506" s="524" t="s">
        <v>1547</v>
      </c>
      <c r="H506" s="524" t="s">
        <v>1547</v>
      </c>
      <c r="I506" s="524" t="s">
        <v>761</v>
      </c>
      <c r="J506" s="524" t="s">
        <v>761</v>
      </c>
      <c r="K506" s="524"/>
      <c r="L506" s="524" t="s">
        <v>6399</v>
      </c>
      <c r="M506" s="524" t="s">
        <v>6613</v>
      </c>
      <c r="N506" s="524" t="s">
        <v>6808</v>
      </c>
      <c r="O506" s="524"/>
    </row>
    <row r="507" spans="1:15" ht="29" hidden="1">
      <c r="A507" s="527">
        <v>204</v>
      </c>
      <c r="B507" s="524" t="e">
        <f>VLOOKUP(A507,'Hours Detail'!$E$17:$H$1048576,4,)</f>
        <v>#N/A</v>
      </c>
      <c r="C507" s="527" t="s">
        <v>432</v>
      </c>
      <c r="D507" s="527" t="s">
        <v>1528</v>
      </c>
      <c r="E507" s="527" t="s">
        <v>761</v>
      </c>
      <c r="F507" s="527" t="s">
        <v>1547</v>
      </c>
      <c r="G507" s="527">
        <v>511</v>
      </c>
      <c r="H507" s="527" t="s">
        <v>429</v>
      </c>
      <c r="I507" s="527" t="s">
        <v>1526</v>
      </c>
      <c r="J507" s="527" t="s">
        <v>2890</v>
      </c>
      <c r="K507" s="527" t="s">
        <v>2890</v>
      </c>
      <c r="L507" s="527" t="s">
        <v>6371</v>
      </c>
      <c r="M507" s="524"/>
      <c r="N507" s="524"/>
      <c r="O507" s="524"/>
    </row>
    <row r="508" spans="1:15" ht="58" hidden="1">
      <c r="A508" s="525">
        <v>207</v>
      </c>
      <c r="B508" s="524" t="e">
        <f>VLOOKUP(A508,'Hours Detail'!$E$17:$H$1048576,4,)</f>
        <v>#N/A</v>
      </c>
      <c r="C508" s="524" t="s">
        <v>5202</v>
      </c>
      <c r="D508" s="524" t="s">
        <v>5201</v>
      </c>
      <c r="E508" s="524" t="s">
        <v>5200</v>
      </c>
      <c r="F508" s="524" t="s">
        <v>5200</v>
      </c>
      <c r="G508" s="524" t="s">
        <v>5200</v>
      </c>
      <c r="H508" s="524" t="s">
        <v>5200</v>
      </c>
      <c r="I508" s="524" t="s">
        <v>6809</v>
      </c>
      <c r="J508" s="524" t="s">
        <v>5201</v>
      </c>
      <c r="K508" s="524"/>
      <c r="L508" s="524" t="s">
        <v>6399</v>
      </c>
      <c r="M508" s="524" t="s">
        <v>6437</v>
      </c>
      <c r="N508" s="524"/>
      <c r="O508" s="524"/>
    </row>
    <row r="509" spans="1:15" ht="43.5" hidden="1">
      <c r="A509" s="524">
        <v>208</v>
      </c>
      <c r="B509" s="524" t="e">
        <f>VLOOKUP(A509,'Hours Detail'!$E$17:$H$1048576,4,)</f>
        <v>#N/A</v>
      </c>
      <c r="C509" s="524" t="s">
        <v>5199</v>
      </c>
      <c r="D509" s="524" t="s">
        <v>5199</v>
      </c>
      <c r="E509" s="524" t="s">
        <v>5199</v>
      </c>
      <c r="F509" s="524" t="s">
        <v>5199</v>
      </c>
      <c r="G509" s="524" t="s">
        <v>5199</v>
      </c>
      <c r="H509" s="524" t="s">
        <v>5199</v>
      </c>
      <c r="I509" s="524" t="s">
        <v>5199</v>
      </c>
      <c r="J509" s="524" t="s">
        <v>5199</v>
      </c>
      <c r="K509" s="524"/>
      <c r="L509" s="524" t="s">
        <v>6400</v>
      </c>
      <c r="M509" s="524" t="s">
        <v>6401</v>
      </c>
      <c r="N509" s="524"/>
      <c r="O509" s="524"/>
    </row>
    <row r="510" spans="1:15" ht="116" hidden="1">
      <c r="A510" s="525">
        <v>209</v>
      </c>
      <c r="B510" s="524" t="e">
        <f>VLOOKUP(A510,'Hours Detail'!$E$17:$H$1048576,4,)</f>
        <v>#N/A</v>
      </c>
      <c r="C510" s="524" t="s">
        <v>3779</v>
      </c>
      <c r="D510" s="524" t="s">
        <v>3778</v>
      </c>
      <c r="E510" s="524" t="s">
        <v>3777</v>
      </c>
      <c r="F510" s="524" t="s">
        <v>3777</v>
      </c>
      <c r="G510" s="524" t="s">
        <v>3777</v>
      </c>
      <c r="H510" s="524" t="s">
        <v>3777</v>
      </c>
      <c r="I510" s="524" t="s">
        <v>6810</v>
      </c>
      <c r="J510" s="524" t="s">
        <v>3778</v>
      </c>
      <c r="K510" s="524"/>
      <c r="L510" s="524" t="s">
        <v>6590</v>
      </c>
      <c r="M510" s="524" t="s">
        <v>6591</v>
      </c>
      <c r="N510" s="524" t="s">
        <v>6811</v>
      </c>
      <c r="O510" s="524"/>
    </row>
    <row r="511" spans="1:15" ht="72.5">
      <c r="A511" s="525">
        <v>210</v>
      </c>
      <c r="B511" s="524" t="str">
        <f>VLOOKUP(A511,'Hours Detail'!$E$17:$H$1048576,4,)</f>
        <v>No</v>
      </c>
      <c r="C511" s="524" t="s">
        <v>4629</v>
      </c>
      <c r="D511" s="524" t="s">
        <v>4628</v>
      </c>
      <c r="E511" s="524" t="s">
        <v>4627</v>
      </c>
      <c r="F511" s="524" t="s">
        <v>4627</v>
      </c>
      <c r="G511" s="524" t="s">
        <v>4627</v>
      </c>
      <c r="H511" s="524" t="s">
        <v>4627</v>
      </c>
      <c r="I511" s="524" t="s">
        <v>4628</v>
      </c>
      <c r="J511" s="524" t="s">
        <v>4628</v>
      </c>
      <c r="K511" s="524"/>
      <c r="L511" s="524" t="s">
        <v>6590</v>
      </c>
      <c r="M511" s="524" t="s">
        <v>6592</v>
      </c>
      <c r="N511" s="524" t="s">
        <v>6812</v>
      </c>
      <c r="O511" s="524"/>
    </row>
    <row r="512" spans="1:15" ht="29" hidden="1">
      <c r="A512" s="525">
        <v>211</v>
      </c>
      <c r="B512" s="524" t="str">
        <f>VLOOKUP(A512,'Hours Detail'!$E$17:$H$1048576,4,)</f>
        <v>No</v>
      </c>
      <c r="C512" s="524" t="s">
        <v>2038</v>
      </c>
      <c r="D512" s="524" t="s">
        <v>2038</v>
      </c>
      <c r="E512" s="524" t="s">
        <v>2038</v>
      </c>
      <c r="F512" s="524" t="s">
        <v>2038</v>
      </c>
      <c r="G512" s="524" t="s">
        <v>2038</v>
      </c>
      <c r="H512" s="524" t="s">
        <v>2038</v>
      </c>
      <c r="I512" s="524" t="s">
        <v>2038</v>
      </c>
      <c r="J512" s="524" t="s">
        <v>2038</v>
      </c>
      <c r="K512" s="524"/>
      <c r="L512" s="524" t="s">
        <v>6402</v>
      </c>
      <c r="M512" s="524" t="s">
        <v>6403</v>
      </c>
      <c r="N512" s="524"/>
      <c r="O512" s="524"/>
    </row>
    <row r="513" spans="1:15" ht="101.5" hidden="1">
      <c r="A513" s="527">
        <v>211</v>
      </c>
      <c r="B513" s="524" t="str">
        <f>VLOOKUP(A513,'Hours Detail'!$E$17:$H$1048576,4,)</f>
        <v>No</v>
      </c>
      <c r="C513" s="527" t="s">
        <v>2038</v>
      </c>
      <c r="D513" s="527" t="s">
        <v>999</v>
      </c>
      <c r="E513" s="527" t="s">
        <v>2038</v>
      </c>
      <c r="F513" s="527" t="s">
        <v>2038</v>
      </c>
      <c r="G513" s="527">
        <v>36</v>
      </c>
      <c r="H513" s="527" t="s">
        <v>250</v>
      </c>
      <c r="I513" s="527" t="s">
        <v>997</v>
      </c>
      <c r="J513" s="527" t="s">
        <v>2889</v>
      </c>
      <c r="K513" s="527" t="s">
        <v>2890</v>
      </c>
      <c r="L513" s="527" t="s">
        <v>6813</v>
      </c>
      <c r="M513" s="524"/>
      <c r="N513" s="524"/>
      <c r="O513" s="524"/>
    </row>
    <row r="514" spans="1:15" ht="43.5" hidden="1">
      <c r="A514" s="525">
        <v>212</v>
      </c>
      <c r="B514" s="524" t="e">
        <f>VLOOKUP(A514,'Hours Detail'!$E$17:$H$1048576,4,)</f>
        <v>#N/A</v>
      </c>
      <c r="C514" s="524" t="s">
        <v>138</v>
      </c>
      <c r="D514" s="524" t="s">
        <v>767</v>
      </c>
      <c r="E514" s="524" t="s">
        <v>138</v>
      </c>
      <c r="F514" s="524" t="s">
        <v>138</v>
      </c>
      <c r="G514" s="524" t="s">
        <v>138</v>
      </c>
      <c r="H514" s="524" t="s">
        <v>138</v>
      </c>
      <c r="I514" s="524" t="s">
        <v>767</v>
      </c>
      <c r="J514" s="524" t="s">
        <v>767</v>
      </c>
      <c r="K514" s="524"/>
      <c r="L514" s="524" t="s">
        <v>6399</v>
      </c>
      <c r="M514" s="524" t="s">
        <v>6437</v>
      </c>
      <c r="N514" s="524" t="s">
        <v>6814</v>
      </c>
      <c r="O514" s="524"/>
    </row>
    <row r="515" spans="1:15" ht="29" hidden="1">
      <c r="A515" s="527">
        <v>212</v>
      </c>
      <c r="B515" s="524" t="e">
        <f>VLOOKUP(A515,'Hours Detail'!$E$17:$H$1048576,4,)</f>
        <v>#N/A</v>
      </c>
      <c r="C515" s="527" t="s">
        <v>138</v>
      </c>
      <c r="D515" s="527" t="s">
        <v>12</v>
      </c>
      <c r="E515" s="527" t="s">
        <v>767</v>
      </c>
      <c r="F515" s="527" t="s">
        <v>138</v>
      </c>
      <c r="G515" s="527">
        <v>14</v>
      </c>
      <c r="H515" s="527" t="s">
        <v>12</v>
      </c>
      <c r="I515" s="527" t="s">
        <v>2318</v>
      </c>
      <c r="J515" s="527" t="s">
        <v>2890</v>
      </c>
      <c r="K515" s="527" t="s">
        <v>2890</v>
      </c>
      <c r="L515" s="527" t="s">
        <v>6815</v>
      </c>
      <c r="M515" s="524"/>
      <c r="N515" s="524"/>
      <c r="O515" s="524"/>
    </row>
    <row r="516" spans="1:15" ht="43.5" hidden="1">
      <c r="A516" s="524">
        <v>213</v>
      </c>
      <c r="B516" s="524" t="e">
        <f>VLOOKUP(A516,'Hours Detail'!$E$17:$H$1048576,4,)</f>
        <v>#N/A</v>
      </c>
      <c r="C516" s="524" t="s">
        <v>1802</v>
      </c>
      <c r="D516" s="524" t="s">
        <v>1803</v>
      </c>
      <c r="E516" s="524" t="s">
        <v>1804</v>
      </c>
      <c r="F516" s="524" t="s">
        <v>1804</v>
      </c>
      <c r="G516" s="524" t="s">
        <v>1804</v>
      </c>
      <c r="H516" s="524" t="s">
        <v>1804</v>
      </c>
      <c r="I516" s="524" t="s">
        <v>1803</v>
      </c>
      <c r="J516" s="524" t="s">
        <v>1803</v>
      </c>
      <c r="K516" s="524"/>
      <c r="L516" s="524" t="s">
        <v>6381</v>
      </c>
      <c r="M516" s="524" t="s">
        <v>522</v>
      </c>
      <c r="N516" s="524"/>
      <c r="O516" s="524"/>
    </row>
    <row r="517" spans="1:15" ht="43.5" hidden="1">
      <c r="A517" s="527">
        <v>213</v>
      </c>
      <c r="B517" s="524" t="e">
        <f>VLOOKUP(A517,'Hours Detail'!$E$17:$H$1048576,4,)</f>
        <v>#N/A</v>
      </c>
      <c r="C517" s="527" t="s">
        <v>1802</v>
      </c>
      <c r="D517" s="527" t="s">
        <v>2171</v>
      </c>
      <c r="E517" s="527" t="s">
        <v>1803</v>
      </c>
      <c r="F517" s="527" t="s">
        <v>1804</v>
      </c>
      <c r="G517" s="527">
        <v>8</v>
      </c>
      <c r="H517" s="527" t="s">
        <v>188</v>
      </c>
      <c r="I517" s="527" t="s">
        <v>2314</v>
      </c>
      <c r="J517" s="527" t="s">
        <v>2890</v>
      </c>
      <c r="K517" s="527" t="s">
        <v>2890</v>
      </c>
      <c r="L517" s="527" t="s">
        <v>6816</v>
      </c>
      <c r="M517" s="524"/>
      <c r="N517" s="524"/>
      <c r="O517" s="524"/>
    </row>
    <row r="518" spans="1:15" ht="29" hidden="1">
      <c r="A518" s="524">
        <v>214</v>
      </c>
      <c r="B518" s="524" t="e">
        <f>VLOOKUP(A518,'Hours Detail'!$E$17:$H$1048576,4,)</f>
        <v>#N/A</v>
      </c>
      <c r="C518" s="524" t="s">
        <v>1676</v>
      </c>
      <c r="D518" s="524" t="s">
        <v>1677</v>
      </c>
      <c r="E518" s="524" t="s">
        <v>1678</v>
      </c>
      <c r="F518" s="524" t="s">
        <v>1678</v>
      </c>
      <c r="G518" s="524" t="s">
        <v>1678</v>
      </c>
      <c r="H518" s="524" t="s">
        <v>1678</v>
      </c>
      <c r="I518" s="524" t="s">
        <v>6817</v>
      </c>
      <c r="J518" s="524" t="s">
        <v>1677</v>
      </c>
      <c r="K518" s="524"/>
      <c r="L518" s="524" t="s">
        <v>6399</v>
      </c>
      <c r="M518" s="524" t="s">
        <v>6437</v>
      </c>
      <c r="N518" s="524"/>
      <c r="O518" s="524"/>
    </row>
    <row r="519" spans="1:15" ht="58" hidden="1">
      <c r="A519" s="527">
        <v>214</v>
      </c>
      <c r="B519" s="524" t="e">
        <f>VLOOKUP(A519,'Hours Detail'!$E$17:$H$1048576,4,)</f>
        <v>#N/A</v>
      </c>
      <c r="C519" s="527" t="s">
        <v>1676</v>
      </c>
      <c r="D519" s="527" t="s">
        <v>4703</v>
      </c>
      <c r="E519" s="527" t="s">
        <v>1677</v>
      </c>
      <c r="F519" s="527" t="s">
        <v>1678</v>
      </c>
      <c r="G519" s="527">
        <v>283</v>
      </c>
      <c r="H519" s="527" t="s">
        <v>4705</v>
      </c>
      <c r="I519" s="527" t="s">
        <v>4704</v>
      </c>
      <c r="J519" s="527" t="s">
        <v>2890</v>
      </c>
      <c r="K519" s="527" t="s">
        <v>2890</v>
      </c>
      <c r="L519" s="527" t="s">
        <v>6818</v>
      </c>
      <c r="M519" s="524"/>
      <c r="N519" s="524"/>
      <c r="O519" s="524"/>
    </row>
    <row r="520" spans="1:15" ht="58" hidden="1">
      <c r="A520" s="527">
        <v>215</v>
      </c>
      <c r="B520" s="524" t="e">
        <f>VLOOKUP(A520,'Hours Detail'!$E$17:$H$1048576,4,)</f>
        <v>#N/A</v>
      </c>
      <c r="C520" s="527" t="s">
        <v>1483</v>
      </c>
      <c r="D520" s="527" t="s">
        <v>1482</v>
      </c>
      <c r="E520" s="527" t="s">
        <v>1484</v>
      </c>
      <c r="F520" s="527" t="s">
        <v>1485</v>
      </c>
      <c r="G520" s="527">
        <v>304</v>
      </c>
      <c r="H520" s="527" t="s">
        <v>1478</v>
      </c>
      <c r="I520" s="527" t="s">
        <v>1480</v>
      </c>
      <c r="J520" s="527" t="s">
        <v>2890</v>
      </c>
      <c r="K520" s="527" t="s">
        <v>2890</v>
      </c>
      <c r="L520" s="527" t="s">
        <v>6371</v>
      </c>
      <c r="M520" s="524"/>
      <c r="N520" s="524"/>
      <c r="O520" s="524"/>
    </row>
    <row r="521" spans="1:15" ht="43.5" hidden="1">
      <c r="A521" s="524">
        <v>216</v>
      </c>
      <c r="B521" s="524" t="e">
        <f>VLOOKUP(A521,'Hours Detail'!$E$17:$H$1048576,4,)</f>
        <v>#N/A</v>
      </c>
      <c r="C521" s="524" t="s">
        <v>1664</v>
      </c>
      <c r="D521" s="524" t="s">
        <v>1665</v>
      </c>
      <c r="E521" s="524" t="s">
        <v>1666</v>
      </c>
      <c r="F521" s="524" t="s">
        <v>1666</v>
      </c>
      <c r="G521" s="524" t="s">
        <v>1666</v>
      </c>
      <c r="H521" s="524" t="s">
        <v>1666</v>
      </c>
      <c r="I521" s="524" t="s">
        <v>6819</v>
      </c>
      <c r="J521" s="524" t="s">
        <v>1665</v>
      </c>
      <c r="K521" s="524"/>
      <c r="L521" s="524" t="s">
        <v>6399</v>
      </c>
      <c r="M521" s="524" t="s">
        <v>6437</v>
      </c>
      <c r="N521" s="524"/>
      <c r="O521" s="524"/>
    </row>
    <row r="522" spans="1:15" ht="72.5" hidden="1">
      <c r="A522" s="527">
        <v>216</v>
      </c>
      <c r="B522" s="524" t="e">
        <f>VLOOKUP(A522,'Hours Detail'!$E$17:$H$1048576,4,)</f>
        <v>#N/A</v>
      </c>
      <c r="C522" s="527" t="s">
        <v>1664</v>
      </c>
      <c r="D522" s="527" t="s">
        <v>2312</v>
      </c>
      <c r="E522" s="527" t="s">
        <v>1665</v>
      </c>
      <c r="F522" s="527" t="s">
        <v>1666</v>
      </c>
      <c r="G522" s="527">
        <v>6</v>
      </c>
      <c r="H522" s="527" t="s">
        <v>58</v>
      </c>
      <c r="I522" s="527" t="s">
        <v>2311</v>
      </c>
      <c r="J522" s="527" t="s">
        <v>2890</v>
      </c>
      <c r="K522" s="527" t="s">
        <v>2890</v>
      </c>
      <c r="L522" s="527" t="s">
        <v>6371</v>
      </c>
      <c r="M522" s="524"/>
      <c r="N522" s="524"/>
      <c r="O522" s="524"/>
    </row>
    <row r="523" spans="1:15" ht="101.5" hidden="1">
      <c r="A523" s="524">
        <v>217</v>
      </c>
      <c r="B523" s="524" t="e">
        <f>VLOOKUP(A523,'Hours Detail'!$E$17:$H$1048576,4,)</f>
        <v>#N/A</v>
      </c>
      <c r="C523" s="524" t="s">
        <v>1673</v>
      </c>
      <c r="D523" s="524" t="s">
        <v>1674</v>
      </c>
      <c r="E523" s="524" t="s">
        <v>4013</v>
      </c>
      <c r="F523" s="524" t="s">
        <v>4013</v>
      </c>
      <c r="G523" s="524" t="s">
        <v>4013</v>
      </c>
      <c r="H523" s="524" t="s">
        <v>4013</v>
      </c>
      <c r="I523" s="524" t="s">
        <v>6820</v>
      </c>
      <c r="J523" s="524" t="s">
        <v>1674</v>
      </c>
      <c r="K523" s="524"/>
      <c r="L523" s="524" t="s">
        <v>6399</v>
      </c>
      <c r="M523" s="524" t="s">
        <v>6459</v>
      </c>
      <c r="N523" s="524"/>
      <c r="O523" s="524"/>
    </row>
    <row r="524" spans="1:15" ht="87" hidden="1">
      <c r="A524" s="527">
        <v>217</v>
      </c>
      <c r="B524" s="524" t="e">
        <f>VLOOKUP(A524,'Hours Detail'!$E$17:$H$1048576,4,)</f>
        <v>#N/A</v>
      </c>
      <c r="C524" s="527" t="s">
        <v>1673</v>
      </c>
      <c r="D524" s="527" t="s">
        <v>4703</v>
      </c>
      <c r="E524" s="527" t="s">
        <v>1674</v>
      </c>
      <c r="F524" s="527" t="s">
        <v>1675</v>
      </c>
      <c r="G524" s="527">
        <v>283</v>
      </c>
      <c r="H524" s="527" t="s">
        <v>4705</v>
      </c>
      <c r="I524" s="527" t="s">
        <v>4704</v>
      </c>
      <c r="J524" s="527" t="s">
        <v>2890</v>
      </c>
      <c r="K524" s="527" t="s">
        <v>2890</v>
      </c>
      <c r="L524" s="527" t="s">
        <v>6821</v>
      </c>
      <c r="M524" s="524"/>
      <c r="N524" s="524"/>
      <c r="O524" s="524"/>
    </row>
    <row r="525" spans="1:15" ht="43.5" hidden="1">
      <c r="A525" s="524">
        <v>218</v>
      </c>
      <c r="B525" s="524" t="e">
        <f>VLOOKUP(A525,'Hours Detail'!$E$17:$H$1048576,4,)</f>
        <v>#N/A</v>
      </c>
      <c r="C525" s="524" t="s">
        <v>1824</v>
      </c>
      <c r="D525" s="524" t="s">
        <v>1825</v>
      </c>
      <c r="E525" s="524" t="s">
        <v>1826</v>
      </c>
      <c r="F525" s="524" t="s">
        <v>1826</v>
      </c>
      <c r="G525" s="524" t="s">
        <v>1826</v>
      </c>
      <c r="H525" s="524" t="s">
        <v>1826</v>
      </c>
      <c r="I525" s="524" t="s">
        <v>1825</v>
      </c>
      <c r="J525" s="524" t="s">
        <v>1825</v>
      </c>
      <c r="K525" s="524"/>
      <c r="L525" s="524" t="s">
        <v>6386</v>
      </c>
      <c r="M525" s="524" t="s">
        <v>6435</v>
      </c>
      <c r="N525" s="524"/>
      <c r="O525" s="524"/>
    </row>
    <row r="526" spans="1:15" ht="43.5" hidden="1">
      <c r="A526" s="527">
        <v>218</v>
      </c>
      <c r="B526" s="524" t="e">
        <f>VLOOKUP(A526,'Hours Detail'!$E$17:$H$1048576,4,)</f>
        <v>#N/A</v>
      </c>
      <c r="C526" s="527" t="s">
        <v>1824</v>
      </c>
      <c r="D526" s="527" t="s">
        <v>706</v>
      </c>
      <c r="E526" s="527" t="s">
        <v>1825</v>
      </c>
      <c r="F526" s="527" t="s">
        <v>1826</v>
      </c>
      <c r="G526" s="527">
        <v>11</v>
      </c>
      <c r="H526" s="527" t="s">
        <v>6</v>
      </c>
      <c r="I526" s="527" t="s">
        <v>705</v>
      </c>
      <c r="J526" s="527" t="s">
        <v>2890</v>
      </c>
      <c r="K526" s="527" t="s">
        <v>2890</v>
      </c>
      <c r="L526" s="527" t="s">
        <v>6822</v>
      </c>
      <c r="M526" s="524"/>
      <c r="N526" s="524"/>
      <c r="O526" s="524"/>
    </row>
    <row r="527" spans="1:15" ht="43.5" hidden="1">
      <c r="A527" s="524">
        <v>219</v>
      </c>
      <c r="B527" s="524" t="e">
        <f>VLOOKUP(A527,'Hours Detail'!$E$17:$H$1048576,4,)</f>
        <v>#N/A</v>
      </c>
      <c r="C527" s="524" t="s">
        <v>1670</v>
      </c>
      <c r="D527" s="524" t="s">
        <v>1671</v>
      </c>
      <c r="E527" s="524" t="s">
        <v>4234</v>
      </c>
      <c r="F527" s="524" t="s">
        <v>4234</v>
      </c>
      <c r="G527" s="524" t="s">
        <v>4234</v>
      </c>
      <c r="H527" s="524" t="s">
        <v>4234</v>
      </c>
      <c r="I527" s="524" t="s">
        <v>1671</v>
      </c>
      <c r="J527" s="524" t="s">
        <v>1671</v>
      </c>
      <c r="K527" s="524"/>
      <c r="L527" s="524" t="s">
        <v>6399</v>
      </c>
      <c r="M527" s="524" t="s">
        <v>6459</v>
      </c>
      <c r="N527" s="524"/>
      <c r="O527" s="524"/>
    </row>
    <row r="528" spans="1:15" ht="87" hidden="1">
      <c r="A528" s="527">
        <v>219</v>
      </c>
      <c r="B528" s="524" t="e">
        <f>VLOOKUP(A528,'Hours Detail'!$E$17:$H$1048576,4,)</f>
        <v>#N/A</v>
      </c>
      <c r="C528" s="527" t="s">
        <v>1670</v>
      </c>
      <c r="D528" s="527" t="s">
        <v>4703</v>
      </c>
      <c r="E528" s="527" t="s">
        <v>1671</v>
      </c>
      <c r="F528" s="527" t="s">
        <v>1672</v>
      </c>
      <c r="G528" s="527">
        <v>283</v>
      </c>
      <c r="H528" s="527" t="s">
        <v>4705</v>
      </c>
      <c r="I528" s="527" t="s">
        <v>4704</v>
      </c>
      <c r="J528" s="527" t="s">
        <v>2890</v>
      </c>
      <c r="K528" s="527" t="s">
        <v>2890</v>
      </c>
      <c r="L528" s="527" t="s">
        <v>6823</v>
      </c>
      <c r="M528" s="524"/>
      <c r="N528" s="524"/>
      <c r="O528" s="524"/>
    </row>
    <row r="529" spans="1:15" ht="58" hidden="1">
      <c r="A529" s="524">
        <v>220</v>
      </c>
      <c r="B529" s="524" t="str">
        <f>VLOOKUP(A529,'Hours Detail'!$E$17:$H$1048576,4,)</f>
        <v>No</v>
      </c>
      <c r="C529" s="524" t="s">
        <v>4329</v>
      </c>
      <c r="D529" s="524" t="s">
        <v>1275</v>
      </c>
      <c r="E529" s="524" t="s">
        <v>4328</v>
      </c>
      <c r="F529" s="524" t="s">
        <v>4328</v>
      </c>
      <c r="G529" s="524" t="s">
        <v>4328</v>
      </c>
      <c r="H529" s="524" t="s">
        <v>4328</v>
      </c>
      <c r="I529" s="524" t="s">
        <v>6824</v>
      </c>
      <c r="J529" s="524" t="s">
        <v>1275</v>
      </c>
      <c r="K529" s="524" t="s">
        <v>6359</v>
      </c>
      <c r="L529" s="524" t="s">
        <v>6381</v>
      </c>
      <c r="M529" s="524" t="s">
        <v>522</v>
      </c>
      <c r="N529" s="524"/>
      <c r="O529" s="524"/>
    </row>
    <row r="530" spans="1:15" ht="72.5" hidden="1">
      <c r="A530" s="527">
        <v>220</v>
      </c>
      <c r="B530" s="524" t="str">
        <f>VLOOKUP(A530,'Hours Detail'!$E$17:$H$1048576,4,)</f>
        <v>No</v>
      </c>
      <c r="C530" s="527" t="s">
        <v>403</v>
      </c>
      <c r="D530" s="527" t="s">
        <v>287</v>
      </c>
      <c r="E530" s="527" t="s">
        <v>1275</v>
      </c>
      <c r="F530" s="527" t="s">
        <v>1276</v>
      </c>
      <c r="G530" s="527">
        <v>90</v>
      </c>
      <c r="H530" s="527" t="s">
        <v>287</v>
      </c>
      <c r="I530" s="527" t="s">
        <v>1102</v>
      </c>
      <c r="J530" s="527" t="s">
        <v>2889</v>
      </c>
      <c r="K530" s="527" t="s">
        <v>2889</v>
      </c>
      <c r="L530" s="527" t="s">
        <v>6825</v>
      </c>
      <c r="M530" s="524"/>
      <c r="N530" s="524"/>
      <c r="O530" s="524"/>
    </row>
    <row r="531" spans="1:15" ht="87" hidden="1">
      <c r="A531" s="524">
        <v>221</v>
      </c>
      <c r="B531" s="524" t="str">
        <f>VLOOKUP(A531,'Hours Detail'!$E$17:$H$1048576,4,)</f>
        <v>No</v>
      </c>
      <c r="C531" s="524" t="s">
        <v>407</v>
      </c>
      <c r="D531" s="524" t="s">
        <v>1277</v>
      </c>
      <c r="E531" s="524" t="s">
        <v>1278</v>
      </c>
      <c r="F531" s="524" t="s">
        <v>1278</v>
      </c>
      <c r="G531" s="524" t="s">
        <v>1278</v>
      </c>
      <c r="H531" s="524" t="s">
        <v>1278</v>
      </c>
      <c r="I531" s="524" t="s">
        <v>6826</v>
      </c>
      <c r="J531" s="524" t="s">
        <v>1277</v>
      </c>
      <c r="K531" s="524" t="s">
        <v>6359</v>
      </c>
      <c r="L531" s="524" t="s">
        <v>6381</v>
      </c>
      <c r="M531" s="524" t="s">
        <v>522</v>
      </c>
      <c r="N531" s="524"/>
      <c r="O531" s="524"/>
    </row>
    <row r="532" spans="1:15" ht="58" hidden="1">
      <c r="A532" s="527">
        <v>221</v>
      </c>
      <c r="B532" s="524" t="str">
        <f>VLOOKUP(A532,'Hours Detail'!$E$17:$H$1048576,4,)</f>
        <v>No</v>
      </c>
      <c r="C532" s="527" t="s">
        <v>407</v>
      </c>
      <c r="D532" s="527" t="s">
        <v>287</v>
      </c>
      <c r="E532" s="527" t="s">
        <v>1277</v>
      </c>
      <c r="F532" s="527" t="s">
        <v>1278</v>
      </c>
      <c r="G532" s="527">
        <v>90</v>
      </c>
      <c r="H532" s="527" t="s">
        <v>287</v>
      </c>
      <c r="I532" s="527" t="s">
        <v>1102</v>
      </c>
      <c r="J532" s="527" t="s">
        <v>2889</v>
      </c>
      <c r="K532" s="527" t="s">
        <v>2889</v>
      </c>
      <c r="L532" s="527" t="s">
        <v>6827</v>
      </c>
      <c r="M532" s="524"/>
      <c r="N532" s="524"/>
      <c r="O532" s="524"/>
    </row>
    <row r="533" spans="1:15" ht="58" hidden="1">
      <c r="A533" s="524">
        <v>222</v>
      </c>
      <c r="B533" s="524" t="e">
        <f>VLOOKUP(A533,'Hours Detail'!$E$17:$H$1048576,4,)</f>
        <v>#N/A</v>
      </c>
      <c r="C533" s="524" t="s">
        <v>1667</v>
      </c>
      <c r="D533" s="524" t="s">
        <v>1668</v>
      </c>
      <c r="E533" s="524" t="s">
        <v>4236</v>
      </c>
      <c r="F533" s="524" t="s">
        <v>6828</v>
      </c>
      <c r="G533" s="524" t="s">
        <v>4236</v>
      </c>
      <c r="H533" s="524" t="s">
        <v>4236</v>
      </c>
      <c r="I533" s="524" t="s">
        <v>1668</v>
      </c>
      <c r="J533" s="524" t="s">
        <v>1668</v>
      </c>
      <c r="K533" s="524"/>
      <c r="L533" s="524" t="s">
        <v>6399</v>
      </c>
      <c r="M533" s="524" t="s">
        <v>6459</v>
      </c>
      <c r="N533" s="524"/>
      <c r="O533" s="524"/>
    </row>
    <row r="534" spans="1:15" ht="58" hidden="1">
      <c r="A534" s="527">
        <v>222</v>
      </c>
      <c r="B534" s="524" t="e">
        <f>VLOOKUP(A534,'Hours Detail'!$E$17:$H$1048576,4,)</f>
        <v>#N/A</v>
      </c>
      <c r="C534" s="527" t="s">
        <v>1667</v>
      </c>
      <c r="D534" s="527" t="s">
        <v>4703</v>
      </c>
      <c r="E534" s="527" t="s">
        <v>1668</v>
      </c>
      <c r="F534" s="527" t="s">
        <v>1669</v>
      </c>
      <c r="G534" s="527">
        <v>283</v>
      </c>
      <c r="H534" s="527" t="s">
        <v>4705</v>
      </c>
      <c r="I534" s="527" t="s">
        <v>4704</v>
      </c>
      <c r="J534" s="527" t="s">
        <v>2890</v>
      </c>
      <c r="K534" s="527" t="s">
        <v>2890</v>
      </c>
      <c r="L534" s="527" t="s">
        <v>6371</v>
      </c>
      <c r="M534" s="524"/>
      <c r="N534" s="524"/>
      <c r="O534" s="524"/>
    </row>
    <row r="535" spans="1:15" ht="58" hidden="1">
      <c r="A535" s="525">
        <v>223</v>
      </c>
      <c r="B535" s="524" t="e">
        <f>VLOOKUP(A535,'Hours Detail'!$E$17:$H$1048576,4,)</f>
        <v>#N/A</v>
      </c>
      <c r="C535" s="524" t="s">
        <v>139</v>
      </c>
      <c r="D535" s="524" t="s">
        <v>765</v>
      </c>
      <c r="E535" s="524" t="s">
        <v>766</v>
      </c>
      <c r="F535" s="524" t="s">
        <v>766</v>
      </c>
      <c r="G535" s="524" t="s">
        <v>766</v>
      </c>
      <c r="H535" s="524" t="s">
        <v>766</v>
      </c>
      <c r="I535" s="524" t="s">
        <v>765</v>
      </c>
      <c r="J535" s="524" t="s">
        <v>765</v>
      </c>
      <c r="K535" s="524"/>
      <c r="L535" s="524" t="s">
        <v>6399</v>
      </c>
      <c r="M535" s="524" t="s">
        <v>6437</v>
      </c>
      <c r="N535" s="524" t="s">
        <v>6829</v>
      </c>
      <c r="O535" s="524"/>
    </row>
    <row r="536" spans="1:15" ht="29" hidden="1">
      <c r="A536" s="527">
        <v>223</v>
      </c>
      <c r="B536" s="524" t="e">
        <f>VLOOKUP(A536,'Hours Detail'!$E$17:$H$1048576,4,)</f>
        <v>#N/A</v>
      </c>
      <c r="C536" s="527" t="s">
        <v>139</v>
      </c>
      <c r="D536" s="527" t="s">
        <v>12</v>
      </c>
      <c r="E536" s="527" t="s">
        <v>765</v>
      </c>
      <c r="F536" s="527" t="s">
        <v>766</v>
      </c>
      <c r="G536" s="527">
        <v>14</v>
      </c>
      <c r="H536" s="527" t="s">
        <v>12</v>
      </c>
      <c r="I536" s="527" t="s">
        <v>2318</v>
      </c>
      <c r="J536" s="527" t="s">
        <v>2890</v>
      </c>
      <c r="K536" s="527" t="s">
        <v>2890</v>
      </c>
      <c r="L536" s="527" t="s">
        <v>6830</v>
      </c>
      <c r="M536" s="524"/>
      <c r="N536" s="524"/>
      <c r="O536" s="524"/>
    </row>
    <row r="537" spans="1:15" ht="43.5" hidden="1">
      <c r="A537" s="524">
        <v>224</v>
      </c>
      <c r="B537" s="524" t="e">
        <f>VLOOKUP(A537,'Hours Detail'!$E$17:$H$1048576,4,)</f>
        <v>#N/A</v>
      </c>
      <c r="C537" s="524" t="s">
        <v>1664</v>
      </c>
      <c r="D537" s="524" t="s">
        <v>1665</v>
      </c>
      <c r="E537" s="524" t="s">
        <v>1666</v>
      </c>
      <c r="F537" s="524" t="s">
        <v>1666</v>
      </c>
      <c r="G537" s="524" t="s">
        <v>1666</v>
      </c>
      <c r="H537" s="524" t="s">
        <v>1666</v>
      </c>
      <c r="I537" s="524" t="s">
        <v>6819</v>
      </c>
      <c r="J537" s="524" t="s">
        <v>1665</v>
      </c>
      <c r="K537" s="524"/>
      <c r="L537" s="524" t="s">
        <v>6399</v>
      </c>
      <c r="M537" s="524" t="s">
        <v>6437</v>
      </c>
      <c r="N537" s="524"/>
      <c r="O537" s="524"/>
    </row>
    <row r="538" spans="1:15" ht="72.5" hidden="1">
      <c r="A538" s="527">
        <v>224</v>
      </c>
      <c r="B538" s="524" t="e">
        <f>VLOOKUP(A538,'Hours Detail'!$E$17:$H$1048576,4,)</f>
        <v>#N/A</v>
      </c>
      <c r="C538" s="527" t="s">
        <v>1664</v>
      </c>
      <c r="D538" s="527" t="s">
        <v>4703</v>
      </c>
      <c r="E538" s="527" t="s">
        <v>1665</v>
      </c>
      <c r="F538" s="527" t="s">
        <v>1666</v>
      </c>
      <c r="G538" s="527">
        <v>283</v>
      </c>
      <c r="H538" s="527" t="s">
        <v>4705</v>
      </c>
      <c r="I538" s="527" t="s">
        <v>4704</v>
      </c>
      <c r="J538" s="527" t="s">
        <v>2890</v>
      </c>
      <c r="K538" s="527" t="s">
        <v>2890</v>
      </c>
      <c r="L538" s="527" t="s">
        <v>6831</v>
      </c>
      <c r="M538" s="524"/>
      <c r="N538" s="524"/>
      <c r="O538" s="524"/>
    </row>
    <row r="539" spans="1:15" ht="58" hidden="1">
      <c r="A539" s="524">
        <v>225</v>
      </c>
      <c r="B539" s="524" t="e">
        <f>VLOOKUP(A539,'Hours Detail'!$E$17:$H$1048576,4,)</f>
        <v>#N/A</v>
      </c>
      <c r="C539" s="524" t="s">
        <v>1661</v>
      </c>
      <c r="D539" s="524" t="s">
        <v>1662</v>
      </c>
      <c r="E539" s="524" t="s">
        <v>1663</v>
      </c>
      <c r="F539" s="524" t="s">
        <v>1663</v>
      </c>
      <c r="G539" s="524" t="s">
        <v>1663</v>
      </c>
      <c r="H539" s="524" t="s">
        <v>1663</v>
      </c>
      <c r="I539" s="524" t="s">
        <v>6832</v>
      </c>
      <c r="J539" s="524" t="s">
        <v>1662</v>
      </c>
      <c r="K539" s="524"/>
      <c r="L539" s="524" t="s">
        <v>6399</v>
      </c>
      <c r="M539" s="524" t="s">
        <v>6613</v>
      </c>
      <c r="N539" s="524"/>
      <c r="O539" s="524"/>
    </row>
    <row r="540" spans="1:15" ht="58" hidden="1">
      <c r="A540" s="527">
        <v>225</v>
      </c>
      <c r="B540" s="524" t="e">
        <f>VLOOKUP(A540,'Hours Detail'!$E$17:$H$1048576,4,)</f>
        <v>#N/A</v>
      </c>
      <c r="C540" s="527" t="s">
        <v>1661</v>
      </c>
      <c r="D540" s="527" t="s">
        <v>4703</v>
      </c>
      <c r="E540" s="527" t="s">
        <v>1662</v>
      </c>
      <c r="F540" s="527" t="s">
        <v>1663</v>
      </c>
      <c r="G540" s="527">
        <v>283</v>
      </c>
      <c r="H540" s="527" t="s">
        <v>4705</v>
      </c>
      <c r="I540" s="527" t="s">
        <v>4704</v>
      </c>
      <c r="J540" s="527" t="s">
        <v>2890</v>
      </c>
      <c r="K540" s="527" t="s">
        <v>2890</v>
      </c>
      <c r="L540" s="527" t="s">
        <v>6833</v>
      </c>
      <c r="M540" s="524"/>
      <c r="N540" s="524"/>
      <c r="O540" s="524"/>
    </row>
    <row r="541" spans="1:15" ht="87" hidden="1">
      <c r="A541" s="524">
        <v>226</v>
      </c>
      <c r="B541" s="524" t="e">
        <f>VLOOKUP(A541,'Hours Detail'!$E$17:$H$1048576,4,)</f>
        <v>#N/A</v>
      </c>
      <c r="C541" s="524" t="s">
        <v>1658</v>
      </c>
      <c r="D541" s="524" t="s">
        <v>1659</v>
      </c>
      <c r="E541" s="524" t="s">
        <v>1660</v>
      </c>
      <c r="F541" s="524" t="s">
        <v>1660</v>
      </c>
      <c r="G541" s="524" t="s">
        <v>1660</v>
      </c>
      <c r="H541" s="524" t="s">
        <v>1660</v>
      </c>
      <c r="I541" s="524" t="s">
        <v>6834</v>
      </c>
      <c r="J541" s="524" t="s">
        <v>1659</v>
      </c>
      <c r="K541" s="524"/>
      <c r="L541" s="524" t="s">
        <v>6399</v>
      </c>
      <c r="M541" s="524" t="s">
        <v>6459</v>
      </c>
      <c r="N541" s="524"/>
      <c r="O541" s="524"/>
    </row>
    <row r="542" spans="1:15" ht="72.5" hidden="1">
      <c r="A542" s="527">
        <v>226</v>
      </c>
      <c r="B542" s="524" t="e">
        <f>VLOOKUP(A542,'Hours Detail'!$E$17:$H$1048576,4,)</f>
        <v>#N/A</v>
      </c>
      <c r="C542" s="527" t="s">
        <v>1658</v>
      </c>
      <c r="D542" s="527" t="s">
        <v>4703</v>
      </c>
      <c r="E542" s="527" t="s">
        <v>1659</v>
      </c>
      <c r="F542" s="527" t="s">
        <v>1660</v>
      </c>
      <c r="G542" s="527">
        <v>283</v>
      </c>
      <c r="H542" s="527" t="s">
        <v>4705</v>
      </c>
      <c r="I542" s="527" t="s">
        <v>4704</v>
      </c>
      <c r="J542" s="527" t="s">
        <v>2890</v>
      </c>
      <c r="K542" s="527" t="s">
        <v>2890</v>
      </c>
      <c r="L542" s="527" t="s">
        <v>6835</v>
      </c>
      <c r="M542" s="524"/>
      <c r="N542" s="524"/>
      <c r="O542" s="524"/>
    </row>
    <row r="543" spans="1:15" ht="58" hidden="1">
      <c r="A543" s="524">
        <v>227</v>
      </c>
      <c r="B543" s="524" t="e">
        <f>VLOOKUP(A543,'Hours Detail'!$E$17:$H$1048576,4,)</f>
        <v>#N/A</v>
      </c>
      <c r="C543" s="524" t="s">
        <v>1655</v>
      </c>
      <c r="D543" s="524" t="s">
        <v>1656</v>
      </c>
      <c r="E543" s="524" t="s">
        <v>1657</v>
      </c>
      <c r="F543" s="524" t="s">
        <v>1657</v>
      </c>
      <c r="G543" s="524" t="s">
        <v>1657</v>
      </c>
      <c r="H543" s="524" t="s">
        <v>1657</v>
      </c>
      <c r="I543" s="524" t="s">
        <v>6836</v>
      </c>
      <c r="J543" s="524" t="s">
        <v>6837</v>
      </c>
      <c r="K543" s="524"/>
      <c r="L543" s="524" t="s">
        <v>6399</v>
      </c>
      <c r="M543" s="524" t="s">
        <v>6459</v>
      </c>
      <c r="N543" s="524"/>
      <c r="O543" s="524"/>
    </row>
    <row r="544" spans="1:15" ht="87" hidden="1">
      <c r="A544" s="527">
        <v>227</v>
      </c>
      <c r="B544" s="524" t="e">
        <f>VLOOKUP(A544,'Hours Detail'!$E$17:$H$1048576,4,)</f>
        <v>#N/A</v>
      </c>
      <c r="C544" s="527" t="s">
        <v>1655</v>
      </c>
      <c r="D544" s="527" t="s">
        <v>4703</v>
      </c>
      <c r="E544" s="527" t="s">
        <v>1656</v>
      </c>
      <c r="F544" s="527" t="s">
        <v>1657</v>
      </c>
      <c r="G544" s="527">
        <v>283</v>
      </c>
      <c r="H544" s="527" t="s">
        <v>4705</v>
      </c>
      <c r="I544" s="527" t="s">
        <v>4704</v>
      </c>
      <c r="J544" s="527" t="s">
        <v>2890</v>
      </c>
      <c r="K544" s="527" t="s">
        <v>2890</v>
      </c>
      <c r="L544" s="527" t="s">
        <v>6838</v>
      </c>
      <c r="M544" s="524"/>
      <c r="N544" s="524"/>
      <c r="O544" s="524"/>
    </row>
    <row r="545" spans="1:15" ht="58" hidden="1">
      <c r="A545" s="524">
        <v>228</v>
      </c>
      <c r="B545" s="524" t="e">
        <f>VLOOKUP(A545,'Hours Detail'!$E$17:$H$1048576,4,)</f>
        <v>#N/A</v>
      </c>
      <c r="C545" s="524" t="s">
        <v>1652</v>
      </c>
      <c r="D545" s="524" t="s">
        <v>1653</v>
      </c>
      <c r="E545" s="524" t="s">
        <v>5233</v>
      </c>
      <c r="F545" s="524" t="s">
        <v>6839</v>
      </c>
      <c r="G545" s="524" t="s">
        <v>5233</v>
      </c>
      <c r="H545" s="524" t="s">
        <v>5233</v>
      </c>
      <c r="I545" s="524" t="s">
        <v>1653</v>
      </c>
      <c r="J545" s="524" t="s">
        <v>1653</v>
      </c>
      <c r="K545" s="524"/>
      <c r="L545" s="524" t="s">
        <v>6399</v>
      </c>
      <c r="M545" s="524" t="s">
        <v>6509</v>
      </c>
      <c r="N545" s="524"/>
      <c r="O545" s="524"/>
    </row>
    <row r="546" spans="1:15" ht="58" hidden="1">
      <c r="A546" s="527">
        <v>228</v>
      </c>
      <c r="B546" s="524" t="e">
        <f>VLOOKUP(A546,'Hours Detail'!$E$17:$H$1048576,4,)</f>
        <v>#N/A</v>
      </c>
      <c r="C546" s="527" t="s">
        <v>1652</v>
      </c>
      <c r="D546" s="527" t="s">
        <v>4703</v>
      </c>
      <c r="E546" s="527" t="s">
        <v>1653</v>
      </c>
      <c r="F546" s="527" t="s">
        <v>1654</v>
      </c>
      <c r="G546" s="527">
        <v>283</v>
      </c>
      <c r="H546" s="527" t="s">
        <v>4705</v>
      </c>
      <c r="I546" s="527" t="s">
        <v>4704</v>
      </c>
      <c r="J546" s="527" t="s">
        <v>2890</v>
      </c>
      <c r="K546" s="527" t="s">
        <v>2890</v>
      </c>
      <c r="L546" s="527" t="s">
        <v>6371</v>
      </c>
      <c r="M546" s="524"/>
      <c r="N546" s="524"/>
      <c r="O546" s="524"/>
    </row>
    <row r="547" spans="1:15" ht="43.5" hidden="1">
      <c r="A547" s="524">
        <v>229</v>
      </c>
      <c r="B547" s="524" t="e">
        <f>VLOOKUP(A547,'Hours Detail'!$E$17:$H$1048576,4,)</f>
        <v>#N/A</v>
      </c>
      <c r="C547" s="524" t="s">
        <v>1649</v>
      </c>
      <c r="D547" s="524" t="s">
        <v>1650</v>
      </c>
      <c r="E547" s="524" t="s">
        <v>5232</v>
      </c>
      <c r="F547" s="524" t="s">
        <v>6840</v>
      </c>
      <c r="G547" s="524" t="s">
        <v>5232</v>
      </c>
      <c r="H547" s="524" t="s">
        <v>5232</v>
      </c>
      <c r="I547" s="524" t="s">
        <v>1650</v>
      </c>
      <c r="J547" s="524" t="s">
        <v>1650</v>
      </c>
      <c r="K547" s="524"/>
      <c r="L547" s="524" t="s">
        <v>6399</v>
      </c>
      <c r="M547" s="524" t="s">
        <v>6509</v>
      </c>
      <c r="N547" s="524"/>
      <c r="O547" s="524"/>
    </row>
    <row r="548" spans="1:15" ht="58" hidden="1">
      <c r="A548" s="527">
        <v>229</v>
      </c>
      <c r="B548" s="524" t="e">
        <f>VLOOKUP(A548,'Hours Detail'!$E$17:$H$1048576,4,)</f>
        <v>#N/A</v>
      </c>
      <c r="C548" s="527" t="s">
        <v>1649</v>
      </c>
      <c r="D548" s="527" t="s">
        <v>4703</v>
      </c>
      <c r="E548" s="527" t="s">
        <v>1650</v>
      </c>
      <c r="F548" s="527" t="s">
        <v>1651</v>
      </c>
      <c r="G548" s="527">
        <v>283</v>
      </c>
      <c r="H548" s="527" t="s">
        <v>4705</v>
      </c>
      <c r="I548" s="527" t="s">
        <v>4704</v>
      </c>
      <c r="J548" s="527" t="s">
        <v>2890</v>
      </c>
      <c r="K548" s="527" t="s">
        <v>2890</v>
      </c>
      <c r="L548" s="527" t="s">
        <v>6371</v>
      </c>
      <c r="M548" s="524"/>
      <c r="N548" s="524"/>
      <c r="O548" s="524"/>
    </row>
    <row r="549" spans="1:15" ht="275.5" hidden="1">
      <c r="A549" s="525">
        <v>230</v>
      </c>
      <c r="B549" s="524" t="str">
        <f>VLOOKUP(A549,'Hours Detail'!$E$17:$H$1048576,4,)</f>
        <v>No</v>
      </c>
      <c r="C549" s="524" t="s">
        <v>154</v>
      </c>
      <c r="D549" s="524" t="s">
        <v>502</v>
      </c>
      <c r="E549" s="524" t="s">
        <v>503</v>
      </c>
      <c r="F549" s="524" t="s">
        <v>503</v>
      </c>
      <c r="G549" s="524" t="s">
        <v>503</v>
      </c>
      <c r="H549" s="524" t="s">
        <v>503</v>
      </c>
      <c r="I549" s="524" t="s">
        <v>6841</v>
      </c>
      <c r="J549" s="524" t="s">
        <v>502</v>
      </c>
      <c r="K549" s="524" t="s">
        <v>6359</v>
      </c>
      <c r="L549" s="524" t="s">
        <v>6386</v>
      </c>
      <c r="M549" s="524" t="s">
        <v>6387</v>
      </c>
      <c r="N549" s="524" t="s">
        <v>6842</v>
      </c>
      <c r="O549" s="524"/>
    </row>
    <row r="550" spans="1:15" ht="145" hidden="1">
      <c r="A550" s="527">
        <v>230</v>
      </c>
      <c r="B550" s="524" t="str">
        <f>VLOOKUP(A550,'Hours Detail'!$E$17:$H$1048576,4,)</f>
        <v>No</v>
      </c>
      <c r="C550" s="527" t="s">
        <v>154</v>
      </c>
      <c r="D550" s="527" t="s">
        <v>470</v>
      </c>
      <c r="E550" s="527" t="s">
        <v>502</v>
      </c>
      <c r="F550" s="527" t="s">
        <v>503</v>
      </c>
      <c r="G550" s="527">
        <v>3</v>
      </c>
      <c r="H550" s="527" t="s">
        <v>149</v>
      </c>
      <c r="I550" s="527" t="s">
        <v>468</v>
      </c>
      <c r="J550" s="527" t="s">
        <v>2889</v>
      </c>
      <c r="K550" s="527" t="s">
        <v>2889</v>
      </c>
      <c r="L550" s="527" t="s">
        <v>6843</v>
      </c>
      <c r="M550" s="524"/>
      <c r="N550" s="524"/>
      <c r="O550" s="524"/>
    </row>
    <row r="551" spans="1:15" ht="43.5" hidden="1">
      <c r="A551" s="524">
        <v>231</v>
      </c>
      <c r="B551" s="524" t="e">
        <f>VLOOKUP(A551,'Hours Detail'!$E$17:$H$1048576,4,)</f>
        <v>#N/A</v>
      </c>
      <c r="C551" s="524" t="s">
        <v>1646</v>
      </c>
      <c r="D551" s="524" t="s">
        <v>1647</v>
      </c>
      <c r="E551" s="524" t="s">
        <v>1648</v>
      </c>
      <c r="F551" s="524" t="s">
        <v>1648</v>
      </c>
      <c r="G551" s="524" t="s">
        <v>1648</v>
      </c>
      <c r="H551" s="524" t="s">
        <v>1648</v>
      </c>
      <c r="I551" s="524" t="s">
        <v>6548</v>
      </c>
      <c r="J551" s="524" t="s">
        <v>1647</v>
      </c>
      <c r="K551" s="524"/>
      <c r="L551" s="524" t="s">
        <v>6399</v>
      </c>
      <c r="M551" s="524" t="s">
        <v>6509</v>
      </c>
      <c r="N551" s="524"/>
      <c r="O551" s="524"/>
    </row>
    <row r="552" spans="1:15" ht="58" hidden="1">
      <c r="A552" s="527">
        <v>231</v>
      </c>
      <c r="B552" s="524" t="e">
        <f>VLOOKUP(A552,'Hours Detail'!$E$17:$H$1048576,4,)</f>
        <v>#N/A</v>
      </c>
      <c r="C552" s="527" t="s">
        <v>1646</v>
      </c>
      <c r="D552" s="527" t="s">
        <v>4703</v>
      </c>
      <c r="E552" s="527" t="s">
        <v>1647</v>
      </c>
      <c r="F552" s="527" t="s">
        <v>1648</v>
      </c>
      <c r="G552" s="527">
        <v>283</v>
      </c>
      <c r="H552" s="527" t="s">
        <v>4705</v>
      </c>
      <c r="I552" s="527" t="s">
        <v>4704</v>
      </c>
      <c r="J552" s="527" t="s">
        <v>2890</v>
      </c>
      <c r="K552" s="527" t="s">
        <v>2890</v>
      </c>
      <c r="L552" s="527" t="s">
        <v>6371</v>
      </c>
      <c r="M552" s="524"/>
      <c r="N552" s="524"/>
      <c r="O552" s="524"/>
    </row>
    <row r="553" spans="1:15" ht="72.5" hidden="1">
      <c r="A553" s="525">
        <v>232</v>
      </c>
      <c r="B553" s="524" t="str">
        <f>VLOOKUP(A553,'Hours Detail'!$E$17:$H$1048576,4,)</f>
        <v>No</v>
      </c>
      <c r="C553" s="524" t="s">
        <v>61</v>
      </c>
      <c r="D553" s="524" t="s">
        <v>592</v>
      </c>
      <c r="E553" s="524" t="s">
        <v>593</v>
      </c>
      <c r="F553" s="524" t="s">
        <v>593</v>
      </c>
      <c r="G553" s="524" t="s">
        <v>593</v>
      </c>
      <c r="H553" s="524" t="s">
        <v>593</v>
      </c>
      <c r="I553" s="524" t="s">
        <v>6844</v>
      </c>
      <c r="J553" s="524" t="s">
        <v>592</v>
      </c>
      <c r="K553" s="524"/>
      <c r="L553" s="524" t="s">
        <v>6399</v>
      </c>
      <c r="M553" s="524" t="s">
        <v>6437</v>
      </c>
      <c r="N553" s="524" t="s">
        <v>6845</v>
      </c>
      <c r="O553" s="524"/>
    </row>
    <row r="554" spans="1:15" ht="87" hidden="1">
      <c r="A554" s="527">
        <v>232</v>
      </c>
      <c r="B554" s="524" t="str">
        <f>VLOOKUP(A554,'Hours Detail'!$E$17:$H$1048576,4,)</f>
        <v>No</v>
      </c>
      <c r="C554" s="527" t="s">
        <v>61</v>
      </c>
      <c r="D554" s="527" t="s">
        <v>2312</v>
      </c>
      <c r="E554" s="527" t="s">
        <v>592</v>
      </c>
      <c r="F554" s="527" t="s">
        <v>593</v>
      </c>
      <c r="G554" s="527">
        <v>6</v>
      </c>
      <c r="H554" s="527" t="s">
        <v>58</v>
      </c>
      <c r="I554" s="527" t="s">
        <v>2311</v>
      </c>
      <c r="J554" s="527" t="s">
        <v>2889</v>
      </c>
      <c r="K554" s="527" t="s">
        <v>2889</v>
      </c>
      <c r="L554" s="527" t="s">
        <v>6846</v>
      </c>
      <c r="M554" s="524"/>
      <c r="N554" s="524"/>
      <c r="O554" s="524"/>
    </row>
    <row r="555" spans="1:15" ht="43.5" hidden="1">
      <c r="A555" s="524">
        <v>233</v>
      </c>
      <c r="B555" s="524" t="e">
        <f>VLOOKUP(A555,'Hours Detail'!$E$17:$H$1048576,4,)</f>
        <v>#N/A</v>
      </c>
      <c r="C555" s="524" t="s">
        <v>1643</v>
      </c>
      <c r="D555" s="524" t="s">
        <v>1644</v>
      </c>
      <c r="E555" s="524" t="s">
        <v>5231</v>
      </c>
      <c r="F555" s="524" t="s">
        <v>5231</v>
      </c>
      <c r="G555" s="524" t="s">
        <v>5231</v>
      </c>
      <c r="H555" s="524" t="s">
        <v>5231</v>
      </c>
      <c r="I555" s="524" t="s">
        <v>1644</v>
      </c>
      <c r="J555" s="524" t="s">
        <v>1644</v>
      </c>
      <c r="K555" s="524"/>
      <c r="L555" s="524" t="s">
        <v>6399</v>
      </c>
      <c r="M555" s="524" t="s">
        <v>6509</v>
      </c>
      <c r="N555" s="524"/>
      <c r="O555" s="524"/>
    </row>
    <row r="556" spans="1:15" ht="58" hidden="1">
      <c r="A556" s="527">
        <v>233</v>
      </c>
      <c r="B556" s="524" t="e">
        <f>VLOOKUP(A556,'Hours Detail'!$E$17:$H$1048576,4,)</f>
        <v>#N/A</v>
      </c>
      <c r="C556" s="527" t="s">
        <v>1643</v>
      </c>
      <c r="D556" s="527" t="s">
        <v>4703</v>
      </c>
      <c r="E556" s="527" t="s">
        <v>1644</v>
      </c>
      <c r="F556" s="527" t="s">
        <v>1645</v>
      </c>
      <c r="G556" s="527">
        <v>283</v>
      </c>
      <c r="H556" s="527" t="s">
        <v>4705</v>
      </c>
      <c r="I556" s="527" t="s">
        <v>4704</v>
      </c>
      <c r="J556" s="527" t="s">
        <v>2890</v>
      </c>
      <c r="K556" s="527" t="s">
        <v>2890</v>
      </c>
      <c r="L556" s="527" t="s">
        <v>6371</v>
      </c>
      <c r="M556" s="524"/>
      <c r="N556" s="524"/>
      <c r="O556" s="524"/>
    </row>
    <row r="557" spans="1:15" ht="43.5" hidden="1">
      <c r="A557" s="524">
        <v>234</v>
      </c>
      <c r="B557" s="524" t="e">
        <f>VLOOKUP(A557,'Hours Detail'!$E$17:$H$1048576,4,)</f>
        <v>#N/A</v>
      </c>
      <c r="C557" s="524" t="s">
        <v>1640</v>
      </c>
      <c r="D557" s="524" t="s">
        <v>1641</v>
      </c>
      <c r="E557" s="524" t="s">
        <v>1642</v>
      </c>
      <c r="F557" s="524" t="s">
        <v>1642</v>
      </c>
      <c r="G557" s="524" t="s">
        <v>1642</v>
      </c>
      <c r="H557" s="524" t="s">
        <v>1642</v>
      </c>
      <c r="I557" s="524" t="s">
        <v>1641</v>
      </c>
      <c r="J557" s="524" t="s">
        <v>1641</v>
      </c>
      <c r="K557" s="524"/>
      <c r="L557" s="524" t="s">
        <v>6399</v>
      </c>
      <c r="M557" s="524" t="s">
        <v>6459</v>
      </c>
      <c r="N557" s="524"/>
      <c r="O557" s="524"/>
    </row>
    <row r="558" spans="1:15" ht="58" hidden="1">
      <c r="A558" s="527">
        <v>234</v>
      </c>
      <c r="B558" s="524" t="e">
        <f>VLOOKUP(A558,'Hours Detail'!$E$17:$H$1048576,4,)</f>
        <v>#N/A</v>
      </c>
      <c r="C558" s="527" t="s">
        <v>1640</v>
      </c>
      <c r="D558" s="527" t="s">
        <v>4703</v>
      </c>
      <c r="E558" s="527" t="s">
        <v>1641</v>
      </c>
      <c r="F558" s="527" t="s">
        <v>1642</v>
      </c>
      <c r="G558" s="527">
        <v>283</v>
      </c>
      <c r="H558" s="527" t="s">
        <v>4705</v>
      </c>
      <c r="I558" s="527" t="s">
        <v>4704</v>
      </c>
      <c r="J558" s="527" t="s">
        <v>2890</v>
      </c>
      <c r="K558" s="527" t="s">
        <v>2890</v>
      </c>
      <c r="L558" s="527" t="s">
        <v>6371</v>
      </c>
      <c r="M558" s="524"/>
      <c r="N558" s="524"/>
      <c r="O558" s="524"/>
    </row>
    <row r="559" spans="1:15" ht="87" hidden="1">
      <c r="A559" s="524">
        <v>235</v>
      </c>
      <c r="B559" s="524" t="e">
        <f>VLOOKUP(A559,'Hours Detail'!$E$17:$H$1048576,4,)</f>
        <v>#N/A</v>
      </c>
      <c r="C559" s="524" t="s">
        <v>1637</v>
      </c>
      <c r="D559" s="524" t="s">
        <v>1638</v>
      </c>
      <c r="E559" s="524" t="s">
        <v>4177</v>
      </c>
      <c r="F559" s="524" t="s">
        <v>4177</v>
      </c>
      <c r="G559" s="524" t="s">
        <v>4177</v>
      </c>
      <c r="H559" s="524" t="s">
        <v>4177</v>
      </c>
      <c r="I559" s="524" t="s">
        <v>6781</v>
      </c>
      <c r="J559" s="524" t="s">
        <v>1638</v>
      </c>
      <c r="K559" s="524"/>
      <c r="L559" s="524" t="s">
        <v>6399</v>
      </c>
      <c r="M559" s="524" t="s">
        <v>6613</v>
      </c>
      <c r="N559" s="524"/>
      <c r="O559" s="524"/>
    </row>
    <row r="560" spans="1:15" ht="87" hidden="1">
      <c r="A560" s="527">
        <v>235</v>
      </c>
      <c r="B560" s="524" t="e">
        <f>VLOOKUP(A560,'Hours Detail'!$E$17:$H$1048576,4,)</f>
        <v>#N/A</v>
      </c>
      <c r="C560" s="527" t="s">
        <v>1637</v>
      </c>
      <c r="D560" s="527" t="s">
        <v>4703</v>
      </c>
      <c r="E560" s="527" t="s">
        <v>1638</v>
      </c>
      <c r="F560" s="527" t="s">
        <v>1639</v>
      </c>
      <c r="G560" s="527">
        <v>283</v>
      </c>
      <c r="H560" s="527" t="s">
        <v>4705</v>
      </c>
      <c r="I560" s="527" t="s">
        <v>4704</v>
      </c>
      <c r="J560" s="527" t="s">
        <v>2890</v>
      </c>
      <c r="K560" s="527" t="s">
        <v>2890</v>
      </c>
      <c r="L560" s="527" t="s">
        <v>6847</v>
      </c>
      <c r="M560" s="524"/>
      <c r="N560" s="524"/>
      <c r="O560" s="524"/>
    </row>
    <row r="561" spans="1:15" ht="87" hidden="1">
      <c r="A561" s="524">
        <v>236</v>
      </c>
      <c r="B561" s="524" t="e">
        <f>VLOOKUP(A561,'Hours Detail'!$E$17:$H$1048576,4,)</f>
        <v>#N/A</v>
      </c>
      <c r="C561" s="524" t="s">
        <v>1634</v>
      </c>
      <c r="D561" s="524" t="s">
        <v>1635</v>
      </c>
      <c r="E561" s="524" t="s">
        <v>4192</v>
      </c>
      <c r="F561" s="524" t="s">
        <v>4192</v>
      </c>
      <c r="G561" s="524" t="s">
        <v>4192</v>
      </c>
      <c r="H561" s="524" t="s">
        <v>4192</v>
      </c>
      <c r="I561" s="524" t="s">
        <v>6783</v>
      </c>
      <c r="J561" s="524" t="s">
        <v>1635</v>
      </c>
      <c r="K561" s="524"/>
      <c r="L561" s="524" t="s">
        <v>6399</v>
      </c>
      <c r="M561" s="524" t="s">
        <v>6459</v>
      </c>
      <c r="N561" s="524"/>
      <c r="O561" s="524"/>
    </row>
    <row r="562" spans="1:15" ht="87" hidden="1">
      <c r="A562" s="527">
        <v>236</v>
      </c>
      <c r="B562" s="524" t="e">
        <f>VLOOKUP(A562,'Hours Detail'!$E$17:$H$1048576,4,)</f>
        <v>#N/A</v>
      </c>
      <c r="C562" s="527" t="s">
        <v>1634</v>
      </c>
      <c r="D562" s="527" t="s">
        <v>4703</v>
      </c>
      <c r="E562" s="527" t="s">
        <v>1635</v>
      </c>
      <c r="F562" s="527" t="s">
        <v>1636</v>
      </c>
      <c r="G562" s="527">
        <v>283</v>
      </c>
      <c r="H562" s="527" t="s">
        <v>4705</v>
      </c>
      <c r="I562" s="527" t="s">
        <v>4704</v>
      </c>
      <c r="J562" s="527" t="s">
        <v>2890</v>
      </c>
      <c r="K562" s="527" t="s">
        <v>2890</v>
      </c>
      <c r="L562" s="527" t="s">
        <v>6848</v>
      </c>
      <c r="M562" s="524"/>
      <c r="N562" s="524"/>
      <c r="O562" s="524"/>
    </row>
    <row r="563" spans="1:15" ht="87" hidden="1">
      <c r="A563" s="524">
        <v>237</v>
      </c>
      <c r="B563" s="524" t="e">
        <f>VLOOKUP(A563,'Hours Detail'!$E$17:$H$1048576,4,)</f>
        <v>#N/A</v>
      </c>
      <c r="C563" s="524" t="s">
        <v>1631</v>
      </c>
      <c r="D563" s="524" t="s">
        <v>1632</v>
      </c>
      <c r="E563" s="524" t="s">
        <v>4238</v>
      </c>
      <c r="F563" s="524" t="s">
        <v>4238</v>
      </c>
      <c r="G563" s="524" t="s">
        <v>4238</v>
      </c>
      <c r="H563" s="524" t="s">
        <v>4238</v>
      </c>
      <c r="I563" s="524" t="s">
        <v>6849</v>
      </c>
      <c r="J563" s="524" t="s">
        <v>1632</v>
      </c>
      <c r="K563" s="524"/>
      <c r="L563" s="524" t="s">
        <v>6399</v>
      </c>
      <c r="M563" s="524" t="s">
        <v>6459</v>
      </c>
      <c r="N563" s="524"/>
      <c r="O563" s="524"/>
    </row>
    <row r="564" spans="1:15" ht="87" hidden="1">
      <c r="A564" s="527">
        <v>237</v>
      </c>
      <c r="B564" s="524" t="e">
        <f>VLOOKUP(A564,'Hours Detail'!$E$17:$H$1048576,4,)</f>
        <v>#N/A</v>
      </c>
      <c r="C564" s="527" t="s">
        <v>1631</v>
      </c>
      <c r="D564" s="527" t="s">
        <v>4703</v>
      </c>
      <c r="E564" s="527" t="s">
        <v>1632</v>
      </c>
      <c r="F564" s="527" t="s">
        <v>1633</v>
      </c>
      <c r="G564" s="527">
        <v>283</v>
      </c>
      <c r="H564" s="527" t="s">
        <v>4705</v>
      </c>
      <c r="I564" s="527" t="s">
        <v>4704</v>
      </c>
      <c r="J564" s="527" t="s">
        <v>2890</v>
      </c>
      <c r="K564" s="527" t="s">
        <v>2890</v>
      </c>
      <c r="L564" s="527" t="s">
        <v>6850</v>
      </c>
      <c r="M564" s="524"/>
      <c r="N564" s="524"/>
      <c r="O564" s="524"/>
    </row>
    <row r="565" spans="1:15" ht="87" hidden="1">
      <c r="A565" s="524">
        <v>238</v>
      </c>
      <c r="B565" s="524" t="e">
        <f>VLOOKUP(A565,'Hours Detail'!$E$17:$H$1048576,4,)</f>
        <v>#N/A</v>
      </c>
      <c r="C565" s="524" t="s">
        <v>1628</v>
      </c>
      <c r="D565" s="524" t="s">
        <v>1629</v>
      </c>
      <c r="E565" s="524" t="s">
        <v>1630</v>
      </c>
      <c r="F565" s="524" t="s">
        <v>1630</v>
      </c>
      <c r="G565" s="524" t="s">
        <v>1630</v>
      </c>
      <c r="H565" s="524" t="s">
        <v>1630</v>
      </c>
      <c r="I565" s="524" t="s">
        <v>1629</v>
      </c>
      <c r="J565" s="524" t="s">
        <v>1629</v>
      </c>
      <c r="K565" s="524"/>
      <c r="L565" s="524" t="s">
        <v>6399</v>
      </c>
      <c r="M565" s="524" t="s">
        <v>6437</v>
      </c>
      <c r="N565" s="524"/>
      <c r="O565" s="524"/>
    </row>
    <row r="566" spans="1:15" ht="72.5" hidden="1">
      <c r="A566" s="527">
        <v>238</v>
      </c>
      <c r="B566" s="524" t="e">
        <f>VLOOKUP(A566,'Hours Detail'!$E$17:$H$1048576,4,)</f>
        <v>#N/A</v>
      </c>
      <c r="C566" s="527" t="s">
        <v>1628</v>
      </c>
      <c r="D566" s="527" t="s">
        <v>4703</v>
      </c>
      <c r="E566" s="527" t="s">
        <v>1629</v>
      </c>
      <c r="F566" s="527" t="s">
        <v>1630</v>
      </c>
      <c r="G566" s="527">
        <v>283</v>
      </c>
      <c r="H566" s="527" t="s">
        <v>4705</v>
      </c>
      <c r="I566" s="527" t="s">
        <v>4704</v>
      </c>
      <c r="J566" s="527" t="s">
        <v>2890</v>
      </c>
      <c r="K566" s="527" t="s">
        <v>2890</v>
      </c>
      <c r="L566" s="527" t="s">
        <v>6371</v>
      </c>
      <c r="M566" s="524"/>
      <c r="N566" s="524"/>
      <c r="O566" s="524"/>
    </row>
    <row r="567" spans="1:15" ht="58" hidden="1">
      <c r="A567" s="527">
        <v>239</v>
      </c>
      <c r="B567" s="524" t="e">
        <f>VLOOKUP(A567,'Hours Detail'!$E$17:$H$1048576,4,)</f>
        <v>#N/A</v>
      </c>
      <c r="C567" s="527" t="s">
        <v>1626</v>
      </c>
      <c r="D567" s="527" t="s">
        <v>4703</v>
      </c>
      <c r="E567" s="527" t="s">
        <v>1626</v>
      </c>
      <c r="F567" s="527" t="s">
        <v>1626</v>
      </c>
      <c r="G567" s="527">
        <v>283</v>
      </c>
      <c r="H567" s="527" t="s">
        <v>4705</v>
      </c>
      <c r="I567" s="527" t="s">
        <v>4704</v>
      </c>
      <c r="J567" s="527" t="s">
        <v>2890</v>
      </c>
      <c r="K567" s="527" t="s">
        <v>2890</v>
      </c>
      <c r="L567" s="527" t="s">
        <v>6851</v>
      </c>
      <c r="M567" s="524"/>
      <c r="N567" s="524"/>
      <c r="O567" s="524"/>
    </row>
    <row r="568" spans="1:15" ht="43.5" hidden="1">
      <c r="A568" s="525">
        <v>240</v>
      </c>
      <c r="B568" s="524" t="str">
        <f>VLOOKUP(A568,'Hours Detail'!$E$17:$H$1048576,4,)</f>
        <v>No</v>
      </c>
      <c r="C568" s="524" t="s">
        <v>2040</v>
      </c>
      <c r="D568" s="524" t="s">
        <v>2040</v>
      </c>
      <c r="E568" s="524" t="s">
        <v>2040</v>
      </c>
      <c r="F568" s="524" t="s">
        <v>2040</v>
      </c>
      <c r="G568" s="524" t="s">
        <v>2040</v>
      </c>
      <c r="H568" s="524" t="s">
        <v>2040</v>
      </c>
      <c r="I568" s="524" t="s">
        <v>2040</v>
      </c>
      <c r="J568" s="524" t="s">
        <v>2040</v>
      </c>
      <c r="K568" s="524"/>
      <c r="L568" s="524" t="s">
        <v>6365</v>
      </c>
      <c r="M568" s="524" t="s">
        <v>6366</v>
      </c>
      <c r="N568" s="524"/>
      <c r="O568" s="524"/>
    </row>
    <row r="569" spans="1:15" ht="116" hidden="1">
      <c r="A569" s="527">
        <v>240</v>
      </c>
      <c r="B569" s="524" t="str">
        <f>VLOOKUP(A569,'Hours Detail'!$E$17:$H$1048576,4,)</f>
        <v>No</v>
      </c>
      <c r="C569" s="527" t="s">
        <v>2040</v>
      </c>
      <c r="D569" s="527" t="s">
        <v>999</v>
      </c>
      <c r="E569" s="527" t="s">
        <v>2040</v>
      </c>
      <c r="F569" s="527" t="s">
        <v>2040</v>
      </c>
      <c r="G569" s="527">
        <v>36</v>
      </c>
      <c r="H569" s="527" t="s">
        <v>250</v>
      </c>
      <c r="I569" s="527" t="s">
        <v>997</v>
      </c>
      <c r="J569" s="527" t="s">
        <v>2889</v>
      </c>
      <c r="K569" s="527" t="s">
        <v>2890</v>
      </c>
      <c r="L569" s="527" t="s">
        <v>6852</v>
      </c>
      <c r="M569" s="524"/>
      <c r="N569" s="524"/>
      <c r="O569" s="524"/>
    </row>
    <row r="570" spans="1:15" ht="87" hidden="1">
      <c r="A570" s="525">
        <v>241</v>
      </c>
      <c r="B570" s="524" t="e">
        <f>VLOOKUP(A570,'Hours Detail'!$E$17:$H$1048576,4,)</f>
        <v>#N/A</v>
      </c>
      <c r="C570" s="524" t="s">
        <v>1405</v>
      </c>
      <c r="D570" s="524" t="s">
        <v>1406</v>
      </c>
      <c r="E570" s="524" t="s">
        <v>3484</v>
      </c>
      <c r="F570" s="524" t="s">
        <v>3484</v>
      </c>
      <c r="G570" s="524" t="s">
        <v>3484</v>
      </c>
      <c r="H570" s="524" t="s">
        <v>3484</v>
      </c>
      <c r="I570" s="524" t="s">
        <v>1406</v>
      </c>
      <c r="J570" s="524" t="s">
        <v>1406</v>
      </c>
      <c r="K570" s="524"/>
      <c r="L570" s="524" t="s">
        <v>6376</v>
      </c>
      <c r="M570" s="524" t="s">
        <v>6377</v>
      </c>
      <c r="N570" s="524"/>
      <c r="O570" s="524"/>
    </row>
    <row r="571" spans="1:15" ht="43.5" hidden="1">
      <c r="A571" s="527">
        <v>241</v>
      </c>
      <c r="B571" s="524" t="e">
        <f>VLOOKUP(A571,'Hours Detail'!$E$17:$H$1048576,4,)</f>
        <v>#N/A</v>
      </c>
      <c r="C571" s="527" t="s">
        <v>1405</v>
      </c>
      <c r="D571" s="527" t="s">
        <v>3092</v>
      </c>
      <c r="E571" s="527" t="s">
        <v>1406</v>
      </c>
      <c r="F571" s="527" t="s">
        <v>1627</v>
      </c>
      <c r="G571" s="527">
        <v>944</v>
      </c>
      <c r="H571" s="527" t="s">
        <v>3086</v>
      </c>
      <c r="I571" s="527" t="s">
        <v>3089</v>
      </c>
      <c r="J571" s="527" t="s">
        <v>2890</v>
      </c>
      <c r="K571" s="527" t="s">
        <v>2890</v>
      </c>
      <c r="L571" s="527" t="s">
        <v>6371</v>
      </c>
      <c r="M571" s="524"/>
      <c r="N571" s="524"/>
      <c r="O571" s="524"/>
    </row>
    <row r="572" spans="1:15" ht="43.5" hidden="1">
      <c r="A572" s="525">
        <v>242</v>
      </c>
      <c r="B572" s="524" t="e">
        <f>VLOOKUP(A572,'Hours Detail'!$E$17:$H$1048576,4,)</f>
        <v>#N/A</v>
      </c>
      <c r="C572" s="524" t="s">
        <v>5217</v>
      </c>
      <c r="D572" s="524" t="s">
        <v>5216</v>
      </c>
      <c r="E572" s="524" t="s">
        <v>5215</v>
      </c>
      <c r="F572" s="524" t="s">
        <v>5215</v>
      </c>
      <c r="G572" s="524" t="s">
        <v>5215</v>
      </c>
      <c r="H572" s="524" t="s">
        <v>5215</v>
      </c>
      <c r="I572" s="524" t="s">
        <v>5216</v>
      </c>
      <c r="J572" s="524" t="s">
        <v>5216</v>
      </c>
      <c r="K572" s="524"/>
      <c r="L572" s="524" t="s">
        <v>6590</v>
      </c>
      <c r="M572" s="524" t="s">
        <v>6591</v>
      </c>
      <c r="N572" s="524"/>
      <c r="O572" s="524"/>
    </row>
    <row r="573" spans="1:15" hidden="1">
      <c r="A573" s="524">
        <v>243</v>
      </c>
      <c r="B573" s="524" t="e">
        <f>VLOOKUP(A573,'Hours Detail'!$E$17:$H$1048576,4,)</f>
        <v>#N/A</v>
      </c>
      <c r="C573" s="524" t="s">
        <v>319</v>
      </c>
      <c r="D573" s="524" t="s">
        <v>1168</v>
      </c>
      <c r="E573" s="524" t="s">
        <v>319</v>
      </c>
      <c r="F573" s="524" t="s">
        <v>319</v>
      </c>
      <c r="G573" s="524" t="s">
        <v>319</v>
      </c>
      <c r="H573" s="524" t="s">
        <v>319</v>
      </c>
      <c r="I573" s="524" t="s">
        <v>6853</v>
      </c>
      <c r="J573" s="524" t="s">
        <v>1168</v>
      </c>
      <c r="K573" s="524"/>
      <c r="L573" s="524" t="s">
        <v>6381</v>
      </c>
      <c r="M573" s="524" t="s">
        <v>442</v>
      </c>
      <c r="N573" s="524"/>
      <c r="O573" s="524"/>
    </row>
    <row r="574" spans="1:15" ht="72.5" hidden="1">
      <c r="A574" s="527">
        <v>243</v>
      </c>
      <c r="B574" s="524" t="e">
        <f>VLOOKUP(A574,'Hours Detail'!$E$17:$H$1048576,4,)</f>
        <v>#N/A</v>
      </c>
      <c r="C574" s="527" t="s">
        <v>319</v>
      </c>
      <c r="D574" s="527" t="s">
        <v>2166</v>
      </c>
      <c r="E574" s="527" t="s">
        <v>1168</v>
      </c>
      <c r="F574" s="527" t="s">
        <v>319</v>
      </c>
      <c r="G574" s="527">
        <v>105</v>
      </c>
      <c r="H574" s="527" t="s">
        <v>313</v>
      </c>
      <c r="I574" s="527" t="s">
        <v>2309</v>
      </c>
      <c r="J574" s="527" t="s">
        <v>2890</v>
      </c>
      <c r="K574" s="527" t="s">
        <v>2890</v>
      </c>
      <c r="L574" s="527" t="s">
        <v>6854</v>
      </c>
      <c r="M574" s="524"/>
      <c r="N574" s="524"/>
      <c r="O574" s="524"/>
    </row>
    <row r="575" spans="1:15" ht="43.5" hidden="1">
      <c r="A575" s="525">
        <v>244</v>
      </c>
      <c r="B575" s="524" t="e">
        <f>VLOOKUP(A575,'Hours Detail'!$E$17:$H$1048576,4,)</f>
        <v>#N/A</v>
      </c>
      <c r="C575" s="524" t="s">
        <v>3882</v>
      </c>
      <c r="D575" s="524" t="s">
        <v>3881</v>
      </c>
      <c r="E575" s="524" t="s">
        <v>3880</v>
      </c>
      <c r="F575" s="524" t="s">
        <v>3880</v>
      </c>
      <c r="G575" s="524" t="s">
        <v>3880</v>
      </c>
      <c r="H575" s="524" t="s">
        <v>3880</v>
      </c>
      <c r="I575" s="524" t="s">
        <v>3881</v>
      </c>
      <c r="J575" s="524" t="s">
        <v>3881</v>
      </c>
      <c r="K575" s="524"/>
      <c r="L575" s="524" t="s">
        <v>6590</v>
      </c>
      <c r="M575" s="524" t="s">
        <v>5878</v>
      </c>
      <c r="N575" s="524" t="s">
        <v>6855</v>
      </c>
      <c r="O575" s="524"/>
    </row>
    <row r="576" spans="1:15" ht="58" hidden="1">
      <c r="A576" s="524">
        <v>245</v>
      </c>
      <c r="B576" s="524" t="e">
        <f>VLOOKUP(A576,'Hours Detail'!$E$17:$H$1048576,4,)</f>
        <v>#N/A</v>
      </c>
      <c r="C576" s="524" t="s">
        <v>5227</v>
      </c>
      <c r="D576" s="524" t="s">
        <v>5227</v>
      </c>
      <c r="E576" s="524" t="s">
        <v>5227</v>
      </c>
      <c r="F576" s="524" t="s">
        <v>5227</v>
      </c>
      <c r="G576" s="524" t="s">
        <v>5227</v>
      </c>
      <c r="H576" s="524" t="s">
        <v>5227</v>
      </c>
      <c r="I576" s="524" t="s">
        <v>5227</v>
      </c>
      <c r="J576" s="524" t="s">
        <v>5227</v>
      </c>
      <c r="K576" s="524"/>
      <c r="L576" s="524" t="s">
        <v>6400</v>
      </c>
      <c r="M576" s="524" t="s">
        <v>6401</v>
      </c>
      <c r="N576" s="524"/>
      <c r="O576" s="524"/>
    </row>
    <row r="577" spans="1:15" ht="43.5" hidden="1">
      <c r="A577" s="525">
        <v>247</v>
      </c>
      <c r="B577" s="524" t="e">
        <f>VLOOKUP(A577,'Hours Detail'!$E$17:$H$1048576,4,)</f>
        <v>#N/A</v>
      </c>
      <c r="C577" s="524" t="s">
        <v>5230</v>
      </c>
      <c r="D577" s="524" t="s">
        <v>5229</v>
      </c>
      <c r="E577" s="524" t="s">
        <v>5228</v>
      </c>
      <c r="F577" s="524" t="s">
        <v>5228</v>
      </c>
      <c r="G577" s="524" t="s">
        <v>5228</v>
      </c>
      <c r="H577" s="524" t="s">
        <v>5228</v>
      </c>
      <c r="I577" s="524" t="s">
        <v>5229</v>
      </c>
      <c r="J577" s="524" t="s">
        <v>5229</v>
      </c>
      <c r="K577" s="524"/>
      <c r="L577" s="524" t="s">
        <v>6402</v>
      </c>
      <c r="M577" s="524" t="s">
        <v>6403</v>
      </c>
      <c r="N577" s="524"/>
      <c r="O577" s="524"/>
    </row>
    <row r="578" spans="1:15" ht="29" hidden="1">
      <c r="A578" s="524">
        <v>250</v>
      </c>
      <c r="B578" s="524" t="e">
        <f>VLOOKUP(A578,'Hours Detail'!$E$17:$H$1048576,4,)</f>
        <v>#N/A</v>
      </c>
      <c r="C578" s="524" t="s">
        <v>3939</v>
      </c>
      <c r="D578" s="524" t="s">
        <v>3938</v>
      </c>
      <c r="E578" s="524" t="s">
        <v>3937</v>
      </c>
      <c r="F578" s="524" t="s">
        <v>3937</v>
      </c>
      <c r="G578" s="524" t="s">
        <v>3937</v>
      </c>
      <c r="H578" s="524" t="s">
        <v>3937</v>
      </c>
      <c r="I578" s="524" t="s">
        <v>3938</v>
      </c>
      <c r="J578" s="524" t="s">
        <v>3938</v>
      </c>
      <c r="K578" s="524"/>
      <c r="L578" s="524" t="s">
        <v>6400</v>
      </c>
      <c r="M578" s="524" t="s">
        <v>6401</v>
      </c>
      <c r="N578" s="524"/>
      <c r="O578" s="524"/>
    </row>
    <row r="579" spans="1:15" ht="58" hidden="1">
      <c r="A579" s="524">
        <v>251</v>
      </c>
      <c r="B579" s="524" t="e">
        <f>VLOOKUP(A579,'Hours Detail'!$E$17:$H$1048576,4,)</f>
        <v>#N/A</v>
      </c>
      <c r="C579" s="524" t="s">
        <v>1410</v>
      </c>
      <c r="D579" s="524" t="s">
        <v>1410</v>
      </c>
      <c r="E579" s="524" t="s">
        <v>1410</v>
      </c>
      <c r="F579" s="524" t="s">
        <v>1410</v>
      </c>
      <c r="G579" s="524" t="s">
        <v>1410</v>
      </c>
      <c r="H579" s="524" t="s">
        <v>1410</v>
      </c>
      <c r="I579" s="524" t="s">
        <v>1410</v>
      </c>
      <c r="J579" s="524" t="s">
        <v>1410</v>
      </c>
      <c r="K579" s="524"/>
      <c r="L579" s="524" t="s">
        <v>6402</v>
      </c>
      <c r="M579" s="524" t="s">
        <v>6403</v>
      </c>
      <c r="N579" s="524"/>
      <c r="O579" s="524"/>
    </row>
    <row r="580" spans="1:15" ht="58" hidden="1">
      <c r="A580" s="527">
        <v>251</v>
      </c>
      <c r="B580" s="524" t="e">
        <f>VLOOKUP(A580,'Hours Detail'!$E$17:$H$1048576,4,)</f>
        <v>#N/A</v>
      </c>
      <c r="C580" s="527" t="s">
        <v>1410</v>
      </c>
      <c r="D580" s="527" t="s">
        <v>4703</v>
      </c>
      <c r="E580" s="527" t="s">
        <v>1410</v>
      </c>
      <c r="F580" s="527" t="s">
        <v>1410</v>
      </c>
      <c r="G580" s="527">
        <v>283</v>
      </c>
      <c r="H580" s="527" t="s">
        <v>4705</v>
      </c>
      <c r="I580" s="527" t="s">
        <v>4704</v>
      </c>
      <c r="J580" s="527" t="s">
        <v>2890</v>
      </c>
      <c r="K580" s="527" t="s">
        <v>2890</v>
      </c>
      <c r="L580" s="527" t="s">
        <v>6371</v>
      </c>
      <c r="M580" s="524"/>
      <c r="N580" s="524"/>
      <c r="O580" s="524"/>
    </row>
    <row r="581" spans="1:15" ht="58" hidden="1">
      <c r="A581" s="525">
        <v>252</v>
      </c>
      <c r="B581" s="524" t="str">
        <f>VLOOKUP(A581,'Hours Detail'!$E$17:$H$1048576,4,)</f>
        <v>No</v>
      </c>
      <c r="C581" s="524" t="s">
        <v>1414</v>
      </c>
      <c r="D581" s="524" t="s">
        <v>4363</v>
      </c>
      <c r="E581" s="524" t="s">
        <v>4362</v>
      </c>
      <c r="F581" s="524" t="s">
        <v>4362</v>
      </c>
      <c r="G581" s="524" t="s">
        <v>4362</v>
      </c>
      <c r="H581" s="524" t="s">
        <v>4362</v>
      </c>
      <c r="I581" s="524" t="s">
        <v>6856</v>
      </c>
      <c r="J581" s="524" t="s">
        <v>4363</v>
      </c>
      <c r="K581" s="524" t="s">
        <v>6359</v>
      </c>
      <c r="L581" s="524" t="s">
        <v>6365</v>
      </c>
      <c r="M581" s="524" t="s">
        <v>6366</v>
      </c>
      <c r="N581" s="524"/>
      <c r="O581" s="524"/>
    </row>
    <row r="582" spans="1:15" ht="101.5" hidden="1">
      <c r="A582" s="527">
        <v>252</v>
      </c>
      <c r="B582" s="524" t="str">
        <f>VLOOKUP(A582,'Hours Detail'!$E$17:$H$1048576,4,)</f>
        <v>No</v>
      </c>
      <c r="C582" s="527" t="s">
        <v>1414</v>
      </c>
      <c r="D582" s="527" t="s">
        <v>1068</v>
      </c>
      <c r="E582" s="527" t="s">
        <v>1415</v>
      </c>
      <c r="F582" s="527" t="s">
        <v>1416</v>
      </c>
      <c r="G582" s="527">
        <v>88</v>
      </c>
      <c r="H582" s="527" t="s">
        <v>16</v>
      </c>
      <c r="I582" s="527" t="s">
        <v>1066</v>
      </c>
      <c r="J582" s="527" t="s">
        <v>2889</v>
      </c>
      <c r="K582" s="527" t="s">
        <v>2889</v>
      </c>
      <c r="L582" s="527" t="s">
        <v>6857</v>
      </c>
      <c r="M582" s="524"/>
      <c r="N582" s="524"/>
      <c r="O582" s="524"/>
    </row>
    <row r="583" spans="1:15" ht="29" hidden="1">
      <c r="A583" s="525">
        <v>256</v>
      </c>
      <c r="B583" s="524" t="e">
        <f>VLOOKUP(A583,'Hours Detail'!$E$17:$H$1048576,4,)</f>
        <v>#N/A</v>
      </c>
      <c r="C583" s="524" t="s">
        <v>168</v>
      </c>
      <c r="D583" s="524" t="s">
        <v>473</v>
      </c>
      <c r="E583" s="524" t="s">
        <v>474</v>
      </c>
      <c r="F583" s="524" t="s">
        <v>474</v>
      </c>
      <c r="G583" s="524" t="s">
        <v>474</v>
      </c>
      <c r="H583" s="524" t="s">
        <v>474</v>
      </c>
      <c r="I583" s="524" t="s">
        <v>6858</v>
      </c>
      <c r="J583" s="524" t="s">
        <v>473</v>
      </c>
      <c r="K583" s="524" t="s">
        <v>6359</v>
      </c>
      <c r="L583" s="524" t="s">
        <v>6399</v>
      </c>
      <c r="M583" s="524" t="s">
        <v>6613</v>
      </c>
      <c r="N583" s="524" t="s">
        <v>6859</v>
      </c>
      <c r="O583" s="524"/>
    </row>
    <row r="584" spans="1:15" ht="101.5" hidden="1">
      <c r="A584" s="527">
        <v>256</v>
      </c>
      <c r="B584" s="524" t="e">
        <f>VLOOKUP(A584,'Hours Detail'!$E$17:$H$1048576,4,)</f>
        <v>#N/A</v>
      </c>
      <c r="C584" s="527" t="s">
        <v>168</v>
      </c>
      <c r="D584" s="527" t="s">
        <v>470</v>
      </c>
      <c r="E584" s="527" t="s">
        <v>473</v>
      </c>
      <c r="F584" s="527" t="s">
        <v>474</v>
      </c>
      <c r="G584" s="527">
        <v>3</v>
      </c>
      <c r="H584" s="527" t="s">
        <v>149</v>
      </c>
      <c r="I584" s="527" t="s">
        <v>468</v>
      </c>
      <c r="J584" s="527" t="s">
        <v>2890</v>
      </c>
      <c r="K584" s="527" t="s">
        <v>2889</v>
      </c>
      <c r="L584" s="527" t="s">
        <v>6860</v>
      </c>
      <c r="M584" s="524"/>
      <c r="N584" s="524"/>
      <c r="O584" s="524"/>
    </row>
    <row r="585" spans="1:15" ht="29" hidden="1">
      <c r="A585" s="525">
        <v>257</v>
      </c>
      <c r="B585" s="524" t="e">
        <f>VLOOKUP(A585,'Hours Detail'!$E$17:$H$1048576,4,)</f>
        <v>#N/A</v>
      </c>
      <c r="C585" s="524" t="s">
        <v>6861</v>
      </c>
      <c r="D585" s="524" t="s">
        <v>6863</v>
      </c>
      <c r="E585" s="524" t="s">
        <v>6862</v>
      </c>
      <c r="F585" s="524" t="s">
        <v>6862</v>
      </c>
      <c r="G585" s="524" t="s">
        <v>6862</v>
      </c>
      <c r="H585" s="524" t="s">
        <v>6862</v>
      </c>
      <c r="I585" s="524" t="s">
        <v>6863</v>
      </c>
      <c r="J585" s="524" t="s">
        <v>6863</v>
      </c>
      <c r="K585" s="524"/>
      <c r="L585" s="524" t="s">
        <v>6376</v>
      </c>
      <c r="M585" s="524" t="s">
        <v>6377</v>
      </c>
      <c r="N585" s="524"/>
      <c r="O585" s="524"/>
    </row>
    <row r="586" spans="1:15" ht="58" hidden="1">
      <c r="A586" s="525">
        <v>259</v>
      </c>
      <c r="B586" s="524" t="e">
        <f>VLOOKUP(A586,'Hours Detail'!$E$17:$H$1048576,4,)</f>
        <v>#N/A</v>
      </c>
      <c r="C586" s="524" t="s">
        <v>6864</v>
      </c>
      <c r="D586" s="524" t="s">
        <v>6867</v>
      </c>
      <c r="E586" s="524" t="s">
        <v>6865</v>
      </c>
      <c r="F586" s="524" t="s">
        <v>6865</v>
      </c>
      <c r="G586" s="524" t="s">
        <v>6865</v>
      </c>
      <c r="H586" s="524" t="s">
        <v>6865</v>
      </c>
      <c r="I586" s="524" t="s">
        <v>6866</v>
      </c>
      <c r="J586" s="524" t="s">
        <v>6867</v>
      </c>
      <c r="K586" s="524"/>
      <c r="L586" s="524" t="s">
        <v>6414</v>
      </c>
      <c r="M586" s="524" t="s">
        <v>6450</v>
      </c>
      <c r="N586" s="524"/>
      <c r="O586" s="524"/>
    </row>
    <row r="587" spans="1:15" ht="29">
      <c r="A587" s="525">
        <v>260</v>
      </c>
      <c r="B587" s="524" t="str">
        <f>VLOOKUP(A587,'Hours Detail'!$E$17:$H$1048576,4,)</f>
        <v>No</v>
      </c>
      <c r="C587" s="524" t="s">
        <v>439</v>
      </c>
      <c r="D587" s="524" t="s">
        <v>1554</v>
      </c>
      <c r="E587" s="524" t="s">
        <v>1555</v>
      </c>
      <c r="F587" s="524" t="s">
        <v>1555</v>
      </c>
      <c r="G587" s="524" t="s">
        <v>1555</v>
      </c>
      <c r="H587" s="524" t="s">
        <v>1555</v>
      </c>
      <c r="I587" s="524" t="s">
        <v>6868</v>
      </c>
      <c r="J587" s="524" t="s">
        <v>1554</v>
      </c>
      <c r="K587" s="524" t="s">
        <v>6359</v>
      </c>
      <c r="L587" s="524" t="s">
        <v>6402</v>
      </c>
      <c r="M587" s="524" t="s">
        <v>6403</v>
      </c>
      <c r="N587" s="524"/>
      <c r="O587" s="524"/>
    </row>
    <row r="588" spans="1:15" ht="174">
      <c r="A588" s="524">
        <v>260</v>
      </c>
      <c r="B588" s="524" t="str">
        <f>VLOOKUP(A588,'Hours Detail'!$E$17:$H$1048576,4,)</f>
        <v>No</v>
      </c>
      <c r="C588" s="524" t="s">
        <v>439</v>
      </c>
      <c r="D588" s="527" t="s">
        <v>2176</v>
      </c>
      <c r="E588" s="527" t="s">
        <v>1554</v>
      </c>
      <c r="F588" s="527" t="s">
        <v>1555</v>
      </c>
      <c r="G588" s="527">
        <v>631</v>
      </c>
      <c r="H588" s="527" t="s">
        <v>396</v>
      </c>
      <c r="I588" s="527" t="s">
        <v>2329</v>
      </c>
      <c r="J588" s="527" t="s">
        <v>2889</v>
      </c>
      <c r="K588" s="527" t="s">
        <v>2889</v>
      </c>
      <c r="L588" s="527" t="s">
        <v>6869</v>
      </c>
      <c r="M588" s="524"/>
      <c r="N588" s="524"/>
      <c r="O588" s="524"/>
    </row>
    <row r="589" spans="1:15" ht="72.5" hidden="1">
      <c r="A589" s="525">
        <v>261</v>
      </c>
      <c r="B589" s="524" t="str">
        <f>VLOOKUP(A589,'Hours Detail'!$E$17:$H$1048576,4,)</f>
        <v>No</v>
      </c>
      <c r="C589" s="524" t="s">
        <v>4522</v>
      </c>
      <c r="D589" s="524" t="s">
        <v>6870</v>
      </c>
      <c r="E589" s="524" t="s">
        <v>6870</v>
      </c>
      <c r="F589" s="524" t="s">
        <v>6870</v>
      </c>
      <c r="G589" s="524" t="s">
        <v>6870</v>
      </c>
      <c r="H589" s="524" t="s">
        <v>6870</v>
      </c>
      <c r="I589" s="524" t="s">
        <v>6871</v>
      </c>
      <c r="J589" s="524" t="s">
        <v>6870</v>
      </c>
      <c r="K589" s="524"/>
      <c r="L589" s="524" t="s">
        <v>6590</v>
      </c>
      <c r="M589" s="524" t="s">
        <v>6592</v>
      </c>
      <c r="N589" s="524" t="s">
        <v>6872</v>
      </c>
      <c r="O589" s="524"/>
    </row>
    <row r="590" spans="1:15" ht="72.5" hidden="1">
      <c r="A590" s="525">
        <v>262</v>
      </c>
      <c r="B590" s="524" t="str">
        <f>VLOOKUP(A590,'Hours Detail'!$E$17:$H$1048576,4,)</f>
        <v>No</v>
      </c>
      <c r="C590" s="524" t="s">
        <v>3704</v>
      </c>
      <c r="D590" s="524" t="s">
        <v>3704</v>
      </c>
      <c r="E590" s="524" t="s">
        <v>3704</v>
      </c>
      <c r="F590" s="524" t="s">
        <v>3704</v>
      </c>
      <c r="G590" s="524" t="s">
        <v>3704</v>
      </c>
      <c r="H590" s="524" t="s">
        <v>3704</v>
      </c>
      <c r="I590" s="524" t="s">
        <v>3704</v>
      </c>
      <c r="J590" s="524" t="s">
        <v>3704</v>
      </c>
      <c r="K590" s="524"/>
      <c r="L590" s="524" t="s">
        <v>6590</v>
      </c>
      <c r="M590" s="524" t="s">
        <v>5878</v>
      </c>
      <c r="N590" s="524" t="s">
        <v>6873</v>
      </c>
      <c r="O590" s="524"/>
    </row>
    <row r="591" spans="1:15" ht="58" hidden="1">
      <c r="A591" s="525">
        <v>263</v>
      </c>
      <c r="B591" s="524" t="e">
        <f>VLOOKUP(A591,'Hours Detail'!$E$17:$H$1048576,4,)</f>
        <v>#N/A</v>
      </c>
      <c r="C591" s="524" t="s">
        <v>1411</v>
      </c>
      <c r="D591" s="524" t="s">
        <v>1412</v>
      </c>
      <c r="E591" s="524" t="s">
        <v>3481</v>
      </c>
      <c r="F591" s="524" t="s">
        <v>3481</v>
      </c>
      <c r="G591" s="524" t="s">
        <v>3481</v>
      </c>
      <c r="H591" s="524" t="s">
        <v>3481</v>
      </c>
      <c r="I591" s="524" t="s">
        <v>1412</v>
      </c>
      <c r="J591" s="524" t="s">
        <v>1412</v>
      </c>
      <c r="K591" s="524"/>
      <c r="L591" s="524" t="s">
        <v>6376</v>
      </c>
      <c r="M591" s="524" t="s">
        <v>6377</v>
      </c>
      <c r="N591" s="524"/>
      <c r="O591" s="524"/>
    </row>
    <row r="592" spans="1:15" ht="43.5" hidden="1">
      <c r="A592" s="527">
        <v>263</v>
      </c>
      <c r="B592" s="524" t="e">
        <f>VLOOKUP(A592,'Hours Detail'!$E$17:$H$1048576,4,)</f>
        <v>#N/A</v>
      </c>
      <c r="C592" s="527" t="s">
        <v>1411</v>
      </c>
      <c r="D592" s="527" t="s">
        <v>3092</v>
      </c>
      <c r="E592" s="527" t="s">
        <v>1412</v>
      </c>
      <c r="F592" s="527" t="s">
        <v>1413</v>
      </c>
      <c r="G592" s="527">
        <v>944</v>
      </c>
      <c r="H592" s="527" t="s">
        <v>3086</v>
      </c>
      <c r="I592" s="527" t="s">
        <v>3089</v>
      </c>
      <c r="J592" s="527" t="s">
        <v>2890</v>
      </c>
      <c r="K592" s="527" t="s">
        <v>2890</v>
      </c>
      <c r="L592" s="527" t="s">
        <v>6371</v>
      </c>
      <c r="M592" s="524"/>
      <c r="N592" s="524"/>
      <c r="O592" s="524"/>
    </row>
    <row r="593" spans="1:15" ht="58" hidden="1">
      <c r="A593" s="525">
        <v>264</v>
      </c>
      <c r="B593" s="524" t="e">
        <f>VLOOKUP(A593,'Hours Detail'!$E$17:$H$1048576,4,)</f>
        <v>#N/A</v>
      </c>
      <c r="C593" s="524" t="s">
        <v>1396</v>
      </c>
      <c r="D593" s="524" t="s">
        <v>1397</v>
      </c>
      <c r="E593" s="524" t="s">
        <v>3483</v>
      </c>
      <c r="F593" s="524" t="s">
        <v>3483</v>
      </c>
      <c r="G593" s="524" t="s">
        <v>3483</v>
      </c>
      <c r="H593" s="524" t="s">
        <v>3483</v>
      </c>
      <c r="I593" s="524" t="s">
        <v>1397</v>
      </c>
      <c r="J593" s="524" t="s">
        <v>1397</v>
      </c>
      <c r="K593" s="524"/>
      <c r="L593" s="524" t="s">
        <v>6376</v>
      </c>
      <c r="M593" s="524" t="s">
        <v>6377</v>
      </c>
      <c r="N593" s="524"/>
      <c r="O593" s="524"/>
    </row>
    <row r="594" spans="1:15" ht="43.5" hidden="1">
      <c r="A594" s="527">
        <v>264</v>
      </c>
      <c r="B594" s="524" t="e">
        <f>VLOOKUP(A594,'Hours Detail'!$E$17:$H$1048576,4,)</f>
        <v>#N/A</v>
      </c>
      <c r="C594" s="527" t="s">
        <v>1396</v>
      </c>
      <c r="D594" s="527" t="s">
        <v>3092</v>
      </c>
      <c r="E594" s="527" t="s">
        <v>1397</v>
      </c>
      <c r="F594" s="527" t="s">
        <v>1398</v>
      </c>
      <c r="G594" s="527">
        <v>944</v>
      </c>
      <c r="H594" s="527" t="s">
        <v>3086</v>
      </c>
      <c r="I594" s="527" t="s">
        <v>3089</v>
      </c>
      <c r="J594" s="527" t="s">
        <v>2890</v>
      </c>
      <c r="K594" s="527" t="s">
        <v>2890</v>
      </c>
      <c r="L594" s="527" t="s">
        <v>6371</v>
      </c>
      <c r="M594" s="524"/>
      <c r="N594" s="524"/>
      <c r="O594" s="524"/>
    </row>
    <row r="595" spans="1:15" ht="58" hidden="1">
      <c r="A595" s="525">
        <v>265</v>
      </c>
      <c r="B595" s="524" t="e">
        <f>VLOOKUP(A595,'Hours Detail'!$E$17:$H$1048576,4,)</f>
        <v>#N/A</v>
      </c>
      <c r="C595" s="524" t="s">
        <v>5787</v>
      </c>
      <c r="D595" s="524" t="s">
        <v>5786</v>
      </c>
      <c r="E595" s="524" t="s">
        <v>5785</v>
      </c>
      <c r="F595" s="524" t="s">
        <v>5785</v>
      </c>
      <c r="G595" s="524" t="s">
        <v>5785</v>
      </c>
      <c r="H595" s="524" t="s">
        <v>5785</v>
      </c>
      <c r="I595" s="524" t="s">
        <v>5786</v>
      </c>
      <c r="J595" s="524" t="s">
        <v>5786</v>
      </c>
      <c r="K595" s="524"/>
      <c r="L595" s="524" t="s">
        <v>6402</v>
      </c>
      <c r="M595" s="524" t="s">
        <v>6403</v>
      </c>
      <c r="N595" s="524" t="s">
        <v>6874</v>
      </c>
      <c r="O595" s="524"/>
    </row>
    <row r="596" spans="1:15" ht="72.5" hidden="1">
      <c r="A596" s="525">
        <v>266</v>
      </c>
      <c r="B596" s="524" t="e">
        <f>VLOOKUP(A596,'Hours Detail'!$E$17:$H$1048576,4,)</f>
        <v>#N/A</v>
      </c>
      <c r="C596" s="524" t="s">
        <v>5136</v>
      </c>
      <c r="D596" s="524" t="s">
        <v>5137</v>
      </c>
      <c r="E596" s="524" t="s">
        <v>5136</v>
      </c>
      <c r="F596" s="524" t="s">
        <v>5136</v>
      </c>
      <c r="G596" s="524" t="s">
        <v>5136</v>
      </c>
      <c r="H596" s="524" t="s">
        <v>5136</v>
      </c>
      <c r="I596" s="524" t="s">
        <v>6626</v>
      </c>
      <c r="J596" s="524" t="s">
        <v>5137</v>
      </c>
      <c r="K596" s="524"/>
      <c r="L596" s="524" t="s">
        <v>6414</v>
      </c>
      <c r="M596" s="524" t="s">
        <v>6415</v>
      </c>
      <c r="N596" s="524"/>
      <c r="O596" s="524"/>
    </row>
    <row r="597" spans="1:15" ht="58" hidden="1">
      <c r="A597" s="525">
        <v>267</v>
      </c>
      <c r="B597" s="524" t="str">
        <f>VLOOKUP(A597,'Hours Detail'!$E$17:$H$1048576,4,)</f>
        <v>No</v>
      </c>
      <c r="C597" s="524" t="s">
        <v>111</v>
      </c>
      <c r="D597" s="524" t="s">
        <v>627</v>
      </c>
      <c r="E597" s="524" t="s">
        <v>628</v>
      </c>
      <c r="F597" s="524" t="s">
        <v>628</v>
      </c>
      <c r="G597" s="524" t="s">
        <v>628</v>
      </c>
      <c r="H597" s="524" t="s">
        <v>628</v>
      </c>
      <c r="I597" s="524" t="s">
        <v>6875</v>
      </c>
      <c r="J597" s="524" t="s">
        <v>627</v>
      </c>
      <c r="K597" s="524" t="s">
        <v>6359</v>
      </c>
      <c r="L597" s="524" t="s">
        <v>6381</v>
      </c>
      <c r="M597" s="524" t="s">
        <v>2313</v>
      </c>
      <c r="N597" s="524"/>
      <c r="O597" s="524"/>
    </row>
    <row r="598" spans="1:15" ht="116" hidden="1">
      <c r="A598" s="527">
        <v>267</v>
      </c>
      <c r="B598" s="524" t="str">
        <f>VLOOKUP(A598,'Hours Detail'!$E$17:$H$1048576,4,)</f>
        <v>No</v>
      </c>
      <c r="C598" s="527" t="s">
        <v>111</v>
      </c>
      <c r="D598" s="527" t="s">
        <v>15</v>
      </c>
      <c r="E598" s="527" t="s">
        <v>627</v>
      </c>
      <c r="F598" s="527" t="s">
        <v>628</v>
      </c>
      <c r="G598" s="527">
        <v>7</v>
      </c>
      <c r="H598" s="527" t="s">
        <v>15</v>
      </c>
      <c r="I598" s="527" t="s">
        <v>2313</v>
      </c>
      <c r="J598" s="527" t="s">
        <v>2889</v>
      </c>
      <c r="K598" s="527" t="s">
        <v>2890</v>
      </c>
      <c r="L598" s="527" t="s">
        <v>6876</v>
      </c>
      <c r="M598" s="524"/>
      <c r="N598" s="524"/>
      <c r="O598" s="524"/>
    </row>
    <row r="599" spans="1:15" ht="87" hidden="1">
      <c r="A599" s="525">
        <v>268</v>
      </c>
      <c r="B599" s="524" t="str">
        <f>VLOOKUP(A599,'Hours Detail'!$E$17:$H$1048576,4,)</f>
        <v>No</v>
      </c>
      <c r="C599" s="524" t="s">
        <v>4624</v>
      </c>
      <c r="D599" s="524" t="s">
        <v>4623</v>
      </c>
      <c r="E599" s="524" t="s">
        <v>4622</v>
      </c>
      <c r="F599" s="524" t="s">
        <v>4622</v>
      </c>
      <c r="G599" s="524" t="s">
        <v>4622</v>
      </c>
      <c r="H599" s="524" t="s">
        <v>4622</v>
      </c>
      <c r="I599" s="524" t="s">
        <v>6877</v>
      </c>
      <c r="J599" s="524" t="s">
        <v>4623</v>
      </c>
      <c r="K599" s="524"/>
      <c r="L599" s="524" t="s">
        <v>6590</v>
      </c>
      <c r="M599" s="524" t="s">
        <v>6592</v>
      </c>
      <c r="N599" s="524" t="s">
        <v>6878</v>
      </c>
      <c r="O599" s="524"/>
    </row>
    <row r="600" spans="1:15" ht="43.5" hidden="1">
      <c r="A600" s="524">
        <v>269</v>
      </c>
      <c r="B600" s="524" t="e">
        <f>VLOOKUP(A600,'Hours Detail'!$E$17:$H$1048576,4,)</f>
        <v>#N/A</v>
      </c>
      <c r="C600" s="524" t="s">
        <v>435</v>
      </c>
      <c r="D600" s="524" t="s">
        <v>1525</v>
      </c>
      <c r="E600" s="524" t="s">
        <v>1527</v>
      </c>
      <c r="F600" s="524" t="s">
        <v>1527</v>
      </c>
      <c r="G600" s="524" t="s">
        <v>1527</v>
      </c>
      <c r="H600" s="524" t="s">
        <v>1527</v>
      </c>
      <c r="I600" s="524" t="s">
        <v>1525</v>
      </c>
      <c r="J600" s="524" t="s">
        <v>1525</v>
      </c>
      <c r="K600" s="524"/>
      <c r="L600" s="524" t="s">
        <v>6397</v>
      </c>
      <c r="M600" s="524" t="s">
        <v>2384</v>
      </c>
      <c r="N600" s="524"/>
      <c r="O600" s="524"/>
    </row>
    <row r="601" spans="1:15" ht="43.5" hidden="1">
      <c r="A601" s="527">
        <v>269</v>
      </c>
      <c r="B601" s="524" t="e">
        <f>VLOOKUP(A601,'Hours Detail'!$E$17:$H$1048576,4,)</f>
        <v>#N/A</v>
      </c>
      <c r="C601" s="527" t="s">
        <v>435</v>
      </c>
      <c r="D601" s="527" t="s">
        <v>1528</v>
      </c>
      <c r="E601" s="527" t="s">
        <v>1525</v>
      </c>
      <c r="F601" s="527" t="s">
        <v>1527</v>
      </c>
      <c r="G601" s="527">
        <v>511</v>
      </c>
      <c r="H601" s="527" t="s">
        <v>429</v>
      </c>
      <c r="I601" s="527" t="s">
        <v>1526</v>
      </c>
      <c r="J601" s="527" t="s">
        <v>2890</v>
      </c>
      <c r="K601" s="527" t="s">
        <v>2890</v>
      </c>
      <c r="L601" s="527" t="s">
        <v>6371</v>
      </c>
      <c r="M601" s="524"/>
      <c r="N601" s="524"/>
      <c r="O601" s="524"/>
    </row>
    <row r="602" spans="1:15" ht="246.5" hidden="1">
      <c r="A602" s="525">
        <v>270</v>
      </c>
      <c r="B602" s="524" t="str">
        <f>VLOOKUP(A602,'Hours Detail'!$E$17:$H$1048576,4,)</f>
        <v>No</v>
      </c>
      <c r="C602" s="524" t="s">
        <v>109</v>
      </c>
      <c r="D602" s="524" t="s">
        <v>4316</v>
      </c>
      <c r="E602" s="524" t="s">
        <v>1132</v>
      </c>
      <c r="F602" s="524" t="s">
        <v>1132</v>
      </c>
      <c r="G602" s="524" t="s">
        <v>1132</v>
      </c>
      <c r="H602" s="524" t="s">
        <v>1132</v>
      </c>
      <c r="I602" s="524" t="s">
        <v>6879</v>
      </c>
      <c r="J602" s="524" t="s">
        <v>4316</v>
      </c>
      <c r="K602" s="524" t="s">
        <v>6359</v>
      </c>
      <c r="L602" s="524" t="s">
        <v>6381</v>
      </c>
      <c r="M602" s="524" t="s">
        <v>2313</v>
      </c>
      <c r="N602" s="524" t="s">
        <v>6880</v>
      </c>
      <c r="O602" s="524"/>
    </row>
    <row r="603" spans="1:15" ht="174" hidden="1">
      <c r="A603" s="527">
        <v>270</v>
      </c>
      <c r="B603" s="524" t="str">
        <f>VLOOKUP(A603,'Hours Detail'!$E$17:$H$1048576,4,)</f>
        <v>No</v>
      </c>
      <c r="C603" s="527" t="s">
        <v>109</v>
      </c>
      <c r="D603" s="527" t="s">
        <v>2167</v>
      </c>
      <c r="E603" s="527" t="s">
        <v>1131</v>
      </c>
      <c r="F603" s="527" t="s">
        <v>1132</v>
      </c>
      <c r="G603" s="527">
        <v>99</v>
      </c>
      <c r="H603" s="527" t="s">
        <v>5</v>
      </c>
      <c r="I603" s="527" t="s">
        <v>2305</v>
      </c>
      <c r="J603" s="527" t="s">
        <v>2889</v>
      </c>
      <c r="K603" s="527" t="s">
        <v>2889</v>
      </c>
      <c r="L603" s="527" t="s">
        <v>6881</v>
      </c>
      <c r="M603" s="524"/>
      <c r="N603" s="524"/>
      <c r="O603" s="524"/>
    </row>
    <row r="604" spans="1:15" ht="101.5" hidden="1">
      <c r="A604" s="525">
        <v>272</v>
      </c>
      <c r="B604" s="524" t="e">
        <f>VLOOKUP(A604,'Hours Detail'!$E$17:$H$1048576,4,)</f>
        <v>#N/A</v>
      </c>
      <c r="C604" s="524" t="s">
        <v>1455</v>
      </c>
      <c r="D604" s="524" t="s">
        <v>1455</v>
      </c>
      <c r="E604" s="524" t="s">
        <v>1456</v>
      </c>
      <c r="F604" s="524" t="s">
        <v>1456</v>
      </c>
      <c r="G604" s="524" t="s">
        <v>1456</v>
      </c>
      <c r="H604" s="524" t="s">
        <v>1456</v>
      </c>
      <c r="I604" s="524" t="s">
        <v>1455</v>
      </c>
      <c r="J604" s="524" t="s">
        <v>1455</v>
      </c>
      <c r="K604" s="524"/>
      <c r="L604" s="524" t="s">
        <v>6399</v>
      </c>
      <c r="M604" s="524" t="s">
        <v>188</v>
      </c>
      <c r="N604" s="524"/>
      <c r="O604" s="524"/>
    </row>
    <row r="605" spans="1:15" ht="58" hidden="1">
      <c r="A605" s="527">
        <v>272</v>
      </c>
      <c r="B605" s="524" t="e">
        <f>VLOOKUP(A605,'Hours Detail'!$E$17:$H$1048576,4,)</f>
        <v>#N/A</v>
      </c>
      <c r="C605" s="527" t="s">
        <v>1455</v>
      </c>
      <c r="D605" s="527" t="s">
        <v>3092</v>
      </c>
      <c r="E605" s="527" t="s">
        <v>2864</v>
      </c>
      <c r="F605" s="527" t="s">
        <v>1456</v>
      </c>
      <c r="G605" s="527">
        <v>944</v>
      </c>
      <c r="H605" s="527" t="s">
        <v>3086</v>
      </c>
      <c r="I605" s="527" t="s">
        <v>3089</v>
      </c>
      <c r="J605" s="527" t="s">
        <v>2890</v>
      </c>
      <c r="K605" s="527" t="s">
        <v>2890</v>
      </c>
      <c r="L605" s="527" t="s">
        <v>6371</v>
      </c>
      <c r="M605" s="524"/>
      <c r="N605" s="524"/>
      <c r="O605" s="524"/>
    </row>
    <row r="606" spans="1:15" ht="43.5" hidden="1">
      <c r="A606" s="525">
        <v>273</v>
      </c>
      <c r="B606" s="524" t="e">
        <f>VLOOKUP(A606,'Hours Detail'!$E$17:$H$1048576,4,)</f>
        <v>#N/A</v>
      </c>
      <c r="C606" s="524" t="s">
        <v>5155</v>
      </c>
      <c r="D606" s="524" t="s">
        <v>5154</v>
      </c>
      <c r="E606" s="524" t="s">
        <v>5153</v>
      </c>
      <c r="F606" s="524" t="s">
        <v>5153</v>
      </c>
      <c r="G606" s="524" t="s">
        <v>5153</v>
      </c>
      <c r="H606" s="524" t="s">
        <v>5153</v>
      </c>
      <c r="I606" s="524" t="s">
        <v>6882</v>
      </c>
      <c r="J606" s="524" t="s">
        <v>5154</v>
      </c>
      <c r="K606" s="524"/>
      <c r="L606" s="524" t="s">
        <v>6402</v>
      </c>
      <c r="M606" s="524" t="s">
        <v>6403</v>
      </c>
      <c r="N606" s="524"/>
      <c r="O606" s="524"/>
    </row>
    <row r="607" spans="1:15" ht="72.5" hidden="1">
      <c r="A607" s="525">
        <v>274</v>
      </c>
      <c r="B607" s="524" t="e">
        <f>VLOOKUP(A607,'Hours Detail'!$E$17:$H$1048576,4,)</f>
        <v>#N/A</v>
      </c>
      <c r="C607" s="524" t="s">
        <v>1457</v>
      </c>
      <c r="D607" s="524" t="s">
        <v>6883</v>
      </c>
      <c r="E607" s="524" t="s">
        <v>1458</v>
      </c>
      <c r="F607" s="524" t="s">
        <v>1458</v>
      </c>
      <c r="G607" s="524" t="s">
        <v>1458</v>
      </c>
      <c r="H607" s="524" t="s">
        <v>1458</v>
      </c>
      <c r="I607" s="524" t="s">
        <v>6883</v>
      </c>
      <c r="J607" s="524" t="s">
        <v>6884</v>
      </c>
      <c r="K607" s="524"/>
      <c r="L607" s="524" t="s">
        <v>6376</v>
      </c>
      <c r="M607" s="524" t="s">
        <v>6377</v>
      </c>
      <c r="N607" s="524"/>
      <c r="O607" s="524"/>
    </row>
    <row r="608" spans="1:15" ht="58" hidden="1">
      <c r="A608" s="527">
        <v>274</v>
      </c>
      <c r="B608" s="524" t="e">
        <f>VLOOKUP(A608,'Hours Detail'!$E$17:$H$1048576,4,)</f>
        <v>#N/A</v>
      </c>
      <c r="C608" s="527" t="s">
        <v>1457</v>
      </c>
      <c r="D608" s="527" t="s">
        <v>3092</v>
      </c>
      <c r="E608" s="527" t="s">
        <v>2863</v>
      </c>
      <c r="F608" s="527" t="s">
        <v>1458</v>
      </c>
      <c r="G608" s="527">
        <v>944</v>
      </c>
      <c r="H608" s="527" t="s">
        <v>3086</v>
      </c>
      <c r="I608" s="527" t="s">
        <v>3089</v>
      </c>
      <c r="J608" s="527" t="s">
        <v>2890</v>
      </c>
      <c r="K608" s="527" t="s">
        <v>2890</v>
      </c>
      <c r="L608" s="527" t="s">
        <v>6371</v>
      </c>
      <c r="M608" s="524"/>
      <c r="N608" s="524"/>
      <c r="O608" s="524"/>
    </row>
    <row r="609" spans="1:15" ht="58" hidden="1">
      <c r="A609" s="525">
        <v>275</v>
      </c>
      <c r="B609" s="524" t="str">
        <f>VLOOKUP(A609,'Hours Detail'!$E$17:$H$1048576,4,)</f>
        <v>No</v>
      </c>
      <c r="C609" s="524" t="s">
        <v>6885</v>
      </c>
      <c r="D609" s="524" t="s">
        <v>1069</v>
      </c>
      <c r="E609" s="524" t="s">
        <v>1070</v>
      </c>
      <c r="F609" s="524" t="s">
        <v>1070</v>
      </c>
      <c r="G609" s="524" t="s">
        <v>1070</v>
      </c>
      <c r="H609" s="524" t="s">
        <v>1070</v>
      </c>
      <c r="I609" s="524" t="s">
        <v>6886</v>
      </c>
      <c r="J609" s="524" t="s">
        <v>1069</v>
      </c>
      <c r="K609" s="524" t="s">
        <v>6359</v>
      </c>
      <c r="L609" s="524" t="s">
        <v>6376</v>
      </c>
      <c r="M609" s="524" t="s">
        <v>6416</v>
      </c>
      <c r="N609" s="524"/>
      <c r="O609" s="524"/>
    </row>
    <row r="610" spans="1:15" ht="72.5" hidden="1">
      <c r="A610" s="527">
        <v>275</v>
      </c>
      <c r="B610" s="524" t="str">
        <f>VLOOKUP(A610,'Hours Detail'!$E$17:$H$1048576,4,)</f>
        <v>No</v>
      </c>
      <c r="C610" s="527" t="s">
        <v>278</v>
      </c>
      <c r="D610" s="527" t="s">
        <v>1068</v>
      </c>
      <c r="E610" s="527" t="s">
        <v>1069</v>
      </c>
      <c r="F610" s="527" t="s">
        <v>1070</v>
      </c>
      <c r="G610" s="527">
        <v>88</v>
      </c>
      <c r="H610" s="527" t="s">
        <v>16</v>
      </c>
      <c r="I610" s="527" t="s">
        <v>1066</v>
      </c>
      <c r="J610" s="527" t="s">
        <v>2889</v>
      </c>
      <c r="K610" s="527" t="s">
        <v>2889</v>
      </c>
      <c r="L610" s="527" t="s">
        <v>6887</v>
      </c>
      <c r="M610" s="524"/>
      <c r="N610" s="524"/>
      <c r="O610" s="524"/>
    </row>
    <row r="611" spans="1:15" ht="72.5" hidden="1">
      <c r="A611" s="525">
        <v>276</v>
      </c>
      <c r="B611" s="524" t="e">
        <f>VLOOKUP(A611,'Hours Detail'!$E$17:$H$1048576,4,)</f>
        <v>#N/A</v>
      </c>
      <c r="C611" s="524" t="s">
        <v>1459</v>
      </c>
      <c r="D611" s="524" t="s">
        <v>1459</v>
      </c>
      <c r="E611" s="524" t="s">
        <v>1460</v>
      </c>
      <c r="F611" s="524" t="s">
        <v>1460</v>
      </c>
      <c r="G611" s="524" t="s">
        <v>1460</v>
      </c>
      <c r="H611" s="524" t="s">
        <v>1460</v>
      </c>
      <c r="I611" s="524" t="s">
        <v>1459</v>
      </c>
      <c r="J611" s="524" t="s">
        <v>1459</v>
      </c>
      <c r="K611" s="524"/>
      <c r="L611" s="524" t="s">
        <v>6376</v>
      </c>
      <c r="M611" s="524" t="s">
        <v>6377</v>
      </c>
      <c r="N611" s="524"/>
      <c r="O611" s="524"/>
    </row>
    <row r="612" spans="1:15" ht="43.5" hidden="1">
      <c r="A612" s="527">
        <v>276</v>
      </c>
      <c r="B612" s="524" t="e">
        <f>VLOOKUP(A612,'Hours Detail'!$E$17:$H$1048576,4,)</f>
        <v>#N/A</v>
      </c>
      <c r="C612" s="527" t="s">
        <v>1459</v>
      </c>
      <c r="D612" s="527" t="s">
        <v>3092</v>
      </c>
      <c r="E612" s="527" t="s">
        <v>2862</v>
      </c>
      <c r="F612" s="527" t="s">
        <v>1460</v>
      </c>
      <c r="G612" s="527">
        <v>944</v>
      </c>
      <c r="H612" s="527" t="s">
        <v>3086</v>
      </c>
      <c r="I612" s="527" t="s">
        <v>3089</v>
      </c>
      <c r="J612" s="527" t="s">
        <v>2890</v>
      </c>
      <c r="K612" s="527" t="s">
        <v>2890</v>
      </c>
      <c r="L612" s="527" t="s">
        <v>6371</v>
      </c>
      <c r="M612" s="524"/>
      <c r="N612" s="524"/>
      <c r="O612" s="524"/>
    </row>
    <row r="613" spans="1:15" ht="43.5" hidden="1">
      <c r="A613" s="525">
        <v>277</v>
      </c>
      <c r="B613" s="524" t="e">
        <f>VLOOKUP(A613,'Hours Detail'!$E$17:$H$1048576,4,)</f>
        <v>#N/A</v>
      </c>
      <c r="C613" s="524" t="s">
        <v>1436</v>
      </c>
      <c r="D613" s="524" t="s">
        <v>1625</v>
      </c>
      <c r="E613" s="524" t="s">
        <v>1436</v>
      </c>
      <c r="F613" s="524" t="s">
        <v>1436</v>
      </c>
      <c r="G613" s="524" t="s">
        <v>1436</v>
      </c>
      <c r="H613" s="524" t="s">
        <v>1436</v>
      </c>
      <c r="I613" s="524" t="s">
        <v>1625</v>
      </c>
      <c r="J613" s="524" t="s">
        <v>1625</v>
      </c>
      <c r="K613" s="524"/>
      <c r="L613" s="524" t="s">
        <v>6414</v>
      </c>
      <c r="M613" s="524" t="s">
        <v>6415</v>
      </c>
      <c r="N613" s="524"/>
      <c r="O613" s="524"/>
    </row>
    <row r="614" spans="1:15" ht="29" hidden="1">
      <c r="A614" s="527">
        <v>277</v>
      </c>
      <c r="B614" s="524" t="e">
        <f>VLOOKUP(A614,'Hours Detail'!$E$17:$H$1048576,4,)</f>
        <v>#N/A</v>
      </c>
      <c r="C614" s="527" t="s">
        <v>1436</v>
      </c>
      <c r="D614" s="527" t="s">
        <v>3092</v>
      </c>
      <c r="E614" s="527" t="s">
        <v>1625</v>
      </c>
      <c r="F614" s="527" t="s">
        <v>1436</v>
      </c>
      <c r="G614" s="527">
        <v>944</v>
      </c>
      <c r="H614" s="527" t="s">
        <v>3086</v>
      </c>
      <c r="I614" s="527" t="s">
        <v>3089</v>
      </c>
      <c r="J614" s="527" t="s">
        <v>2890</v>
      </c>
      <c r="K614" s="527" t="s">
        <v>2890</v>
      </c>
      <c r="L614" s="527" t="s">
        <v>6371</v>
      </c>
      <c r="M614" s="524"/>
      <c r="N614" s="524"/>
      <c r="O614" s="524"/>
    </row>
    <row r="615" spans="1:15" ht="58" hidden="1">
      <c r="A615" s="525">
        <v>279</v>
      </c>
      <c r="B615" s="524" t="e">
        <f>VLOOKUP(A615,'Hours Detail'!$E$17:$H$1048576,4,)</f>
        <v>#N/A</v>
      </c>
      <c r="C615" s="524" t="s">
        <v>5131</v>
      </c>
      <c r="D615" s="524" t="s">
        <v>5130</v>
      </c>
      <c r="E615" s="524" t="s">
        <v>5129</v>
      </c>
      <c r="F615" s="524" t="s">
        <v>5129</v>
      </c>
      <c r="G615" s="524" t="s">
        <v>5129</v>
      </c>
      <c r="H615" s="524" t="s">
        <v>5129</v>
      </c>
      <c r="I615" s="524" t="s">
        <v>5130</v>
      </c>
      <c r="J615" s="524" t="s">
        <v>5130</v>
      </c>
      <c r="K615" s="524"/>
      <c r="L615" s="524" t="s">
        <v>6399</v>
      </c>
      <c r="M615" s="524" t="s">
        <v>6437</v>
      </c>
      <c r="N615" s="524"/>
      <c r="O615" s="524"/>
    </row>
    <row r="616" spans="1:15" ht="72.5">
      <c r="A616" s="525">
        <v>280</v>
      </c>
      <c r="B616" s="524" t="str">
        <f>VLOOKUP(A616,'Hours Detail'!$E$17:$H$1048576,4,)</f>
        <v>No</v>
      </c>
      <c r="C616" s="524" t="s">
        <v>4490</v>
      </c>
      <c r="D616" s="524" t="s">
        <v>6888</v>
      </c>
      <c r="E616" s="524" t="s">
        <v>6888</v>
      </c>
      <c r="F616" s="524" t="s">
        <v>6888</v>
      </c>
      <c r="G616" s="524" t="s">
        <v>6888</v>
      </c>
      <c r="H616" s="524" t="s">
        <v>6888</v>
      </c>
      <c r="I616" s="524" t="s">
        <v>6888</v>
      </c>
      <c r="J616" s="524" t="s">
        <v>6888</v>
      </c>
      <c r="K616" s="524"/>
      <c r="L616" s="524" t="s">
        <v>6590</v>
      </c>
      <c r="M616" s="524" t="s">
        <v>6592</v>
      </c>
      <c r="N616" s="524" t="s">
        <v>6889</v>
      </c>
      <c r="O616" s="524"/>
    </row>
    <row r="617" spans="1:15" ht="58" hidden="1">
      <c r="A617" s="524">
        <v>281</v>
      </c>
      <c r="B617" s="524" t="str">
        <f>VLOOKUP(A617,'Hours Detail'!$E$17:$H$1048576,4,)</f>
        <v>No</v>
      </c>
      <c r="C617" s="524" t="s">
        <v>280</v>
      </c>
      <c r="D617" s="524" t="s">
        <v>1091</v>
      </c>
      <c r="E617" s="524" t="s">
        <v>1092</v>
      </c>
      <c r="F617" s="524" t="s">
        <v>1092</v>
      </c>
      <c r="G617" s="524" t="s">
        <v>1092</v>
      </c>
      <c r="H617" s="524" t="s">
        <v>1092</v>
      </c>
      <c r="I617" s="524" t="s">
        <v>6890</v>
      </c>
      <c r="J617" s="524" t="s">
        <v>1091</v>
      </c>
      <c r="K617" s="524" t="s">
        <v>6359</v>
      </c>
      <c r="L617" s="524" t="s">
        <v>6368</v>
      </c>
      <c r="M617" s="524" t="s">
        <v>2573</v>
      </c>
      <c r="N617" s="524"/>
      <c r="O617" s="524"/>
    </row>
    <row r="618" spans="1:15" ht="188.5" hidden="1">
      <c r="A618" s="527">
        <v>281</v>
      </c>
      <c r="B618" s="524" t="str">
        <f>VLOOKUP(A618,'Hours Detail'!$E$17:$H$1048576,4,)</f>
        <v>No</v>
      </c>
      <c r="C618" s="527" t="s">
        <v>280</v>
      </c>
      <c r="D618" s="527" t="s">
        <v>1068</v>
      </c>
      <c r="E618" s="527" t="s">
        <v>1091</v>
      </c>
      <c r="F618" s="527" t="s">
        <v>1092</v>
      </c>
      <c r="G618" s="527">
        <v>88</v>
      </c>
      <c r="H618" s="527" t="s">
        <v>16</v>
      </c>
      <c r="I618" s="527" t="s">
        <v>1066</v>
      </c>
      <c r="J618" s="527" t="s">
        <v>2889</v>
      </c>
      <c r="K618" s="527" t="s">
        <v>2889</v>
      </c>
      <c r="L618" s="527" t="s">
        <v>6891</v>
      </c>
      <c r="M618" s="524"/>
      <c r="N618" s="524"/>
      <c r="O618" s="524"/>
    </row>
    <row r="619" spans="1:15" ht="58" hidden="1">
      <c r="A619" s="525">
        <v>282</v>
      </c>
      <c r="B619" s="524" t="e">
        <f>VLOOKUP(A619,'Hours Detail'!$E$17:$H$1048576,4,)</f>
        <v>#N/A</v>
      </c>
      <c r="C619" s="524" t="s">
        <v>5134</v>
      </c>
      <c r="D619" s="524" t="s">
        <v>5133</v>
      </c>
      <c r="E619" s="524" t="s">
        <v>5132</v>
      </c>
      <c r="F619" s="524" t="s">
        <v>5132</v>
      </c>
      <c r="G619" s="524" t="s">
        <v>5132</v>
      </c>
      <c r="H619" s="524" t="s">
        <v>5132</v>
      </c>
      <c r="I619" s="524" t="s">
        <v>6892</v>
      </c>
      <c r="J619" s="524" t="s">
        <v>5133</v>
      </c>
      <c r="K619" s="524"/>
      <c r="L619" s="524" t="s">
        <v>6402</v>
      </c>
      <c r="M619" s="524" t="s">
        <v>6403</v>
      </c>
      <c r="N619" s="524"/>
      <c r="O619" s="524"/>
    </row>
    <row r="620" spans="1:15" ht="43.5" hidden="1">
      <c r="A620" s="525">
        <v>283</v>
      </c>
      <c r="B620" s="524" t="e">
        <f>VLOOKUP(A620,'Hours Detail'!$E$17:$H$1048576,4,)</f>
        <v>#N/A</v>
      </c>
      <c r="C620" s="524" t="s">
        <v>1432</v>
      </c>
      <c r="D620" s="524" t="s">
        <v>1624</v>
      </c>
      <c r="E620" s="524" t="s">
        <v>1432</v>
      </c>
      <c r="F620" s="524" t="s">
        <v>1432</v>
      </c>
      <c r="G620" s="524" t="s">
        <v>1432</v>
      </c>
      <c r="H620" s="524" t="s">
        <v>1432</v>
      </c>
      <c r="I620" s="524" t="s">
        <v>1624</v>
      </c>
      <c r="J620" s="524" t="s">
        <v>1624</v>
      </c>
      <c r="K620" s="524"/>
      <c r="L620" s="524" t="s">
        <v>6365</v>
      </c>
      <c r="M620" s="524" t="s">
        <v>6366</v>
      </c>
      <c r="N620" s="524"/>
      <c r="O620" s="524"/>
    </row>
    <row r="621" spans="1:15" ht="29" hidden="1">
      <c r="A621" s="527">
        <v>283</v>
      </c>
      <c r="B621" s="524" t="e">
        <f>VLOOKUP(A621,'Hours Detail'!$E$17:$H$1048576,4,)</f>
        <v>#N/A</v>
      </c>
      <c r="C621" s="527" t="s">
        <v>1432</v>
      </c>
      <c r="D621" s="527" t="s">
        <v>3092</v>
      </c>
      <c r="E621" s="527" t="s">
        <v>1624</v>
      </c>
      <c r="F621" s="527" t="s">
        <v>1432</v>
      </c>
      <c r="G621" s="527">
        <v>944</v>
      </c>
      <c r="H621" s="527" t="s">
        <v>3086</v>
      </c>
      <c r="I621" s="527" t="s">
        <v>3089</v>
      </c>
      <c r="J621" s="527" t="s">
        <v>2890</v>
      </c>
      <c r="K621" s="527" t="s">
        <v>2890</v>
      </c>
      <c r="L621" s="527" t="s">
        <v>6371</v>
      </c>
      <c r="M621" s="524"/>
      <c r="N621" s="524"/>
      <c r="O621" s="524"/>
    </row>
    <row r="622" spans="1:15" ht="43.5" hidden="1">
      <c r="A622" s="525">
        <v>284</v>
      </c>
      <c r="B622" s="524" t="str">
        <f>VLOOKUP(A622,'Hours Detail'!$E$17:$H$1048576,4,)</f>
        <v>No</v>
      </c>
      <c r="C622" s="524" t="s">
        <v>1461</v>
      </c>
      <c r="D622" s="524" t="s">
        <v>3952</v>
      </c>
      <c r="E622" s="524" t="s">
        <v>1463</v>
      </c>
      <c r="F622" s="524" t="s">
        <v>1463</v>
      </c>
      <c r="G622" s="524" t="s">
        <v>1463</v>
      </c>
      <c r="H622" s="524" t="s">
        <v>1463</v>
      </c>
      <c r="I622" s="524" t="s">
        <v>6893</v>
      </c>
      <c r="J622" s="524" t="s">
        <v>3952</v>
      </c>
      <c r="K622" s="524" t="s">
        <v>6359</v>
      </c>
      <c r="L622" s="524" t="s">
        <v>6381</v>
      </c>
      <c r="M622" s="524" t="s">
        <v>442</v>
      </c>
      <c r="N622" s="524"/>
      <c r="O622" s="524"/>
    </row>
    <row r="623" spans="1:15" ht="72.5" hidden="1">
      <c r="A623" s="527">
        <v>284</v>
      </c>
      <c r="B623" s="524" t="str">
        <f>VLOOKUP(A623,'Hours Detail'!$E$17:$H$1048576,4,)</f>
        <v>No</v>
      </c>
      <c r="C623" s="527" t="s">
        <v>1461</v>
      </c>
      <c r="D623" s="527" t="s">
        <v>999</v>
      </c>
      <c r="E623" s="527" t="s">
        <v>1462</v>
      </c>
      <c r="F623" s="527" t="s">
        <v>1463</v>
      </c>
      <c r="G623" s="527">
        <v>36</v>
      </c>
      <c r="H623" s="527" t="s">
        <v>250</v>
      </c>
      <c r="I623" s="527" t="s">
        <v>997</v>
      </c>
      <c r="J623" s="527" t="s">
        <v>2889</v>
      </c>
      <c r="K623" s="527" t="s">
        <v>2889</v>
      </c>
      <c r="L623" s="527" t="s">
        <v>6894</v>
      </c>
      <c r="M623" s="524"/>
      <c r="N623" s="524"/>
      <c r="O623" s="524"/>
    </row>
    <row r="624" spans="1:15" ht="43.5" hidden="1">
      <c r="A624" s="524">
        <v>285</v>
      </c>
      <c r="B624" s="524" t="e">
        <f>VLOOKUP(A624,'Hours Detail'!$E$17:$H$1048576,4,)</f>
        <v>#N/A</v>
      </c>
      <c r="C624" s="524" t="s">
        <v>6895</v>
      </c>
      <c r="D624" s="524" t="s">
        <v>5118</v>
      </c>
      <c r="E624" s="524" t="s">
        <v>5117</v>
      </c>
      <c r="F624" s="524" t="s">
        <v>5117</v>
      </c>
      <c r="G624" s="524" t="s">
        <v>5117</v>
      </c>
      <c r="H624" s="524" t="s">
        <v>5117</v>
      </c>
      <c r="I624" s="524" t="s">
        <v>5118</v>
      </c>
      <c r="J624" s="524" t="s">
        <v>5118</v>
      </c>
      <c r="K624" s="524"/>
      <c r="L624" s="524" t="s">
        <v>6383</v>
      </c>
      <c r="M624" s="524" t="s">
        <v>5080</v>
      </c>
      <c r="N624" s="524"/>
      <c r="O624" s="524"/>
    </row>
    <row r="625" spans="1:15" ht="43.5" hidden="1">
      <c r="A625" s="524">
        <v>286</v>
      </c>
      <c r="B625" s="524" t="e">
        <f>VLOOKUP(A625,'Hours Detail'!$E$17:$H$1048576,4,)</f>
        <v>#N/A</v>
      </c>
      <c r="C625" s="524" t="s">
        <v>5745</v>
      </c>
      <c r="D625" s="524" t="s">
        <v>5744</v>
      </c>
      <c r="E625" s="524" t="s">
        <v>5743</v>
      </c>
      <c r="F625" s="524" t="s">
        <v>5743</v>
      </c>
      <c r="G625" s="524" t="s">
        <v>5743</v>
      </c>
      <c r="H625" s="524" t="s">
        <v>5743</v>
      </c>
      <c r="I625" s="524" t="s">
        <v>6896</v>
      </c>
      <c r="J625" s="524" t="s">
        <v>5744</v>
      </c>
      <c r="K625" s="524"/>
      <c r="L625" s="524" t="s">
        <v>6414</v>
      </c>
      <c r="M625" s="524" t="s">
        <v>6450</v>
      </c>
      <c r="N625" s="524"/>
      <c r="O625" s="524"/>
    </row>
    <row r="626" spans="1:15" ht="43.5" hidden="1">
      <c r="A626" s="524">
        <v>287</v>
      </c>
      <c r="B626" s="524" t="e">
        <f>VLOOKUP(A626,'Hours Detail'!$E$17:$H$1048576,4,)</f>
        <v>#N/A</v>
      </c>
      <c r="C626" s="524" t="s">
        <v>5145</v>
      </c>
      <c r="D626" s="524" t="s">
        <v>5145</v>
      </c>
      <c r="E626" s="524" t="s">
        <v>5145</v>
      </c>
      <c r="F626" s="524" t="s">
        <v>5145</v>
      </c>
      <c r="G626" s="524" t="s">
        <v>5145</v>
      </c>
      <c r="H626" s="524" t="s">
        <v>5145</v>
      </c>
      <c r="I626" s="524" t="s">
        <v>5145</v>
      </c>
      <c r="J626" s="524" t="s">
        <v>5145</v>
      </c>
      <c r="K626" s="524"/>
      <c r="L626" s="524" t="s">
        <v>6402</v>
      </c>
      <c r="M626" s="524" t="s">
        <v>6403</v>
      </c>
      <c r="N626" s="524"/>
      <c r="O626" s="524"/>
    </row>
    <row r="627" spans="1:15" ht="29" hidden="1">
      <c r="A627" s="525">
        <v>289</v>
      </c>
      <c r="B627" s="524" t="e">
        <f>VLOOKUP(A627,'Hours Detail'!$E$17:$H$1048576,4,)</f>
        <v>#N/A</v>
      </c>
      <c r="C627" s="524" t="s">
        <v>4031</v>
      </c>
      <c r="D627" s="524" t="s">
        <v>4030</v>
      </c>
      <c r="E627" s="524" t="s">
        <v>4029</v>
      </c>
      <c r="F627" s="524" t="s">
        <v>4029</v>
      </c>
      <c r="G627" s="524" t="s">
        <v>4029</v>
      </c>
      <c r="H627" s="524" t="s">
        <v>4029</v>
      </c>
      <c r="I627" s="524" t="s">
        <v>4030</v>
      </c>
      <c r="J627" s="524" t="s">
        <v>4030</v>
      </c>
      <c r="K627" s="524"/>
      <c r="L627" s="524" t="s">
        <v>6414</v>
      </c>
      <c r="M627" s="524" t="s">
        <v>6415</v>
      </c>
      <c r="N627" s="524"/>
      <c r="O627" s="524"/>
    </row>
    <row r="628" spans="1:15" ht="43.5">
      <c r="A628" s="524">
        <v>290</v>
      </c>
      <c r="B628" s="524" t="str">
        <f>VLOOKUP(A628,'Hours Detail'!$E$17:$H$1048576,4,)</f>
        <v>No</v>
      </c>
      <c r="C628" s="524" t="s">
        <v>171</v>
      </c>
      <c r="D628" s="524" t="s">
        <v>510</v>
      </c>
      <c r="E628" s="524" t="s">
        <v>171</v>
      </c>
      <c r="F628" s="524" t="s">
        <v>171</v>
      </c>
      <c r="G628" s="524" t="s">
        <v>171</v>
      </c>
      <c r="H628" s="524" t="s">
        <v>171</v>
      </c>
      <c r="I628" s="524" t="s">
        <v>6897</v>
      </c>
      <c r="J628" s="524" t="s">
        <v>510</v>
      </c>
      <c r="K628" s="524" t="s">
        <v>6359</v>
      </c>
      <c r="L628" s="524" t="s">
        <v>6381</v>
      </c>
      <c r="M628" s="524" t="s">
        <v>442</v>
      </c>
      <c r="N628" s="524"/>
      <c r="O628" s="524"/>
    </row>
    <row r="629" spans="1:15" ht="116">
      <c r="A629" s="524">
        <v>290</v>
      </c>
      <c r="B629" s="524" t="str">
        <f>VLOOKUP(A629,'Hours Detail'!$E$17:$H$1048576,4,)</f>
        <v>No</v>
      </c>
      <c r="C629" s="524" t="s">
        <v>171</v>
      </c>
      <c r="D629" s="527" t="s">
        <v>470</v>
      </c>
      <c r="E629" s="527" t="s">
        <v>510</v>
      </c>
      <c r="F629" s="527" t="s">
        <v>171</v>
      </c>
      <c r="G629" s="527">
        <v>3</v>
      </c>
      <c r="H629" s="527" t="s">
        <v>149</v>
      </c>
      <c r="I629" s="527" t="s">
        <v>468</v>
      </c>
      <c r="J629" s="527" t="s">
        <v>2889</v>
      </c>
      <c r="K629" s="527" t="s">
        <v>2889</v>
      </c>
      <c r="L629" s="527" t="s">
        <v>6898</v>
      </c>
      <c r="M629" s="524"/>
      <c r="N629" s="524"/>
      <c r="O629" s="524"/>
    </row>
    <row r="630" spans="1:15" ht="43.5" hidden="1">
      <c r="A630" s="525">
        <v>291</v>
      </c>
      <c r="B630" s="524" t="str">
        <f>VLOOKUP(A630,'Hours Detail'!$E$17:$H$1048576,4,)</f>
        <v>No</v>
      </c>
      <c r="C630" s="524" t="s">
        <v>140</v>
      </c>
      <c r="D630" s="524" t="s">
        <v>763</v>
      </c>
      <c r="E630" s="524" t="s">
        <v>764</v>
      </c>
      <c r="F630" s="524" t="s">
        <v>764</v>
      </c>
      <c r="G630" s="524" t="s">
        <v>764</v>
      </c>
      <c r="H630" s="524" t="s">
        <v>764</v>
      </c>
      <c r="I630" s="524" t="s">
        <v>6899</v>
      </c>
      <c r="J630" s="524" t="s">
        <v>763</v>
      </c>
      <c r="K630" s="524"/>
      <c r="L630" s="524" t="s">
        <v>6386</v>
      </c>
      <c r="M630" s="524" t="s">
        <v>6424</v>
      </c>
      <c r="N630" s="524"/>
      <c r="O630" s="524"/>
    </row>
    <row r="631" spans="1:15" ht="29" hidden="1">
      <c r="A631" s="527">
        <v>291</v>
      </c>
      <c r="B631" s="524" t="str">
        <f>VLOOKUP(A631,'Hours Detail'!$E$17:$H$1048576,4,)</f>
        <v>No</v>
      </c>
      <c r="C631" s="527" t="s">
        <v>140</v>
      </c>
      <c r="D631" s="527" t="s">
        <v>12</v>
      </c>
      <c r="E631" s="527" t="s">
        <v>763</v>
      </c>
      <c r="F631" s="527" t="s">
        <v>764</v>
      </c>
      <c r="G631" s="527">
        <v>14</v>
      </c>
      <c r="H631" s="527" t="s">
        <v>12</v>
      </c>
      <c r="I631" s="527" t="s">
        <v>2318</v>
      </c>
      <c r="J631" s="527" t="s">
        <v>2889</v>
      </c>
      <c r="K631" s="527" t="s">
        <v>2890</v>
      </c>
      <c r="L631" s="527" t="s">
        <v>6371</v>
      </c>
      <c r="M631" s="524"/>
      <c r="N631" s="524"/>
      <c r="O631" s="524"/>
    </row>
    <row r="632" spans="1:15" ht="43.5" hidden="1">
      <c r="A632" s="525">
        <v>292</v>
      </c>
      <c r="B632" s="524" t="str">
        <f>VLOOKUP(A632,'Hours Detail'!$E$17:$H$1048576,4,)</f>
        <v>No</v>
      </c>
      <c r="C632" s="524" t="s">
        <v>135</v>
      </c>
      <c r="D632" s="524" t="s">
        <v>759</v>
      </c>
      <c r="E632" s="524" t="s">
        <v>760</v>
      </c>
      <c r="F632" s="524" t="s">
        <v>760</v>
      </c>
      <c r="G632" s="524" t="s">
        <v>760</v>
      </c>
      <c r="H632" s="524" t="s">
        <v>760</v>
      </c>
      <c r="I632" s="524" t="s">
        <v>6900</v>
      </c>
      <c r="J632" s="524" t="s">
        <v>759</v>
      </c>
      <c r="K632" s="524"/>
      <c r="L632" s="524" t="s">
        <v>6386</v>
      </c>
      <c r="M632" s="524" t="s">
        <v>6424</v>
      </c>
      <c r="N632" s="524"/>
      <c r="O632" s="524"/>
    </row>
    <row r="633" spans="1:15" ht="87" hidden="1">
      <c r="A633" s="527">
        <v>292</v>
      </c>
      <c r="B633" s="524" t="str">
        <f>VLOOKUP(A633,'Hours Detail'!$E$17:$H$1048576,4,)</f>
        <v>No</v>
      </c>
      <c r="C633" s="527" t="s">
        <v>135</v>
      </c>
      <c r="D633" s="527" t="s">
        <v>12</v>
      </c>
      <c r="E633" s="527" t="s">
        <v>759</v>
      </c>
      <c r="F633" s="527" t="s">
        <v>760</v>
      </c>
      <c r="G633" s="527">
        <v>14</v>
      </c>
      <c r="H633" s="527" t="s">
        <v>12</v>
      </c>
      <c r="I633" s="527" t="s">
        <v>2318</v>
      </c>
      <c r="J633" s="527" t="s">
        <v>2889</v>
      </c>
      <c r="K633" s="527" t="s">
        <v>2890</v>
      </c>
      <c r="L633" s="527" t="s">
        <v>6901</v>
      </c>
      <c r="M633" s="524"/>
      <c r="N633" s="524"/>
      <c r="O633" s="524"/>
    </row>
    <row r="634" spans="1:15" ht="29" hidden="1">
      <c r="A634" s="524">
        <v>294</v>
      </c>
      <c r="B634" s="524" t="str">
        <f>VLOOKUP(A634,'Hours Detail'!$E$17:$H$1048576,4,)</f>
        <v>No</v>
      </c>
      <c r="C634" s="524" t="s">
        <v>4046</v>
      </c>
      <c r="D634" s="524" t="s">
        <v>1734</v>
      </c>
      <c r="E634" s="524" t="s">
        <v>1735</v>
      </c>
      <c r="F634" s="524" t="s">
        <v>1735</v>
      </c>
      <c r="G634" s="524" t="s">
        <v>1735</v>
      </c>
      <c r="H634" s="524" t="s">
        <v>1735</v>
      </c>
      <c r="I634" s="524" t="s">
        <v>6902</v>
      </c>
      <c r="J634" s="524" t="s">
        <v>1734</v>
      </c>
      <c r="K634" s="524" t="s">
        <v>6359</v>
      </c>
      <c r="L634" s="524" t="s">
        <v>6386</v>
      </c>
      <c r="M634" s="524" t="s">
        <v>6387</v>
      </c>
      <c r="N634" s="524"/>
      <c r="O634" s="524"/>
    </row>
    <row r="635" spans="1:15" ht="101.5" hidden="1">
      <c r="A635" s="527">
        <v>294</v>
      </c>
      <c r="B635" s="524" t="str">
        <f>VLOOKUP(A635,'Hours Detail'!$E$17:$H$1048576,4,)</f>
        <v>No</v>
      </c>
      <c r="C635" s="527" t="s">
        <v>45</v>
      </c>
      <c r="D635" s="527" t="s">
        <v>2173</v>
      </c>
      <c r="E635" s="527" t="s">
        <v>1734</v>
      </c>
      <c r="F635" s="527" t="s">
        <v>1735</v>
      </c>
      <c r="G635" s="527">
        <v>18</v>
      </c>
      <c r="H635" s="527" t="s">
        <v>13</v>
      </c>
      <c r="I635" s="527" t="s">
        <v>2319</v>
      </c>
      <c r="J635" s="527" t="s">
        <v>2889</v>
      </c>
      <c r="K635" s="527" t="s">
        <v>2889</v>
      </c>
      <c r="L635" s="527" t="s">
        <v>6903</v>
      </c>
      <c r="M635" s="524"/>
      <c r="N635" s="524"/>
      <c r="O635" s="524"/>
    </row>
    <row r="636" spans="1:15" ht="72.5" hidden="1">
      <c r="A636" s="525">
        <v>295</v>
      </c>
      <c r="B636" s="524" t="str">
        <f>VLOOKUP(A636,'Hours Detail'!$E$17:$H$1048576,4,)</f>
        <v>No</v>
      </c>
      <c r="C636" s="524" t="s">
        <v>4050</v>
      </c>
      <c r="D636" s="524" t="s">
        <v>818</v>
      </c>
      <c r="E636" s="524" t="s">
        <v>819</v>
      </c>
      <c r="F636" s="524" t="s">
        <v>819</v>
      </c>
      <c r="G636" s="524" t="s">
        <v>819</v>
      </c>
      <c r="H636" s="524" t="s">
        <v>819</v>
      </c>
      <c r="I636" s="524" t="s">
        <v>6904</v>
      </c>
      <c r="J636" s="524" t="s">
        <v>818</v>
      </c>
      <c r="K636" s="524" t="s">
        <v>6359</v>
      </c>
      <c r="L636" s="524" t="s">
        <v>6386</v>
      </c>
      <c r="M636" s="524" t="s">
        <v>6387</v>
      </c>
      <c r="N636" s="524" t="s">
        <v>6905</v>
      </c>
      <c r="O636" s="524"/>
    </row>
    <row r="637" spans="1:15" ht="116" hidden="1">
      <c r="A637" s="527">
        <v>295</v>
      </c>
      <c r="B637" s="524" t="str">
        <f>VLOOKUP(A637,'Hours Detail'!$E$17:$H$1048576,4,)</f>
        <v>No</v>
      </c>
      <c r="C637" s="527" t="s">
        <v>43</v>
      </c>
      <c r="D637" s="527" t="s">
        <v>2173</v>
      </c>
      <c r="E637" s="527" t="s">
        <v>818</v>
      </c>
      <c r="F637" s="527" t="s">
        <v>819</v>
      </c>
      <c r="G637" s="527">
        <v>18</v>
      </c>
      <c r="H637" s="527" t="s">
        <v>13</v>
      </c>
      <c r="I637" s="527" t="s">
        <v>2319</v>
      </c>
      <c r="J637" s="527" t="s">
        <v>2889</v>
      </c>
      <c r="K637" s="527" t="s">
        <v>2889</v>
      </c>
      <c r="L637" s="527" t="s">
        <v>6906</v>
      </c>
      <c r="M637" s="524"/>
      <c r="N637" s="524"/>
      <c r="O637" s="524"/>
    </row>
    <row r="638" spans="1:15" ht="217.5" hidden="1">
      <c r="A638" s="525">
        <v>296</v>
      </c>
      <c r="B638" s="524" t="str">
        <f>VLOOKUP(A638,'Hours Detail'!$E$17:$H$1048576,4,)</f>
        <v>No</v>
      </c>
      <c r="C638" s="524" t="s">
        <v>368</v>
      </c>
      <c r="D638" s="524" t="s">
        <v>1199</v>
      </c>
      <c r="E638" s="524" t="s">
        <v>1200</v>
      </c>
      <c r="F638" s="524" t="s">
        <v>1200</v>
      </c>
      <c r="G638" s="524" t="s">
        <v>1200</v>
      </c>
      <c r="H638" s="524" t="s">
        <v>1200</v>
      </c>
      <c r="I638" s="524" t="s">
        <v>6907</v>
      </c>
      <c r="J638" s="524" t="s">
        <v>1199</v>
      </c>
      <c r="K638" s="524" t="s">
        <v>6359</v>
      </c>
      <c r="L638" s="524" t="s">
        <v>6386</v>
      </c>
      <c r="M638" s="524" t="s">
        <v>6387</v>
      </c>
      <c r="N638" s="524" t="s">
        <v>6908</v>
      </c>
      <c r="O638" s="524"/>
    </row>
    <row r="639" spans="1:15" ht="130.5" hidden="1">
      <c r="A639" s="527">
        <v>296</v>
      </c>
      <c r="B639" s="524" t="str">
        <f>VLOOKUP(A639,'Hours Detail'!$E$17:$H$1048576,4,)</f>
        <v>No</v>
      </c>
      <c r="C639" s="527" t="s">
        <v>368</v>
      </c>
      <c r="D639" s="527" t="s">
        <v>2173</v>
      </c>
      <c r="E639" s="527" t="s">
        <v>1199</v>
      </c>
      <c r="F639" s="527" t="s">
        <v>1200</v>
      </c>
      <c r="G639" s="527">
        <v>18</v>
      </c>
      <c r="H639" s="527" t="s">
        <v>13</v>
      </c>
      <c r="I639" s="527" t="s">
        <v>2319</v>
      </c>
      <c r="J639" s="527" t="s">
        <v>2889</v>
      </c>
      <c r="K639" s="527" t="s">
        <v>2889</v>
      </c>
      <c r="L639" s="527" t="s">
        <v>6909</v>
      </c>
      <c r="M639" s="524"/>
      <c r="N639" s="524"/>
      <c r="O639" s="524"/>
    </row>
    <row r="640" spans="1:15" ht="43.5" hidden="1">
      <c r="A640" s="525">
        <v>297</v>
      </c>
      <c r="B640" s="524" t="str">
        <f>VLOOKUP(A640,'Hours Detail'!$E$17:$H$1048576,4,)</f>
        <v>No</v>
      </c>
      <c r="C640" s="524" t="s">
        <v>46</v>
      </c>
      <c r="D640" s="524" t="s">
        <v>816</v>
      </c>
      <c r="E640" s="524" t="s">
        <v>817</v>
      </c>
      <c r="F640" s="524" t="s">
        <v>817</v>
      </c>
      <c r="G640" s="524" t="s">
        <v>817</v>
      </c>
      <c r="H640" s="524" t="s">
        <v>817</v>
      </c>
      <c r="I640" s="524" t="s">
        <v>6910</v>
      </c>
      <c r="J640" s="524" t="s">
        <v>816</v>
      </c>
      <c r="K640" s="524" t="s">
        <v>6359</v>
      </c>
      <c r="L640" s="524" t="s">
        <v>6386</v>
      </c>
      <c r="M640" s="524" t="s">
        <v>6387</v>
      </c>
      <c r="N640" s="524"/>
      <c r="O640" s="524"/>
    </row>
    <row r="641" spans="1:15" ht="174" hidden="1">
      <c r="A641" s="527">
        <v>297</v>
      </c>
      <c r="B641" s="524" t="str">
        <f>VLOOKUP(A641,'Hours Detail'!$E$17:$H$1048576,4,)</f>
        <v>No</v>
      </c>
      <c r="C641" s="527" t="s">
        <v>46</v>
      </c>
      <c r="D641" s="527" t="s">
        <v>2173</v>
      </c>
      <c r="E641" s="527" t="s">
        <v>816</v>
      </c>
      <c r="F641" s="527" t="s">
        <v>817</v>
      </c>
      <c r="G641" s="527">
        <v>18</v>
      </c>
      <c r="H641" s="527" t="s">
        <v>13</v>
      </c>
      <c r="I641" s="527" t="s">
        <v>2319</v>
      </c>
      <c r="J641" s="527" t="s">
        <v>2889</v>
      </c>
      <c r="K641" s="527" t="s">
        <v>2889</v>
      </c>
      <c r="L641" s="527" t="s">
        <v>6911</v>
      </c>
      <c r="M641" s="524"/>
      <c r="N641" s="524"/>
      <c r="O641" s="524"/>
    </row>
    <row r="642" spans="1:15" ht="333.5" hidden="1">
      <c r="A642" s="525">
        <v>298</v>
      </c>
      <c r="B642" s="524" t="str">
        <f>VLOOKUP(A642,'Hours Detail'!$E$17:$H$1048576,4,)</f>
        <v>No</v>
      </c>
      <c r="C642" s="524" t="s">
        <v>44</v>
      </c>
      <c r="D642" s="524" t="s">
        <v>814</v>
      </c>
      <c r="E642" s="524" t="s">
        <v>815</v>
      </c>
      <c r="F642" s="524" t="s">
        <v>815</v>
      </c>
      <c r="G642" s="524" t="s">
        <v>815</v>
      </c>
      <c r="H642" s="524" t="s">
        <v>815</v>
      </c>
      <c r="I642" s="524" t="s">
        <v>6912</v>
      </c>
      <c r="J642" s="524" t="s">
        <v>814</v>
      </c>
      <c r="K642" s="524" t="s">
        <v>6359</v>
      </c>
      <c r="L642" s="524" t="s">
        <v>6386</v>
      </c>
      <c r="M642" s="524" t="s">
        <v>6387</v>
      </c>
      <c r="N642" s="524" t="s">
        <v>6913</v>
      </c>
      <c r="O642" s="524"/>
    </row>
    <row r="643" spans="1:15" ht="290" hidden="1">
      <c r="A643" s="527">
        <v>298</v>
      </c>
      <c r="B643" s="524" t="str">
        <f>VLOOKUP(A643,'Hours Detail'!$E$17:$H$1048576,4,)</f>
        <v>No</v>
      </c>
      <c r="C643" s="527" t="s">
        <v>44</v>
      </c>
      <c r="D643" s="527" t="s">
        <v>2173</v>
      </c>
      <c r="E643" s="527" t="s">
        <v>814</v>
      </c>
      <c r="F643" s="527" t="s">
        <v>815</v>
      </c>
      <c r="G643" s="527">
        <v>18</v>
      </c>
      <c r="H643" s="527" t="s">
        <v>13</v>
      </c>
      <c r="I643" s="527" t="s">
        <v>2319</v>
      </c>
      <c r="J643" s="527" t="s">
        <v>2889</v>
      </c>
      <c r="K643" s="527" t="s">
        <v>2889</v>
      </c>
      <c r="L643" s="527" t="s">
        <v>6914</v>
      </c>
      <c r="M643" s="524"/>
      <c r="N643" s="524"/>
      <c r="O643" s="524"/>
    </row>
    <row r="644" spans="1:15" ht="261" hidden="1">
      <c r="A644" s="525">
        <v>299</v>
      </c>
      <c r="B644" s="524" t="e">
        <f>VLOOKUP(A644,'Hours Detail'!$E$17:$H$1048576,4,)</f>
        <v>#N/A</v>
      </c>
      <c r="C644" s="524" t="s">
        <v>231</v>
      </c>
      <c r="D644" s="524" t="s">
        <v>816</v>
      </c>
      <c r="E644" s="524" t="s">
        <v>822</v>
      </c>
      <c r="F644" s="524" t="s">
        <v>822</v>
      </c>
      <c r="G644" s="524" t="s">
        <v>822</v>
      </c>
      <c r="H644" s="524" t="s">
        <v>822</v>
      </c>
      <c r="I644" s="524" t="s">
        <v>6915</v>
      </c>
      <c r="J644" s="524" t="s">
        <v>816</v>
      </c>
      <c r="K644" s="524"/>
      <c r="L644" s="524" t="s">
        <v>6386</v>
      </c>
      <c r="M644" s="524" t="s">
        <v>6387</v>
      </c>
      <c r="N644" s="524" t="s">
        <v>6916</v>
      </c>
      <c r="O644" s="524"/>
    </row>
    <row r="645" spans="1:15" ht="29" hidden="1">
      <c r="A645" s="527">
        <v>299</v>
      </c>
      <c r="B645" s="524" t="e">
        <f>VLOOKUP(A645,'Hours Detail'!$E$17:$H$1048576,4,)</f>
        <v>#N/A</v>
      </c>
      <c r="C645" s="527" t="s">
        <v>231</v>
      </c>
      <c r="D645" s="527" t="s">
        <v>2173</v>
      </c>
      <c r="E645" s="527" t="s">
        <v>816</v>
      </c>
      <c r="F645" s="527" t="s">
        <v>822</v>
      </c>
      <c r="G645" s="527">
        <v>18</v>
      </c>
      <c r="H645" s="527" t="s">
        <v>13</v>
      </c>
      <c r="I645" s="527" t="s">
        <v>2319</v>
      </c>
      <c r="J645" s="527" t="s">
        <v>2890</v>
      </c>
      <c r="K645" s="527" t="s">
        <v>2889</v>
      </c>
      <c r="L645" s="527" t="s">
        <v>6371</v>
      </c>
      <c r="M645" s="524"/>
      <c r="N645" s="524"/>
      <c r="O645" s="524"/>
    </row>
    <row r="646" spans="1:15" ht="43.5" hidden="1">
      <c r="A646" s="524">
        <v>300</v>
      </c>
      <c r="B646" s="524" t="e">
        <f>VLOOKUP(A646,'Hours Detail'!$E$17:$H$1048576,4,)</f>
        <v>#N/A</v>
      </c>
      <c r="C646" s="524" t="s">
        <v>1779</v>
      </c>
      <c r="D646" s="524" t="s">
        <v>1780</v>
      </c>
      <c r="E646" s="524" t="s">
        <v>1781</v>
      </c>
      <c r="F646" s="524" t="s">
        <v>1781</v>
      </c>
      <c r="G646" s="524" t="s">
        <v>1781</v>
      </c>
      <c r="H646" s="524" t="s">
        <v>1781</v>
      </c>
      <c r="I646" s="524" t="s">
        <v>1780</v>
      </c>
      <c r="J646" s="524" t="s">
        <v>1780</v>
      </c>
      <c r="K646" s="524"/>
      <c r="L646" s="524" t="s">
        <v>6399</v>
      </c>
      <c r="M646" s="524" t="s">
        <v>6459</v>
      </c>
      <c r="N646" s="524"/>
      <c r="O646" s="524"/>
    </row>
    <row r="647" spans="1:15" ht="72.5" hidden="1">
      <c r="A647" s="527">
        <v>300</v>
      </c>
      <c r="B647" s="524" t="e">
        <f>VLOOKUP(A647,'Hours Detail'!$E$17:$H$1048576,4,)</f>
        <v>#N/A</v>
      </c>
      <c r="C647" s="527" t="s">
        <v>1779</v>
      </c>
      <c r="D647" s="527" t="s">
        <v>2312</v>
      </c>
      <c r="E647" s="527" t="s">
        <v>1780</v>
      </c>
      <c r="F647" s="527" t="s">
        <v>1781</v>
      </c>
      <c r="G647" s="527">
        <v>6</v>
      </c>
      <c r="H647" s="527" t="s">
        <v>58</v>
      </c>
      <c r="I647" s="527" t="s">
        <v>2311</v>
      </c>
      <c r="J647" s="527" t="s">
        <v>2890</v>
      </c>
      <c r="K647" s="527" t="s">
        <v>2890</v>
      </c>
      <c r="L647" s="527" t="s">
        <v>6371</v>
      </c>
      <c r="M647" s="524"/>
      <c r="N647" s="524"/>
      <c r="O647" s="524"/>
    </row>
    <row r="648" spans="1:15" ht="43.5" hidden="1">
      <c r="A648" s="524">
        <v>301</v>
      </c>
      <c r="B648" s="524" t="e">
        <f>VLOOKUP(A648,'Hours Detail'!$E$17:$H$1048576,4,)</f>
        <v>#N/A</v>
      </c>
      <c r="C648" s="524" t="s">
        <v>1805</v>
      </c>
      <c r="D648" s="524" t="s">
        <v>1806</v>
      </c>
      <c r="E648" s="524" t="s">
        <v>1807</v>
      </c>
      <c r="F648" s="524" t="s">
        <v>1807</v>
      </c>
      <c r="G648" s="524" t="s">
        <v>1807</v>
      </c>
      <c r="H648" s="524" t="s">
        <v>1807</v>
      </c>
      <c r="I648" s="524" t="s">
        <v>1806</v>
      </c>
      <c r="J648" s="524" t="s">
        <v>1806</v>
      </c>
      <c r="K648" s="524"/>
      <c r="L648" s="524" t="s">
        <v>6399</v>
      </c>
      <c r="M648" s="524" t="s">
        <v>6437</v>
      </c>
      <c r="N648" s="524"/>
      <c r="O648" s="524"/>
    </row>
    <row r="649" spans="1:15" ht="43.5" hidden="1">
      <c r="A649" s="527">
        <v>301</v>
      </c>
      <c r="B649" s="524" t="e">
        <f>VLOOKUP(A649,'Hours Detail'!$E$17:$H$1048576,4,)</f>
        <v>#N/A</v>
      </c>
      <c r="C649" s="527" t="s">
        <v>1805</v>
      </c>
      <c r="D649" s="527" t="s">
        <v>2171</v>
      </c>
      <c r="E649" s="527" t="s">
        <v>1806</v>
      </c>
      <c r="F649" s="527" t="s">
        <v>1807</v>
      </c>
      <c r="G649" s="527">
        <v>8</v>
      </c>
      <c r="H649" s="527" t="s">
        <v>188</v>
      </c>
      <c r="I649" s="527" t="s">
        <v>2314</v>
      </c>
      <c r="J649" s="527" t="s">
        <v>2890</v>
      </c>
      <c r="K649" s="527" t="s">
        <v>2890</v>
      </c>
      <c r="L649" s="527" t="s">
        <v>6917</v>
      </c>
      <c r="M649" s="524"/>
      <c r="N649" s="524"/>
      <c r="O649" s="524"/>
    </row>
    <row r="650" spans="1:15" ht="43.5" hidden="1">
      <c r="A650" s="524">
        <v>302</v>
      </c>
      <c r="B650" s="524" t="e">
        <f>VLOOKUP(A650,'Hours Detail'!$E$17:$H$1048576,4,)</f>
        <v>#N/A</v>
      </c>
      <c r="C650" s="524" t="s">
        <v>1670</v>
      </c>
      <c r="D650" s="524" t="s">
        <v>1671</v>
      </c>
      <c r="E650" s="524" t="s">
        <v>4234</v>
      </c>
      <c r="F650" s="524" t="s">
        <v>4234</v>
      </c>
      <c r="G650" s="524" t="s">
        <v>4234</v>
      </c>
      <c r="H650" s="524" t="s">
        <v>4234</v>
      </c>
      <c r="I650" s="524" t="s">
        <v>1671</v>
      </c>
      <c r="J650" s="524" t="s">
        <v>1671</v>
      </c>
      <c r="K650" s="524"/>
      <c r="L650" s="524" t="s">
        <v>6399</v>
      </c>
      <c r="M650" s="524" t="s">
        <v>6459</v>
      </c>
      <c r="N650" s="524"/>
      <c r="O650" s="524"/>
    </row>
    <row r="651" spans="1:15" ht="72.5" hidden="1">
      <c r="A651" s="527">
        <v>302</v>
      </c>
      <c r="B651" s="524" t="e">
        <f>VLOOKUP(A651,'Hours Detail'!$E$17:$H$1048576,4,)</f>
        <v>#N/A</v>
      </c>
      <c r="C651" s="527" t="s">
        <v>1670</v>
      </c>
      <c r="D651" s="527" t="s">
        <v>2312</v>
      </c>
      <c r="E651" s="527" t="s">
        <v>1671</v>
      </c>
      <c r="F651" s="527" t="s">
        <v>1672</v>
      </c>
      <c r="G651" s="527">
        <v>6</v>
      </c>
      <c r="H651" s="527" t="s">
        <v>58</v>
      </c>
      <c r="I651" s="527" t="s">
        <v>2311</v>
      </c>
      <c r="J651" s="527" t="s">
        <v>2890</v>
      </c>
      <c r="K651" s="527" t="s">
        <v>2890</v>
      </c>
      <c r="L651" s="527" t="s">
        <v>6371</v>
      </c>
      <c r="M651" s="524"/>
      <c r="N651" s="524"/>
      <c r="O651" s="524"/>
    </row>
    <row r="652" spans="1:15" ht="58" hidden="1">
      <c r="A652" s="524">
        <v>304</v>
      </c>
      <c r="B652" s="524" t="e">
        <f>VLOOKUP(A652,'Hours Detail'!$E$17:$H$1048576,4,)</f>
        <v>#N/A</v>
      </c>
      <c r="C652" s="524" t="s">
        <v>1667</v>
      </c>
      <c r="D652" s="524" t="s">
        <v>1668</v>
      </c>
      <c r="E652" s="524" t="s">
        <v>4236</v>
      </c>
      <c r="F652" s="524" t="s">
        <v>6828</v>
      </c>
      <c r="G652" s="524" t="s">
        <v>4236</v>
      </c>
      <c r="H652" s="524" t="s">
        <v>4236</v>
      </c>
      <c r="I652" s="524" t="s">
        <v>1668</v>
      </c>
      <c r="J652" s="524" t="s">
        <v>1668</v>
      </c>
      <c r="K652" s="524"/>
      <c r="L652" s="524" t="s">
        <v>6399</v>
      </c>
      <c r="M652" s="524" t="s">
        <v>6459</v>
      </c>
      <c r="N652" s="524"/>
      <c r="O652" s="524"/>
    </row>
    <row r="653" spans="1:15" ht="72.5" hidden="1">
      <c r="A653" s="527">
        <v>304</v>
      </c>
      <c r="B653" s="524" t="e">
        <f>VLOOKUP(A653,'Hours Detail'!$E$17:$H$1048576,4,)</f>
        <v>#N/A</v>
      </c>
      <c r="C653" s="527" t="s">
        <v>1667</v>
      </c>
      <c r="D653" s="527" t="s">
        <v>2312</v>
      </c>
      <c r="E653" s="527" t="s">
        <v>1668</v>
      </c>
      <c r="F653" s="527" t="s">
        <v>1669</v>
      </c>
      <c r="G653" s="527">
        <v>6</v>
      </c>
      <c r="H653" s="527" t="s">
        <v>58</v>
      </c>
      <c r="I653" s="527" t="s">
        <v>2311</v>
      </c>
      <c r="J653" s="527" t="s">
        <v>2890</v>
      </c>
      <c r="K653" s="527" t="s">
        <v>2890</v>
      </c>
      <c r="L653" s="527" t="s">
        <v>6371</v>
      </c>
      <c r="M653" s="524"/>
      <c r="N653" s="524"/>
      <c r="O653" s="524"/>
    </row>
    <row r="654" spans="1:15" ht="43.5" hidden="1">
      <c r="A654" s="525">
        <v>305</v>
      </c>
      <c r="B654" s="524" t="e">
        <f>VLOOKUP(A654,'Hours Detail'!$E$17:$H$1048576,4,)</f>
        <v>#N/A</v>
      </c>
      <c r="C654" s="524" t="s">
        <v>375</v>
      </c>
      <c r="D654" s="524" t="s">
        <v>1262</v>
      </c>
      <c r="E654" s="524" t="s">
        <v>1263</v>
      </c>
      <c r="F654" s="524" t="s">
        <v>1263</v>
      </c>
      <c r="G654" s="524" t="s">
        <v>1263</v>
      </c>
      <c r="H654" s="524" t="s">
        <v>1263</v>
      </c>
      <c r="I654" s="524" t="s">
        <v>1262</v>
      </c>
      <c r="J654" s="524" t="s">
        <v>1262</v>
      </c>
      <c r="K654" s="524"/>
      <c r="L654" s="524" t="s">
        <v>6400</v>
      </c>
      <c r="M654" s="524" t="s">
        <v>6401</v>
      </c>
      <c r="N654" s="524"/>
      <c r="O654" s="524"/>
    </row>
    <row r="655" spans="1:15" ht="58" hidden="1">
      <c r="A655" s="527">
        <v>305</v>
      </c>
      <c r="B655" s="524" t="e">
        <f>VLOOKUP(A655,'Hours Detail'!$E$17:$H$1048576,4,)</f>
        <v>#N/A</v>
      </c>
      <c r="C655" s="527" t="s">
        <v>375</v>
      </c>
      <c r="D655" s="527" t="s">
        <v>4703</v>
      </c>
      <c r="E655" s="527" t="s">
        <v>1262</v>
      </c>
      <c r="F655" s="527" t="s">
        <v>1263</v>
      </c>
      <c r="G655" s="527">
        <v>283</v>
      </c>
      <c r="H655" s="527" t="s">
        <v>4705</v>
      </c>
      <c r="I655" s="527" t="s">
        <v>4704</v>
      </c>
      <c r="J655" s="527" t="s">
        <v>2890</v>
      </c>
      <c r="K655" s="527" t="s">
        <v>2890</v>
      </c>
      <c r="L655" s="527" t="s">
        <v>6371</v>
      </c>
      <c r="M655" s="524"/>
      <c r="N655" s="524"/>
      <c r="O655" s="524"/>
    </row>
    <row r="656" spans="1:15" ht="72.5" hidden="1">
      <c r="A656" s="524">
        <v>306</v>
      </c>
      <c r="B656" s="524" t="e">
        <f>VLOOKUP(A656,'Hours Detail'!$E$17:$H$1048576,4,)</f>
        <v>#N/A</v>
      </c>
      <c r="C656" s="524" t="s">
        <v>1782</v>
      </c>
      <c r="D656" s="524" t="s">
        <v>1783</v>
      </c>
      <c r="E656" s="524" t="s">
        <v>4235</v>
      </c>
      <c r="F656" s="524" t="s">
        <v>6918</v>
      </c>
      <c r="G656" s="524" t="s">
        <v>4235</v>
      </c>
      <c r="H656" s="524" t="s">
        <v>4235</v>
      </c>
      <c r="I656" s="524" t="s">
        <v>1783</v>
      </c>
      <c r="J656" s="524" t="s">
        <v>1783</v>
      </c>
      <c r="K656" s="524"/>
      <c r="L656" s="524" t="s">
        <v>6399</v>
      </c>
      <c r="M656" s="524" t="s">
        <v>6459</v>
      </c>
      <c r="N656" s="524"/>
      <c r="O656" s="524"/>
    </row>
    <row r="657" spans="1:15" ht="72.5" hidden="1">
      <c r="A657" s="527">
        <v>306</v>
      </c>
      <c r="B657" s="524" t="e">
        <f>VLOOKUP(A657,'Hours Detail'!$E$17:$H$1048576,4,)</f>
        <v>#N/A</v>
      </c>
      <c r="C657" s="527" t="s">
        <v>1782</v>
      </c>
      <c r="D657" s="527" t="s">
        <v>2312</v>
      </c>
      <c r="E657" s="527" t="s">
        <v>1783</v>
      </c>
      <c r="F657" s="527" t="s">
        <v>1784</v>
      </c>
      <c r="G657" s="527">
        <v>6</v>
      </c>
      <c r="H657" s="527" t="s">
        <v>58</v>
      </c>
      <c r="I657" s="527" t="s">
        <v>2311</v>
      </c>
      <c r="J657" s="527" t="s">
        <v>2890</v>
      </c>
      <c r="K657" s="527" t="s">
        <v>2890</v>
      </c>
      <c r="L657" s="527" t="s">
        <v>6371</v>
      </c>
      <c r="M657" s="524"/>
      <c r="N657" s="524"/>
      <c r="O657" s="524"/>
    </row>
    <row r="658" spans="1:15" ht="87" hidden="1">
      <c r="A658" s="524">
        <v>307</v>
      </c>
      <c r="B658" s="524" t="e">
        <f>VLOOKUP(A658,'Hours Detail'!$E$17:$H$1048576,4,)</f>
        <v>#N/A</v>
      </c>
      <c r="C658" s="524" t="s">
        <v>1715</v>
      </c>
      <c r="D658" s="524" t="s">
        <v>1716</v>
      </c>
      <c r="E658" s="524" t="s">
        <v>1717</v>
      </c>
      <c r="F658" s="524" t="s">
        <v>1717</v>
      </c>
      <c r="G658" s="524" t="s">
        <v>1717</v>
      </c>
      <c r="H658" s="524" t="s">
        <v>1717</v>
      </c>
      <c r="I658" s="524" t="s">
        <v>6680</v>
      </c>
      <c r="J658" s="524" t="s">
        <v>1716</v>
      </c>
      <c r="K658" s="524"/>
      <c r="L658" s="524" t="s">
        <v>6399</v>
      </c>
      <c r="M658" s="524" t="s">
        <v>6459</v>
      </c>
      <c r="N658" s="524"/>
      <c r="O658" s="524"/>
    </row>
    <row r="659" spans="1:15" ht="43.5" hidden="1">
      <c r="A659" s="527">
        <v>307</v>
      </c>
      <c r="B659" s="524" t="e">
        <f>VLOOKUP(A659,'Hours Detail'!$E$17:$H$1048576,4,)</f>
        <v>#N/A</v>
      </c>
      <c r="C659" s="527" t="s">
        <v>1715</v>
      </c>
      <c r="D659" s="527" t="s">
        <v>2171</v>
      </c>
      <c r="E659" s="527" t="s">
        <v>1716</v>
      </c>
      <c r="F659" s="527" t="s">
        <v>1717</v>
      </c>
      <c r="G659" s="527">
        <v>8</v>
      </c>
      <c r="H659" s="527" t="s">
        <v>188</v>
      </c>
      <c r="I659" s="527" t="s">
        <v>2314</v>
      </c>
      <c r="J659" s="527" t="s">
        <v>2890</v>
      </c>
      <c r="K659" s="527" t="s">
        <v>2890</v>
      </c>
      <c r="L659" s="527" t="s">
        <v>6784</v>
      </c>
      <c r="M659" s="524"/>
      <c r="N659" s="524"/>
      <c r="O659" s="524"/>
    </row>
    <row r="660" spans="1:15" ht="43.5" hidden="1">
      <c r="A660" s="524">
        <v>308</v>
      </c>
      <c r="B660" s="524" t="e">
        <f>VLOOKUP(A660,'Hours Detail'!$E$17:$H$1048576,4,)</f>
        <v>#N/A</v>
      </c>
      <c r="C660" s="524" t="s">
        <v>1829</v>
      </c>
      <c r="D660" s="524" t="s">
        <v>1830</v>
      </c>
      <c r="E660" s="524" t="s">
        <v>1831</v>
      </c>
      <c r="F660" s="524" t="s">
        <v>1831</v>
      </c>
      <c r="G660" s="524" t="s">
        <v>1831</v>
      </c>
      <c r="H660" s="524" t="s">
        <v>1831</v>
      </c>
      <c r="I660" s="524" t="s">
        <v>1830</v>
      </c>
      <c r="J660" s="524" t="s">
        <v>1830</v>
      </c>
      <c r="K660" s="524"/>
      <c r="L660" s="524" t="s">
        <v>6399</v>
      </c>
      <c r="M660" s="524" t="s">
        <v>6437</v>
      </c>
      <c r="N660" s="524"/>
      <c r="O660" s="524"/>
    </row>
    <row r="661" spans="1:15" ht="43.5" hidden="1">
      <c r="A661" s="527">
        <v>308</v>
      </c>
      <c r="B661" s="524" t="e">
        <f>VLOOKUP(A661,'Hours Detail'!$E$17:$H$1048576,4,)</f>
        <v>#N/A</v>
      </c>
      <c r="C661" s="527" t="s">
        <v>1829</v>
      </c>
      <c r="D661" s="527" t="s">
        <v>706</v>
      </c>
      <c r="E661" s="527" t="s">
        <v>1830</v>
      </c>
      <c r="F661" s="527" t="s">
        <v>1831</v>
      </c>
      <c r="G661" s="527">
        <v>11</v>
      </c>
      <c r="H661" s="527" t="s">
        <v>6</v>
      </c>
      <c r="I661" s="527" t="s">
        <v>705</v>
      </c>
      <c r="J661" s="527" t="s">
        <v>2890</v>
      </c>
      <c r="K661" s="527" t="s">
        <v>2890</v>
      </c>
      <c r="L661" s="527" t="s">
        <v>6919</v>
      </c>
      <c r="M661" s="524"/>
      <c r="N661" s="524"/>
      <c r="O661" s="524"/>
    </row>
    <row r="662" spans="1:15" ht="43.5" hidden="1">
      <c r="A662" s="524">
        <v>309</v>
      </c>
      <c r="B662" s="524" t="e">
        <f>VLOOKUP(A662,'Hours Detail'!$E$17:$H$1048576,4,)</f>
        <v>#N/A</v>
      </c>
      <c r="C662" s="524" t="s">
        <v>5295</v>
      </c>
      <c r="D662" s="524" t="s">
        <v>5294</v>
      </c>
      <c r="E662" s="524" t="s">
        <v>5293</v>
      </c>
      <c r="F662" s="524" t="s">
        <v>5293</v>
      </c>
      <c r="G662" s="524" t="s">
        <v>5293</v>
      </c>
      <c r="H662" s="524" t="s">
        <v>5293</v>
      </c>
      <c r="I662" s="524" t="s">
        <v>6920</v>
      </c>
      <c r="J662" s="524" t="s">
        <v>5294</v>
      </c>
      <c r="K662" s="524"/>
      <c r="L662" s="524" t="s">
        <v>6381</v>
      </c>
      <c r="M662" s="524" t="s">
        <v>442</v>
      </c>
      <c r="N662" s="524"/>
      <c r="O662" s="524"/>
    </row>
    <row r="663" spans="1:15" ht="87" hidden="1">
      <c r="A663" s="524">
        <v>310</v>
      </c>
      <c r="B663" s="524" t="e">
        <f>VLOOKUP(A663,'Hours Detail'!$E$17:$H$1048576,4,)</f>
        <v>#N/A</v>
      </c>
      <c r="C663" s="524" t="s">
        <v>1797</v>
      </c>
      <c r="D663" s="524" t="s">
        <v>1798</v>
      </c>
      <c r="E663" s="524" t="s">
        <v>1799</v>
      </c>
      <c r="F663" s="524" t="s">
        <v>1799</v>
      </c>
      <c r="G663" s="524" t="s">
        <v>1799</v>
      </c>
      <c r="H663" s="524" t="s">
        <v>1799</v>
      </c>
      <c r="I663" s="524" t="s">
        <v>1798</v>
      </c>
      <c r="J663" s="524" t="s">
        <v>1798</v>
      </c>
      <c r="K663" s="524"/>
      <c r="L663" s="524" t="s">
        <v>6399</v>
      </c>
      <c r="M663" s="524" t="s">
        <v>6437</v>
      </c>
      <c r="N663" s="524"/>
      <c r="O663" s="524"/>
    </row>
    <row r="664" spans="1:15" ht="58" hidden="1">
      <c r="A664" s="527">
        <v>310</v>
      </c>
      <c r="B664" s="524" t="e">
        <f>VLOOKUP(A664,'Hours Detail'!$E$17:$H$1048576,4,)</f>
        <v>#N/A</v>
      </c>
      <c r="C664" s="527" t="s">
        <v>1797</v>
      </c>
      <c r="D664" s="527" t="s">
        <v>2171</v>
      </c>
      <c r="E664" s="527" t="s">
        <v>1798</v>
      </c>
      <c r="F664" s="527" t="s">
        <v>1799</v>
      </c>
      <c r="G664" s="527">
        <v>8</v>
      </c>
      <c r="H664" s="527" t="s">
        <v>188</v>
      </c>
      <c r="I664" s="527" t="s">
        <v>2314</v>
      </c>
      <c r="J664" s="527" t="s">
        <v>2890</v>
      </c>
      <c r="K664" s="527" t="s">
        <v>2890</v>
      </c>
      <c r="L664" s="527" t="s">
        <v>6371</v>
      </c>
      <c r="M664" s="524"/>
      <c r="N664" s="524"/>
      <c r="O664" s="524"/>
    </row>
    <row r="665" spans="1:15" ht="29" hidden="1">
      <c r="A665" s="524">
        <v>311</v>
      </c>
      <c r="B665" s="524" t="e">
        <f>VLOOKUP(A665,'Hours Detail'!$E$17:$H$1048576,4,)</f>
        <v>#N/A</v>
      </c>
      <c r="C665" s="524" t="s">
        <v>1676</v>
      </c>
      <c r="D665" s="524" t="s">
        <v>1677</v>
      </c>
      <c r="E665" s="524" t="s">
        <v>1678</v>
      </c>
      <c r="F665" s="524" t="s">
        <v>1678</v>
      </c>
      <c r="G665" s="524" t="s">
        <v>1678</v>
      </c>
      <c r="H665" s="524" t="s">
        <v>1678</v>
      </c>
      <c r="I665" s="524" t="s">
        <v>6817</v>
      </c>
      <c r="J665" s="524" t="s">
        <v>1677</v>
      </c>
      <c r="K665" s="524"/>
      <c r="L665" s="524" t="s">
        <v>6399</v>
      </c>
      <c r="M665" s="524" t="s">
        <v>6437</v>
      </c>
      <c r="N665" s="524"/>
      <c r="O665" s="524"/>
    </row>
    <row r="666" spans="1:15" ht="58" hidden="1">
      <c r="A666" s="527">
        <v>311</v>
      </c>
      <c r="B666" s="524" t="e">
        <f>VLOOKUP(A666,'Hours Detail'!$E$17:$H$1048576,4,)</f>
        <v>#N/A</v>
      </c>
      <c r="C666" s="527" t="s">
        <v>1676</v>
      </c>
      <c r="D666" s="527" t="s">
        <v>2785</v>
      </c>
      <c r="E666" s="527" t="s">
        <v>1677</v>
      </c>
      <c r="F666" s="527" t="s">
        <v>1678</v>
      </c>
      <c r="G666" s="527">
        <v>22</v>
      </c>
      <c r="H666" s="527" t="s">
        <v>2783</v>
      </c>
      <c r="I666" s="527" t="s">
        <v>2784</v>
      </c>
      <c r="J666" s="527" t="s">
        <v>2890</v>
      </c>
      <c r="K666" s="527" t="s">
        <v>2890</v>
      </c>
      <c r="L666" s="527" t="s">
        <v>6371</v>
      </c>
      <c r="M666" s="524"/>
      <c r="N666" s="524"/>
      <c r="O666" s="524"/>
    </row>
    <row r="667" spans="1:15" ht="72.5" hidden="1">
      <c r="A667" s="524">
        <v>312</v>
      </c>
      <c r="B667" s="524" t="e">
        <f>VLOOKUP(A667,'Hours Detail'!$E$17:$H$1048576,4,)</f>
        <v>#N/A</v>
      </c>
      <c r="C667" s="524" t="s">
        <v>4139</v>
      </c>
      <c r="D667" s="524" t="s">
        <v>1827</v>
      </c>
      <c r="E667" s="524" t="s">
        <v>1828</v>
      </c>
      <c r="F667" s="524" t="s">
        <v>1828</v>
      </c>
      <c r="G667" s="524" t="s">
        <v>1828</v>
      </c>
      <c r="H667" s="524" t="s">
        <v>1828</v>
      </c>
      <c r="I667" s="524" t="s">
        <v>1827</v>
      </c>
      <c r="J667" s="524" t="s">
        <v>1827</v>
      </c>
      <c r="K667" s="524"/>
      <c r="L667" s="524" t="s">
        <v>6399</v>
      </c>
      <c r="M667" s="524" t="s">
        <v>6437</v>
      </c>
      <c r="N667" s="524"/>
      <c r="O667" s="524"/>
    </row>
    <row r="668" spans="1:15" ht="72.5" hidden="1">
      <c r="A668" s="527">
        <v>312</v>
      </c>
      <c r="B668" s="524" t="e">
        <f>VLOOKUP(A668,'Hours Detail'!$E$17:$H$1048576,4,)</f>
        <v>#N/A</v>
      </c>
      <c r="C668" s="527" t="s">
        <v>2902</v>
      </c>
      <c r="D668" s="527" t="s">
        <v>706</v>
      </c>
      <c r="E668" s="527" t="s">
        <v>1827</v>
      </c>
      <c r="F668" s="527" t="s">
        <v>1828</v>
      </c>
      <c r="G668" s="527">
        <v>11</v>
      </c>
      <c r="H668" s="527" t="s">
        <v>6</v>
      </c>
      <c r="I668" s="527" t="s">
        <v>705</v>
      </c>
      <c r="J668" s="527" t="s">
        <v>2890</v>
      </c>
      <c r="K668" s="527" t="s">
        <v>2890</v>
      </c>
      <c r="L668" s="527" t="s">
        <v>6919</v>
      </c>
      <c r="M668" s="524"/>
      <c r="N668" s="524"/>
      <c r="O668" s="524"/>
    </row>
    <row r="669" spans="1:15" ht="87" hidden="1">
      <c r="A669" s="524">
        <v>313</v>
      </c>
      <c r="B669" s="524" t="e">
        <f>VLOOKUP(A669,'Hours Detail'!$E$17:$H$1048576,4,)</f>
        <v>#N/A</v>
      </c>
      <c r="C669" s="524" t="s">
        <v>1631</v>
      </c>
      <c r="D669" s="524" t="s">
        <v>1632</v>
      </c>
      <c r="E669" s="524" t="s">
        <v>4238</v>
      </c>
      <c r="F669" s="524" t="s">
        <v>4238</v>
      </c>
      <c r="G669" s="524" t="s">
        <v>4238</v>
      </c>
      <c r="H669" s="524" t="s">
        <v>4238</v>
      </c>
      <c r="I669" s="524" t="s">
        <v>6849</v>
      </c>
      <c r="J669" s="524" t="s">
        <v>1632</v>
      </c>
      <c r="K669" s="524"/>
      <c r="L669" s="524" t="s">
        <v>6399</v>
      </c>
      <c r="M669" s="524" t="s">
        <v>6459</v>
      </c>
      <c r="N669" s="524"/>
      <c r="O669" s="524"/>
    </row>
    <row r="670" spans="1:15" ht="72.5" hidden="1">
      <c r="A670" s="527">
        <v>313</v>
      </c>
      <c r="B670" s="524" t="e">
        <f>VLOOKUP(A670,'Hours Detail'!$E$17:$H$1048576,4,)</f>
        <v>#N/A</v>
      </c>
      <c r="C670" s="527" t="s">
        <v>1631</v>
      </c>
      <c r="D670" s="527" t="s">
        <v>2312</v>
      </c>
      <c r="E670" s="527" t="s">
        <v>1632</v>
      </c>
      <c r="F670" s="527" t="s">
        <v>1633</v>
      </c>
      <c r="G670" s="527">
        <v>6</v>
      </c>
      <c r="H670" s="527" t="s">
        <v>58</v>
      </c>
      <c r="I670" s="527" t="s">
        <v>2311</v>
      </c>
      <c r="J670" s="527" t="s">
        <v>2890</v>
      </c>
      <c r="K670" s="527" t="s">
        <v>2890</v>
      </c>
      <c r="L670" s="527" t="s">
        <v>6371</v>
      </c>
      <c r="M670" s="524"/>
      <c r="N670" s="524"/>
      <c r="O670" s="524"/>
    </row>
    <row r="671" spans="1:15" ht="72.5" hidden="1">
      <c r="A671" s="524">
        <v>314</v>
      </c>
      <c r="B671" s="524" t="e">
        <f>VLOOKUP(A671,'Hours Detail'!$E$17:$H$1048576,4,)</f>
        <v>#N/A</v>
      </c>
      <c r="C671" s="524" t="s">
        <v>1712</v>
      </c>
      <c r="D671" s="524" t="s">
        <v>1713</v>
      </c>
      <c r="E671" s="524" t="s">
        <v>1714</v>
      </c>
      <c r="F671" s="524" t="s">
        <v>1714</v>
      </c>
      <c r="G671" s="524" t="s">
        <v>1714</v>
      </c>
      <c r="H671" s="524" t="s">
        <v>1714</v>
      </c>
      <c r="I671" s="524" t="s">
        <v>6921</v>
      </c>
      <c r="J671" s="524" t="s">
        <v>1713</v>
      </c>
      <c r="K671" s="524"/>
      <c r="L671" s="524" t="s">
        <v>6381</v>
      </c>
      <c r="M671" s="524" t="s">
        <v>442</v>
      </c>
      <c r="N671" s="524"/>
      <c r="O671" s="524"/>
    </row>
    <row r="672" spans="1:15" ht="72.5" hidden="1">
      <c r="A672" s="527">
        <v>314</v>
      </c>
      <c r="B672" s="524" t="e">
        <f>VLOOKUP(A672,'Hours Detail'!$E$17:$H$1048576,4,)</f>
        <v>#N/A</v>
      </c>
      <c r="C672" s="527" t="s">
        <v>1712</v>
      </c>
      <c r="D672" s="527" t="s">
        <v>706</v>
      </c>
      <c r="E672" s="527" t="s">
        <v>1713</v>
      </c>
      <c r="F672" s="527" t="s">
        <v>1714</v>
      </c>
      <c r="G672" s="527">
        <v>11</v>
      </c>
      <c r="H672" s="527" t="s">
        <v>6</v>
      </c>
      <c r="I672" s="527" t="s">
        <v>705</v>
      </c>
      <c r="J672" s="527" t="s">
        <v>2890</v>
      </c>
      <c r="K672" s="527" t="s">
        <v>2890</v>
      </c>
      <c r="L672" s="527" t="s">
        <v>6919</v>
      </c>
      <c r="M672" s="524"/>
      <c r="N672" s="524"/>
      <c r="O672" s="524"/>
    </row>
    <row r="673" spans="1:15" ht="87" hidden="1">
      <c r="A673" s="524">
        <v>315</v>
      </c>
      <c r="B673" s="524" t="e">
        <f>VLOOKUP(A673,'Hours Detail'!$E$17:$H$1048576,4,)</f>
        <v>#N/A</v>
      </c>
      <c r="C673" s="524" t="s">
        <v>1628</v>
      </c>
      <c r="D673" s="524" t="s">
        <v>1629</v>
      </c>
      <c r="E673" s="524" t="s">
        <v>1630</v>
      </c>
      <c r="F673" s="524" t="s">
        <v>1630</v>
      </c>
      <c r="G673" s="524" t="s">
        <v>1630</v>
      </c>
      <c r="H673" s="524" t="s">
        <v>1630</v>
      </c>
      <c r="I673" s="524" t="s">
        <v>1629</v>
      </c>
      <c r="J673" s="524" t="s">
        <v>1629</v>
      </c>
      <c r="K673" s="524"/>
      <c r="L673" s="524" t="s">
        <v>6399</v>
      </c>
      <c r="M673" s="524" t="s">
        <v>6437</v>
      </c>
      <c r="N673" s="524"/>
      <c r="O673" s="524"/>
    </row>
    <row r="674" spans="1:15" ht="72.5" hidden="1">
      <c r="A674" s="527">
        <v>315</v>
      </c>
      <c r="B674" s="524" t="e">
        <f>VLOOKUP(A674,'Hours Detail'!$E$17:$H$1048576,4,)</f>
        <v>#N/A</v>
      </c>
      <c r="C674" s="527" t="s">
        <v>1628</v>
      </c>
      <c r="D674" s="527" t="s">
        <v>2312</v>
      </c>
      <c r="E674" s="527" t="s">
        <v>1629</v>
      </c>
      <c r="F674" s="527" t="s">
        <v>1630</v>
      </c>
      <c r="G674" s="527">
        <v>6</v>
      </c>
      <c r="H674" s="527" t="s">
        <v>58</v>
      </c>
      <c r="I674" s="527" t="s">
        <v>2311</v>
      </c>
      <c r="J674" s="527" t="s">
        <v>2890</v>
      </c>
      <c r="K674" s="527" t="s">
        <v>2890</v>
      </c>
      <c r="L674" s="527" t="s">
        <v>6371</v>
      </c>
      <c r="M674" s="524"/>
      <c r="N674" s="524"/>
      <c r="O674" s="524"/>
    </row>
    <row r="675" spans="1:15" ht="87" hidden="1">
      <c r="A675" s="525">
        <v>316</v>
      </c>
      <c r="B675" s="524" t="e">
        <f>VLOOKUP(A675,'Hours Detail'!$E$17:$H$1048576,4,)</f>
        <v>#N/A</v>
      </c>
      <c r="C675" s="524" t="s">
        <v>5273</v>
      </c>
      <c r="D675" s="524" t="s">
        <v>5272</v>
      </c>
      <c r="E675" s="524" t="s">
        <v>5271</v>
      </c>
      <c r="F675" s="524" t="s">
        <v>5271</v>
      </c>
      <c r="G675" s="524" t="s">
        <v>5271</v>
      </c>
      <c r="H675" s="524" t="s">
        <v>5271</v>
      </c>
      <c r="I675" s="524" t="s">
        <v>5272</v>
      </c>
      <c r="J675" s="524" t="s">
        <v>5272</v>
      </c>
      <c r="K675" s="524"/>
      <c r="L675" s="524" t="s">
        <v>6381</v>
      </c>
      <c r="M675" s="524" t="s">
        <v>442</v>
      </c>
      <c r="N675" s="524"/>
      <c r="O675" s="524"/>
    </row>
    <row r="676" spans="1:15" ht="43.5" hidden="1">
      <c r="A676" s="524">
        <v>317</v>
      </c>
      <c r="B676" s="524" t="e">
        <f>VLOOKUP(A676,'Hours Detail'!$E$17:$H$1048576,4,)</f>
        <v>#N/A</v>
      </c>
      <c r="C676" s="524" t="s">
        <v>129</v>
      </c>
      <c r="D676" s="524" t="s">
        <v>723</v>
      </c>
      <c r="E676" s="524" t="s">
        <v>724</v>
      </c>
      <c r="F676" s="524" t="s">
        <v>724</v>
      </c>
      <c r="G676" s="524" t="s">
        <v>724</v>
      </c>
      <c r="H676" s="524" t="s">
        <v>724</v>
      </c>
      <c r="I676" s="524" t="s">
        <v>723</v>
      </c>
      <c r="J676" s="524" t="s">
        <v>723</v>
      </c>
      <c r="K676" s="524"/>
      <c r="L676" s="524" t="s">
        <v>6399</v>
      </c>
      <c r="M676" s="524" t="s">
        <v>6613</v>
      </c>
      <c r="N676" s="524"/>
      <c r="O676" s="524"/>
    </row>
    <row r="677" spans="1:15" ht="43.5" hidden="1">
      <c r="A677" s="527">
        <v>317</v>
      </c>
      <c r="B677" s="524" t="e">
        <f>VLOOKUP(A677,'Hours Detail'!$E$17:$H$1048576,4,)</f>
        <v>#N/A</v>
      </c>
      <c r="C677" s="527" t="s">
        <v>129</v>
      </c>
      <c r="D677" s="527" t="s">
        <v>706</v>
      </c>
      <c r="E677" s="527" t="s">
        <v>723</v>
      </c>
      <c r="F677" s="527" t="s">
        <v>724</v>
      </c>
      <c r="G677" s="527">
        <v>11</v>
      </c>
      <c r="H677" s="527" t="s">
        <v>6</v>
      </c>
      <c r="I677" s="527" t="s">
        <v>705</v>
      </c>
      <c r="J677" s="527" t="s">
        <v>2890</v>
      </c>
      <c r="K677" s="527" t="s">
        <v>2890</v>
      </c>
      <c r="L677" s="527" t="s">
        <v>6371</v>
      </c>
      <c r="M677" s="524"/>
      <c r="N677" s="524"/>
      <c r="O677" s="524"/>
    </row>
    <row r="678" spans="1:15" ht="72.5" hidden="1">
      <c r="A678" s="525">
        <v>318</v>
      </c>
      <c r="B678" s="524" t="e">
        <f>VLOOKUP(A678,'Hours Detail'!$E$17:$H$1048576,4,)</f>
        <v>#N/A</v>
      </c>
      <c r="C678" s="524" t="s">
        <v>119</v>
      </c>
      <c r="D678" s="524" t="s">
        <v>621</v>
      </c>
      <c r="E678" s="524" t="s">
        <v>622</v>
      </c>
      <c r="F678" s="524" t="s">
        <v>622</v>
      </c>
      <c r="G678" s="524" t="s">
        <v>622</v>
      </c>
      <c r="H678" s="524" t="s">
        <v>622</v>
      </c>
      <c r="I678" s="524" t="s">
        <v>621</v>
      </c>
      <c r="J678" s="524" t="s">
        <v>621</v>
      </c>
      <c r="K678" s="524"/>
      <c r="L678" s="524" t="s">
        <v>6381</v>
      </c>
      <c r="M678" s="524" t="s">
        <v>522</v>
      </c>
      <c r="N678" s="524"/>
      <c r="O678" s="524"/>
    </row>
    <row r="679" spans="1:15" ht="58" hidden="1">
      <c r="A679" s="527">
        <v>318</v>
      </c>
      <c r="B679" s="524" t="e">
        <f>VLOOKUP(A679,'Hours Detail'!$E$17:$H$1048576,4,)</f>
        <v>#N/A</v>
      </c>
      <c r="C679" s="527" t="s">
        <v>119</v>
      </c>
      <c r="D679" s="527" t="s">
        <v>15</v>
      </c>
      <c r="E679" s="527" t="s">
        <v>621</v>
      </c>
      <c r="F679" s="527" t="s">
        <v>622</v>
      </c>
      <c r="G679" s="527">
        <v>7</v>
      </c>
      <c r="H679" s="527" t="s">
        <v>15</v>
      </c>
      <c r="I679" s="527" t="s">
        <v>2313</v>
      </c>
      <c r="J679" s="527" t="s">
        <v>2890</v>
      </c>
      <c r="K679" s="527" t="s">
        <v>2890</v>
      </c>
      <c r="L679" s="527" t="s">
        <v>6501</v>
      </c>
      <c r="M679" s="524"/>
      <c r="N679" s="524"/>
      <c r="O679" s="524"/>
    </row>
    <row r="680" spans="1:15" ht="58" hidden="1">
      <c r="A680" s="524">
        <v>319</v>
      </c>
      <c r="B680" s="524" t="e">
        <f>VLOOKUP(A680,'Hours Detail'!$E$17:$H$1048576,4,)</f>
        <v>#N/A</v>
      </c>
      <c r="C680" s="524" t="s">
        <v>1661</v>
      </c>
      <c r="D680" s="524" t="s">
        <v>1662</v>
      </c>
      <c r="E680" s="524" t="s">
        <v>1663</v>
      </c>
      <c r="F680" s="524" t="s">
        <v>1663</v>
      </c>
      <c r="G680" s="524" t="s">
        <v>1663</v>
      </c>
      <c r="H680" s="524" t="s">
        <v>1663</v>
      </c>
      <c r="I680" s="524" t="s">
        <v>6832</v>
      </c>
      <c r="J680" s="524" t="s">
        <v>1662</v>
      </c>
      <c r="K680" s="524"/>
      <c r="L680" s="524" t="s">
        <v>6399</v>
      </c>
      <c r="M680" s="524" t="s">
        <v>6613</v>
      </c>
      <c r="N680" s="524"/>
      <c r="O680" s="524"/>
    </row>
    <row r="681" spans="1:15" ht="72.5" hidden="1">
      <c r="A681" s="527">
        <v>319</v>
      </c>
      <c r="B681" s="524" t="e">
        <f>VLOOKUP(A681,'Hours Detail'!$E$17:$H$1048576,4,)</f>
        <v>#N/A</v>
      </c>
      <c r="C681" s="527" t="s">
        <v>1661</v>
      </c>
      <c r="D681" s="527" t="s">
        <v>2312</v>
      </c>
      <c r="E681" s="527" t="s">
        <v>1662</v>
      </c>
      <c r="F681" s="527" t="s">
        <v>1663</v>
      </c>
      <c r="G681" s="527">
        <v>6</v>
      </c>
      <c r="H681" s="527" t="s">
        <v>58</v>
      </c>
      <c r="I681" s="527" t="s">
        <v>2311</v>
      </c>
      <c r="J681" s="527" t="s">
        <v>2890</v>
      </c>
      <c r="K681" s="527" t="s">
        <v>2890</v>
      </c>
      <c r="L681" s="527" t="s">
        <v>6371</v>
      </c>
      <c r="M681" s="524"/>
      <c r="N681" s="524"/>
      <c r="O681" s="524"/>
    </row>
    <row r="682" spans="1:15" ht="87" hidden="1">
      <c r="A682" s="524">
        <v>320</v>
      </c>
      <c r="B682" s="524" t="e">
        <f>VLOOKUP(A682,'Hours Detail'!$E$17:$H$1048576,4,)</f>
        <v>#N/A</v>
      </c>
      <c r="C682" s="524" t="s">
        <v>1658</v>
      </c>
      <c r="D682" s="524" t="s">
        <v>1659</v>
      </c>
      <c r="E682" s="524" t="s">
        <v>1660</v>
      </c>
      <c r="F682" s="524" t="s">
        <v>1660</v>
      </c>
      <c r="G682" s="524" t="s">
        <v>1660</v>
      </c>
      <c r="H682" s="524" t="s">
        <v>1660</v>
      </c>
      <c r="I682" s="524" t="s">
        <v>6834</v>
      </c>
      <c r="J682" s="524" t="s">
        <v>1659</v>
      </c>
      <c r="K682" s="524"/>
      <c r="L682" s="524" t="s">
        <v>6399</v>
      </c>
      <c r="M682" s="524" t="s">
        <v>6459</v>
      </c>
      <c r="N682" s="524"/>
      <c r="O682" s="524"/>
    </row>
    <row r="683" spans="1:15" ht="72.5" hidden="1">
      <c r="A683" s="527">
        <v>320</v>
      </c>
      <c r="B683" s="524" t="e">
        <f>VLOOKUP(A683,'Hours Detail'!$E$17:$H$1048576,4,)</f>
        <v>#N/A</v>
      </c>
      <c r="C683" s="527" t="s">
        <v>1658</v>
      </c>
      <c r="D683" s="527" t="s">
        <v>2312</v>
      </c>
      <c r="E683" s="527" t="s">
        <v>1659</v>
      </c>
      <c r="F683" s="527" t="s">
        <v>1660</v>
      </c>
      <c r="G683" s="527">
        <v>6</v>
      </c>
      <c r="H683" s="527" t="s">
        <v>58</v>
      </c>
      <c r="I683" s="527" t="s">
        <v>2311</v>
      </c>
      <c r="J683" s="527" t="s">
        <v>2890</v>
      </c>
      <c r="K683" s="527" t="s">
        <v>2890</v>
      </c>
      <c r="L683" s="527" t="s">
        <v>6371</v>
      </c>
      <c r="M683" s="524"/>
      <c r="N683" s="524"/>
      <c r="O683" s="524"/>
    </row>
    <row r="684" spans="1:15" ht="43.5" hidden="1">
      <c r="A684" s="524">
        <v>321</v>
      </c>
      <c r="B684" s="524" t="e">
        <f>VLOOKUP(A684,'Hours Detail'!$E$17:$H$1048576,4,)</f>
        <v>#N/A</v>
      </c>
      <c r="C684" s="524" t="s">
        <v>5208</v>
      </c>
      <c r="D684" s="524" t="s">
        <v>1683</v>
      </c>
      <c r="E684" s="524" t="s">
        <v>4268</v>
      </c>
      <c r="F684" s="524" t="s">
        <v>4268</v>
      </c>
      <c r="G684" s="524" t="s">
        <v>4268</v>
      </c>
      <c r="H684" s="524" t="s">
        <v>4268</v>
      </c>
      <c r="I684" s="524" t="s">
        <v>6779</v>
      </c>
      <c r="J684" s="524" t="s">
        <v>1683</v>
      </c>
      <c r="K684" s="524"/>
      <c r="L684" s="524" t="s">
        <v>6381</v>
      </c>
      <c r="M684" s="524" t="s">
        <v>522</v>
      </c>
      <c r="N684" s="524"/>
      <c r="O684" s="524"/>
    </row>
    <row r="685" spans="1:15" ht="29" hidden="1">
      <c r="A685" s="527">
        <v>321</v>
      </c>
      <c r="B685" s="524" t="e">
        <f>VLOOKUP(A685,'Hours Detail'!$E$17:$H$1048576,4,)</f>
        <v>#N/A</v>
      </c>
      <c r="C685" s="527" t="s">
        <v>1682</v>
      </c>
      <c r="D685" s="527" t="s">
        <v>522</v>
      </c>
      <c r="E685" s="527" t="s">
        <v>1683</v>
      </c>
      <c r="F685" s="527" t="s">
        <v>1684</v>
      </c>
      <c r="G685" s="527">
        <v>4</v>
      </c>
      <c r="H685" s="527" t="s">
        <v>10</v>
      </c>
      <c r="I685" s="527" t="s">
        <v>522</v>
      </c>
      <c r="J685" s="527" t="s">
        <v>2890</v>
      </c>
      <c r="K685" s="527" t="s">
        <v>2890</v>
      </c>
      <c r="L685" s="527" t="s">
        <v>6803</v>
      </c>
      <c r="M685" s="524"/>
      <c r="N685" s="524"/>
      <c r="O685" s="524"/>
    </row>
    <row r="686" spans="1:15" ht="29" hidden="1">
      <c r="A686" s="525">
        <v>322</v>
      </c>
      <c r="B686" s="524" t="e">
        <f>VLOOKUP(A686,'Hours Detail'!$E$17:$H$1048576,4,)</f>
        <v>#N/A</v>
      </c>
      <c r="C686" s="524" t="s">
        <v>5144</v>
      </c>
      <c r="D686" s="524" t="s">
        <v>5143</v>
      </c>
      <c r="E686" s="524" t="s">
        <v>5142</v>
      </c>
      <c r="F686" s="524" t="s">
        <v>5142</v>
      </c>
      <c r="G686" s="524" t="s">
        <v>5142</v>
      </c>
      <c r="H686" s="524" t="s">
        <v>5142</v>
      </c>
      <c r="I686" s="524" t="s">
        <v>5143</v>
      </c>
      <c r="J686" s="524" t="s">
        <v>5143</v>
      </c>
      <c r="K686" s="524"/>
      <c r="L686" s="524" t="s">
        <v>6376</v>
      </c>
      <c r="M686" s="524" t="s">
        <v>6416</v>
      </c>
      <c r="N686" s="524"/>
      <c r="O686" s="524"/>
    </row>
    <row r="687" spans="1:15" ht="87" hidden="1">
      <c r="A687" s="524">
        <v>323</v>
      </c>
      <c r="B687" s="524" t="e">
        <f>VLOOKUP(A687,'Hours Detail'!$E$17:$H$1048576,4,)</f>
        <v>#N/A</v>
      </c>
      <c r="C687" s="524" t="s">
        <v>4223</v>
      </c>
      <c r="D687" s="524" t="s">
        <v>4222</v>
      </c>
      <c r="E687" s="524" t="s">
        <v>4221</v>
      </c>
      <c r="F687" s="524" t="s">
        <v>4221</v>
      </c>
      <c r="G687" s="524" t="s">
        <v>4221</v>
      </c>
      <c r="H687" s="524" t="s">
        <v>4221</v>
      </c>
      <c r="I687" s="524" t="s">
        <v>4222</v>
      </c>
      <c r="J687" s="524" t="s">
        <v>4222</v>
      </c>
      <c r="K687" s="524"/>
      <c r="L687" s="524" t="s">
        <v>6399</v>
      </c>
      <c r="M687" s="524" t="s">
        <v>6437</v>
      </c>
      <c r="N687" s="524"/>
      <c r="O687" s="524"/>
    </row>
    <row r="688" spans="1:15" ht="72.5" hidden="1">
      <c r="A688" s="527">
        <v>323</v>
      </c>
      <c r="B688" s="524" t="e">
        <f>VLOOKUP(A688,'Hours Detail'!$E$17:$H$1048576,4,)</f>
        <v>#N/A</v>
      </c>
      <c r="C688" s="527" t="s">
        <v>2892</v>
      </c>
      <c r="D688" s="527" t="s">
        <v>2312</v>
      </c>
      <c r="E688" s="527" t="s">
        <v>2893</v>
      </c>
      <c r="F688" s="527" t="s">
        <v>2894</v>
      </c>
      <c r="G688" s="527">
        <v>6</v>
      </c>
      <c r="H688" s="527" t="s">
        <v>58</v>
      </c>
      <c r="I688" s="527" t="s">
        <v>2311</v>
      </c>
      <c r="J688" s="527" t="s">
        <v>2890</v>
      </c>
      <c r="K688" s="527" t="s">
        <v>2890</v>
      </c>
      <c r="L688" s="527" t="s">
        <v>6371</v>
      </c>
      <c r="M688" s="524"/>
      <c r="N688" s="524"/>
      <c r="O688" s="524"/>
    </row>
    <row r="689" spans="1:15" ht="43.5" hidden="1">
      <c r="A689" s="524">
        <v>324</v>
      </c>
      <c r="B689" s="524" t="e">
        <f>VLOOKUP(A689,'Hours Detail'!$E$17:$H$1048576,4,)</f>
        <v>#N/A</v>
      </c>
      <c r="C689" s="524" t="s">
        <v>1769</v>
      </c>
      <c r="D689" s="524" t="s">
        <v>1770</v>
      </c>
      <c r="E689" s="524" t="s">
        <v>4255</v>
      </c>
      <c r="F689" s="524" t="s">
        <v>6922</v>
      </c>
      <c r="G689" s="524" t="s">
        <v>4255</v>
      </c>
      <c r="H689" s="524" t="s">
        <v>4255</v>
      </c>
      <c r="I689" s="524" t="s">
        <v>1770</v>
      </c>
      <c r="J689" s="524" t="s">
        <v>1770</v>
      </c>
      <c r="K689" s="524"/>
      <c r="L689" s="524" t="s">
        <v>6397</v>
      </c>
      <c r="M689" s="524" t="s">
        <v>2384</v>
      </c>
      <c r="N689" s="524"/>
      <c r="O689" s="524"/>
    </row>
    <row r="690" spans="1:15" ht="58" hidden="1">
      <c r="A690" s="527">
        <v>324</v>
      </c>
      <c r="B690" s="524" t="e">
        <f>VLOOKUP(A690,'Hours Detail'!$E$17:$H$1048576,4,)</f>
        <v>#N/A</v>
      </c>
      <c r="C690" s="527" t="s">
        <v>1769</v>
      </c>
      <c r="D690" s="527" t="s">
        <v>2170</v>
      </c>
      <c r="E690" s="527" t="s">
        <v>1770</v>
      </c>
      <c r="F690" s="527" t="s">
        <v>1771</v>
      </c>
      <c r="G690" s="527">
        <v>5</v>
      </c>
      <c r="H690" s="527" t="s">
        <v>177</v>
      </c>
      <c r="I690" s="527" t="s">
        <v>2310</v>
      </c>
      <c r="J690" s="527" t="s">
        <v>2890</v>
      </c>
      <c r="K690" s="527" t="s">
        <v>2890</v>
      </c>
      <c r="L690" s="527" t="s">
        <v>6371</v>
      </c>
      <c r="M690" s="524"/>
      <c r="N690" s="524"/>
      <c r="O690" s="524"/>
    </row>
    <row r="691" spans="1:15" ht="58" hidden="1">
      <c r="A691" s="524">
        <v>325</v>
      </c>
      <c r="B691" s="524" t="e">
        <f>VLOOKUP(A691,'Hours Detail'!$E$17:$H$1048576,4,)</f>
        <v>#N/A</v>
      </c>
      <c r="C691" s="524" t="s">
        <v>1760</v>
      </c>
      <c r="D691" s="524" t="s">
        <v>1761</v>
      </c>
      <c r="E691" s="524" t="s">
        <v>1762</v>
      </c>
      <c r="F691" s="524" t="s">
        <v>1762</v>
      </c>
      <c r="G691" s="524" t="s">
        <v>1762</v>
      </c>
      <c r="H691" s="524" t="s">
        <v>1762</v>
      </c>
      <c r="I691" s="524" t="s">
        <v>1761</v>
      </c>
      <c r="J691" s="524" t="s">
        <v>1761</v>
      </c>
      <c r="K691" s="524"/>
      <c r="L691" s="524" t="s">
        <v>6397</v>
      </c>
      <c r="M691" s="524" t="s">
        <v>6421</v>
      </c>
      <c r="N691" s="524"/>
      <c r="O691" s="524"/>
    </row>
    <row r="692" spans="1:15" ht="58" hidden="1">
      <c r="A692" s="527">
        <v>325</v>
      </c>
      <c r="B692" s="524" t="e">
        <f>VLOOKUP(A692,'Hours Detail'!$E$17:$H$1048576,4,)</f>
        <v>#N/A</v>
      </c>
      <c r="C692" s="527" t="s">
        <v>1760</v>
      </c>
      <c r="D692" s="527" t="s">
        <v>2170</v>
      </c>
      <c r="E692" s="527" t="s">
        <v>1761</v>
      </c>
      <c r="F692" s="527" t="s">
        <v>1762</v>
      </c>
      <c r="G692" s="527">
        <v>5</v>
      </c>
      <c r="H692" s="527" t="s">
        <v>177</v>
      </c>
      <c r="I692" s="527" t="s">
        <v>2310</v>
      </c>
      <c r="J692" s="527" t="s">
        <v>2890</v>
      </c>
      <c r="K692" s="527" t="s">
        <v>2890</v>
      </c>
      <c r="L692" s="527" t="s">
        <v>6371</v>
      </c>
      <c r="M692" s="524"/>
      <c r="N692" s="524"/>
      <c r="O692" s="524"/>
    </row>
    <row r="693" spans="1:15" ht="101.5" hidden="1">
      <c r="A693" s="524">
        <v>326</v>
      </c>
      <c r="B693" s="524" t="e">
        <f>VLOOKUP(A693,'Hours Detail'!$E$17:$H$1048576,4,)</f>
        <v>#N/A</v>
      </c>
      <c r="C693" s="524" t="s">
        <v>1673</v>
      </c>
      <c r="D693" s="524" t="s">
        <v>1674</v>
      </c>
      <c r="E693" s="524" t="s">
        <v>4013</v>
      </c>
      <c r="F693" s="524" t="s">
        <v>4013</v>
      </c>
      <c r="G693" s="524" t="s">
        <v>4013</v>
      </c>
      <c r="H693" s="524" t="s">
        <v>4013</v>
      </c>
      <c r="I693" s="524" t="s">
        <v>6820</v>
      </c>
      <c r="J693" s="524" t="s">
        <v>1674</v>
      </c>
      <c r="K693" s="524"/>
      <c r="L693" s="524" t="s">
        <v>6399</v>
      </c>
      <c r="M693" s="524" t="s">
        <v>6459</v>
      </c>
      <c r="N693" s="524"/>
      <c r="O693" s="524"/>
    </row>
    <row r="694" spans="1:15" ht="58" hidden="1">
      <c r="A694" s="527">
        <v>326</v>
      </c>
      <c r="B694" s="524" t="e">
        <f>VLOOKUP(A694,'Hours Detail'!$E$17:$H$1048576,4,)</f>
        <v>#N/A</v>
      </c>
      <c r="C694" s="527" t="s">
        <v>1673</v>
      </c>
      <c r="D694" s="527" t="s">
        <v>2174</v>
      </c>
      <c r="E694" s="527" t="s">
        <v>1674</v>
      </c>
      <c r="F694" s="527" t="s">
        <v>1675</v>
      </c>
      <c r="G694" s="527">
        <v>26</v>
      </c>
      <c r="H694" s="527" t="s">
        <v>237</v>
      </c>
      <c r="I694" s="527" t="s">
        <v>2322</v>
      </c>
      <c r="J694" s="527" t="s">
        <v>2890</v>
      </c>
      <c r="K694" s="527" t="s">
        <v>2889</v>
      </c>
      <c r="L694" s="527" t="s">
        <v>6371</v>
      </c>
      <c r="M694" s="524"/>
      <c r="N694" s="524"/>
      <c r="O694" s="524"/>
    </row>
    <row r="695" spans="1:15" ht="58" hidden="1">
      <c r="A695" s="524">
        <v>327</v>
      </c>
      <c r="B695" s="524" t="e">
        <f>VLOOKUP(A695,'Hours Detail'!$E$17:$H$1048576,4,)</f>
        <v>#N/A</v>
      </c>
      <c r="C695" s="524" t="s">
        <v>1655</v>
      </c>
      <c r="D695" s="524" t="s">
        <v>1656</v>
      </c>
      <c r="E695" s="524" t="s">
        <v>1657</v>
      </c>
      <c r="F695" s="524" t="s">
        <v>1657</v>
      </c>
      <c r="G695" s="524" t="s">
        <v>1657</v>
      </c>
      <c r="H695" s="524" t="s">
        <v>1657</v>
      </c>
      <c r="I695" s="524" t="s">
        <v>6836</v>
      </c>
      <c r="J695" s="524" t="s">
        <v>6837</v>
      </c>
      <c r="K695" s="524"/>
      <c r="L695" s="524" t="s">
        <v>6399</v>
      </c>
      <c r="M695" s="524" t="s">
        <v>6459</v>
      </c>
      <c r="N695" s="524"/>
      <c r="O695" s="524"/>
    </row>
    <row r="696" spans="1:15" ht="72.5" hidden="1">
      <c r="A696" s="527">
        <v>327</v>
      </c>
      <c r="B696" s="524" t="e">
        <f>VLOOKUP(A696,'Hours Detail'!$E$17:$H$1048576,4,)</f>
        <v>#N/A</v>
      </c>
      <c r="C696" s="527" t="s">
        <v>1655</v>
      </c>
      <c r="D696" s="527" t="s">
        <v>2312</v>
      </c>
      <c r="E696" s="527" t="s">
        <v>1656</v>
      </c>
      <c r="F696" s="527" t="s">
        <v>1657</v>
      </c>
      <c r="G696" s="527">
        <v>6</v>
      </c>
      <c r="H696" s="527" t="s">
        <v>58</v>
      </c>
      <c r="I696" s="527" t="s">
        <v>2311</v>
      </c>
      <c r="J696" s="527" t="s">
        <v>2890</v>
      </c>
      <c r="K696" s="527" t="s">
        <v>2890</v>
      </c>
      <c r="L696" s="527" t="s">
        <v>6371</v>
      </c>
      <c r="M696" s="524"/>
      <c r="N696" s="524"/>
      <c r="O696" s="524"/>
    </row>
    <row r="697" spans="1:15" ht="58" hidden="1">
      <c r="A697" s="524">
        <v>328</v>
      </c>
      <c r="B697" s="524" t="e">
        <f>VLOOKUP(A697,'Hours Detail'!$E$17:$H$1048576,4,)</f>
        <v>#N/A</v>
      </c>
      <c r="C697" s="524" t="s">
        <v>1754</v>
      </c>
      <c r="D697" s="524" t="s">
        <v>1755</v>
      </c>
      <c r="E697" s="524" t="s">
        <v>1756</v>
      </c>
      <c r="F697" s="524" t="s">
        <v>1756</v>
      </c>
      <c r="G697" s="524" t="s">
        <v>1756</v>
      </c>
      <c r="H697" s="524" t="s">
        <v>1756</v>
      </c>
      <c r="I697" s="524" t="s">
        <v>1755</v>
      </c>
      <c r="J697" s="524" t="s">
        <v>1755</v>
      </c>
      <c r="K697" s="524"/>
      <c r="L697" s="524" t="s">
        <v>6386</v>
      </c>
      <c r="M697" s="524" t="s">
        <v>6488</v>
      </c>
      <c r="N697" s="524"/>
      <c r="O697" s="524"/>
    </row>
    <row r="698" spans="1:15" ht="58" hidden="1">
      <c r="A698" s="527">
        <v>328</v>
      </c>
      <c r="B698" s="524" t="e">
        <f>VLOOKUP(A698,'Hours Detail'!$E$17:$H$1048576,4,)</f>
        <v>#N/A</v>
      </c>
      <c r="C698" s="527" t="s">
        <v>1754</v>
      </c>
      <c r="D698" s="527" t="s">
        <v>2170</v>
      </c>
      <c r="E698" s="527" t="s">
        <v>1755</v>
      </c>
      <c r="F698" s="527" t="s">
        <v>1756</v>
      </c>
      <c r="G698" s="527">
        <v>5</v>
      </c>
      <c r="H698" s="527" t="s">
        <v>177</v>
      </c>
      <c r="I698" s="527" t="s">
        <v>2310</v>
      </c>
      <c r="J698" s="527" t="s">
        <v>2890</v>
      </c>
      <c r="K698" s="527" t="s">
        <v>2890</v>
      </c>
      <c r="L698" s="527" t="s">
        <v>6371</v>
      </c>
      <c r="M698" s="524"/>
      <c r="N698" s="524"/>
      <c r="O698" s="524"/>
    </row>
    <row r="699" spans="1:15" ht="29" hidden="1">
      <c r="A699" s="525">
        <v>329</v>
      </c>
      <c r="B699" s="524" t="str">
        <f>VLOOKUP(A699,'Hours Detail'!$E$17:$H$1048576,4,)</f>
        <v>No</v>
      </c>
      <c r="C699" s="524" t="s">
        <v>1440</v>
      </c>
      <c r="D699" s="524" t="s">
        <v>1441</v>
      </c>
      <c r="E699" s="524" t="s">
        <v>1442</v>
      </c>
      <c r="F699" s="524" t="s">
        <v>1442</v>
      </c>
      <c r="G699" s="524" t="s">
        <v>1442</v>
      </c>
      <c r="H699" s="524" t="s">
        <v>1442</v>
      </c>
      <c r="I699" s="524" t="s">
        <v>6923</v>
      </c>
      <c r="J699" s="524" t="s">
        <v>1441</v>
      </c>
      <c r="K699" s="524" t="s">
        <v>6359</v>
      </c>
      <c r="L699" s="524" t="s">
        <v>6386</v>
      </c>
      <c r="M699" s="524" t="s">
        <v>6387</v>
      </c>
      <c r="N699" s="524"/>
      <c r="O699" s="524"/>
    </row>
    <row r="700" spans="1:15" ht="174" hidden="1">
      <c r="A700" s="527">
        <v>329</v>
      </c>
      <c r="B700" s="524" t="str">
        <f>VLOOKUP(A700,'Hours Detail'!$E$17:$H$1048576,4,)</f>
        <v>No</v>
      </c>
      <c r="C700" s="527" t="s">
        <v>1440</v>
      </c>
      <c r="D700" s="527" t="s">
        <v>999</v>
      </c>
      <c r="E700" s="527" t="s">
        <v>1441</v>
      </c>
      <c r="F700" s="527" t="s">
        <v>1442</v>
      </c>
      <c r="G700" s="527">
        <v>36</v>
      </c>
      <c r="H700" s="527" t="s">
        <v>250</v>
      </c>
      <c r="I700" s="527" t="s">
        <v>997</v>
      </c>
      <c r="J700" s="527" t="s">
        <v>2889</v>
      </c>
      <c r="K700" s="527" t="s">
        <v>2889</v>
      </c>
      <c r="L700" s="527" t="s">
        <v>6924</v>
      </c>
      <c r="M700" s="524"/>
      <c r="N700" s="524"/>
      <c r="O700" s="524"/>
    </row>
    <row r="701" spans="1:15" ht="72.5" hidden="1">
      <c r="A701" s="524">
        <v>330</v>
      </c>
      <c r="B701" s="524" t="e">
        <f>VLOOKUP(A701,'Hours Detail'!$E$17:$H$1048576,4,)</f>
        <v>#N/A</v>
      </c>
      <c r="C701" s="524" t="s">
        <v>1697</v>
      </c>
      <c r="D701" s="524" t="s">
        <v>1698</v>
      </c>
      <c r="E701" s="524" t="s">
        <v>1699</v>
      </c>
      <c r="F701" s="524" t="s">
        <v>1699</v>
      </c>
      <c r="G701" s="524" t="s">
        <v>1699</v>
      </c>
      <c r="H701" s="524" t="s">
        <v>1699</v>
      </c>
      <c r="I701" s="524" t="s">
        <v>6736</v>
      </c>
      <c r="J701" s="524" t="s">
        <v>1698</v>
      </c>
      <c r="K701" s="524"/>
      <c r="L701" s="524" t="s">
        <v>6381</v>
      </c>
      <c r="M701" s="524" t="s">
        <v>522</v>
      </c>
      <c r="N701" s="524"/>
      <c r="O701" s="524"/>
    </row>
    <row r="702" spans="1:15" ht="43.5" hidden="1">
      <c r="A702" s="527">
        <v>330</v>
      </c>
      <c r="B702" s="524" t="e">
        <f>VLOOKUP(A702,'Hours Detail'!$E$17:$H$1048576,4,)</f>
        <v>#N/A</v>
      </c>
      <c r="C702" s="527" t="s">
        <v>1697</v>
      </c>
      <c r="D702" s="527" t="s">
        <v>522</v>
      </c>
      <c r="E702" s="527" t="s">
        <v>1698</v>
      </c>
      <c r="F702" s="527" t="s">
        <v>1699</v>
      </c>
      <c r="G702" s="527">
        <v>4</v>
      </c>
      <c r="H702" s="527" t="s">
        <v>10</v>
      </c>
      <c r="I702" s="527" t="s">
        <v>522</v>
      </c>
      <c r="J702" s="527" t="s">
        <v>2890</v>
      </c>
      <c r="K702" s="527" t="s">
        <v>2890</v>
      </c>
      <c r="L702" s="527" t="s">
        <v>6803</v>
      </c>
      <c r="M702" s="524"/>
      <c r="N702" s="524"/>
      <c r="O702" s="524"/>
    </row>
    <row r="703" spans="1:15" ht="29" hidden="1">
      <c r="A703" s="524">
        <v>331</v>
      </c>
      <c r="B703" s="524" t="e">
        <f>VLOOKUP(A703,'Hours Detail'!$E$17:$H$1048576,4,)</f>
        <v>#N/A</v>
      </c>
      <c r="C703" s="524" t="s">
        <v>1731</v>
      </c>
      <c r="D703" s="524" t="s">
        <v>1732</v>
      </c>
      <c r="E703" s="524" t="s">
        <v>1733</v>
      </c>
      <c r="F703" s="524" t="s">
        <v>1733</v>
      </c>
      <c r="G703" s="524" t="s">
        <v>1733</v>
      </c>
      <c r="H703" s="524" t="s">
        <v>1733</v>
      </c>
      <c r="I703" s="524" t="s">
        <v>1732</v>
      </c>
      <c r="J703" s="524" t="s">
        <v>6490</v>
      </c>
      <c r="K703" s="524"/>
      <c r="L703" s="524" t="s">
        <v>6386</v>
      </c>
      <c r="M703" s="524" t="s">
        <v>6488</v>
      </c>
      <c r="N703" s="524"/>
      <c r="O703" s="524"/>
    </row>
    <row r="704" spans="1:15" ht="58" hidden="1">
      <c r="A704" s="527">
        <v>331</v>
      </c>
      <c r="B704" s="524" t="e">
        <f>VLOOKUP(A704,'Hours Detail'!$E$17:$H$1048576,4,)</f>
        <v>#N/A</v>
      </c>
      <c r="C704" s="527" t="s">
        <v>1731</v>
      </c>
      <c r="D704" s="527" t="s">
        <v>4703</v>
      </c>
      <c r="E704" s="527" t="s">
        <v>1732</v>
      </c>
      <c r="F704" s="527" t="s">
        <v>1733</v>
      </c>
      <c r="G704" s="527">
        <v>283</v>
      </c>
      <c r="H704" s="527" t="s">
        <v>4705</v>
      </c>
      <c r="I704" s="527" t="s">
        <v>4704</v>
      </c>
      <c r="J704" s="527" t="s">
        <v>2890</v>
      </c>
      <c r="K704" s="527" t="s">
        <v>2890</v>
      </c>
      <c r="L704" s="527" t="s">
        <v>6925</v>
      </c>
      <c r="M704" s="524"/>
      <c r="N704" s="524"/>
      <c r="O704" s="524"/>
    </row>
    <row r="705" spans="1:15" ht="43.5" hidden="1">
      <c r="A705" s="524">
        <v>332</v>
      </c>
      <c r="B705" s="524" t="e">
        <f>VLOOKUP(A705,'Hours Detail'!$E$17:$H$1048576,4,)</f>
        <v>#N/A</v>
      </c>
      <c r="C705" s="524" t="s">
        <v>4131</v>
      </c>
      <c r="D705" s="524" t="s">
        <v>4130</v>
      </c>
      <c r="E705" s="524" t="s">
        <v>4129</v>
      </c>
      <c r="F705" s="524" t="s">
        <v>4129</v>
      </c>
      <c r="G705" s="524" t="s">
        <v>4129</v>
      </c>
      <c r="H705" s="524" t="s">
        <v>4129</v>
      </c>
      <c r="I705" s="524" t="s">
        <v>6926</v>
      </c>
      <c r="J705" s="524" t="s">
        <v>4130</v>
      </c>
      <c r="K705" s="524"/>
      <c r="L705" s="524" t="s">
        <v>6386</v>
      </c>
      <c r="M705" s="524" t="s">
        <v>6435</v>
      </c>
      <c r="N705" s="524"/>
      <c r="O705" s="524"/>
    </row>
    <row r="706" spans="1:15" ht="87" hidden="1">
      <c r="A706" s="527">
        <v>332</v>
      </c>
      <c r="B706" s="524" t="e">
        <f>VLOOKUP(A706,'Hours Detail'!$E$17:$H$1048576,4,)</f>
        <v>#N/A</v>
      </c>
      <c r="C706" s="527" t="s">
        <v>1832</v>
      </c>
      <c r="D706" s="527" t="s">
        <v>728</v>
      </c>
      <c r="E706" s="527" t="s">
        <v>1833</v>
      </c>
      <c r="F706" s="527" t="s">
        <v>1834</v>
      </c>
      <c r="G706" s="527">
        <v>12</v>
      </c>
      <c r="H706" s="527" t="s">
        <v>4</v>
      </c>
      <c r="I706" s="527" t="s">
        <v>726</v>
      </c>
      <c r="J706" s="527" t="s">
        <v>2890</v>
      </c>
      <c r="K706" s="527" t="s">
        <v>2890</v>
      </c>
      <c r="L706" s="527" t="s">
        <v>6927</v>
      </c>
      <c r="M706" s="524"/>
      <c r="N706" s="524"/>
      <c r="O706" s="524"/>
    </row>
    <row r="707" spans="1:15" ht="58" hidden="1">
      <c r="A707" s="524">
        <v>333</v>
      </c>
      <c r="B707" s="524" t="e">
        <f>VLOOKUP(A707,'Hours Detail'!$E$17:$H$1048576,4,)</f>
        <v>#N/A</v>
      </c>
      <c r="C707" s="524" t="s">
        <v>1652</v>
      </c>
      <c r="D707" s="524" t="s">
        <v>1653</v>
      </c>
      <c r="E707" s="524" t="s">
        <v>5233</v>
      </c>
      <c r="F707" s="524" t="s">
        <v>6839</v>
      </c>
      <c r="G707" s="524" t="s">
        <v>5233</v>
      </c>
      <c r="H707" s="524" t="s">
        <v>5233</v>
      </c>
      <c r="I707" s="524" t="s">
        <v>1653</v>
      </c>
      <c r="J707" s="524" t="s">
        <v>1653</v>
      </c>
      <c r="K707" s="524"/>
      <c r="L707" s="524" t="s">
        <v>6399</v>
      </c>
      <c r="M707" s="524" t="s">
        <v>6509</v>
      </c>
      <c r="N707" s="524"/>
      <c r="O707" s="524"/>
    </row>
    <row r="708" spans="1:15" ht="58" hidden="1">
      <c r="A708" s="527">
        <v>333</v>
      </c>
      <c r="B708" s="524" t="e">
        <f>VLOOKUP(A708,'Hours Detail'!$E$17:$H$1048576,4,)</f>
        <v>#N/A</v>
      </c>
      <c r="C708" s="527" t="s">
        <v>1652</v>
      </c>
      <c r="D708" s="527" t="s">
        <v>4703</v>
      </c>
      <c r="E708" s="527" t="s">
        <v>1653</v>
      </c>
      <c r="F708" s="527" t="s">
        <v>1654</v>
      </c>
      <c r="G708" s="527">
        <v>283</v>
      </c>
      <c r="H708" s="527" t="s">
        <v>4705</v>
      </c>
      <c r="I708" s="527" t="s">
        <v>4704</v>
      </c>
      <c r="J708" s="527" t="s">
        <v>2890</v>
      </c>
      <c r="K708" s="527" t="s">
        <v>2890</v>
      </c>
      <c r="L708" s="527" t="s">
        <v>6371</v>
      </c>
      <c r="M708" s="524"/>
      <c r="N708" s="524"/>
      <c r="O708" s="524"/>
    </row>
    <row r="709" spans="1:15" ht="43.5" hidden="1">
      <c r="A709" s="524">
        <v>334</v>
      </c>
      <c r="B709" s="524" t="e">
        <f>VLOOKUP(A709,'Hours Detail'!$E$17:$H$1048576,4,)</f>
        <v>#N/A</v>
      </c>
      <c r="C709" s="524" t="s">
        <v>3997</v>
      </c>
      <c r="D709" s="524" t="s">
        <v>3996</v>
      </c>
      <c r="E709" s="524" t="s">
        <v>3995</v>
      </c>
      <c r="F709" s="524" t="s">
        <v>3995</v>
      </c>
      <c r="G709" s="524" t="s">
        <v>3995</v>
      </c>
      <c r="H709" s="524" t="s">
        <v>3995</v>
      </c>
      <c r="I709" s="524" t="s">
        <v>6492</v>
      </c>
      <c r="J709" s="524" t="s">
        <v>3996</v>
      </c>
      <c r="K709" s="524"/>
      <c r="L709" s="524" t="s">
        <v>6386</v>
      </c>
      <c r="M709" s="524" t="s">
        <v>6488</v>
      </c>
      <c r="N709" s="524"/>
      <c r="O709" s="524"/>
    </row>
    <row r="710" spans="1:15" ht="87" hidden="1">
      <c r="A710" s="527">
        <v>334</v>
      </c>
      <c r="B710" s="524" t="e">
        <f>VLOOKUP(A710,'Hours Detail'!$E$17:$H$1048576,4,)</f>
        <v>#N/A</v>
      </c>
      <c r="C710" s="527" t="s">
        <v>1862</v>
      </c>
      <c r="D710" s="527" t="s">
        <v>955</v>
      </c>
      <c r="E710" s="527" t="s">
        <v>1863</v>
      </c>
      <c r="F710" s="527" t="s">
        <v>1864</v>
      </c>
      <c r="G710" s="527">
        <v>28</v>
      </c>
      <c r="H710" s="527" t="s">
        <v>9</v>
      </c>
      <c r="I710" s="527" t="s">
        <v>953</v>
      </c>
      <c r="J710" s="527" t="s">
        <v>2890</v>
      </c>
      <c r="K710" s="527" t="s">
        <v>2890</v>
      </c>
      <c r="L710" s="527" t="s">
        <v>6928</v>
      </c>
      <c r="M710" s="524"/>
      <c r="N710" s="524"/>
      <c r="O710" s="524"/>
    </row>
    <row r="711" spans="1:15" ht="43.5" hidden="1">
      <c r="A711" s="524">
        <v>335</v>
      </c>
      <c r="B711" s="524" t="e">
        <f>VLOOKUP(A711,'Hours Detail'!$E$17:$H$1048576,4,)</f>
        <v>#N/A</v>
      </c>
      <c r="C711" s="524" t="s">
        <v>1649</v>
      </c>
      <c r="D711" s="524" t="s">
        <v>1650</v>
      </c>
      <c r="E711" s="524" t="s">
        <v>5232</v>
      </c>
      <c r="F711" s="524" t="s">
        <v>6840</v>
      </c>
      <c r="G711" s="524" t="s">
        <v>5232</v>
      </c>
      <c r="H711" s="524" t="s">
        <v>5232</v>
      </c>
      <c r="I711" s="524" t="s">
        <v>1650</v>
      </c>
      <c r="J711" s="524" t="s">
        <v>1650</v>
      </c>
      <c r="K711" s="524"/>
      <c r="L711" s="524" t="s">
        <v>6399</v>
      </c>
      <c r="M711" s="524" t="s">
        <v>6509</v>
      </c>
      <c r="N711" s="524"/>
      <c r="O711" s="524"/>
    </row>
    <row r="712" spans="1:15" ht="58" hidden="1">
      <c r="A712" s="527">
        <v>335</v>
      </c>
      <c r="B712" s="524" t="e">
        <f>VLOOKUP(A712,'Hours Detail'!$E$17:$H$1048576,4,)</f>
        <v>#N/A</v>
      </c>
      <c r="C712" s="527" t="s">
        <v>1649</v>
      </c>
      <c r="D712" s="527" t="s">
        <v>4703</v>
      </c>
      <c r="E712" s="527" t="s">
        <v>1650</v>
      </c>
      <c r="F712" s="527" t="s">
        <v>1651</v>
      </c>
      <c r="G712" s="527">
        <v>283</v>
      </c>
      <c r="H712" s="527" t="s">
        <v>4705</v>
      </c>
      <c r="I712" s="527" t="s">
        <v>4704</v>
      </c>
      <c r="J712" s="527" t="s">
        <v>2890</v>
      </c>
      <c r="K712" s="527" t="s">
        <v>2890</v>
      </c>
      <c r="L712" s="527" t="s">
        <v>6371</v>
      </c>
      <c r="M712" s="524"/>
      <c r="N712" s="524"/>
      <c r="O712" s="524"/>
    </row>
    <row r="713" spans="1:15" ht="58" hidden="1">
      <c r="A713" s="525">
        <v>336</v>
      </c>
      <c r="B713" s="524" t="str">
        <f>VLOOKUP(A713,'Hours Detail'!$E$17:$H$1048576,4,)</f>
        <v>No</v>
      </c>
      <c r="C713" s="524" t="s">
        <v>3703</v>
      </c>
      <c r="D713" s="524" t="s">
        <v>3703</v>
      </c>
      <c r="E713" s="524" t="s">
        <v>3702</v>
      </c>
      <c r="F713" s="524" t="s">
        <v>3702</v>
      </c>
      <c r="G713" s="524" t="s">
        <v>3702</v>
      </c>
      <c r="H713" s="524" t="s">
        <v>3702</v>
      </c>
      <c r="I713" s="524" t="s">
        <v>3703</v>
      </c>
      <c r="J713" s="524" t="s">
        <v>3703</v>
      </c>
      <c r="K713" s="524"/>
      <c r="L713" s="524" t="s">
        <v>6590</v>
      </c>
      <c r="M713" s="524" t="s">
        <v>5878</v>
      </c>
      <c r="N713" s="524" t="s">
        <v>6929</v>
      </c>
      <c r="O713" s="524"/>
    </row>
    <row r="714" spans="1:15" ht="58" hidden="1">
      <c r="A714" s="525">
        <v>337</v>
      </c>
      <c r="B714" s="524" t="str">
        <f>VLOOKUP(A714,'Hours Detail'!$E$17:$H$1048576,4,)</f>
        <v>No</v>
      </c>
      <c r="C714" s="524" t="s">
        <v>3701</v>
      </c>
      <c r="D714" s="524" t="s">
        <v>6931</v>
      </c>
      <c r="E714" s="524" t="s">
        <v>6930</v>
      </c>
      <c r="F714" s="524" t="s">
        <v>6930</v>
      </c>
      <c r="G714" s="524" t="s">
        <v>6930</v>
      </c>
      <c r="H714" s="524" t="s">
        <v>6930</v>
      </c>
      <c r="I714" s="524" t="s">
        <v>6931</v>
      </c>
      <c r="J714" s="524" t="s">
        <v>6931</v>
      </c>
      <c r="K714" s="524"/>
      <c r="L714" s="524" t="s">
        <v>6590</v>
      </c>
      <c r="M714" s="524" t="s">
        <v>5878</v>
      </c>
      <c r="N714" s="524" t="s">
        <v>6932</v>
      </c>
      <c r="O714" s="524"/>
    </row>
    <row r="715" spans="1:15" ht="29" hidden="1">
      <c r="A715" s="524">
        <v>338</v>
      </c>
      <c r="B715" s="524" t="str">
        <f>VLOOKUP(A715,'Hours Detail'!$E$17:$H$1048576,4,)</f>
        <v>No</v>
      </c>
      <c r="C715" s="524" t="s">
        <v>1446</v>
      </c>
      <c r="D715" s="524" t="s">
        <v>1447</v>
      </c>
      <c r="E715" s="524" t="s">
        <v>1448</v>
      </c>
      <c r="F715" s="524" t="s">
        <v>1448</v>
      </c>
      <c r="G715" s="524" t="s">
        <v>1448</v>
      </c>
      <c r="H715" s="524" t="s">
        <v>1448</v>
      </c>
      <c r="I715" s="524" t="s">
        <v>6933</v>
      </c>
      <c r="J715" s="524" t="s">
        <v>1447</v>
      </c>
      <c r="K715" s="524" t="s">
        <v>6359</v>
      </c>
      <c r="L715" s="524" t="s">
        <v>6397</v>
      </c>
      <c r="M715" s="524" t="s">
        <v>2384</v>
      </c>
      <c r="N715" s="524"/>
      <c r="O715" s="524"/>
    </row>
    <row r="716" spans="1:15" ht="188.5" hidden="1">
      <c r="A716" s="527">
        <v>338</v>
      </c>
      <c r="B716" s="524" t="str">
        <f>VLOOKUP(A716,'Hours Detail'!$E$17:$H$1048576,4,)</f>
        <v>No</v>
      </c>
      <c r="C716" s="527" t="s">
        <v>1446</v>
      </c>
      <c r="D716" s="527" t="s">
        <v>1068</v>
      </c>
      <c r="E716" s="527" t="s">
        <v>1447</v>
      </c>
      <c r="F716" s="527" t="s">
        <v>1448</v>
      </c>
      <c r="G716" s="527">
        <v>88</v>
      </c>
      <c r="H716" s="527" t="s">
        <v>16</v>
      </c>
      <c r="I716" s="527" t="s">
        <v>1066</v>
      </c>
      <c r="J716" s="527" t="s">
        <v>2889</v>
      </c>
      <c r="K716" s="527" t="s">
        <v>2889</v>
      </c>
      <c r="L716" s="527" t="s">
        <v>6934</v>
      </c>
      <c r="M716" s="524"/>
      <c r="N716" s="524"/>
      <c r="O716" s="524"/>
    </row>
    <row r="717" spans="1:15" ht="43.5" hidden="1">
      <c r="A717" s="524">
        <v>340</v>
      </c>
      <c r="B717" s="524" t="e">
        <f>VLOOKUP(A717,'Hours Detail'!$E$17:$H$1048576,4,)</f>
        <v>#N/A</v>
      </c>
      <c r="C717" s="524" t="s">
        <v>1452</v>
      </c>
      <c r="D717" s="524" t="s">
        <v>1453</v>
      </c>
      <c r="E717" s="524" t="s">
        <v>5141</v>
      </c>
      <c r="F717" s="524" t="s">
        <v>5141</v>
      </c>
      <c r="G717" s="524" t="s">
        <v>5141</v>
      </c>
      <c r="H717" s="524" t="s">
        <v>5141</v>
      </c>
      <c r="I717" s="524" t="s">
        <v>6935</v>
      </c>
      <c r="J717" s="524" t="s">
        <v>1453</v>
      </c>
      <c r="K717" s="524" t="s">
        <v>6359</v>
      </c>
      <c r="L717" s="524" t="s">
        <v>6936</v>
      </c>
      <c r="M717" s="524" t="s">
        <v>6937</v>
      </c>
      <c r="N717" s="524"/>
      <c r="O717" s="524"/>
    </row>
    <row r="718" spans="1:15" ht="72.5" hidden="1">
      <c r="A718" s="527">
        <v>340</v>
      </c>
      <c r="B718" s="524" t="e">
        <f>VLOOKUP(A718,'Hours Detail'!$E$17:$H$1048576,4,)</f>
        <v>#N/A</v>
      </c>
      <c r="C718" s="527" t="s">
        <v>1452</v>
      </c>
      <c r="D718" s="527" t="s">
        <v>4703</v>
      </c>
      <c r="E718" s="527" t="s">
        <v>1453</v>
      </c>
      <c r="F718" s="527" t="s">
        <v>1454</v>
      </c>
      <c r="G718" s="527">
        <v>283</v>
      </c>
      <c r="H718" s="527" t="s">
        <v>4705</v>
      </c>
      <c r="I718" s="527" t="s">
        <v>4704</v>
      </c>
      <c r="J718" s="527" t="s">
        <v>2890</v>
      </c>
      <c r="K718" s="527" t="s">
        <v>2889</v>
      </c>
      <c r="L718" s="527" t="s">
        <v>6938</v>
      </c>
      <c r="M718" s="524"/>
      <c r="N718" s="524"/>
      <c r="O718" s="524"/>
    </row>
    <row r="719" spans="1:15" ht="261" hidden="1">
      <c r="A719" s="525">
        <v>341</v>
      </c>
      <c r="B719" s="524" t="str">
        <f>VLOOKUP(A719,'Hours Detail'!$E$17:$H$1048576,4,)</f>
        <v>No</v>
      </c>
      <c r="C719" s="524" t="s">
        <v>3505</v>
      </c>
      <c r="D719" s="524" t="s">
        <v>3504</v>
      </c>
      <c r="E719" s="524" t="s">
        <v>3503</v>
      </c>
      <c r="F719" s="524" t="s">
        <v>3503</v>
      </c>
      <c r="G719" s="524" t="s">
        <v>3503</v>
      </c>
      <c r="H719" s="524" t="s">
        <v>3503</v>
      </c>
      <c r="I719" s="524" t="s">
        <v>6939</v>
      </c>
      <c r="J719" s="524" t="s">
        <v>3504</v>
      </c>
      <c r="K719" s="524"/>
      <c r="L719" s="524" t="s">
        <v>6376</v>
      </c>
      <c r="M719" s="524" t="s">
        <v>6416</v>
      </c>
      <c r="N719" s="524" t="s">
        <v>6940</v>
      </c>
      <c r="O719" s="524"/>
    </row>
    <row r="720" spans="1:15" ht="101.5" hidden="1">
      <c r="A720" s="527">
        <v>341</v>
      </c>
      <c r="B720" s="524" t="str">
        <f>VLOOKUP(A720,'Hours Detail'!$E$17:$H$1048576,4,)</f>
        <v>No</v>
      </c>
      <c r="C720" s="527" t="s">
        <v>1427</v>
      </c>
      <c r="D720" s="527" t="s">
        <v>2836</v>
      </c>
      <c r="E720" s="527" t="s">
        <v>1622</v>
      </c>
      <c r="F720" s="527" t="s">
        <v>1428</v>
      </c>
      <c r="G720" s="527">
        <v>998</v>
      </c>
      <c r="H720" s="527" t="s">
        <v>2834</v>
      </c>
      <c r="I720" s="527" t="s">
        <v>2835</v>
      </c>
      <c r="J720" s="527" t="s">
        <v>2889</v>
      </c>
      <c r="K720" s="527" t="s">
        <v>2890</v>
      </c>
      <c r="L720" s="527" t="s">
        <v>6941</v>
      </c>
      <c r="M720" s="524"/>
      <c r="N720" s="524"/>
      <c r="O720" s="524"/>
    </row>
    <row r="721" spans="1:15" ht="72.5">
      <c r="A721" s="525">
        <v>343</v>
      </c>
      <c r="B721" s="524" t="str">
        <f>VLOOKUP(A721,'Hours Detail'!$E$17:$H$1048576,4,)</f>
        <v>No</v>
      </c>
      <c r="C721" s="524" t="s">
        <v>4300</v>
      </c>
      <c r="D721" s="524" t="s">
        <v>6943</v>
      </c>
      <c r="E721" s="524" t="s">
        <v>6942</v>
      </c>
      <c r="F721" s="524" t="s">
        <v>6942</v>
      </c>
      <c r="G721" s="524" t="s">
        <v>6942</v>
      </c>
      <c r="H721" s="524" t="s">
        <v>6942</v>
      </c>
      <c r="I721" s="524" t="s">
        <v>6943</v>
      </c>
      <c r="J721" s="524" t="s">
        <v>6943</v>
      </c>
      <c r="K721" s="524"/>
      <c r="L721" s="524" t="s">
        <v>6590</v>
      </c>
      <c r="M721" s="524" t="s">
        <v>5878</v>
      </c>
      <c r="N721" s="524"/>
      <c r="O721" s="524"/>
    </row>
    <row r="722" spans="1:15" ht="29" hidden="1">
      <c r="A722" s="524">
        <v>344</v>
      </c>
      <c r="B722" s="524" t="e">
        <f>VLOOKUP(A722,'Hours Detail'!$E$17:$H$1048576,4,)</f>
        <v>#N/A</v>
      </c>
      <c r="C722" s="524" t="s">
        <v>6944</v>
      </c>
      <c r="D722" s="524" t="s">
        <v>5107</v>
      </c>
      <c r="E722" s="524" t="s">
        <v>5106</v>
      </c>
      <c r="F722" s="524" t="s">
        <v>5106</v>
      </c>
      <c r="G722" s="524" t="s">
        <v>5106</v>
      </c>
      <c r="H722" s="524" t="s">
        <v>5106</v>
      </c>
      <c r="I722" s="524" t="s">
        <v>6945</v>
      </c>
      <c r="J722" s="524" t="s">
        <v>5107</v>
      </c>
      <c r="K722" s="524"/>
      <c r="L722" s="524" t="s">
        <v>6936</v>
      </c>
      <c r="M722" s="524" t="s">
        <v>6937</v>
      </c>
      <c r="N722" s="524"/>
      <c r="O722" s="524"/>
    </row>
    <row r="723" spans="1:15" ht="43.5" hidden="1">
      <c r="A723" s="525">
        <v>345</v>
      </c>
      <c r="B723" s="524" t="e">
        <f>VLOOKUP(A723,'Hours Detail'!$E$17:$H$1048576,4,)</f>
        <v>#N/A</v>
      </c>
      <c r="C723" s="524" t="s">
        <v>5102</v>
      </c>
      <c r="D723" s="524" t="s">
        <v>5101</v>
      </c>
      <c r="E723" s="524" t="s">
        <v>5100</v>
      </c>
      <c r="F723" s="524" t="s">
        <v>5100</v>
      </c>
      <c r="G723" s="524" t="s">
        <v>5100</v>
      </c>
      <c r="H723" s="524" t="s">
        <v>5100</v>
      </c>
      <c r="I723" s="524" t="s">
        <v>5101</v>
      </c>
      <c r="J723" s="524" t="s">
        <v>5101</v>
      </c>
      <c r="K723" s="524"/>
      <c r="L723" s="524" t="s">
        <v>6400</v>
      </c>
      <c r="M723" s="524" t="s">
        <v>6401</v>
      </c>
      <c r="N723" s="524"/>
      <c r="O723" s="524"/>
    </row>
    <row r="724" spans="1:15" ht="101.5" hidden="1">
      <c r="A724" s="525">
        <v>347</v>
      </c>
      <c r="B724" s="524" t="str">
        <f>VLOOKUP(A724,'Hours Detail'!$E$17:$H$1048576,4,)</f>
        <v>No</v>
      </c>
      <c r="C724" s="524" t="s">
        <v>4626</v>
      </c>
      <c r="D724" s="524" t="s">
        <v>4625</v>
      </c>
      <c r="E724" s="524" t="s">
        <v>4625</v>
      </c>
      <c r="F724" s="524" t="s">
        <v>4625</v>
      </c>
      <c r="G724" s="524" t="s">
        <v>4625</v>
      </c>
      <c r="H724" s="524" t="s">
        <v>4625</v>
      </c>
      <c r="I724" s="524" t="s">
        <v>6946</v>
      </c>
      <c r="J724" s="524" t="s">
        <v>4625</v>
      </c>
      <c r="K724" s="524"/>
      <c r="L724" s="524" t="s">
        <v>6590</v>
      </c>
      <c r="M724" s="524" t="s">
        <v>6592</v>
      </c>
      <c r="N724" s="524" t="s">
        <v>6947</v>
      </c>
      <c r="O724" s="524"/>
    </row>
    <row r="725" spans="1:15" ht="58" hidden="1">
      <c r="A725" s="525">
        <v>349</v>
      </c>
      <c r="B725" s="524" t="str">
        <f>VLOOKUP(A725,'Hours Detail'!$E$17:$H$1048576,4,)</f>
        <v>No</v>
      </c>
      <c r="C725" s="524" t="s">
        <v>3700</v>
      </c>
      <c r="D725" s="524" t="s">
        <v>6948</v>
      </c>
      <c r="E725" s="524" t="s">
        <v>6948</v>
      </c>
      <c r="F725" s="524" t="s">
        <v>6948</v>
      </c>
      <c r="G725" s="524" t="s">
        <v>6948</v>
      </c>
      <c r="H725" s="524" t="s">
        <v>6948</v>
      </c>
      <c r="I725" s="524" t="s">
        <v>6948</v>
      </c>
      <c r="J725" s="524" t="s">
        <v>6948</v>
      </c>
      <c r="K725" s="524"/>
      <c r="L725" s="524" t="s">
        <v>6590</v>
      </c>
      <c r="M725" s="524" t="s">
        <v>5878</v>
      </c>
      <c r="N725" s="524" t="s">
        <v>6949</v>
      </c>
      <c r="O725" s="524"/>
    </row>
    <row r="726" spans="1:15" ht="58" hidden="1">
      <c r="A726" s="525">
        <v>350</v>
      </c>
      <c r="B726" s="524" t="e">
        <f>VLOOKUP(A726,'Hours Detail'!$E$17:$H$1048576,4,)</f>
        <v>#N/A</v>
      </c>
      <c r="C726" s="524" t="s">
        <v>1437</v>
      </c>
      <c r="D726" s="524" t="s">
        <v>1438</v>
      </c>
      <c r="E726" s="524" t="s">
        <v>1439</v>
      </c>
      <c r="F726" s="524" t="s">
        <v>1439</v>
      </c>
      <c r="G726" s="524" t="s">
        <v>1439</v>
      </c>
      <c r="H726" s="524" t="s">
        <v>1439</v>
      </c>
      <c r="I726" s="524" t="s">
        <v>6950</v>
      </c>
      <c r="J726" s="524" t="s">
        <v>1438</v>
      </c>
      <c r="K726" s="524" t="s">
        <v>6359</v>
      </c>
      <c r="L726" s="524" t="s">
        <v>6936</v>
      </c>
      <c r="M726" s="524" t="s">
        <v>6937</v>
      </c>
      <c r="N726" s="524"/>
      <c r="O726" s="524"/>
    </row>
    <row r="727" spans="1:15" ht="72.5" hidden="1">
      <c r="A727" s="527">
        <v>350</v>
      </c>
      <c r="B727" s="524" t="e">
        <f>VLOOKUP(A727,'Hours Detail'!$E$17:$H$1048576,4,)</f>
        <v>#N/A</v>
      </c>
      <c r="C727" s="527" t="s">
        <v>1437</v>
      </c>
      <c r="D727" s="527" t="s">
        <v>4703</v>
      </c>
      <c r="E727" s="527" t="s">
        <v>1438</v>
      </c>
      <c r="F727" s="527" t="s">
        <v>1439</v>
      </c>
      <c r="G727" s="527">
        <v>283</v>
      </c>
      <c r="H727" s="527" t="s">
        <v>4705</v>
      </c>
      <c r="I727" s="527" t="s">
        <v>4704</v>
      </c>
      <c r="J727" s="527" t="s">
        <v>2890</v>
      </c>
      <c r="K727" s="527" t="s">
        <v>2889</v>
      </c>
      <c r="L727" s="527" t="s">
        <v>6951</v>
      </c>
      <c r="M727" s="524"/>
      <c r="N727" s="524"/>
      <c r="O727" s="524"/>
    </row>
    <row r="728" spans="1:15" ht="43.5" hidden="1">
      <c r="A728" s="524">
        <v>351</v>
      </c>
      <c r="B728" s="524" t="e">
        <f>VLOOKUP(A728,'Hours Detail'!$E$17:$H$1048576,4,)</f>
        <v>#N/A</v>
      </c>
      <c r="C728" s="524" t="s">
        <v>1433</v>
      </c>
      <c r="D728" s="524" t="s">
        <v>1434</v>
      </c>
      <c r="E728" s="524" t="s">
        <v>1434</v>
      </c>
      <c r="F728" s="524" t="s">
        <v>6952</v>
      </c>
      <c r="G728" s="524" t="s">
        <v>1434</v>
      </c>
      <c r="H728" s="524" t="s">
        <v>1434</v>
      </c>
      <c r="I728" s="524" t="s">
        <v>6953</v>
      </c>
      <c r="J728" s="524" t="s">
        <v>1434</v>
      </c>
      <c r="K728" s="524"/>
      <c r="L728" s="524" t="s">
        <v>6936</v>
      </c>
      <c r="M728" s="524" t="s">
        <v>6937</v>
      </c>
      <c r="N728" s="524"/>
      <c r="O728" s="524"/>
    </row>
    <row r="729" spans="1:15" ht="72.5" hidden="1">
      <c r="A729" s="527">
        <v>351</v>
      </c>
      <c r="B729" s="524" t="e">
        <f>VLOOKUP(A729,'Hours Detail'!$E$17:$H$1048576,4,)</f>
        <v>#N/A</v>
      </c>
      <c r="C729" s="527" t="s">
        <v>1433</v>
      </c>
      <c r="D729" s="527" t="s">
        <v>4703</v>
      </c>
      <c r="E729" s="527" t="s">
        <v>1434</v>
      </c>
      <c r="F729" s="527" t="s">
        <v>2861</v>
      </c>
      <c r="G729" s="527">
        <v>283</v>
      </c>
      <c r="H729" s="527" t="s">
        <v>4705</v>
      </c>
      <c r="I729" s="527" t="s">
        <v>4704</v>
      </c>
      <c r="J729" s="527" t="s">
        <v>2890</v>
      </c>
      <c r="K729" s="527" t="s">
        <v>2889</v>
      </c>
      <c r="L729" s="527" t="s">
        <v>6954</v>
      </c>
      <c r="M729" s="524"/>
      <c r="N729" s="524"/>
      <c r="O729" s="524"/>
    </row>
    <row r="730" spans="1:15" ht="43.5" hidden="1">
      <c r="A730" s="525">
        <v>352</v>
      </c>
      <c r="B730" s="524" t="e">
        <f>VLOOKUP(A730,'Hours Detail'!$E$17:$H$1048576,4,)</f>
        <v>#N/A</v>
      </c>
      <c r="C730" s="524" t="s">
        <v>1435</v>
      </c>
      <c r="D730" s="524" t="s">
        <v>1621</v>
      </c>
      <c r="E730" s="524" t="s">
        <v>5186</v>
      </c>
      <c r="F730" s="524" t="s">
        <v>5186</v>
      </c>
      <c r="G730" s="524" t="s">
        <v>5186</v>
      </c>
      <c r="H730" s="524" t="s">
        <v>5186</v>
      </c>
      <c r="I730" s="524" t="s">
        <v>6955</v>
      </c>
      <c r="J730" s="524" t="s">
        <v>1621</v>
      </c>
      <c r="K730" s="524"/>
      <c r="L730" s="524" t="s">
        <v>6936</v>
      </c>
      <c r="M730" s="524" t="s">
        <v>6937</v>
      </c>
      <c r="N730" s="524"/>
      <c r="O730" s="524"/>
    </row>
    <row r="731" spans="1:15" ht="72.5" hidden="1">
      <c r="A731" s="527">
        <v>352</v>
      </c>
      <c r="B731" s="524" t="e">
        <f>VLOOKUP(A731,'Hours Detail'!$E$17:$H$1048576,4,)</f>
        <v>#N/A</v>
      </c>
      <c r="C731" s="527" t="s">
        <v>1435</v>
      </c>
      <c r="D731" s="527" t="s">
        <v>4703</v>
      </c>
      <c r="E731" s="527" t="s">
        <v>1621</v>
      </c>
      <c r="F731" s="527" t="s">
        <v>2860</v>
      </c>
      <c r="G731" s="527">
        <v>283</v>
      </c>
      <c r="H731" s="527" t="s">
        <v>4705</v>
      </c>
      <c r="I731" s="527" t="s">
        <v>4704</v>
      </c>
      <c r="J731" s="527" t="s">
        <v>2890</v>
      </c>
      <c r="K731" s="527" t="s">
        <v>2890</v>
      </c>
      <c r="L731" s="527" t="s">
        <v>6956</v>
      </c>
      <c r="M731" s="524"/>
      <c r="N731" s="524"/>
      <c r="O731" s="524"/>
    </row>
    <row r="732" spans="1:15" ht="87" hidden="1">
      <c r="A732" s="525">
        <v>353</v>
      </c>
      <c r="B732" s="524" t="e">
        <f>VLOOKUP(A732,'Hours Detail'!$E$17:$H$1048576,4,)</f>
        <v>#N/A</v>
      </c>
      <c r="C732" s="524" t="s">
        <v>5168</v>
      </c>
      <c r="D732" s="524" t="s">
        <v>6959</v>
      </c>
      <c r="E732" s="524" t="s">
        <v>6957</v>
      </c>
      <c r="F732" s="524" t="s">
        <v>6957</v>
      </c>
      <c r="G732" s="524" t="s">
        <v>6957</v>
      </c>
      <c r="H732" s="524" t="s">
        <v>6957</v>
      </c>
      <c r="I732" s="524" t="s">
        <v>6958</v>
      </c>
      <c r="J732" s="524" t="s">
        <v>6959</v>
      </c>
      <c r="K732" s="524"/>
      <c r="L732" s="524" t="s">
        <v>6590</v>
      </c>
      <c r="M732" s="524" t="s">
        <v>6592</v>
      </c>
      <c r="N732" s="524"/>
      <c r="O732" s="524"/>
    </row>
    <row r="733" spans="1:15" ht="87" hidden="1">
      <c r="A733" s="524">
        <v>354</v>
      </c>
      <c r="B733" s="524" t="str">
        <f>VLOOKUP(A733,'Hours Detail'!$E$17:$H$1048576,4,)</f>
        <v>No</v>
      </c>
      <c r="C733" s="524" t="s">
        <v>405</v>
      </c>
      <c r="D733" s="524" t="s">
        <v>1574</v>
      </c>
      <c r="E733" s="524" t="s">
        <v>1575</v>
      </c>
      <c r="F733" s="524" t="s">
        <v>1575</v>
      </c>
      <c r="G733" s="524" t="s">
        <v>1575</v>
      </c>
      <c r="H733" s="524" t="s">
        <v>1575</v>
      </c>
      <c r="I733" s="524" t="s">
        <v>6960</v>
      </c>
      <c r="J733" s="524" t="s">
        <v>1574</v>
      </c>
      <c r="K733" s="524" t="s">
        <v>6359</v>
      </c>
      <c r="L733" s="524" t="s">
        <v>6376</v>
      </c>
      <c r="M733" s="524" t="s">
        <v>6416</v>
      </c>
      <c r="N733" s="524"/>
      <c r="O733" s="524"/>
    </row>
    <row r="734" spans="1:15" ht="116" hidden="1">
      <c r="A734" s="527">
        <v>354</v>
      </c>
      <c r="B734" s="524" t="str">
        <f>VLOOKUP(A734,'Hours Detail'!$E$17:$H$1048576,4,)</f>
        <v>No</v>
      </c>
      <c r="C734" s="527" t="s">
        <v>405</v>
      </c>
      <c r="D734" s="527" t="s">
        <v>2295</v>
      </c>
      <c r="E734" s="527" t="s">
        <v>1574</v>
      </c>
      <c r="F734" s="527" t="s">
        <v>1575</v>
      </c>
      <c r="G734" s="527">
        <v>870</v>
      </c>
      <c r="H734" s="527" t="s">
        <v>1573</v>
      </c>
      <c r="I734" s="527" t="s">
        <v>2333</v>
      </c>
      <c r="J734" s="527" t="s">
        <v>2889</v>
      </c>
      <c r="K734" s="527" t="s">
        <v>2889</v>
      </c>
      <c r="L734" s="527" t="s">
        <v>6961</v>
      </c>
      <c r="M734" s="524"/>
      <c r="N734" s="524"/>
      <c r="O734" s="524"/>
    </row>
    <row r="735" spans="1:15" ht="29" hidden="1">
      <c r="A735" s="525">
        <v>355</v>
      </c>
      <c r="B735" s="524" t="str">
        <f>VLOOKUP(A735,'Hours Detail'!$E$17:$H$1048576,4,)</f>
        <v>No</v>
      </c>
      <c r="C735" s="524" t="s">
        <v>380</v>
      </c>
      <c r="D735" s="524" t="s">
        <v>380</v>
      </c>
      <c r="E735" s="524" t="s">
        <v>380</v>
      </c>
      <c r="F735" s="524" t="s">
        <v>380</v>
      </c>
      <c r="G735" s="524" t="s">
        <v>380</v>
      </c>
      <c r="H735" s="524" t="s">
        <v>380</v>
      </c>
      <c r="I735" s="524" t="s">
        <v>380</v>
      </c>
      <c r="J735" s="524" t="s">
        <v>380</v>
      </c>
      <c r="K735" s="524" t="s">
        <v>6359</v>
      </c>
      <c r="L735" s="524" t="s">
        <v>6376</v>
      </c>
      <c r="M735" s="524" t="s">
        <v>6416</v>
      </c>
      <c r="N735" s="524"/>
      <c r="O735" s="524"/>
    </row>
    <row r="736" spans="1:15" ht="72.5" hidden="1">
      <c r="A736" s="527">
        <v>355</v>
      </c>
      <c r="B736" s="524" t="str">
        <f>VLOOKUP(A736,'Hours Detail'!$E$17:$H$1048576,4,)</f>
        <v>No</v>
      </c>
      <c r="C736" s="527" t="s">
        <v>380</v>
      </c>
      <c r="D736" s="527" t="s">
        <v>2295</v>
      </c>
      <c r="E736" s="527" t="s">
        <v>380</v>
      </c>
      <c r="F736" s="527" t="s">
        <v>380</v>
      </c>
      <c r="G736" s="527">
        <v>870</v>
      </c>
      <c r="H736" s="527" t="s">
        <v>1573</v>
      </c>
      <c r="I736" s="527" t="s">
        <v>2333</v>
      </c>
      <c r="J736" s="527" t="s">
        <v>2889</v>
      </c>
      <c r="K736" s="527" t="s">
        <v>2889</v>
      </c>
      <c r="L736" s="527" t="s">
        <v>6962</v>
      </c>
      <c r="M736" s="524"/>
      <c r="N736" s="524"/>
      <c r="O736" s="524"/>
    </row>
    <row r="737" spans="1:15" ht="43.5" hidden="1">
      <c r="A737" s="524">
        <v>356</v>
      </c>
      <c r="B737" s="524" t="e">
        <f>VLOOKUP(A737,'Hours Detail'!$E$17:$H$1048576,4,)</f>
        <v>#N/A</v>
      </c>
      <c r="C737" s="524" t="s">
        <v>402</v>
      </c>
      <c r="D737" s="524" t="s">
        <v>1290</v>
      </c>
      <c r="E737" s="524" t="s">
        <v>1291</v>
      </c>
      <c r="F737" s="524" t="s">
        <v>1291</v>
      </c>
      <c r="G737" s="524" t="s">
        <v>1291</v>
      </c>
      <c r="H737" s="524" t="s">
        <v>1291</v>
      </c>
      <c r="I737" s="524" t="s">
        <v>1290</v>
      </c>
      <c r="J737" s="524" t="s">
        <v>1290</v>
      </c>
      <c r="K737" s="524"/>
      <c r="L737" s="524" t="s">
        <v>6400</v>
      </c>
      <c r="M737" s="524" t="s">
        <v>6401</v>
      </c>
      <c r="N737" s="524"/>
      <c r="O737" s="524"/>
    </row>
    <row r="738" spans="1:15" ht="58" hidden="1">
      <c r="A738" s="527">
        <v>356</v>
      </c>
      <c r="B738" s="524" t="e">
        <f>VLOOKUP(A738,'Hours Detail'!$E$17:$H$1048576,4,)</f>
        <v>#N/A</v>
      </c>
      <c r="C738" s="527" t="s">
        <v>402</v>
      </c>
      <c r="D738" s="527" t="s">
        <v>4703</v>
      </c>
      <c r="E738" s="527" t="s">
        <v>1290</v>
      </c>
      <c r="F738" s="527" t="s">
        <v>1291</v>
      </c>
      <c r="G738" s="527">
        <v>283</v>
      </c>
      <c r="H738" s="527" t="s">
        <v>4705</v>
      </c>
      <c r="I738" s="527" t="s">
        <v>4704</v>
      </c>
      <c r="J738" s="527" t="s">
        <v>2890</v>
      </c>
      <c r="K738" s="527" t="s">
        <v>2890</v>
      </c>
      <c r="L738" s="527" t="s">
        <v>6371</v>
      </c>
      <c r="M738" s="524"/>
      <c r="N738" s="524"/>
      <c r="O738" s="524"/>
    </row>
    <row r="739" spans="1:15" ht="43.5" hidden="1">
      <c r="A739" s="525">
        <v>357</v>
      </c>
      <c r="B739" s="524" t="e">
        <f>VLOOKUP(A739,'Hours Detail'!$E$17:$H$1048576,4,)</f>
        <v>#N/A</v>
      </c>
      <c r="C739" s="524" t="s">
        <v>1618</v>
      </c>
      <c r="D739" s="524" t="s">
        <v>1619</v>
      </c>
      <c r="E739" s="524" t="s">
        <v>1620</v>
      </c>
      <c r="F739" s="524" t="s">
        <v>1620</v>
      </c>
      <c r="G739" s="524" t="s">
        <v>1620</v>
      </c>
      <c r="H739" s="524" t="s">
        <v>1620</v>
      </c>
      <c r="I739" s="524" t="s">
        <v>6963</v>
      </c>
      <c r="J739" s="524" t="s">
        <v>1619</v>
      </c>
      <c r="K739" s="524" t="s">
        <v>6359</v>
      </c>
      <c r="L739" s="524" t="s">
        <v>6964</v>
      </c>
      <c r="M739" s="524" t="s">
        <v>6965</v>
      </c>
      <c r="N739" s="524"/>
      <c r="O739" s="524"/>
    </row>
    <row r="740" spans="1:15" ht="130.5" hidden="1">
      <c r="A740" s="527">
        <v>357</v>
      </c>
      <c r="B740" s="524" t="e">
        <f>VLOOKUP(A740,'Hours Detail'!$E$17:$H$1048576,4,)</f>
        <v>#N/A</v>
      </c>
      <c r="C740" s="527" t="s">
        <v>1618</v>
      </c>
      <c r="D740" s="527" t="s">
        <v>4703</v>
      </c>
      <c r="E740" s="527" t="s">
        <v>1619</v>
      </c>
      <c r="F740" s="527" t="s">
        <v>1620</v>
      </c>
      <c r="G740" s="527">
        <v>283</v>
      </c>
      <c r="H740" s="527" t="s">
        <v>4705</v>
      </c>
      <c r="I740" s="527" t="s">
        <v>4704</v>
      </c>
      <c r="J740" s="527" t="s">
        <v>2890</v>
      </c>
      <c r="K740" s="527" t="s">
        <v>2889</v>
      </c>
      <c r="L740" s="527" t="s">
        <v>6966</v>
      </c>
      <c r="M740" s="524"/>
      <c r="N740" s="524"/>
      <c r="O740" s="524"/>
    </row>
    <row r="741" spans="1:15" ht="43.5" hidden="1">
      <c r="A741" s="525">
        <v>359</v>
      </c>
      <c r="B741" s="524" t="e">
        <f>VLOOKUP(A741,'Hours Detail'!$E$17:$H$1048576,4,)</f>
        <v>#N/A</v>
      </c>
      <c r="C741" s="524" t="s">
        <v>1464</v>
      </c>
      <c r="D741" s="524" t="s">
        <v>1464</v>
      </c>
      <c r="E741" s="524" t="s">
        <v>1465</v>
      </c>
      <c r="F741" s="524" t="s">
        <v>1465</v>
      </c>
      <c r="G741" s="524" t="s">
        <v>1465</v>
      </c>
      <c r="H741" s="524" t="s">
        <v>1465</v>
      </c>
      <c r="I741" s="524" t="s">
        <v>1464</v>
      </c>
      <c r="J741" s="524" t="s">
        <v>1464</v>
      </c>
      <c r="K741" s="524" t="s">
        <v>6359</v>
      </c>
      <c r="L741" s="524" t="s">
        <v>6964</v>
      </c>
      <c r="M741" s="524" t="s">
        <v>6965</v>
      </c>
      <c r="N741" s="524"/>
      <c r="O741" s="524"/>
    </row>
    <row r="742" spans="1:15" ht="87" hidden="1">
      <c r="A742" s="527">
        <v>359</v>
      </c>
      <c r="B742" s="524" t="e">
        <f>VLOOKUP(A742,'Hours Detail'!$E$17:$H$1048576,4,)</f>
        <v>#N/A</v>
      </c>
      <c r="C742" s="527" t="s">
        <v>1464</v>
      </c>
      <c r="D742" s="527" t="s">
        <v>4703</v>
      </c>
      <c r="E742" s="527" t="s">
        <v>1464</v>
      </c>
      <c r="F742" s="527" t="s">
        <v>1465</v>
      </c>
      <c r="G742" s="527">
        <v>283</v>
      </c>
      <c r="H742" s="527" t="s">
        <v>4705</v>
      </c>
      <c r="I742" s="527" t="s">
        <v>4704</v>
      </c>
      <c r="J742" s="527" t="s">
        <v>2890</v>
      </c>
      <c r="K742" s="527" t="s">
        <v>2889</v>
      </c>
      <c r="L742" s="527" t="s">
        <v>6967</v>
      </c>
      <c r="M742" s="524"/>
      <c r="N742" s="524"/>
      <c r="O742" s="524"/>
    </row>
    <row r="743" spans="1:15" ht="72.5" hidden="1">
      <c r="A743" s="524">
        <v>365</v>
      </c>
      <c r="B743" s="524" t="e">
        <f>VLOOKUP(A743,'Hours Detail'!$E$17:$H$1048576,4,)</f>
        <v>#N/A</v>
      </c>
      <c r="C743" s="524" t="s">
        <v>5087</v>
      </c>
      <c r="D743" s="524" t="s">
        <v>5087</v>
      </c>
      <c r="E743" s="524" t="s">
        <v>5087</v>
      </c>
      <c r="F743" s="524" t="s">
        <v>5087</v>
      </c>
      <c r="G743" s="524" t="s">
        <v>5087</v>
      </c>
      <c r="H743" s="524" t="s">
        <v>5087</v>
      </c>
      <c r="I743" s="524" t="s">
        <v>5087</v>
      </c>
      <c r="J743" s="524" t="s">
        <v>5087</v>
      </c>
      <c r="K743" s="524"/>
      <c r="L743" s="524" t="s">
        <v>6402</v>
      </c>
      <c r="M743" s="524" t="s">
        <v>6403</v>
      </c>
      <c r="N743" s="524"/>
      <c r="O743" s="524"/>
    </row>
    <row r="744" spans="1:15" ht="29" hidden="1">
      <c r="A744" s="525">
        <v>366</v>
      </c>
      <c r="B744" s="524" t="e">
        <f>VLOOKUP(A744,'Hours Detail'!$E$17:$H$1048576,4,)</f>
        <v>#N/A</v>
      </c>
      <c r="C744" s="524" t="s">
        <v>5088</v>
      </c>
      <c r="D744" s="524" t="s">
        <v>1614</v>
      </c>
      <c r="E744" s="524" t="s">
        <v>5088</v>
      </c>
      <c r="F744" s="524" t="s">
        <v>5088</v>
      </c>
      <c r="G744" s="524" t="s">
        <v>5088</v>
      </c>
      <c r="H744" s="524" t="s">
        <v>5088</v>
      </c>
      <c r="I744" s="524" t="s">
        <v>6968</v>
      </c>
      <c r="J744" s="524" t="s">
        <v>1614</v>
      </c>
      <c r="K744" s="524"/>
      <c r="L744" s="524" t="s">
        <v>6376</v>
      </c>
      <c r="M744" s="524" t="s">
        <v>6416</v>
      </c>
      <c r="N744" s="524"/>
      <c r="O744" s="524"/>
    </row>
    <row r="745" spans="1:15" ht="87" hidden="1">
      <c r="A745" s="527">
        <v>366</v>
      </c>
      <c r="B745" s="524" t="e">
        <f>VLOOKUP(A745,'Hours Detail'!$E$17:$H$1048576,4,)</f>
        <v>#N/A</v>
      </c>
      <c r="C745" s="527" t="s">
        <v>1613</v>
      </c>
      <c r="D745" s="527" t="s">
        <v>4703</v>
      </c>
      <c r="E745" s="527" t="s">
        <v>1614</v>
      </c>
      <c r="F745" s="527" t="s">
        <v>1615</v>
      </c>
      <c r="G745" s="527">
        <v>283</v>
      </c>
      <c r="H745" s="527" t="s">
        <v>4705</v>
      </c>
      <c r="I745" s="527" t="s">
        <v>4704</v>
      </c>
      <c r="J745" s="527" t="s">
        <v>2890</v>
      </c>
      <c r="K745" s="527" t="s">
        <v>2889</v>
      </c>
      <c r="L745" s="527" t="s">
        <v>6969</v>
      </c>
      <c r="M745" s="524"/>
      <c r="N745" s="524"/>
      <c r="O745" s="524"/>
    </row>
    <row r="746" spans="1:15" ht="246.5" hidden="1">
      <c r="A746" s="525">
        <v>367</v>
      </c>
      <c r="B746" s="524" t="e">
        <f>VLOOKUP(A746,'Hours Detail'!$E$17:$H$1048576,4,)</f>
        <v>#N/A</v>
      </c>
      <c r="C746" s="524" t="s">
        <v>1607</v>
      </c>
      <c r="D746" s="524" t="s">
        <v>1608</v>
      </c>
      <c r="E746" s="524" t="s">
        <v>1609</v>
      </c>
      <c r="F746" s="524" t="s">
        <v>1609</v>
      </c>
      <c r="G746" s="524" t="s">
        <v>1609</v>
      </c>
      <c r="H746" s="524" t="s">
        <v>1609</v>
      </c>
      <c r="I746" s="524" t="s">
        <v>6970</v>
      </c>
      <c r="J746" s="524" t="s">
        <v>1608</v>
      </c>
      <c r="K746" s="524" t="s">
        <v>6359</v>
      </c>
      <c r="L746" s="524" t="s">
        <v>6397</v>
      </c>
      <c r="M746" s="524" t="s">
        <v>1</v>
      </c>
      <c r="N746" s="524" t="s">
        <v>6971</v>
      </c>
      <c r="O746" s="524"/>
    </row>
    <row r="747" spans="1:15" ht="130.5" hidden="1">
      <c r="A747" s="527">
        <v>367</v>
      </c>
      <c r="B747" s="524" t="e">
        <f>VLOOKUP(A747,'Hours Detail'!$E$17:$H$1048576,4,)</f>
        <v>#N/A</v>
      </c>
      <c r="C747" s="527" t="s">
        <v>1607</v>
      </c>
      <c r="D747" s="527" t="s">
        <v>4703</v>
      </c>
      <c r="E747" s="527" t="s">
        <v>1608</v>
      </c>
      <c r="F747" s="527" t="s">
        <v>1609</v>
      </c>
      <c r="G747" s="527">
        <v>283</v>
      </c>
      <c r="H747" s="527" t="s">
        <v>4705</v>
      </c>
      <c r="I747" s="527" t="s">
        <v>4704</v>
      </c>
      <c r="J747" s="527" t="s">
        <v>2890</v>
      </c>
      <c r="K747" s="527" t="s">
        <v>2890</v>
      </c>
      <c r="L747" s="527" t="s">
        <v>6972</v>
      </c>
      <c r="M747" s="524"/>
      <c r="N747" s="524"/>
      <c r="O747" s="524"/>
    </row>
    <row r="748" spans="1:15" ht="43.5" hidden="1">
      <c r="A748" s="525">
        <v>368</v>
      </c>
      <c r="B748" s="524" t="e">
        <f>VLOOKUP(A748,'Hours Detail'!$E$17:$H$1048576,4,)</f>
        <v>#N/A</v>
      </c>
      <c r="C748" s="524" t="s">
        <v>5052</v>
      </c>
      <c r="D748" s="524" t="s">
        <v>5051</v>
      </c>
      <c r="E748" s="524" t="s">
        <v>5050</v>
      </c>
      <c r="F748" s="524" t="s">
        <v>5050</v>
      </c>
      <c r="G748" s="524" t="s">
        <v>5050</v>
      </c>
      <c r="H748" s="524" t="s">
        <v>5050</v>
      </c>
      <c r="I748" s="524" t="s">
        <v>6973</v>
      </c>
      <c r="J748" s="524" t="s">
        <v>5051</v>
      </c>
      <c r="K748" s="524"/>
      <c r="L748" s="524" t="s">
        <v>6397</v>
      </c>
      <c r="M748" s="524" t="s">
        <v>1</v>
      </c>
      <c r="N748" s="524" t="s">
        <v>6974</v>
      </c>
      <c r="O748" s="524"/>
    </row>
    <row r="749" spans="1:15" ht="58" hidden="1">
      <c r="A749" s="524">
        <v>373</v>
      </c>
      <c r="B749" s="524" t="str">
        <f>VLOOKUP(A749,'Hours Detail'!$E$17:$H$1048576,4,)</f>
        <v>No</v>
      </c>
      <c r="C749" s="524" t="s">
        <v>3906</v>
      </c>
      <c r="D749" s="524" t="s">
        <v>3905</v>
      </c>
      <c r="E749" s="524" t="s">
        <v>3904</v>
      </c>
      <c r="F749" s="524" t="s">
        <v>3904</v>
      </c>
      <c r="G749" s="524" t="s">
        <v>3904</v>
      </c>
      <c r="H749" s="524" t="s">
        <v>3904</v>
      </c>
      <c r="I749" s="524" t="s">
        <v>6975</v>
      </c>
      <c r="J749" s="524" t="s">
        <v>3905</v>
      </c>
      <c r="K749" s="524" t="s">
        <v>6359</v>
      </c>
      <c r="L749" s="524" t="s">
        <v>6379</v>
      </c>
      <c r="M749" s="524" t="s">
        <v>6380</v>
      </c>
      <c r="N749" s="524"/>
      <c r="O749" s="524"/>
    </row>
    <row r="750" spans="1:15" ht="87" hidden="1">
      <c r="A750" s="527">
        <v>373</v>
      </c>
      <c r="B750" s="524" t="str">
        <f>VLOOKUP(A750,'Hours Detail'!$E$17:$H$1048576,4,)</f>
        <v>No</v>
      </c>
      <c r="C750" s="527" t="s">
        <v>2032</v>
      </c>
      <c r="D750" s="527" t="s">
        <v>1024</v>
      </c>
      <c r="E750" s="527" t="s">
        <v>2879</v>
      </c>
      <c r="F750" s="527" t="s">
        <v>2884</v>
      </c>
      <c r="G750" s="527">
        <v>71</v>
      </c>
      <c r="H750" s="527" t="s">
        <v>257</v>
      </c>
      <c r="I750" s="527" t="s">
        <v>1022</v>
      </c>
      <c r="J750" s="527" t="s">
        <v>2889</v>
      </c>
      <c r="K750" s="527" t="s">
        <v>2889</v>
      </c>
      <c r="L750" s="527" t="s">
        <v>6976</v>
      </c>
      <c r="M750" s="524"/>
      <c r="N750" s="524"/>
      <c r="O750" s="524"/>
    </row>
    <row r="751" spans="1:15" ht="43.5" hidden="1">
      <c r="A751" s="525">
        <v>374</v>
      </c>
      <c r="B751" s="524" t="e">
        <f>VLOOKUP(A751,'Hours Detail'!$E$17:$H$1048576,4,)</f>
        <v>#N/A</v>
      </c>
      <c r="C751" s="524" t="s">
        <v>5049</v>
      </c>
      <c r="D751" s="524" t="s">
        <v>6977</v>
      </c>
      <c r="E751" s="524" t="s">
        <v>6977</v>
      </c>
      <c r="F751" s="524" t="s">
        <v>6977</v>
      </c>
      <c r="G751" s="524" t="s">
        <v>6977</v>
      </c>
      <c r="H751" s="524" t="s">
        <v>6977</v>
      </c>
      <c r="I751" s="524" t="s">
        <v>6977</v>
      </c>
      <c r="J751" s="524" t="s">
        <v>6977</v>
      </c>
      <c r="K751" s="524"/>
      <c r="L751" s="524" t="s">
        <v>6590</v>
      </c>
      <c r="M751" s="524" t="s">
        <v>6727</v>
      </c>
      <c r="N751" s="524"/>
      <c r="O751" s="524"/>
    </row>
    <row r="752" spans="1:15" ht="87" hidden="1">
      <c r="A752" s="525">
        <v>380</v>
      </c>
      <c r="B752" s="524" t="e">
        <f>VLOOKUP(A752,'Hours Detail'!$E$17:$H$1048576,4,)</f>
        <v>#N/A</v>
      </c>
      <c r="C752" s="524" t="s">
        <v>4997</v>
      </c>
      <c r="D752" s="524" t="s">
        <v>4996</v>
      </c>
      <c r="E752" s="524" t="s">
        <v>4995</v>
      </c>
      <c r="F752" s="524" t="s">
        <v>4995</v>
      </c>
      <c r="G752" s="524" t="s">
        <v>4995</v>
      </c>
      <c r="H752" s="524" t="s">
        <v>4995</v>
      </c>
      <c r="I752" s="524" t="s">
        <v>6978</v>
      </c>
      <c r="J752" s="524" t="s">
        <v>4996</v>
      </c>
      <c r="K752" s="524" t="s">
        <v>6359</v>
      </c>
      <c r="L752" s="524" t="s">
        <v>6379</v>
      </c>
      <c r="M752" s="524" t="s">
        <v>6979</v>
      </c>
      <c r="N752" s="524" t="s">
        <v>6980</v>
      </c>
      <c r="O752" s="524"/>
    </row>
    <row r="753" spans="1:15" ht="87" hidden="1">
      <c r="A753" s="524">
        <v>381</v>
      </c>
      <c r="B753" s="524" t="str">
        <f>VLOOKUP(A753,'Hours Detail'!$E$17:$H$1048576,4,)</f>
        <v>No</v>
      </c>
      <c r="C753" s="524" t="s">
        <v>4994</v>
      </c>
      <c r="D753" s="524" t="s">
        <v>6439</v>
      </c>
      <c r="E753" s="524" t="s">
        <v>4992</v>
      </c>
      <c r="F753" s="524" t="s">
        <v>4992</v>
      </c>
      <c r="G753" s="524" t="s">
        <v>4992</v>
      </c>
      <c r="H753" s="524" t="s">
        <v>4992</v>
      </c>
      <c r="I753" s="524" t="s">
        <v>6438</v>
      </c>
      <c r="J753" s="524" t="s">
        <v>6439</v>
      </c>
      <c r="K753" s="524" t="s">
        <v>6359</v>
      </c>
      <c r="L753" s="524" t="s">
        <v>6376</v>
      </c>
      <c r="M753" s="524" t="s">
        <v>6377</v>
      </c>
      <c r="N753" s="524"/>
      <c r="O753" s="524"/>
    </row>
    <row r="754" spans="1:15" ht="101.5" hidden="1">
      <c r="A754" s="527">
        <v>381</v>
      </c>
      <c r="B754" s="524" t="str">
        <f>VLOOKUP(A754,'Hours Detail'!$E$17:$H$1048576,4,)</f>
        <v>No</v>
      </c>
      <c r="C754" s="527" t="s">
        <v>4994</v>
      </c>
      <c r="D754" s="527" t="s">
        <v>2785</v>
      </c>
      <c r="E754" s="527" t="s">
        <v>4993</v>
      </c>
      <c r="F754" s="527" t="s">
        <v>4992</v>
      </c>
      <c r="G754" s="527">
        <v>22</v>
      </c>
      <c r="H754" s="527" t="s">
        <v>2783</v>
      </c>
      <c r="I754" s="527" t="s">
        <v>2784</v>
      </c>
      <c r="J754" s="527" t="s">
        <v>2889</v>
      </c>
      <c r="K754" s="527" t="s">
        <v>2890</v>
      </c>
      <c r="L754" s="527" t="s">
        <v>6981</v>
      </c>
      <c r="M754" s="524"/>
      <c r="N754" s="524"/>
      <c r="O754" s="524"/>
    </row>
    <row r="755" spans="1:15" ht="43.5" hidden="1">
      <c r="A755" s="524">
        <v>382</v>
      </c>
      <c r="B755" s="524" t="e">
        <f>VLOOKUP(A755,'Hours Detail'!$E$17:$H$1048576,4,)</f>
        <v>#N/A</v>
      </c>
      <c r="C755" s="524" t="s">
        <v>4991</v>
      </c>
      <c r="D755" s="524" t="s">
        <v>4990</v>
      </c>
      <c r="E755" s="524" t="s">
        <v>4989</v>
      </c>
      <c r="F755" s="524" t="s">
        <v>4989</v>
      </c>
      <c r="G755" s="524" t="s">
        <v>4989</v>
      </c>
      <c r="H755" s="524" t="s">
        <v>4989</v>
      </c>
      <c r="I755" s="524" t="s">
        <v>6982</v>
      </c>
      <c r="J755" s="524" t="s">
        <v>4990</v>
      </c>
      <c r="K755" s="524"/>
      <c r="L755" s="524" t="s">
        <v>6399</v>
      </c>
      <c r="M755" s="524" t="s">
        <v>188</v>
      </c>
      <c r="N755" s="524"/>
      <c r="O755" s="524"/>
    </row>
    <row r="756" spans="1:15" ht="58" hidden="1">
      <c r="A756" s="525">
        <v>383</v>
      </c>
      <c r="B756" s="524" t="e">
        <f>VLOOKUP(A756,'Hours Detail'!$E$17:$H$1048576,4,)</f>
        <v>#N/A</v>
      </c>
      <c r="C756" s="524" t="s">
        <v>5086</v>
      </c>
      <c r="D756" s="524" t="s">
        <v>5085</v>
      </c>
      <c r="E756" s="524" t="s">
        <v>5084</v>
      </c>
      <c r="F756" s="524" t="s">
        <v>5084</v>
      </c>
      <c r="G756" s="524" t="s">
        <v>5084</v>
      </c>
      <c r="H756" s="524" t="s">
        <v>5084</v>
      </c>
      <c r="I756" s="524" t="s">
        <v>6983</v>
      </c>
      <c r="J756" s="524" t="s">
        <v>5085</v>
      </c>
      <c r="K756" s="524"/>
      <c r="L756" s="524" t="s">
        <v>6414</v>
      </c>
      <c r="M756" s="524" t="s">
        <v>6450</v>
      </c>
      <c r="N756" s="524"/>
      <c r="O756" s="524"/>
    </row>
    <row r="757" spans="1:15" ht="72.5" hidden="1">
      <c r="A757" s="524">
        <v>388</v>
      </c>
      <c r="B757" s="524" t="e">
        <f>VLOOKUP(A757,'Hours Detail'!$E$17:$H$1048576,4,)</f>
        <v>#N/A</v>
      </c>
      <c r="C757" s="524" t="s">
        <v>5768</v>
      </c>
      <c r="D757" s="524" t="s">
        <v>5767</v>
      </c>
      <c r="E757" s="524" t="s">
        <v>5766</v>
      </c>
      <c r="F757" s="524" t="s">
        <v>5766</v>
      </c>
      <c r="G757" s="524" t="s">
        <v>5766</v>
      </c>
      <c r="H757" s="524" t="s">
        <v>5766</v>
      </c>
      <c r="I757" s="524" t="s">
        <v>6984</v>
      </c>
      <c r="J757" s="524" t="s">
        <v>5767</v>
      </c>
      <c r="K757" s="524"/>
      <c r="L757" s="524" t="s">
        <v>6399</v>
      </c>
      <c r="M757" s="524" t="s">
        <v>188</v>
      </c>
      <c r="N757" s="524"/>
      <c r="O757" s="524"/>
    </row>
    <row r="758" spans="1:15" ht="72.5" hidden="1">
      <c r="A758" s="524">
        <v>389</v>
      </c>
      <c r="B758" s="524" t="e">
        <f>VLOOKUP(A758,'Hours Detail'!$E$17:$H$1048576,4,)</f>
        <v>#N/A</v>
      </c>
      <c r="C758" s="524" t="s">
        <v>5765</v>
      </c>
      <c r="D758" s="524" t="s">
        <v>5764</v>
      </c>
      <c r="E758" s="524" t="s">
        <v>5763</v>
      </c>
      <c r="F758" s="524" t="s">
        <v>5763</v>
      </c>
      <c r="G758" s="524" t="s">
        <v>5763</v>
      </c>
      <c r="H758" s="524" t="s">
        <v>5763</v>
      </c>
      <c r="I758" s="524" t="s">
        <v>6985</v>
      </c>
      <c r="J758" s="524" t="s">
        <v>5764</v>
      </c>
      <c r="K758" s="524"/>
      <c r="L758" s="524" t="s">
        <v>6381</v>
      </c>
      <c r="M758" s="524" t="s">
        <v>522</v>
      </c>
      <c r="N758" s="524"/>
      <c r="O758" s="524"/>
    </row>
    <row r="759" spans="1:15" ht="43.5" hidden="1">
      <c r="A759" s="524">
        <v>390</v>
      </c>
      <c r="B759" s="524" t="e">
        <f>VLOOKUP(A759,'Hours Detail'!$E$17:$H$1048576,4,)</f>
        <v>#N/A</v>
      </c>
      <c r="C759" s="524" t="s">
        <v>5762</v>
      </c>
      <c r="D759" s="524" t="s">
        <v>5761</v>
      </c>
      <c r="E759" s="524" t="s">
        <v>5760</v>
      </c>
      <c r="F759" s="524" t="s">
        <v>5760</v>
      </c>
      <c r="G759" s="524" t="s">
        <v>5760</v>
      </c>
      <c r="H759" s="524" t="s">
        <v>5760</v>
      </c>
      <c r="I759" s="524" t="s">
        <v>5761</v>
      </c>
      <c r="J759" s="524" t="s">
        <v>5761</v>
      </c>
      <c r="K759" s="524"/>
      <c r="L759" s="524" t="s">
        <v>6399</v>
      </c>
      <c r="M759" s="524" t="s">
        <v>188</v>
      </c>
      <c r="N759" s="524"/>
      <c r="O759" s="524"/>
    </row>
    <row r="760" spans="1:15" ht="43.5" hidden="1">
      <c r="A760" s="524">
        <v>391</v>
      </c>
      <c r="B760" s="524" t="e">
        <f>VLOOKUP(A760,'Hours Detail'!$E$17:$H$1048576,4,)</f>
        <v>#N/A</v>
      </c>
      <c r="C760" s="524" t="s">
        <v>5759</v>
      </c>
      <c r="D760" s="524" t="s">
        <v>5758</v>
      </c>
      <c r="E760" s="524" t="s">
        <v>5757</v>
      </c>
      <c r="F760" s="524" t="s">
        <v>5757</v>
      </c>
      <c r="G760" s="524" t="s">
        <v>5757</v>
      </c>
      <c r="H760" s="524" t="s">
        <v>5757</v>
      </c>
      <c r="I760" s="524" t="s">
        <v>5758</v>
      </c>
      <c r="J760" s="524" t="s">
        <v>5758</v>
      </c>
      <c r="K760" s="524"/>
      <c r="L760" s="524" t="s">
        <v>6381</v>
      </c>
      <c r="M760" s="524" t="s">
        <v>2313</v>
      </c>
      <c r="N760" s="524"/>
      <c r="O760" s="524"/>
    </row>
    <row r="761" spans="1:15" ht="58" hidden="1">
      <c r="A761" s="524">
        <v>392</v>
      </c>
      <c r="B761" s="524" t="e">
        <f>VLOOKUP(A761,'Hours Detail'!$E$17:$H$1048576,4,)</f>
        <v>#N/A</v>
      </c>
      <c r="C761" s="524" t="s">
        <v>5756</v>
      </c>
      <c r="D761" s="524" t="s">
        <v>5755</v>
      </c>
      <c r="E761" s="524" t="s">
        <v>5754</v>
      </c>
      <c r="F761" s="524" t="s">
        <v>5754</v>
      </c>
      <c r="G761" s="524" t="s">
        <v>5754</v>
      </c>
      <c r="H761" s="524" t="s">
        <v>5754</v>
      </c>
      <c r="I761" s="524" t="s">
        <v>5755</v>
      </c>
      <c r="J761" s="524" t="s">
        <v>5755</v>
      </c>
      <c r="K761" s="524"/>
      <c r="L761" s="524" t="s">
        <v>6381</v>
      </c>
      <c r="M761" s="524" t="s">
        <v>522</v>
      </c>
      <c r="N761" s="524"/>
      <c r="O761" s="524"/>
    </row>
    <row r="762" spans="1:15" ht="43.5" hidden="1">
      <c r="A762" s="524">
        <v>393</v>
      </c>
      <c r="B762" s="524" t="e">
        <f>VLOOKUP(A762,'Hours Detail'!$E$17:$H$1048576,4,)</f>
        <v>#N/A</v>
      </c>
      <c r="C762" s="524" t="s">
        <v>5753</v>
      </c>
      <c r="D762" s="524" t="s">
        <v>5752</v>
      </c>
      <c r="E762" s="524" t="s">
        <v>5751</v>
      </c>
      <c r="F762" s="524" t="s">
        <v>5751</v>
      </c>
      <c r="G762" s="524" t="s">
        <v>5751</v>
      </c>
      <c r="H762" s="524" t="s">
        <v>5751</v>
      </c>
      <c r="I762" s="524" t="s">
        <v>5752</v>
      </c>
      <c r="J762" s="524" t="s">
        <v>5752</v>
      </c>
      <c r="K762" s="524"/>
      <c r="L762" s="524" t="s">
        <v>6381</v>
      </c>
      <c r="M762" s="524" t="s">
        <v>522</v>
      </c>
      <c r="N762" s="524"/>
      <c r="O762" s="524"/>
    </row>
    <row r="763" spans="1:15" ht="43.5" hidden="1">
      <c r="A763" s="524">
        <v>394</v>
      </c>
      <c r="B763" s="524" t="e">
        <f>VLOOKUP(A763,'Hours Detail'!$E$17:$H$1048576,4,)</f>
        <v>#N/A</v>
      </c>
      <c r="C763" s="524" t="s">
        <v>5750</v>
      </c>
      <c r="D763" s="524" t="s">
        <v>5749</v>
      </c>
      <c r="E763" s="524" t="s">
        <v>5748</v>
      </c>
      <c r="F763" s="524" t="s">
        <v>5748</v>
      </c>
      <c r="G763" s="524" t="s">
        <v>5748</v>
      </c>
      <c r="H763" s="524" t="s">
        <v>5748</v>
      </c>
      <c r="I763" s="524" t="s">
        <v>5749</v>
      </c>
      <c r="J763" s="524" t="s">
        <v>5749</v>
      </c>
      <c r="K763" s="524"/>
      <c r="L763" s="524" t="s">
        <v>6381</v>
      </c>
      <c r="M763" s="524" t="s">
        <v>522</v>
      </c>
      <c r="N763" s="524"/>
      <c r="O763" s="524"/>
    </row>
    <row r="764" spans="1:15" ht="43.5" hidden="1">
      <c r="A764" s="524">
        <v>397</v>
      </c>
      <c r="B764" s="524" t="e">
        <f>VLOOKUP(A764,'Hours Detail'!$E$17:$H$1048576,4,)</f>
        <v>#N/A</v>
      </c>
      <c r="C764" s="524" t="s">
        <v>5070</v>
      </c>
      <c r="D764" s="524" t="s">
        <v>5069</v>
      </c>
      <c r="E764" s="524" t="s">
        <v>5068</v>
      </c>
      <c r="F764" s="524" t="s">
        <v>5068</v>
      </c>
      <c r="G764" s="524" t="s">
        <v>5068</v>
      </c>
      <c r="H764" s="524" t="s">
        <v>5068</v>
      </c>
      <c r="I764" s="524" t="s">
        <v>6986</v>
      </c>
      <c r="J764" s="524" t="s">
        <v>5069</v>
      </c>
      <c r="K764" s="524"/>
      <c r="L764" s="524" t="s">
        <v>6987</v>
      </c>
      <c r="M764" s="524" t="s">
        <v>6988</v>
      </c>
      <c r="N764" s="524"/>
      <c r="O764" s="524"/>
    </row>
    <row r="765" spans="1:15" ht="58" hidden="1">
      <c r="A765" s="524">
        <v>399</v>
      </c>
      <c r="B765" s="524" t="e">
        <f>VLOOKUP(A765,'Hours Detail'!$E$17:$H$1048576,4,)</f>
        <v>#N/A</v>
      </c>
      <c r="C765" s="524" t="s">
        <v>5067</v>
      </c>
      <c r="D765" s="524" t="s">
        <v>5066</v>
      </c>
      <c r="E765" s="524" t="s">
        <v>5065</v>
      </c>
      <c r="F765" s="524" t="s">
        <v>5065</v>
      </c>
      <c r="G765" s="524" t="s">
        <v>5065</v>
      </c>
      <c r="H765" s="524" t="s">
        <v>5065</v>
      </c>
      <c r="I765" s="524" t="s">
        <v>6989</v>
      </c>
      <c r="J765" s="524" t="s">
        <v>5066</v>
      </c>
      <c r="K765" s="524"/>
      <c r="L765" s="524" t="s">
        <v>6987</v>
      </c>
      <c r="M765" s="524" t="s">
        <v>6988</v>
      </c>
      <c r="N765" s="524"/>
      <c r="O765" s="524"/>
    </row>
    <row r="766" spans="1:15" ht="29" hidden="1">
      <c r="A766" s="525">
        <v>400</v>
      </c>
      <c r="B766" s="524" t="e">
        <f>VLOOKUP(A766,'Hours Detail'!$E$17:$H$1048576,4,)</f>
        <v>#N/A</v>
      </c>
      <c r="C766" s="524" t="s">
        <v>328</v>
      </c>
      <c r="D766" s="524" t="s">
        <v>4298</v>
      </c>
      <c r="E766" s="524" t="s">
        <v>499</v>
      </c>
      <c r="F766" s="524" t="s">
        <v>499</v>
      </c>
      <c r="G766" s="524" t="s">
        <v>499</v>
      </c>
      <c r="H766" s="524" t="s">
        <v>499</v>
      </c>
      <c r="I766" s="524" t="s">
        <v>6990</v>
      </c>
      <c r="J766" s="524" t="s">
        <v>4298</v>
      </c>
      <c r="K766" s="524"/>
      <c r="L766" s="524" t="s">
        <v>6386</v>
      </c>
      <c r="M766" s="524" t="s">
        <v>6387</v>
      </c>
      <c r="N766" s="524"/>
      <c r="O766" s="524"/>
    </row>
    <row r="767" spans="1:15" ht="145" hidden="1">
      <c r="A767" s="527">
        <v>400</v>
      </c>
      <c r="B767" s="524" t="e">
        <f>VLOOKUP(A767,'Hours Detail'!$E$17:$H$1048576,4,)</f>
        <v>#N/A</v>
      </c>
      <c r="C767" s="527" t="s">
        <v>328</v>
      </c>
      <c r="D767" s="527" t="s">
        <v>470</v>
      </c>
      <c r="E767" s="527" t="s">
        <v>498</v>
      </c>
      <c r="F767" s="527" t="s">
        <v>499</v>
      </c>
      <c r="G767" s="527">
        <v>3</v>
      </c>
      <c r="H767" s="527" t="s">
        <v>149</v>
      </c>
      <c r="I767" s="527" t="s">
        <v>468</v>
      </c>
      <c r="J767" s="527" t="s">
        <v>2890</v>
      </c>
      <c r="K767" s="527" t="s">
        <v>2889</v>
      </c>
      <c r="L767" s="527" t="s">
        <v>6991</v>
      </c>
      <c r="M767" s="524"/>
      <c r="N767" s="524"/>
      <c r="O767" s="524"/>
    </row>
    <row r="768" spans="1:15" ht="43.5" hidden="1">
      <c r="A768" s="525">
        <v>401</v>
      </c>
      <c r="B768" s="524" t="e">
        <f>VLOOKUP(A768,'Hours Detail'!$E$17:$H$1048576,4,)</f>
        <v>#N/A</v>
      </c>
      <c r="C768" s="524" t="s">
        <v>377</v>
      </c>
      <c r="D768" s="524" t="s">
        <v>1217</v>
      </c>
      <c r="E768" s="524" t="s">
        <v>1218</v>
      </c>
      <c r="F768" s="524" t="s">
        <v>1218</v>
      </c>
      <c r="G768" s="524" t="s">
        <v>1218</v>
      </c>
      <c r="H768" s="524" t="s">
        <v>1218</v>
      </c>
      <c r="I768" s="524" t="s">
        <v>1217</v>
      </c>
      <c r="J768" s="524" t="s">
        <v>1217</v>
      </c>
      <c r="K768" s="524"/>
      <c r="L768" s="524" t="s">
        <v>6386</v>
      </c>
      <c r="M768" s="524" t="s">
        <v>6387</v>
      </c>
      <c r="N768" s="524"/>
      <c r="O768" s="524"/>
    </row>
    <row r="769" spans="1:15" ht="58" hidden="1">
      <c r="A769" s="527">
        <v>401</v>
      </c>
      <c r="B769" s="524" t="e">
        <f>VLOOKUP(A769,'Hours Detail'!$E$17:$H$1048576,4,)</f>
        <v>#N/A</v>
      </c>
      <c r="C769" s="527" t="s">
        <v>377</v>
      </c>
      <c r="D769" s="527" t="s">
        <v>4703</v>
      </c>
      <c r="E769" s="527" t="s">
        <v>1217</v>
      </c>
      <c r="F769" s="527" t="s">
        <v>1218</v>
      </c>
      <c r="G769" s="527">
        <v>283</v>
      </c>
      <c r="H769" s="527" t="s">
        <v>4705</v>
      </c>
      <c r="I769" s="527" t="s">
        <v>4704</v>
      </c>
      <c r="J769" s="527" t="s">
        <v>2890</v>
      </c>
      <c r="K769" s="527" t="s">
        <v>2890</v>
      </c>
      <c r="L769" s="527" t="s">
        <v>6371</v>
      </c>
      <c r="M769" s="524"/>
      <c r="N769" s="524"/>
      <c r="O769" s="524"/>
    </row>
    <row r="770" spans="1:15" ht="43.5" hidden="1">
      <c r="A770" s="524">
        <v>402</v>
      </c>
      <c r="B770" s="524" t="e">
        <f>VLOOKUP(A770,'Hours Detail'!$E$17:$H$1048576,4,)</f>
        <v>#N/A</v>
      </c>
      <c r="C770" s="524" t="s">
        <v>5064</v>
      </c>
      <c r="D770" s="524" t="s">
        <v>5063</v>
      </c>
      <c r="E770" s="524" t="s">
        <v>5062</v>
      </c>
      <c r="F770" s="524" t="s">
        <v>5062</v>
      </c>
      <c r="G770" s="524" t="s">
        <v>5062</v>
      </c>
      <c r="H770" s="524" t="s">
        <v>5062</v>
      </c>
      <c r="I770" s="524" t="s">
        <v>6992</v>
      </c>
      <c r="J770" s="524" t="s">
        <v>5063</v>
      </c>
      <c r="K770" s="524"/>
      <c r="L770" s="524" t="s">
        <v>6376</v>
      </c>
      <c r="M770" s="524" t="s">
        <v>6377</v>
      </c>
      <c r="N770" s="524"/>
      <c r="O770" s="524"/>
    </row>
    <row r="771" spans="1:15" ht="29" hidden="1">
      <c r="A771" s="524">
        <v>403</v>
      </c>
      <c r="B771" s="524" t="e">
        <f>VLOOKUP(A771,'Hours Detail'!$E$17:$H$1048576,4,)</f>
        <v>#N/A</v>
      </c>
      <c r="C771" s="524" t="s">
        <v>4980</v>
      </c>
      <c r="D771" s="524" t="s">
        <v>4979</v>
      </c>
      <c r="E771" s="524" t="s">
        <v>4978</v>
      </c>
      <c r="F771" s="524" t="s">
        <v>4978</v>
      </c>
      <c r="G771" s="524" t="s">
        <v>4978</v>
      </c>
      <c r="H771" s="524" t="s">
        <v>4978</v>
      </c>
      <c r="I771" s="524" t="s">
        <v>4979</v>
      </c>
      <c r="J771" s="524" t="s">
        <v>4979</v>
      </c>
      <c r="K771" s="524"/>
      <c r="L771" s="524" t="s">
        <v>6987</v>
      </c>
      <c r="M771" s="524" t="s">
        <v>6988</v>
      </c>
      <c r="N771" s="524"/>
      <c r="O771" s="524"/>
    </row>
    <row r="772" spans="1:15" ht="43.5" hidden="1">
      <c r="A772" s="524">
        <v>404</v>
      </c>
      <c r="B772" s="524" t="e">
        <f>VLOOKUP(A772,'Hours Detail'!$E$17:$H$1048576,4,)</f>
        <v>#N/A</v>
      </c>
      <c r="C772" s="524" t="s">
        <v>4974</v>
      </c>
      <c r="D772" s="524" t="s">
        <v>4973</v>
      </c>
      <c r="E772" s="524" t="s">
        <v>4972</v>
      </c>
      <c r="F772" s="524" t="s">
        <v>4972</v>
      </c>
      <c r="G772" s="524" t="s">
        <v>4972</v>
      </c>
      <c r="H772" s="524" t="s">
        <v>4972</v>
      </c>
      <c r="I772" s="524" t="s">
        <v>6993</v>
      </c>
      <c r="J772" s="524" t="s">
        <v>4973</v>
      </c>
      <c r="K772" s="524"/>
      <c r="L772" s="524" t="s">
        <v>6987</v>
      </c>
      <c r="M772" s="524" t="s">
        <v>6994</v>
      </c>
      <c r="N772" s="524"/>
      <c r="O772" s="524"/>
    </row>
    <row r="773" spans="1:15" ht="333.5" hidden="1">
      <c r="A773" s="525">
        <v>406</v>
      </c>
      <c r="B773" s="524" t="str">
        <f>VLOOKUP(A773,'Hours Detail'!$E$17:$H$1048576,4,)</f>
        <v>No</v>
      </c>
      <c r="C773" s="524" t="s">
        <v>292</v>
      </c>
      <c r="D773" s="524" t="s">
        <v>1109</v>
      </c>
      <c r="E773" s="524" t="s">
        <v>1110</v>
      </c>
      <c r="F773" s="524" t="s">
        <v>1110</v>
      </c>
      <c r="G773" s="524" t="s">
        <v>1110</v>
      </c>
      <c r="H773" s="524" t="s">
        <v>1110</v>
      </c>
      <c r="I773" s="524" t="s">
        <v>6995</v>
      </c>
      <c r="J773" s="524" t="s">
        <v>1109</v>
      </c>
      <c r="K773" s="524" t="s">
        <v>6359</v>
      </c>
      <c r="L773" s="524" t="s">
        <v>6381</v>
      </c>
      <c r="M773" s="524" t="s">
        <v>522</v>
      </c>
      <c r="N773" s="524" t="s">
        <v>6996</v>
      </c>
      <c r="O773" s="524"/>
    </row>
    <row r="774" spans="1:15" ht="188.5" hidden="1">
      <c r="A774" s="527">
        <v>406</v>
      </c>
      <c r="B774" s="524" t="str">
        <f>VLOOKUP(A774,'Hours Detail'!$E$17:$H$1048576,4,)</f>
        <v>No</v>
      </c>
      <c r="C774" s="527" t="s">
        <v>292</v>
      </c>
      <c r="D774" s="527" t="s">
        <v>290</v>
      </c>
      <c r="E774" s="527" t="s">
        <v>1109</v>
      </c>
      <c r="F774" s="527" t="s">
        <v>1110</v>
      </c>
      <c r="G774" s="527">
        <v>91</v>
      </c>
      <c r="H774" s="527" t="s">
        <v>290</v>
      </c>
      <c r="I774" s="527" t="s">
        <v>2300</v>
      </c>
      <c r="J774" s="527" t="s">
        <v>2889</v>
      </c>
      <c r="K774" s="527" t="s">
        <v>2889</v>
      </c>
      <c r="L774" s="527" t="s">
        <v>6997</v>
      </c>
      <c r="M774" s="524"/>
      <c r="N774" s="524"/>
      <c r="O774" s="524"/>
    </row>
    <row r="775" spans="1:15" ht="246.5" hidden="1">
      <c r="A775" s="525">
        <v>407</v>
      </c>
      <c r="B775" s="524" t="str">
        <f>VLOOKUP(A775,'Hours Detail'!$E$17:$H$1048576,4,)</f>
        <v>No</v>
      </c>
      <c r="C775" s="524" t="s">
        <v>291</v>
      </c>
      <c r="D775" s="524" t="s">
        <v>1107</v>
      </c>
      <c r="E775" s="524" t="s">
        <v>1108</v>
      </c>
      <c r="F775" s="524" t="s">
        <v>1108</v>
      </c>
      <c r="G775" s="524" t="s">
        <v>1108</v>
      </c>
      <c r="H775" s="524" t="s">
        <v>1108</v>
      </c>
      <c r="I775" s="524" t="s">
        <v>1107</v>
      </c>
      <c r="J775" s="524" t="s">
        <v>1107</v>
      </c>
      <c r="K775" s="524"/>
      <c r="L775" s="524" t="s">
        <v>6399</v>
      </c>
      <c r="M775" s="524" t="s">
        <v>188</v>
      </c>
      <c r="N775" s="524" t="s">
        <v>6998</v>
      </c>
      <c r="O775" s="524"/>
    </row>
    <row r="776" spans="1:15" ht="72.5" hidden="1">
      <c r="A776" s="527">
        <v>407</v>
      </c>
      <c r="B776" s="524" t="str">
        <f>VLOOKUP(A776,'Hours Detail'!$E$17:$H$1048576,4,)</f>
        <v>No</v>
      </c>
      <c r="C776" s="527" t="s">
        <v>291</v>
      </c>
      <c r="D776" s="527" t="s">
        <v>290</v>
      </c>
      <c r="E776" s="527" t="s">
        <v>1107</v>
      </c>
      <c r="F776" s="527" t="s">
        <v>1108</v>
      </c>
      <c r="G776" s="527">
        <v>91</v>
      </c>
      <c r="H776" s="527" t="s">
        <v>290</v>
      </c>
      <c r="I776" s="527" t="s">
        <v>2300</v>
      </c>
      <c r="J776" s="527" t="s">
        <v>2889</v>
      </c>
      <c r="K776" s="527" t="s">
        <v>2889</v>
      </c>
      <c r="L776" s="527" t="s">
        <v>6371</v>
      </c>
      <c r="M776" s="524"/>
      <c r="N776" s="524"/>
      <c r="O776" s="524"/>
    </row>
    <row r="777" spans="1:15" ht="29" hidden="1">
      <c r="A777" s="524">
        <v>409</v>
      </c>
      <c r="B777" s="524" t="e">
        <f>VLOOKUP(A777,'Hours Detail'!$E$17:$H$1048576,4,)</f>
        <v>#N/A</v>
      </c>
      <c r="C777" s="524" t="s">
        <v>4968</v>
      </c>
      <c r="D777" s="524" t="s">
        <v>4967</v>
      </c>
      <c r="E777" s="524" t="s">
        <v>4966</v>
      </c>
      <c r="F777" s="524" t="s">
        <v>4966</v>
      </c>
      <c r="G777" s="524" t="s">
        <v>4966</v>
      </c>
      <c r="H777" s="524" t="s">
        <v>4966</v>
      </c>
      <c r="I777" s="524" t="s">
        <v>6999</v>
      </c>
      <c r="J777" s="524" t="s">
        <v>4967</v>
      </c>
      <c r="K777" s="524"/>
      <c r="L777" s="524" t="s">
        <v>6987</v>
      </c>
      <c r="M777" s="524" t="s">
        <v>7000</v>
      </c>
      <c r="N777" s="524"/>
      <c r="O777" s="524"/>
    </row>
    <row r="778" spans="1:15" ht="43.5" hidden="1">
      <c r="A778" s="524">
        <v>410</v>
      </c>
      <c r="B778" s="524" t="str">
        <f>VLOOKUP(A778,'Hours Detail'!$E$17:$H$1048576,4,)</f>
        <v>No</v>
      </c>
      <c r="C778" s="524" t="s">
        <v>293</v>
      </c>
      <c r="D778" s="524" t="s">
        <v>4320</v>
      </c>
      <c r="E778" s="524" t="s">
        <v>1106</v>
      </c>
      <c r="F778" s="524" t="s">
        <v>1106</v>
      </c>
      <c r="G778" s="524" t="s">
        <v>1106</v>
      </c>
      <c r="H778" s="524" t="s">
        <v>1106</v>
      </c>
      <c r="I778" s="524" t="s">
        <v>7001</v>
      </c>
      <c r="J778" s="524" t="s">
        <v>7002</v>
      </c>
      <c r="K778" s="524" t="s">
        <v>6359</v>
      </c>
      <c r="L778" s="524" t="s">
        <v>6381</v>
      </c>
      <c r="M778" s="524" t="s">
        <v>522</v>
      </c>
      <c r="N778" s="524"/>
      <c r="O778" s="524"/>
    </row>
    <row r="779" spans="1:15" ht="116" hidden="1">
      <c r="A779" s="527">
        <v>410</v>
      </c>
      <c r="B779" s="524" t="str">
        <f>VLOOKUP(A779,'Hours Detail'!$E$17:$H$1048576,4,)</f>
        <v>No</v>
      </c>
      <c r="C779" s="527" t="s">
        <v>293</v>
      </c>
      <c r="D779" s="527" t="s">
        <v>290</v>
      </c>
      <c r="E779" s="527" t="s">
        <v>1105</v>
      </c>
      <c r="F779" s="527" t="s">
        <v>1106</v>
      </c>
      <c r="G779" s="527">
        <v>91</v>
      </c>
      <c r="H779" s="527" t="s">
        <v>290</v>
      </c>
      <c r="I779" s="527" t="s">
        <v>2300</v>
      </c>
      <c r="J779" s="527" t="s">
        <v>2889</v>
      </c>
      <c r="K779" s="527" t="s">
        <v>2889</v>
      </c>
      <c r="L779" s="527" t="s">
        <v>7003</v>
      </c>
      <c r="M779" s="524"/>
      <c r="N779" s="524"/>
      <c r="O779" s="524"/>
    </row>
    <row r="780" spans="1:15" ht="43.5" hidden="1">
      <c r="A780" s="524">
        <v>411</v>
      </c>
      <c r="B780" s="524" t="e">
        <f>VLOOKUP(A780,'Hours Detail'!$E$17:$H$1048576,4,)</f>
        <v>#N/A</v>
      </c>
      <c r="C780" s="524" t="s">
        <v>4977</v>
      </c>
      <c r="D780" s="524" t="s">
        <v>4976</v>
      </c>
      <c r="E780" s="524" t="s">
        <v>4975</v>
      </c>
      <c r="F780" s="524" t="s">
        <v>4975</v>
      </c>
      <c r="G780" s="524" t="s">
        <v>4975</v>
      </c>
      <c r="H780" s="524" t="s">
        <v>4975</v>
      </c>
      <c r="I780" s="524" t="s">
        <v>7004</v>
      </c>
      <c r="J780" s="524" t="s">
        <v>7005</v>
      </c>
      <c r="K780" s="524"/>
      <c r="L780" s="524" t="s">
        <v>6987</v>
      </c>
      <c r="M780" s="524" t="s">
        <v>6988</v>
      </c>
      <c r="N780" s="524"/>
      <c r="O780" s="524"/>
    </row>
    <row r="781" spans="1:15" ht="43.5" hidden="1">
      <c r="A781" s="524">
        <v>412</v>
      </c>
      <c r="B781" s="524" t="e">
        <f>VLOOKUP(A781,'Hours Detail'!$E$17:$H$1048576,4,)</f>
        <v>#N/A</v>
      </c>
      <c r="C781" s="524" t="s">
        <v>5028</v>
      </c>
      <c r="D781" s="524" t="s">
        <v>5027</v>
      </c>
      <c r="E781" s="524" t="s">
        <v>5026</v>
      </c>
      <c r="F781" s="524" t="s">
        <v>5026</v>
      </c>
      <c r="G781" s="524" t="s">
        <v>5026</v>
      </c>
      <c r="H781" s="524" t="s">
        <v>5026</v>
      </c>
      <c r="I781" s="524" t="s">
        <v>7006</v>
      </c>
      <c r="J781" s="524" t="s">
        <v>5027</v>
      </c>
      <c r="K781" s="524"/>
      <c r="L781" s="524" t="s">
        <v>6987</v>
      </c>
      <c r="M781" s="524" t="s">
        <v>6994</v>
      </c>
      <c r="N781" s="524"/>
      <c r="O781" s="524"/>
    </row>
    <row r="782" spans="1:15" ht="29" hidden="1">
      <c r="A782" s="524">
        <v>414</v>
      </c>
      <c r="B782" s="524" t="e">
        <f>VLOOKUP(A782,'Hours Detail'!$E$17:$H$1048576,4,)</f>
        <v>#N/A</v>
      </c>
      <c r="C782" s="524" t="s">
        <v>7007</v>
      </c>
      <c r="D782" s="524" t="s">
        <v>7007</v>
      </c>
      <c r="E782" s="524" t="s">
        <v>7007</v>
      </c>
      <c r="F782" s="524" t="s">
        <v>7007</v>
      </c>
      <c r="G782" s="524" t="s">
        <v>7007</v>
      </c>
      <c r="H782" s="524" t="s">
        <v>7007</v>
      </c>
      <c r="I782" s="524" t="s">
        <v>7007</v>
      </c>
      <c r="J782" s="524" t="s">
        <v>7007</v>
      </c>
      <c r="K782" s="524"/>
      <c r="L782" s="524" t="s">
        <v>6987</v>
      </c>
      <c r="M782" s="524" t="s">
        <v>6994</v>
      </c>
      <c r="N782" s="524"/>
      <c r="O782" s="524"/>
    </row>
    <row r="783" spans="1:15" ht="43.5" hidden="1">
      <c r="A783" s="525">
        <v>421</v>
      </c>
      <c r="B783" s="524" t="e">
        <f>VLOOKUP(A783,'Hours Detail'!$E$17:$H$1048576,4,)</f>
        <v>#N/A</v>
      </c>
      <c r="C783" s="524" t="s">
        <v>7008</v>
      </c>
      <c r="D783" s="524" t="s">
        <v>7011</v>
      </c>
      <c r="E783" s="524" t="s">
        <v>7009</v>
      </c>
      <c r="F783" s="524" t="s">
        <v>7009</v>
      </c>
      <c r="G783" s="524" t="s">
        <v>7009</v>
      </c>
      <c r="H783" s="524" t="s">
        <v>7009</v>
      </c>
      <c r="I783" s="524" t="s">
        <v>7010</v>
      </c>
      <c r="J783" s="524" t="s">
        <v>7011</v>
      </c>
      <c r="K783" s="524"/>
      <c r="L783" s="524" t="s">
        <v>6381</v>
      </c>
      <c r="M783" s="524" t="s">
        <v>442</v>
      </c>
      <c r="N783" s="524"/>
      <c r="O783" s="524"/>
    </row>
    <row r="784" spans="1:15" ht="217.5" hidden="1">
      <c r="A784" s="525">
        <v>440</v>
      </c>
      <c r="B784" s="524" t="str">
        <f>VLOOKUP(A784,'Hours Detail'!$E$17:$H$1048576,4,)</f>
        <v>No</v>
      </c>
      <c r="C784" s="524" t="s">
        <v>352</v>
      </c>
      <c r="D784" s="524" t="s">
        <v>1233</v>
      </c>
      <c r="E784" s="524" t="s">
        <v>1234</v>
      </c>
      <c r="F784" s="524" t="s">
        <v>1234</v>
      </c>
      <c r="G784" s="524" t="s">
        <v>1234</v>
      </c>
      <c r="H784" s="524" t="s">
        <v>1234</v>
      </c>
      <c r="I784" s="524" t="s">
        <v>7012</v>
      </c>
      <c r="J784" s="524" t="s">
        <v>1233</v>
      </c>
      <c r="K784" s="524" t="s">
        <v>6359</v>
      </c>
      <c r="L784" s="524" t="s">
        <v>6399</v>
      </c>
      <c r="M784" s="524" t="s">
        <v>188</v>
      </c>
      <c r="N784" s="524" t="s">
        <v>7013</v>
      </c>
      <c r="O784" s="524"/>
    </row>
    <row r="785" spans="1:15" ht="145" hidden="1">
      <c r="A785" s="527">
        <v>440</v>
      </c>
      <c r="B785" s="524" t="str">
        <f>VLOOKUP(A785,'Hours Detail'!$E$17:$H$1048576,4,)</f>
        <v>No</v>
      </c>
      <c r="C785" s="527" t="s">
        <v>352</v>
      </c>
      <c r="D785" s="527" t="s">
        <v>1096</v>
      </c>
      <c r="E785" s="527" t="s">
        <v>1233</v>
      </c>
      <c r="F785" s="527" t="s">
        <v>1234</v>
      </c>
      <c r="G785" s="527">
        <v>89</v>
      </c>
      <c r="H785" s="527" t="s">
        <v>282</v>
      </c>
      <c r="I785" s="527" t="s">
        <v>1094</v>
      </c>
      <c r="J785" s="527" t="s">
        <v>2889</v>
      </c>
      <c r="K785" s="527" t="s">
        <v>2889</v>
      </c>
      <c r="L785" s="527" t="s">
        <v>7014</v>
      </c>
      <c r="M785" s="524"/>
      <c r="N785" s="524"/>
      <c r="O785" s="524"/>
    </row>
    <row r="786" spans="1:15" ht="58" hidden="1">
      <c r="A786" s="525">
        <v>450</v>
      </c>
      <c r="B786" s="524" t="str">
        <f>VLOOKUP(A786,'Hours Detail'!$E$17:$H$1048576,4,)</f>
        <v>No</v>
      </c>
      <c r="C786" s="524" t="s">
        <v>236</v>
      </c>
      <c r="D786" s="524" t="s">
        <v>4014</v>
      </c>
      <c r="E786" s="524" t="s">
        <v>936</v>
      </c>
      <c r="F786" s="524" t="s">
        <v>936</v>
      </c>
      <c r="G786" s="524" t="s">
        <v>936</v>
      </c>
      <c r="H786" s="524" t="s">
        <v>936</v>
      </c>
      <c r="I786" s="524" t="s">
        <v>7015</v>
      </c>
      <c r="J786" s="524" t="s">
        <v>4014</v>
      </c>
      <c r="K786" s="524" t="s">
        <v>6359</v>
      </c>
      <c r="L786" s="524" t="s">
        <v>6379</v>
      </c>
      <c r="M786" s="524" t="s">
        <v>6380</v>
      </c>
      <c r="N786" s="524" t="s">
        <v>7016</v>
      </c>
      <c r="O786" s="524"/>
    </row>
    <row r="787" spans="1:15" ht="58" hidden="1">
      <c r="A787" s="527">
        <v>450</v>
      </c>
      <c r="B787" s="524" t="str">
        <f>VLOOKUP(A787,'Hours Detail'!$E$17:$H$1048576,4,)</f>
        <v>No</v>
      </c>
      <c r="C787" s="527" t="s">
        <v>236</v>
      </c>
      <c r="D787" s="527" t="s">
        <v>2178</v>
      </c>
      <c r="E787" s="527" t="s">
        <v>935</v>
      </c>
      <c r="F787" s="527" t="s">
        <v>936</v>
      </c>
      <c r="G787" s="527">
        <v>24</v>
      </c>
      <c r="H787" s="527" t="s">
        <v>235</v>
      </c>
      <c r="I787" s="527" t="s">
        <v>2321</v>
      </c>
      <c r="J787" s="527" t="s">
        <v>2889</v>
      </c>
      <c r="K787" s="527" t="s">
        <v>2889</v>
      </c>
      <c r="L787" s="527" t="s">
        <v>7017</v>
      </c>
      <c r="M787" s="524"/>
      <c r="N787" s="524"/>
      <c r="O787" s="524"/>
    </row>
    <row r="788" spans="1:15" ht="130.5" hidden="1">
      <c r="A788" s="525">
        <v>590</v>
      </c>
      <c r="B788" s="524" t="str">
        <f>VLOOKUP(A788,'Hours Detail'!$E$17:$H$1048576,4,)</f>
        <v>No</v>
      </c>
      <c r="C788" s="524" t="s">
        <v>132</v>
      </c>
      <c r="D788" s="524" t="s">
        <v>754</v>
      </c>
      <c r="E788" s="524" t="s">
        <v>755</v>
      </c>
      <c r="F788" s="524" t="s">
        <v>755</v>
      </c>
      <c r="G788" s="524" t="s">
        <v>755</v>
      </c>
      <c r="H788" s="524" t="s">
        <v>755</v>
      </c>
      <c r="I788" s="524" t="s">
        <v>7018</v>
      </c>
      <c r="J788" s="524" t="s">
        <v>754</v>
      </c>
      <c r="K788" s="524"/>
      <c r="L788" s="524" t="s">
        <v>6386</v>
      </c>
      <c r="M788" s="524" t="s">
        <v>6424</v>
      </c>
      <c r="N788" s="524" t="s">
        <v>7019</v>
      </c>
      <c r="O788" s="524"/>
    </row>
    <row r="789" spans="1:15" ht="87" hidden="1">
      <c r="A789" s="527">
        <v>590</v>
      </c>
      <c r="B789" s="524" t="str">
        <f>VLOOKUP(A789,'Hours Detail'!$E$17:$H$1048576,4,)</f>
        <v>No</v>
      </c>
      <c r="C789" s="527" t="s">
        <v>132</v>
      </c>
      <c r="D789" s="527" t="s">
        <v>2172</v>
      </c>
      <c r="E789" s="527" t="s">
        <v>754</v>
      </c>
      <c r="F789" s="527" t="s">
        <v>755</v>
      </c>
      <c r="G789" s="527">
        <v>13</v>
      </c>
      <c r="H789" s="527" t="s">
        <v>11</v>
      </c>
      <c r="I789" s="527" t="s">
        <v>2317</v>
      </c>
      <c r="J789" s="527" t="s">
        <v>2889</v>
      </c>
      <c r="K789" s="527" t="s">
        <v>2890</v>
      </c>
      <c r="L789" s="527" t="s">
        <v>7020</v>
      </c>
      <c r="M789" s="524"/>
      <c r="N789" s="524"/>
      <c r="O789" s="524"/>
    </row>
    <row r="790" spans="1:15" ht="58" hidden="1">
      <c r="A790" s="525">
        <v>610</v>
      </c>
      <c r="B790" s="524" t="e">
        <f>VLOOKUP(A790,'Hours Detail'!$E$17:$H$1048576,4,)</f>
        <v>#N/A</v>
      </c>
      <c r="C790" s="524" t="s">
        <v>220</v>
      </c>
      <c r="D790" s="524" t="s">
        <v>790</v>
      </c>
      <c r="E790" s="524" t="s">
        <v>791</v>
      </c>
      <c r="F790" s="524" t="s">
        <v>791</v>
      </c>
      <c r="G790" s="524" t="s">
        <v>791</v>
      </c>
      <c r="H790" s="524" t="s">
        <v>791</v>
      </c>
      <c r="I790" s="524" t="s">
        <v>790</v>
      </c>
      <c r="J790" s="524" t="s">
        <v>790</v>
      </c>
      <c r="K790" s="524"/>
      <c r="L790" s="524" t="s">
        <v>6379</v>
      </c>
      <c r="M790" s="524" t="s">
        <v>6502</v>
      </c>
      <c r="N790" s="524"/>
      <c r="O790" s="524"/>
    </row>
    <row r="791" spans="1:15" ht="58" hidden="1">
      <c r="A791" s="527">
        <v>610</v>
      </c>
      <c r="B791" s="524" t="e">
        <f>VLOOKUP(A791,'Hours Detail'!$E$17:$H$1048576,4,)</f>
        <v>#N/A</v>
      </c>
      <c r="C791" s="527" t="s">
        <v>220</v>
      </c>
      <c r="D791" s="527" t="s">
        <v>770</v>
      </c>
      <c r="E791" s="527" t="s">
        <v>790</v>
      </c>
      <c r="F791" s="527" t="s">
        <v>791</v>
      </c>
      <c r="G791" s="527">
        <v>15</v>
      </c>
      <c r="H791" s="527" t="s">
        <v>768</v>
      </c>
      <c r="I791" s="527" t="s">
        <v>769</v>
      </c>
      <c r="J791" s="527" t="s">
        <v>2890</v>
      </c>
      <c r="K791" s="527" t="s">
        <v>2889</v>
      </c>
      <c r="L791" s="527" t="s">
        <v>6371</v>
      </c>
      <c r="M791" s="524"/>
      <c r="N791" s="524"/>
      <c r="O791" s="524"/>
    </row>
    <row r="792" spans="1:15" ht="58" hidden="1">
      <c r="A792" s="525">
        <v>611</v>
      </c>
      <c r="B792" s="524" t="e">
        <f>VLOOKUP(A792,'Hours Detail'!$E$17:$H$1048576,4,)</f>
        <v>#N/A</v>
      </c>
      <c r="C792" s="524" t="s">
        <v>221</v>
      </c>
      <c r="D792" s="524" t="s">
        <v>792</v>
      </c>
      <c r="E792" s="524" t="s">
        <v>793</v>
      </c>
      <c r="F792" s="524" t="s">
        <v>793</v>
      </c>
      <c r="G792" s="524" t="s">
        <v>793</v>
      </c>
      <c r="H792" s="524" t="s">
        <v>793</v>
      </c>
      <c r="I792" s="524" t="s">
        <v>792</v>
      </c>
      <c r="J792" s="524" t="s">
        <v>792</v>
      </c>
      <c r="K792" s="524"/>
      <c r="L792" s="524" t="s">
        <v>6379</v>
      </c>
      <c r="M792" s="524" t="s">
        <v>6502</v>
      </c>
      <c r="N792" s="524"/>
      <c r="O792" s="524"/>
    </row>
    <row r="793" spans="1:15" ht="58" hidden="1">
      <c r="A793" s="527">
        <v>611</v>
      </c>
      <c r="B793" s="524" t="e">
        <f>VLOOKUP(A793,'Hours Detail'!$E$17:$H$1048576,4,)</f>
        <v>#N/A</v>
      </c>
      <c r="C793" s="527" t="s">
        <v>221</v>
      </c>
      <c r="D793" s="527" t="s">
        <v>770</v>
      </c>
      <c r="E793" s="527" t="s">
        <v>792</v>
      </c>
      <c r="F793" s="527" t="s">
        <v>793</v>
      </c>
      <c r="G793" s="527">
        <v>15</v>
      </c>
      <c r="H793" s="527" t="s">
        <v>768</v>
      </c>
      <c r="I793" s="527" t="s">
        <v>769</v>
      </c>
      <c r="J793" s="527" t="s">
        <v>2890</v>
      </c>
      <c r="K793" s="527" t="s">
        <v>2889</v>
      </c>
      <c r="L793" s="527" t="s">
        <v>6371</v>
      </c>
      <c r="M793" s="524"/>
      <c r="N793" s="524"/>
      <c r="O793" s="524"/>
    </row>
    <row r="794" spans="1:15" ht="72.5" hidden="1">
      <c r="A794" s="524">
        <v>612</v>
      </c>
      <c r="B794" s="524" t="e">
        <f>VLOOKUP(A794,'Hours Detail'!$E$17:$H$1048576,4,)</f>
        <v>#N/A</v>
      </c>
      <c r="C794" s="524" t="s">
        <v>1853</v>
      </c>
      <c r="D794" s="524" t="s">
        <v>1854</v>
      </c>
      <c r="E794" s="524" t="s">
        <v>1855</v>
      </c>
      <c r="F794" s="524" t="s">
        <v>1855</v>
      </c>
      <c r="G794" s="524" t="s">
        <v>1855</v>
      </c>
      <c r="H794" s="524" t="s">
        <v>1855</v>
      </c>
      <c r="I794" s="524" t="s">
        <v>1854</v>
      </c>
      <c r="J794" s="524" t="s">
        <v>1854</v>
      </c>
      <c r="K794" s="524"/>
      <c r="L794" s="524" t="s">
        <v>6379</v>
      </c>
      <c r="M794" s="524" t="s">
        <v>6502</v>
      </c>
      <c r="N794" s="524"/>
      <c r="O794" s="524"/>
    </row>
    <row r="795" spans="1:15" ht="72.5" hidden="1">
      <c r="A795" s="527">
        <v>612</v>
      </c>
      <c r="B795" s="524" t="e">
        <f>VLOOKUP(A795,'Hours Detail'!$E$17:$H$1048576,4,)</f>
        <v>#N/A</v>
      </c>
      <c r="C795" s="527" t="s">
        <v>1853</v>
      </c>
      <c r="D795" s="527" t="s">
        <v>770</v>
      </c>
      <c r="E795" s="527" t="s">
        <v>1854</v>
      </c>
      <c r="F795" s="527" t="s">
        <v>1855</v>
      </c>
      <c r="G795" s="527">
        <v>15</v>
      </c>
      <c r="H795" s="527" t="s">
        <v>768</v>
      </c>
      <c r="I795" s="527" t="s">
        <v>769</v>
      </c>
      <c r="J795" s="527" t="s">
        <v>2890</v>
      </c>
      <c r="K795" s="527" t="s">
        <v>2889</v>
      </c>
      <c r="L795" s="527" t="s">
        <v>6371</v>
      </c>
      <c r="M795" s="524"/>
      <c r="N795" s="524"/>
      <c r="O795" s="524"/>
    </row>
    <row r="796" spans="1:15" ht="87" hidden="1">
      <c r="A796" s="524">
        <v>613</v>
      </c>
      <c r="B796" s="524" t="e">
        <f>VLOOKUP(A796,'Hours Detail'!$E$17:$H$1048576,4,)</f>
        <v>#N/A</v>
      </c>
      <c r="C796" s="524" t="s">
        <v>227</v>
      </c>
      <c r="D796" s="524" t="s">
        <v>771</v>
      </c>
      <c r="E796" s="524" t="s">
        <v>772</v>
      </c>
      <c r="F796" s="524" t="s">
        <v>772</v>
      </c>
      <c r="G796" s="524" t="s">
        <v>772</v>
      </c>
      <c r="H796" s="524" t="s">
        <v>772</v>
      </c>
      <c r="I796" s="524" t="s">
        <v>771</v>
      </c>
      <c r="J796" s="524" t="s">
        <v>771</v>
      </c>
      <c r="K796" s="524"/>
      <c r="L796" s="524" t="s">
        <v>6379</v>
      </c>
      <c r="M796" s="524" t="s">
        <v>6502</v>
      </c>
      <c r="N796" s="524"/>
      <c r="O796" s="524"/>
    </row>
    <row r="797" spans="1:15" ht="72.5" hidden="1">
      <c r="A797" s="527">
        <v>613</v>
      </c>
      <c r="B797" s="524" t="e">
        <f>VLOOKUP(A797,'Hours Detail'!$E$17:$H$1048576,4,)</f>
        <v>#N/A</v>
      </c>
      <c r="C797" s="527" t="s">
        <v>227</v>
      </c>
      <c r="D797" s="527" t="s">
        <v>770</v>
      </c>
      <c r="E797" s="527" t="s">
        <v>771</v>
      </c>
      <c r="F797" s="527" t="s">
        <v>772</v>
      </c>
      <c r="G797" s="527">
        <v>15</v>
      </c>
      <c r="H797" s="527" t="s">
        <v>768</v>
      </c>
      <c r="I797" s="527" t="s">
        <v>769</v>
      </c>
      <c r="J797" s="527" t="s">
        <v>2890</v>
      </c>
      <c r="K797" s="527" t="s">
        <v>2889</v>
      </c>
      <c r="L797" s="527" t="s">
        <v>6371</v>
      </c>
      <c r="M797" s="524"/>
      <c r="N797" s="524"/>
      <c r="O797" s="524"/>
    </row>
    <row r="798" spans="1:15" ht="72.5" hidden="1">
      <c r="A798" s="524">
        <v>614</v>
      </c>
      <c r="B798" s="524" t="e">
        <f>VLOOKUP(A798,'Hours Detail'!$E$17:$H$1048576,4,)</f>
        <v>#N/A</v>
      </c>
      <c r="C798" s="524" t="s">
        <v>1850</v>
      </c>
      <c r="D798" s="524" t="s">
        <v>1851</v>
      </c>
      <c r="E798" s="524" t="s">
        <v>1852</v>
      </c>
      <c r="F798" s="524" t="s">
        <v>1852</v>
      </c>
      <c r="G798" s="524" t="s">
        <v>1852</v>
      </c>
      <c r="H798" s="524" t="s">
        <v>1852</v>
      </c>
      <c r="I798" s="524" t="s">
        <v>1851</v>
      </c>
      <c r="J798" s="524" t="s">
        <v>1851</v>
      </c>
      <c r="K798" s="524"/>
      <c r="L798" s="524" t="s">
        <v>6379</v>
      </c>
      <c r="M798" s="524" t="s">
        <v>6502</v>
      </c>
      <c r="N798" s="524"/>
      <c r="O798" s="524"/>
    </row>
    <row r="799" spans="1:15" ht="72.5" hidden="1">
      <c r="A799" s="527">
        <v>614</v>
      </c>
      <c r="B799" s="524" t="e">
        <f>VLOOKUP(A799,'Hours Detail'!$E$17:$H$1048576,4,)</f>
        <v>#N/A</v>
      </c>
      <c r="C799" s="527" t="s">
        <v>1850</v>
      </c>
      <c r="D799" s="527" t="s">
        <v>770</v>
      </c>
      <c r="E799" s="527" t="s">
        <v>1851</v>
      </c>
      <c r="F799" s="527" t="s">
        <v>1852</v>
      </c>
      <c r="G799" s="527">
        <v>15</v>
      </c>
      <c r="H799" s="527" t="s">
        <v>768</v>
      </c>
      <c r="I799" s="527" t="s">
        <v>769</v>
      </c>
      <c r="J799" s="527" t="s">
        <v>2890</v>
      </c>
      <c r="K799" s="527" t="s">
        <v>2889</v>
      </c>
      <c r="L799" s="527" t="s">
        <v>6371</v>
      </c>
      <c r="M799" s="524"/>
      <c r="N799" s="524"/>
      <c r="O799" s="524"/>
    </row>
    <row r="800" spans="1:15" ht="29" hidden="1">
      <c r="A800" s="524">
        <v>615</v>
      </c>
      <c r="B800" s="524" t="e">
        <f>VLOOKUP(A800,'Hours Detail'!$E$17:$H$1048576,4,)</f>
        <v>#N/A</v>
      </c>
      <c r="C800" s="524" t="s">
        <v>1847</v>
      </c>
      <c r="D800" s="524" t="s">
        <v>1848</v>
      </c>
      <c r="E800" s="524" t="s">
        <v>1849</v>
      </c>
      <c r="F800" s="524" t="s">
        <v>1849</v>
      </c>
      <c r="G800" s="524" t="s">
        <v>1849</v>
      </c>
      <c r="H800" s="524" t="s">
        <v>1849</v>
      </c>
      <c r="I800" s="524" t="s">
        <v>1848</v>
      </c>
      <c r="J800" s="524" t="s">
        <v>1848</v>
      </c>
      <c r="K800" s="524"/>
      <c r="L800" s="524" t="s">
        <v>6379</v>
      </c>
      <c r="M800" s="524" t="s">
        <v>6502</v>
      </c>
      <c r="N800" s="524"/>
      <c r="O800" s="524"/>
    </row>
    <row r="801" spans="1:15" ht="58" hidden="1">
      <c r="A801" s="527">
        <v>615</v>
      </c>
      <c r="B801" s="524" t="e">
        <f>VLOOKUP(A801,'Hours Detail'!$E$17:$H$1048576,4,)</f>
        <v>#N/A</v>
      </c>
      <c r="C801" s="527" t="s">
        <v>1847</v>
      </c>
      <c r="D801" s="527" t="s">
        <v>770</v>
      </c>
      <c r="E801" s="527" t="s">
        <v>1848</v>
      </c>
      <c r="F801" s="527" t="s">
        <v>1849</v>
      </c>
      <c r="G801" s="527">
        <v>15</v>
      </c>
      <c r="H801" s="527" t="s">
        <v>768</v>
      </c>
      <c r="I801" s="527" t="s">
        <v>769</v>
      </c>
      <c r="J801" s="527" t="s">
        <v>2890</v>
      </c>
      <c r="K801" s="527" t="s">
        <v>2889</v>
      </c>
      <c r="L801" s="527" t="s">
        <v>6371</v>
      </c>
      <c r="M801" s="524"/>
      <c r="N801" s="524"/>
      <c r="O801" s="524"/>
    </row>
    <row r="802" spans="1:15" ht="43.5" hidden="1">
      <c r="A802" s="524">
        <v>616</v>
      </c>
      <c r="B802" s="524" t="e">
        <f>VLOOKUP(A802,'Hours Detail'!$E$17:$H$1048576,4,)</f>
        <v>#N/A</v>
      </c>
      <c r="C802" s="524" t="s">
        <v>1844</v>
      </c>
      <c r="D802" s="524" t="s">
        <v>1845</v>
      </c>
      <c r="E802" s="524" t="s">
        <v>1846</v>
      </c>
      <c r="F802" s="524" t="s">
        <v>1846</v>
      </c>
      <c r="G802" s="524" t="s">
        <v>1846</v>
      </c>
      <c r="H802" s="524" t="s">
        <v>1846</v>
      </c>
      <c r="I802" s="524" t="s">
        <v>7021</v>
      </c>
      <c r="J802" s="524" t="s">
        <v>1845</v>
      </c>
      <c r="K802" s="524"/>
      <c r="L802" s="524" t="s">
        <v>6414</v>
      </c>
      <c r="M802" s="524" t="s">
        <v>6415</v>
      </c>
      <c r="N802" s="524"/>
      <c r="O802" s="524"/>
    </row>
    <row r="803" spans="1:15" ht="58" hidden="1">
      <c r="A803" s="527">
        <v>616</v>
      </c>
      <c r="B803" s="524" t="e">
        <f>VLOOKUP(A803,'Hours Detail'!$E$17:$H$1048576,4,)</f>
        <v>#N/A</v>
      </c>
      <c r="C803" s="527" t="s">
        <v>1844</v>
      </c>
      <c r="D803" s="527" t="s">
        <v>770</v>
      </c>
      <c r="E803" s="527" t="s">
        <v>1845</v>
      </c>
      <c r="F803" s="527" t="s">
        <v>1846</v>
      </c>
      <c r="G803" s="527">
        <v>15</v>
      </c>
      <c r="H803" s="527" t="s">
        <v>768</v>
      </c>
      <c r="I803" s="527" t="s">
        <v>769</v>
      </c>
      <c r="J803" s="527" t="s">
        <v>2890</v>
      </c>
      <c r="K803" s="527" t="s">
        <v>2889</v>
      </c>
      <c r="L803" s="527" t="s">
        <v>6371</v>
      </c>
      <c r="M803" s="524"/>
      <c r="N803" s="524"/>
      <c r="O803" s="524"/>
    </row>
    <row r="804" spans="1:15" ht="58" hidden="1">
      <c r="A804" s="525">
        <v>617</v>
      </c>
      <c r="B804" s="524" t="e">
        <f>VLOOKUP(A804,'Hours Detail'!$E$17:$H$1048576,4,)</f>
        <v>#N/A</v>
      </c>
      <c r="C804" s="524" t="s">
        <v>219</v>
      </c>
      <c r="D804" s="524" t="s">
        <v>7023</v>
      </c>
      <c r="E804" s="524" t="s">
        <v>219</v>
      </c>
      <c r="F804" s="524" t="s">
        <v>219</v>
      </c>
      <c r="G804" s="524" t="s">
        <v>219</v>
      </c>
      <c r="H804" s="524" t="s">
        <v>219</v>
      </c>
      <c r="I804" s="524" t="s">
        <v>7022</v>
      </c>
      <c r="J804" s="524" t="s">
        <v>7023</v>
      </c>
      <c r="K804" s="524"/>
      <c r="L804" s="524" t="s">
        <v>6379</v>
      </c>
      <c r="M804" s="524" t="s">
        <v>6502</v>
      </c>
      <c r="N804" s="524" t="s">
        <v>7024</v>
      </c>
      <c r="O804" s="524"/>
    </row>
    <row r="805" spans="1:15" ht="87" hidden="1">
      <c r="A805" s="527">
        <v>617</v>
      </c>
      <c r="B805" s="524" t="e">
        <f>VLOOKUP(A805,'Hours Detail'!$E$17:$H$1048576,4,)</f>
        <v>#N/A</v>
      </c>
      <c r="C805" s="527" t="s">
        <v>219</v>
      </c>
      <c r="D805" s="527" t="s">
        <v>770</v>
      </c>
      <c r="E805" s="527" t="s">
        <v>787</v>
      </c>
      <c r="F805" s="527" t="s">
        <v>219</v>
      </c>
      <c r="G805" s="527">
        <v>15</v>
      </c>
      <c r="H805" s="527" t="s">
        <v>768</v>
      </c>
      <c r="I805" s="527" t="s">
        <v>769</v>
      </c>
      <c r="J805" s="527" t="s">
        <v>2890</v>
      </c>
      <c r="K805" s="527" t="s">
        <v>2889</v>
      </c>
      <c r="L805" s="527" t="s">
        <v>7025</v>
      </c>
      <c r="M805" s="524"/>
      <c r="N805" s="524"/>
      <c r="O805" s="524"/>
    </row>
    <row r="806" spans="1:15" ht="101.5" hidden="1">
      <c r="A806" s="525">
        <v>697</v>
      </c>
      <c r="B806" s="524" t="e">
        <f>VLOOKUP(A806,'Hours Detail'!$E$17:$H$1048576,4,)</f>
        <v>#N/A</v>
      </c>
      <c r="C806" s="524" t="s">
        <v>7026</v>
      </c>
      <c r="D806" s="524" t="s">
        <v>5716</v>
      </c>
      <c r="E806" s="524" t="s">
        <v>5715</v>
      </c>
      <c r="F806" s="524" t="s">
        <v>5715</v>
      </c>
      <c r="G806" s="524" t="s">
        <v>5715</v>
      </c>
      <c r="H806" s="524" t="s">
        <v>5715</v>
      </c>
      <c r="I806" s="524" t="s">
        <v>7027</v>
      </c>
      <c r="J806" s="524" t="s">
        <v>5716</v>
      </c>
      <c r="K806" s="524" t="s">
        <v>6359</v>
      </c>
      <c r="L806" s="524" t="s">
        <v>6376</v>
      </c>
      <c r="M806" s="524" t="s">
        <v>6377</v>
      </c>
      <c r="N806" s="524"/>
      <c r="O806" s="524"/>
    </row>
    <row r="807" spans="1:15" ht="145">
      <c r="A807" s="525">
        <v>705</v>
      </c>
      <c r="B807" s="524" t="str">
        <f>VLOOKUP(A807,'Hours Detail'!$E$17:$H$1048576,4,)</f>
        <v>No</v>
      </c>
      <c r="C807" s="524" t="s">
        <v>159</v>
      </c>
      <c r="D807" s="524" t="s">
        <v>487</v>
      </c>
      <c r="E807" s="524" t="s">
        <v>159</v>
      </c>
      <c r="F807" s="524" t="s">
        <v>159</v>
      </c>
      <c r="G807" s="524" t="s">
        <v>159</v>
      </c>
      <c r="H807" s="524" t="s">
        <v>159</v>
      </c>
      <c r="I807" s="524" t="s">
        <v>7028</v>
      </c>
      <c r="J807" s="524" t="s">
        <v>487</v>
      </c>
      <c r="K807" s="524" t="s">
        <v>6359</v>
      </c>
      <c r="L807" s="524" t="s">
        <v>6399</v>
      </c>
      <c r="M807" s="524" t="s">
        <v>6613</v>
      </c>
      <c r="N807" s="524" t="s">
        <v>7029</v>
      </c>
      <c r="O807" s="524"/>
    </row>
    <row r="808" spans="1:15" ht="130.5">
      <c r="A808" s="524">
        <v>705</v>
      </c>
      <c r="B808" s="524" t="str">
        <f>VLOOKUP(A808,'Hours Detail'!$E$17:$H$1048576,4,)</f>
        <v>No</v>
      </c>
      <c r="C808" s="524" t="s">
        <v>159</v>
      </c>
      <c r="D808" s="527" t="s">
        <v>470</v>
      </c>
      <c r="E808" s="527" t="s">
        <v>487</v>
      </c>
      <c r="F808" s="527" t="s">
        <v>159</v>
      </c>
      <c r="G808" s="527">
        <v>3</v>
      </c>
      <c r="H808" s="527" t="s">
        <v>149</v>
      </c>
      <c r="I808" s="527" t="s">
        <v>468</v>
      </c>
      <c r="J808" s="527" t="s">
        <v>2889</v>
      </c>
      <c r="K808" s="527" t="s">
        <v>2889</v>
      </c>
      <c r="L808" s="527" t="s">
        <v>7030</v>
      </c>
      <c r="M808" s="524"/>
      <c r="N808" s="524"/>
      <c r="O808" s="524"/>
    </row>
    <row r="809" spans="1:15" ht="58" hidden="1">
      <c r="A809" s="525">
        <v>718</v>
      </c>
      <c r="B809" s="524" t="str">
        <f>VLOOKUP(A809,'Hours Detail'!$E$17:$H$1048576,4,)</f>
        <v>No</v>
      </c>
      <c r="C809" s="524" t="s">
        <v>40</v>
      </c>
      <c r="D809" s="524" t="s">
        <v>916</v>
      </c>
      <c r="E809" s="524" t="s">
        <v>917</v>
      </c>
      <c r="F809" s="524" t="s">
        <v>917</v>
      </c>
      <c r="G809" s="524" t="s">
        <v>917</v>
      </c>
      <c r="H809" s="524" t="s">
        <v>917</v>
      </c>
      <c r="I809" s="524" t="s">
        <v>7031</v>
      </c>
      <c r="J809" s="524" t="s">
        <v>916</v>
      </c>
      <c r="K809" s="524" t="s">
        <v>6359</v>
      </c>
      <c r="L809" s="524" t="s">
        <v>6368</v>
      </c>
      <c r="M809" s="524" t="s">
        <v>2573</v>
      </c>
      <c r="N809" s="524" t="s">
        <v>7032</v>
      </c>
      <c r="O809" s="524"/>
    </row>
    <row r="810" spans="1:15" ht="72.5" hidden="1">
      <c r="A810" s="527">
        <v>718</v>
      </c>
      <c r="B810" s="524" t="str">
        <f>VLOOKUP(A810,'Hours Detail'!$E$17:$H$1048576,4,)</f>
        <v>No</v>
      </c>
      <c r="C810" s="527" t="s">
        <v>40</v>
      </c>
      <c r="D810" s="527" t="s">
        <v>891</v>
      </c>
      <c r="E810" s="527" t="s">
        <v>916</v>
      </c>
      <c r="F810" s="527" t="s">
        <v>917</v>
      </c>
      <c r="G810" s="527">
        <v>23</v>
      </c>
      <c r="H810" s="527" t="s">
        <v>7</v>
      </c>
      <c r="I810" s="527" t="s">
        <v>890</v>
      </c>
      <c r="J810" s="527" t="s">
        <v>2889</v>
      </c>
      <c r="K810" s="527" t="s">
        <v>2889</v>
      </c>
      <c r="L810" s="527" t="s">
        <v>7033</v>
      </c>
      <c r="M810" s="524"/>
      <c r="N810" s="524"/>
      <c r="O810" s="524"/>
    </row>
    <row r="811" spans="1:15" ht="43.5" hidden="1">
      <c r="A811" s="525">
        <v>719</v>
      </c>
      <c r="B811" s="524" t="e">
        <f>VLOOKUP(A811,'Hours Detail'!$E$17:$H$1048576,4,)</f>
        <v>#N/A</v>
      </c>
      <c r="C811" s="524" t="s">
        <v>38</v>
      </c>
      <c r="D811" s="524" t="s">
        <v>931</v>
      </c>
      <c r="E811" s="524" t="s">
        <v>932</v>
      </c>
      <c r="F811" s="524" t="s">
        <v>932</v>
      </c>
      <c r="G811" s="524" t="s">
        <v>932</v>
      </c>
      <c r="H811" s="524" t="s">
        <v>932</v>
      </c>
      <c r="I811" s="524" t="s">
        <v>7034</v>
      </c>
      <c r="J811" s="524" t="s">
        <v>931</v>
      </c>
      <c r="K811" s="524" t="s">
        <v>6359</v>
      </c>
      <c r="L811" s="524" t="s">
        <v>6368</v>
      </c>
      <c r="M811" s="524" t="s">
        <v>2573</v>
      </c>
      <c r="N811" s="524" t="s">
        <v>7035</v>
      </c>
      <c r="O811" s="524"/>
    </row>
    <row r="812" spans="1:15" ht="43.5" hidden="1">
      <c r="A812" s="527">
        <v>719</v>
      </c>
      <c r="B812" s="524" t="e">
        <f>VLOOKUP(A812,'Hours Detail'!$E$17:$H$1048576,4,)</f>
        <v>#N/A</v>
      </c>
      <c r="C812" s="527" t="s">
        <v>38</v>
      </c>
      <c r="D812" s="527" t="s">
        <v>891</v>
      </c>
      <c r="E812" s="527" t="s">
        <v>931</v>
      </c>
      <c r="F812" s="527" t="s">
        <v>932</v>
      </c>
      <c r="G812" s="527">
        <v>23</v>
      </c>
      <c r="H812" s="527" t="s">
        <v>7</v>
      </c>
      <c r="I812" s="527" t="s">
        <v>890</v>
      </c>
      <c r="J812" s="527" t="s">
        <v>2890</v>
      </c>
      <c r="K812" s="527" t="s">
        <v>2889</v>
      </c>
      <c r="L812" s="527" t="s">
        <v>7036</v>
      </c>
      <c r="M812" s="524"/>
      <c r="N812" s="524"/>
      <c r="O812" s="524"/>
    </row>
    <row r="813" spans="1:15" ht="58" hidden="1">
      <c r="A813" s="525">
        <v>722</v>
      </c>
      <c r="B813" s="524" t="str">
        <f>VLOOKUP(A813,'Hours Detail'!$E$17:$H$1048576,4,)</f>
        <v>No</v>
      </c>
      <c r="C813" s="524" t="s">
        <v>37</v>
      </c>
      <c r="D813" s="524" t="s">
        <v>933</v>
      </c>
      <c r="E813" s="524" t="s">
        <v>934</v>
      </c>
      <c r="F813" s="524" t="s">
        <v>934</v>
      </c>
      <c r="G813" s="524" t="s">
        <v>934</v>
      </c>
      <c r="H813" s="524" t="s">
        <v>934</v>
      </c>
      <c r="I813" s="524" t="s">
        <v>7037</v>
      </c>
      <c r="J813" s="524" t="s">
        <v>933</v>
      </c>
      <c r="K813" s="524" t="s">
        <v>6359</v>
      </c>
      <c r="L813" s="524" t="s">
        <v>6368</v>
      </c>
      <c r="M813" s="524" t="s">
        <v>2573</v>
      </c>
      <c r="N813" s="524" t="s">
        <v>7038</v>
      </c>
      <c r="O813" s="524"/>
    </row>
    <row r="814" spans="1:15" ht="87" hidden="1">
      <c r="A814" s="527">
        <v>722</v>
      </c>
      <c r="B814" s="524" t="str">
        <f>VLOOKUP(A814,'Hours Detail'!$E$17:$H$1048576,4,)</f>
        <v>No</v>
      </c>
      <c r="C814" s="527" t="s">
        <v>37</v>
      </c>
      <c r="D814" s="527" t="s">
        <v>891</v>
      </c>
      <c r="E814" s="527" t="s">
        <v>933</v>
      </c>
      <c r="F814" s="527" t="s">
        <v>934</v>
      </c>
      <c r="G814" s="527">
        <v>23</v>
      </c>
      <c r="H814" s="527" t="s">
        <v>7</v>
      </c>
      <c r="I814" s="527" t="s">
        <v>890</v>
      </c>
      <c r="J814" s="527" t="s">
        <v>2889</v>
      </c>
      <c r="K814" s="527" t="s">
        <v>2889</v>
      </c>
      <c r="L814" s="527" t="s">
        <v>7039</v>
      </c>
      <c r="M814" s="524"/>
      <c r="N814" s="524"/>
      <c r="O814" s="524"/>
    </row>
    <row r="815" spans="1:15" ht="43.5" hidden="1">
      <c r="A815" s="525">
        <v>723</v>
      </c>
      <c r="B815" s="524" t="str">
        <f>VLOOKUP(A815,'Hours Detail'!$E$17:$H$1048576,4,)</f>
        <v>No</v>
      </c>
      <c r="C815" s="524" t="s">
        <v>233</v>
      </c>
      <c r="D815" s="524" t="s">
        <v>4015</v>
      </c>
      <c r="E815" s="524" t="s">
        <v>902</v>
      </c>
      <c r="F815" s="524" t="s">
        <v>902</v>
      </c>
      <c r="G815" s="524" t="s">
        <v>902</v>
      </c>
      <c r="H815" s="524" t="s">
        <v>902</v>
      </c>
      <c r="I815" s="524" t="s">
        <v>7040</v>
      </c>
      <c r="J815" s="524" t="s">
        <v>4015</v>
      </c>
      <c r="K815" s="524" t="s">
        <v>6359</v>
      </c>
      <c r="L815" s="524" t="s">
        <v>6368</v>
      </c>
      <c r="M815" s="524" t="s">
        <v>2573</v>
      </c>
      <c r="N815" s="524" t="s">
        <v>7041</v>
      </c>
      <c r="O815" s="524"/>
    </row>
    <row r="816" spans="1:15" ht="43.5" hidden="1">
      <c r="A816" s="527">
        <v>723</v>
      </c>
      <c r="B816" s="524" t="str">
        <f>VLOOKUP(A816,'Hours Detail'!$E$17:$H$1048576,4,)</f>
        <v>No</v>
      </c>
      <c r="C816" s="527" t="s">
        <v>233</v>
      </c>
      <c r="D816" s="527" t="s">
        <v>891</v>
      </c>
      <c r="E816" s="527" t="s">
        <v>901</v>
      </c>
      <c r="F816" s="527" t="s">
        <v>902</v>
      </c>
      <c r="G816" s="527">
        <v>23</v>
      </c>
      <c r="H816" s="527" t="s">
        <v>7</v>
      </c>
      <c r="I816" s="527" t="s">
        <v>890</v>
      </c>
      <c r="J816" s="527" t="s">
        <v>2889</v>
      </c>
      <c r="K816" s="527" t="s">
        <v>2889</v>
      </c>
      <c r="L816" s="527" t="s">
        <v>7042</v>
      </c>
      <c r="M816" s="524"/>
      <c r="N816" s="524"/>
      <c r="O816" s="524"/>
    </row>
    <row r="817" spans="1:15" ht="43.5" hidden="1">
      <c r="A817" s="525">
        <v>724</v>
      </c>
      <c r="B817" s="524" t="e">
        <f>VLOOKUP(A817,'Hours Detail'!$E$17:$H$1048576,4,)</f>
        <v>#N/A</v>
      </c>
      <c r="C817" s="524" t="s">
        <v>4018</v>
      </c>
      <c r="D817" s="524" t="s">
        <v>4017</v>
      </c>
      <c r="E817" s="524" t="s">
        <v>4016</v>
      </c>
      <c r="F817" s="524" t="s">
        <v>4016</v>
      </c>
      <c r="G817" s="524" t="s">
        <v>4016</v>
      </c>
      <c r="H817" s="524" t="s">
        <v>4016</v>
      </c>
      <c r="I817" s="524" t="s">
        <v>7043</v>
      </c>
      <c r="J817" s="524" t="s">
        <v>4017</v>
      </c>
      <c r="K817" s="524"/>
      <c r="L817" s="524" t="s">
        <v>6368</v>
      </c>
      <c r="M817" s="524" t="s">
        <v>2573</v>
      </c>
      <c r="N817" s="524"/>
      <c r="O817" s="524"/>
    </row>
    <row r="818" spans="1:15" ht="29" hidden="1">
      <c r="A818" s="525">
        <v>725</v>
      </c>
      <c r="B818" s="524" t="str">
        <f>VLOOKUP(A818,'Hours Detail'!$E$17:$H$1048576,4,)</f>
        <v>No</v>
      </c>
      <c r="C818" s="524" t="s">
        <v>39</v>
      </c>
      <c r="D818" s="524" t="s">
        <v>929</v>
      </c>
      <c r="E818" s="524" t="s">
        <v>930</v>
      </c>
      <c r="F818" s="524" t="s">
        <v>930</v>
      </c>
      <c r="G818" s="524" t="s">
        <v>930</v>
      </c>
      <c r="H818" s="524" t="s">
        <v>930</v>
      </c>
      <c r="I818" s="524" t="s">
        <v>7044</v>
      </c>
      <c r="J818" s="524" t="s">
        <v>929</v>
      </c>
      <c r="K818" s="524" t="s">
        <v>6359</v>
      </c>
      <c r="L818" s="524" t="s">
        <v>6368</v>
      </c>
      <c r="M818" s="524" t="s">
        <v>2573</v>
      </c>
      <c r="N818" s="524"/>
      <c r="O818" s="524"/>
    </row>
    <row r="819" spans="1:15" ht="72.5" hidden="1">
      <c r="A819" s="527">
        <v>725</v>
      </c>
      <c r="B819" s="524" t="str">
        <f>VLOOKUP(A819,'Hours Detail'!$E$17:$H$1048576,4,)</f>
        <v>No</v>
      </c>
      <c r="C819" s="527" t="s">
        <v>39</v>
      </c>
      <c r="D819" s="527" t="s">
        <v>891</v>
      </c>
      <c r="E819" s="527" t="s">
        <v>929</v>
      </c>
      <c r="F819" s="527" t="s">
        <v>930</v>
      </c>
      <c r="G819" s="527">
        <v>23</v>
      </c>
      <c r="H819" s="527" t="s">
        <v>7</v>
      </c>
      <c r="I819" s="527" t="s">
        <v>890</v>
      </c>
      <c r="J819" s="527" t="s">
        <v>2889</v>
      </c>
      <c r="K819" s="527" t="s">
        <v>2889</v>
      </c>
      <c r="L819" s="527" t="s">
        <v>7045</v>
      </c>
      <c r="M819" s="524"/>
      <c r="N819" s="524"/>
      <c r="O819" s="524"/>
    </row>
    <row r="820" spans="1:15" ht="72.5" hidden="1">
      <c r="A820" s="525">
        <v>728</v>
      </c>
      <c r="B820" s="524" t="e">
        <f>VLOOKUP(A820,'Hours Detail'!$E$17:$H$1048576,4,)</f>
        <v>#N/A</v>
      </c>
      <c r="C820" s="524" t="s">
        <v>4025</v>
      </c>
      <c r="D820" s="524" t="s">
        <v>4024</v>
      </c>
      <c r="E820" s="524" t="s">
        <v>4023</v>
      </c>
      <c r="F820" s="524" t="s">
        <v>4023</v>
      </c>
      <c r="G820" s="524" t="s">
        <v>4023</v>
      </c>
      <c r="H820" s="524" t="s">
        <v>4023</v>
      </c>
      <c r="I820" s="524" t="s">
        <v>7046</v>
      </c>
      <c r="J820" s="524" t="s">
        <v>4024</v>
      </c>
      <c r="K820" s="524"/>
      <c r="L820" s="524" t="s">
        <v>6368</v>
      </c>
      <c r="M820" s="524" t="s">
        <v>2573</v>
      </c>
      <c r="N820" s="524"/>
      <c r="O820" s="524"/>
    </row>
    <row r="821" spans="1:15" ht="29" hidden="1">
      <c r="A821" s="525">
        <v>746</v>
      </c>
      <c r="B821" s="524" t="str">
        <f>VLOOKUP(A821,'Hours Detail'!$E$17:$H$1048576,4,)</f>
        <v>No</v>
      </c>
      <c r="C821" s="524" t="s">
        <v>36</v>
      </c>
      <c r="D821" s="524" t="s">
        <v>918</v>
      </c>
      <c r="E821" s="524" t="s">
        <v>919</v>
      </c>
      <c r="F821" s="524" t="s">
        <v>919</v>
      </c>
      <c r="G821" s="524" t="s">
        <v>919</v>
      </c>
      <c r="H821" s="524" t="s">
        <v>919</v>
      </c>
      <c r="I821" s="524" t="s">
        <v>7047</v>
      </c>
      <c r="J821" s="524" t="s">
        <v>7048</v>
      </c>
      <c r="K821" s="524" t="s">
        <v>6359</v>
      </c>
      <c r="L821" s="524" t="s">
        <v>6368</v>
      </c>
      <c r="M821" s="524" t="s">
        <v>2573</v>
      </c>
      <c r="N821" s="524" t="s">
        <v>7049</v>
      </c>
      <c r="O821" s="524"/>
    </row>
    <row r="822" spans="1:15" ht="43.5" hidden="1">
      <c r="A822" s="527">
        <v>746</v>
      </c>
      <c r="B822" s="524" t="str">
        <f>VLOOKUP(A822,'Hours Detail'!$E$17:$H$1048576,4,)</f>
        <v>No</v>
      </c>
      <c r="C822" s="527" t="s">
        <v>36</v>
      </c>
      <c r="D822" s="527" t="s">
        <v>891</v>
      </c>
      <c r="E822" s="527" t="s">
        <v>918</v>
      </c>
      <c r="F822" s="527" t="s">
        <v>919</v>
      </c>
      <c r="G822" s="527">
        <v>23</v>
      </c>
      <c r="H822" s="527" t="s">
        <v>7</v>
      </c>
      <c r="I822" s="527" t="s">
        <v>890</v>
      </c>
      <c r="J822" s="527" t="s">
        <v>2889</v>
      </c>
      <c r="K822" s="527" t="s">
        <v>2889</v>
      </c>
      <c r="L822" s="527" t="s">
        <v>7050</v>
      </c>
      <c r="M822" s="524"/>
      <c r="N822" s="524"/>
      <c r="O822" s="524"/>
    </row>
    <row r="823" spans="1:15" ht="29" hidden="1">
      <c r="A823" s="525">
        <v>750</v>
      </c>
      <c r="B823" s="524" t="e">
        <f>VLOOKUP(A823,'Hours Detail'!$E$17:$H$1048576,4,)</f>
        <v>#N/A</v>
      </c>
      <c r="C823" s="524" t="s">
        <v>827</v>
      </c>
      <c r="D823" s="524" t="s">
        <v>828</v>
      </c>
      <c r="E823" s="524" t="s">
        <v>827</v>
      </c>
      <c r="F823" s="524" t="s">
        <v>827</v>
      </c>
      <c r="G823" s="524" t="s">
        <v>827</v>
      </c>
      <c r="H823" s="524" t="s">
        <v>827</v>
      </c>
      <c r="I823" s="524" t="s">
        <v>7051</v>
      </c>
      <c r="J823" s="524" t="s">
        <v>7052</v>
      </c>
      <c r="K823" s="524"/>
      <c r="L823" s="524" t="s">
        <v>6414</v>
      </c>
      <c r="M823" s="524" t="s">
        <v>6415</v>
      </c>
      <c r="N823" s="524"/>
      <c r="O823" s="524"/>
    </row>
    <row r="824" spans="1:15" ht="58" hidden="1">
      <c r="A824" s="527">
        <v>750</v>
      </c>
      <c r="B824" s="524" t="e">
        <f>VLOOKUP(A824,'Hours Detail'!$E$17:$H$1048576,4,)</f>
        <v>#N/A</v>
      </c>
      <c r="C824" s="527" t="s">
        <v>827</v>
      </c>
      <c r="D824" s="527" t="s">
        <v>2785</v>
      </c>
      <c r="E824" s="527" t="s">
        <v>828</v>
      </c>
      <c r="F824" s="527" t="s">
        <v>827</v>
      </c>
      <c r="G824" s="527">
        <v>22</v>
      </c>
      <c r="H824" s="527" t="s">
        <v>2783</v>
      </c>
      <c r="I824" s="527" t="s">
        <v>2784</v>
      </c>
      <c r="J824" s="527" t="s">
        <v>2890</v>
      </c>
      <c r="K824" s="527" t="s">
        <v>2890</v>
      </c>
      <c r="L824" s="527" t="s">
        <v>6371</v>
      </c>
      <c r="M824" s="524"/>
      <c r="N824" s="524"/>
      <c r="O824" s="524"/>
    </row>
    <row r="825" spans="1:15" ht="29" hidden="1">
      <c r="A825" s="525">
        <v>751</v>
      </c>
      <c r="B825" s="524" t="e">
        <f>VLOOKUP(A825,'Hours Detail'!$E$17:$H$1048576,4,)</f>
        <v>#N/A</v>
      </c>
      <c r="C825" s="524" t="s">
        <v>856</v>
      </c>
      <c r="D825" s="524" t="s">
        <v>857</v>
      </c>
      <c r="E825" s="524" t="s">
        <v>856</v>
      </c>
      <c r="F825" s="524" t="s">
        <v>856</v>
      </c>
      <c r="G825" s="524" t="s">
        <v>856</v>
      </c>
      <c r="H825" s="524" t="s">
        <v>856</v>
      </c>
      <c r="I825" s="524" t="s">
        <v>857</v>
      </c>
      <c r="J825" s="524" t="s">
        <v>857</v>
      </c>
      <c r="K825" s="524"/>
      <c r="L825" s="524" t="s">
        <v>6414</v>
      </c>
      <c r="M825" s="524" t="s">
        <v>6415</v>
      </c>
      <c r="N825" s="524"/>
      <c r="O825" s="524"/>
    </row>
    <row r="826" spans="1:15" ht="58" hidden="1">
      <c r="A826" s="527">
        <v>751</v>
      </c>
      <c r="B826" s="524" t="e">
        <f>VLOOKUP(A826,'Hours Detail'!$E$17:$H$1048576,4,)</f>
        <v>#N/A</v>
      </c>
      <c r="C826" s="527" t="s">
        <v>856</v>
      </c>
      <c r="D826" s="527" t="s">
        <v>2785</v>
      </c>
      <c r="E826" s="527" t="s">
        <v>857</v>
      </c>
      <c r="F826" s="527" t="s">
        <v>856</v>
      </c>
      <c r="G826" s="527">
        <v>22</v>
      </c>
      <c r="H826" s="527" t="s">
        <v>2783</v>
      </c>
      <c r="I826" s="527" t="s">
        <v>2784</v>
      </c>
      <c r="J826" s="527" t="s">
        <v>2890</v>
      </c>
      <c r="K826" s="527" t="s">
        <v>2890</v>
      </c>
      <c r="L826" s="527" t="s">
        <v>6371</v>
      </c>
      <c r="M826" s="524"/>
      <c r="N826" s="524"/>
      <c r="O826" s="524"/>
    </row>
    <row r="827" spans="1:15" ht="29" hidden="1">
      <c r="A827" s="525">
        <v>752</v>
      </c>
      <c r="B827" s="524" t="e">
        <f>VLOOKUP(A827,'Hours Detail'!$E$17:$H$1048576,4,)</f>
        <v>#N/A</v>
      </c>
      <c r="C827" s="524" t="s">
        <v>204</v>
      </c>
      <c r="D827" s="524" t="s">
        <v>664</v>
      </c>
      <c r="E827" s="524" t="s">
        <v>204</v>
      </c>
      <c r="F827" s="524" t="s">
        <v>204</v>
      </c>
      <c r="G827" s="524" t="s">
        <v>204</v>
      </c>
      <c r="H827" s="524" t="s">
        <v>204</v>
      </c>
      <c r="I827" s="524" t="s">
        <v>7053</v>
      </c>
      <c r="J827" s="524" t="s">
        <v>664</v>
      </c>
      <c r="K827" s="524"/>
      <c r="L827" s="524" t="s">
        <v>6414</v>
      </c>
      <c r="M827" s="524" t="s">
        <v>6415</v>
      </c>
      <c r="N827" s="524"/>
      <c r="O827" s="524"/>
    </row>
    <row r="828" spans="1:15" ht="58" hidden="1">
      <c r="A828" s="527">
        <v>752</v>
      </c>
      <c r="B828" s="524" t="e">
        <f>VLOOKUP(A828,'Hours Detail'!$E$17:$H$1048576,4,)</f>
        <v>#N/A</v>
      </c>
      <c r="C828" s="527" t="s">
        <v>204</v>
      </c>
      <c r="D828" s="527" t="s">
        <v>2785</v>
      </c>
      <c r="E828" s="527" t="s">
        <v>664</v>
      </c>
      <c r="F828" s="527" t="s">
        <v>204</v>
      </c>
      <c r="G828" s="527">
        <v>22</v>
      </c>
      <c r="H828" s="527" t="s">
        <v>2783</v>
      </c>
      <c r="I828" s="527" t="s">
        <v>2784</v>
      </c>
      <c r="J828" s="527" t="s">
        <v>2890</v>
      </c>
      <c r="K828" s="527" t="s">
        <v>2890</v>
      </c>
      <c r="L828" s="527" t="s">
        <v>6371</v>
      </c>
      <c r="M828" s="524"/>
      <c r="N828" s="524"/>
      <c r="O828" s="524"/>
    </row>
    <row r="829" spans="1:15" ht="29" hidden="1">
      <c r="A829" s="524">
        <v>753</v>
      </c>
      <c r="B829" s="524" t="e">
        <f>VLOOKUP(A829,'Hours Detail'!$E$17:$H$1048576,4,)</f>
        <v>#N/A</v>
      </c>
      <c r="C829" s="524" t="s">
        <v>858</v>
      </c>
      <c r="D829" s="524" t="s">
        <v>859</v>
      </c>
      <c r="E829" s="524" t="s">
        <v>858</v>
      </c>
      <c r="F829" s="524" t="s">
        <v>858</v>
      </c>
      <c r="G829" s="524" t="s">
        <v>858</v>
      </c>
      <c r="H829" s="524" t="s">
        <v>858</v>
      </c>
      <c r="I829" s="524" t="s">
        <v>7054</v>
      </c>
      <c r="J829" s="524" t="s">
        <v>7055</v>
      </c>
      <c r="K829" s="524"/>
      <c r="L829" s="524" t="s">
        <v>6414</v>
      </c>
      <c r="M829" s="524" t="s">
        <v>6415</v>
      </c>
      <c r="N829" s="524"/>
      <c r="O829" s="524"/>
    </row>
    <row r="830" spans="1:15" ht="58" hidden="1">
      <c r="A830" s="527">
        <v>753</v>
      </c>
      <c r="B830" s="524" t="e">
        <f>VLOOKUP(A830,'Hours Detail'!$E$17:$H$1048576,4,)</f>
        <v>#N/A</v>
      </c>
      <c r="C830" s="527" t="s">
        <v>858</v>
      </c>
      <c r="D830" s="527" t="s">
        <v>2785</v>
      </c>
      <c r="E830" s="527" t="s">
        <v>859</v>
      </c>
      <c r="F830" s="527" t="s">
        <v>858</v>
      </c>
      <c r="G830" s="527">
        <v>22</v>
      </c>
      <c r="H830" s="527" t="s">
        <v>2783</v>
      </c>
      <c r="I830" s="527" t="s">
        <v>2784</v>
      </c>
      <c r="J830" s="527" t="s">
        <v>2890</v>
      </c>
      <c r="K830" s="527" t="s">
        <v>2890</v>
      </c>
      <c r="L830" s="527" t="s">
        <v>6371</v>
      </c>
      <c r="M830" s="524"/>
      <c r="N830" s="524"/>
      <c r="O830" s="524"/>
    </row>
    <row r="831" spans="1:15" ht="29" hidden="1">
      <c r="A831" s="525">
        <v>754</v>
      </c>
      <c r="B831" s="524" t="e">
        <f>VLOOKUP(A831,'Hours Detail'!$E$17:$H$1048576,4,)</f>
        <v>#N/A</v>
      </c>
      <c r="C831" s="524" t="s">
        <v>860</v>
      </c>
      <c r="D831" s="524" t="s">
        <v>861</v>
      </c>
      <c r="E831" s="524" t="s">
        <v>860</v>
      </c>
      <c r="F831" s="524" t="s">
        <v>860</v>
      </c>
      <c r="G831" s="524" t="s">
        <v>860</v>
      </c>
      <c r="H831" s="524" t="s">
        <v>860</v>
      </c>
      <c r="I831" s="524" t="s">
        <v>7056</v>
      </c>
      <c r="J831" s="524" t="s">
        <v>861</v>
      </c>
      <c r="K831" s="524"/>
      <c r="L831" s="524" t="s">
        <v>6414</v>
      </c>
      <c r="M831" s="524" t="s">
        <v>6415</v>
      </c>
      <c r="N831" s="524"/>
      <c r="O831" s="524"/>
    </row>
    <row r="832" spans="1:15" ht="58" hidden="1">
      <c r="A832" s="527">
        <v>754</v>
      </c>
      <c r="B832" s="524" t="e">
        <f>VLOOKUP(A832,'Hours Detail'!$E$17:$H$1048576,4,)</f>
        <v>#N/A</v>
      </c>
      <c r="C832" s="527" t="s">
        <v>860</v>
      </c>
      <c r="D832" s="527" t="s">
        <v>2785</v>
      </c>
      <c r="E832" s="527" t="s">
        <v>861</v>
      </c>
      <c r="F832" s="527" t="s">
        <v>860</v>
      </c>
      <c r="G832" s="527">
        <v>22</v>
      </c>
      <c r="H832" s="527" t="s">
        <v>2783</v>
      </c>
      <c r="I832" s="527" t="s">
        <v>2784</v>
      </c>
      <c r="J832" s="527" t="s">
        <v>2890</v>
      </c>
      <c r="K832" s="527" t="s">
        <v>2890</v>
      </c>
      <c r="L832" s="527" t="s">
        <v>6371</v>
      </c>
      <c r="M832" s="524"/>
      <c r="N832" s="524"/>
      <c r="O832" s="524"/>
    </row>
    <row r="833" spans="1:15" ht="29" hidden="1">
      <c r="A833" s="525">
        <v>755</v>
      </c>
      <c r="B833" s="524" t="e">
        <f>VLOOKUP(A833,'Hours Detail'!$E$17:$H$1048576,4,)</f>
        <v>#N/A</v>
      </c>
      <c r="C833" s="524" t="s">
        <v>0</v>
      </c>
      <c r="D833" s="524" t="s">
        <v>674</v>
      </c>
      <c r="E833" s="524" t="s">
        <v>676</v>
      </c>
      <c r="F833" s="524" t="s">
        <v>676</v>
      </c>
      <c r="G833" s="524" t="s">
        <v>676</v>
      </c>
      <c r="H833" s="524" t="s">
        <v>676</v>
      </c>
      <c r="I833" s="524" t="s">
        <v>6612</v>
      </c>
      <c r="J833" s="524" t="s">
        <v>674</v>
      </c>
      <c r="K833" s="524"/>
      <c r="L833" s="524" t="s">
        <v>6414</v>
      </c>
      <c r="M833" s="524" t="s">
        <v>6415</v>
      </c>
      <c r="N833" s="524"/>
      <c r="O833" s="524"/>
    </row>
    <row r="834" spans="1:15" ht="58" hidden="1">
      <c r="A834" s="527">
        <v>755</v>
      </c>
      <c r="B834" s="524" t="e">
        <f>VLOOKUP(A834,'Hours Detail'!$E$17:$H$1048576,4,)</f>
        <v>#N/A</v>
      </c>
      <c r="C834" s="527" t="s">
        <v>0</v>
      </c>
      <c r="D834" s="527" t="s">
        <v>2785</v>
      </c>
      <c r="E834" s="527" t="s">
        <v>674</v>
      </c>
      <c r="F834" s="527" t="s">
        <v>676</v>
      </c>
      <c r="G834" s="527">
        <v>22</v>
      </c>
      <c r="H834" s="527" t="s">
        <v>2783</v>
      </c>
      <c r="I834" s="527" t="s">
        <v>2784</v>
      </c>
      <c r="J834" s="527" t="s">
        <v>2890</v>
      </c>
      <c r="K834" s="527" t="s">
        <v>2890</v>
      </c>
      <c r="L834" s="527" t="s">
        <v>6371</v>
      </c>
      <c r="M834" s="524"/>
      <c r="N834" s="524"/>
      <c r="O834" s="524"/>
    </row>
    <row r="835" spans="1:15" ht="29" hidden="1">
      <c r="A835" s="525">
        <v>756</v>
      </c>
      <c r="B835" s="524" t="e">
        <f>VLOOKUP(A835,'Hours Detail'!$E$17:$H$1048576,4,)</f>
        <v>#N/A</v>
      </c>
      <c r="C835" s="524" t="s">
        <v>7</v>
      </c>
      <c r="D835" s="524" t="s">
        <v>890</v>
      </c>
      <c r="E835" s="524" t="s">
        <v>891</v>
      </c>
      <c r="F835" s="524" t="s">
        <v>891</v>
      </c>
      <c r="G835" s="524" t="s">
        <v>891</v>
      </c>
      <c r="H835" s="524" t="s">
        <v>891</v>
      </c>
      <c r="I835" s="524" t="s">
        <v>7057</v>
      </c>
      <c r="J835" s="524" t="s">
        <v>890</v>
      </c>
      <c r="K835" s="524"/>
      <c r="L835" s="524" t="s">
        <v>6414</v>
      </c>
      <c r="M835" s="524" t="s">
        <v>6415</v>
      </c>
      <c r="N835" s="524"/>
      <c r="O835" s="524"/>
    </row>
    <row r="836" spans="1:15" ht="58" hidden="1">
      <c r="A836" s="527">
        <v>756</v>
      </c>
      <c r="B836" s="524" t="e">
        <f>VLOOKUP(A836,'Hours Detail'!$E$17:$H$1048576,4,)</f>
        <v>#N/A</v>
      </c>
      <c r="C836" s="527" t="s">
        <v>7</v>
      </c>
      <c r="D836" s="527" t="s">
        <v>2785</v>
      </c>
      <c r="E836" s="527" t="s">
        <v>890</v>
      </c>
      <c r="F836" s="527" t="s">
        <v>891</v>
      </c>
      <c r="G836" s="527">
        <v>22</v>
      </c>
      <c r="H836" s="527" t="s">
        <v>2783</v>
      </c>
      <c r="I836" s="527" t="s">
        <v>2784</v>
      </c>
      <c r="J836" s="527" t="s">
        <v>2890</v>
      </c>
      <c r="K836" s="527" t="s">
        <v>2890</v>
      </c>
      <c r="L836" s="527" t="s">
        <v>6371</v>
      </c>
      <c r="M836" s="524"/>
      <c r="N836" s="524"/>
      <c r="O836" s="524"/>
    </row>
    <row r="837" spans="1:15" ht="29" hidden="1">
      <c r="A837" s="524">
        <v>757</v>
      </c>
      <c r="B837" s="524" t="e">
        <f>VLOOKUP(A837,'Hours Detail'!$E$17:$H$1048576,4,)</f>
        <v>#N/A</v>
      </c>
      <c r="C837" s="524" t="s">
        <v>7058</v>
      </c>
      <c r="D837" s="524" t="s">
        <v>7060</v>
      </c>
      <c r="E837" s="524" t="s">
        <v>894</v>
      </c>
      <c r="F837" s="524" t="s">
        <v>894</v>
      </c>
      <c r="G837" s="524" t="s">
        <v>894</v>
      </c>
      <c r="H837" s="524" t="s">
        <v>894</v>
      </c>
      <c r="I837" s="524" t="s">
        <v>7059</v>
      </c>
      <c r="J837" s="524" t="s">
        <v>7060</v>
      </c>
      <c r="K837" s="524"/>
      <c r="L837" s="524" t="s">
        <v>6414</v>
      </c>
      <c r="M837" s="524" t="s">
        <v>6415</v>
      </c>
      <c r="N837" s="524"/>
      <c r="O837" s="524"/>
    </row>
    <row r="838" spans="1:15" ht="58" hidden="1">
      <c r="A838" s="527">
        <v>757</v>
      </c>
      <c r="B838" s="524" t="e">
        <f>VLOOKUP(A838,'Hours Detail'!$E$17:$H$1048576,4,)</f>
        <v>#N/A</v>
      </c>
      <c r="C838" s="527" t="s">
        <v>892</v>
      </c>
      <c r="D838" s="527" t="s">
        <v>2785</v>
      </c>
      <c r="E838" s="527" t="s">
        <v>893</v>
      </c>
      <c r="F838" s="527" t="s">
        <v>894</v>
      </c>
      <c r="G838" s="527">
        <v>22</v>
      </c>
      <c r="H838" s="527" t="s">
        <v>2783</v>
      </c>
      <c r="I838" s="527" t="s">
        <v>2784</v>
      </c>
      <c r="J838" s="527" t="s">
        <v>2890</v>
      </c>
      <c r="K838" s="527" t="s">
        <v>2890</v>
      </c>
      <c r="L838" s="527" t="s">
        <v>6371</v>
      </c>
      <c r="M838" s="524"/>
      <c r="N838" s="524"/>
      <c r="O838" s="524"/>
    </row>
    <row r="839" spans="1:15" ht="29" hidden="1">
      <c r="A839" s="524">
        <v>758</v>
      </c>
      <c r="B839" s="524" t="e">
        <f>VLOOKUP(A839,'Hours Detail'!$E$17:$H$1048576,4,)</f>
        <v>#N/A</v>
      </c>
      <c r="C839" s="524" t="s">
        <v>897</v>
      </c>
      <c r="D839" s="524" t="s">
        <v>898</v>
      </c>
      <c r="E839" s="524" t="s">
        <v>898</v>
      </c>
      <c r="F839" s="524" t="s">
        <v>898</v>
      </c>
      <c r="G839" s="524" t="s">
        <v>898</v>
      </c>
      <c r="H839" s="524" t="s">
        <v>898</v>
      </c>
      <c r="I839" s="524" t="s">
        <v>7061</v>
      </c>
      <c r="J839" s="524" t="s">
        <v>898</v>
      </c>
      <c r="K839" s="524"/>
      <c r="L839" s="524" t="s">
        <v>6414</v>
      </c>
      <c r="M839" s="524" t="s">
        <v>6415</v>
      </c>
      <c r="N839" s="524"/>
      <c r="O839" s="524"/>
    </row>
    <row r="840" spans="1:15" ht="58" hidden="1">
      <c r="A840" s="527">
        <v>758</v>
      </c>
      <c r="B840" s="524" t="e">
        <f>VLOOKUP(A840,'Hours Detail'!$E$17:$H$1048576,4,)</f>
        <v>#N/A</v>
      </c>
      <c r="C840" s="527" t="s">
        <v>897</v>
      </c>
      <c r="D840" s="527" t="s">
        <v>2785</v>
      </c>
      <c r="E840" s="527" t="s">
        <v>898</v>
      </c>
      <c r="F840" s="527" t="s">
        <v>898</v>
      </c>
      <c r="G840" s="527">
        <v>22</v>
      </c>
      <c r="H840" s="527" t="s">
        <v>2783</v>
      </c>
      <c r="I840" s="527" t="s">
        <v>2784</v>
      </c>
      <c r="J840" s="527" t="s">
        <v>2890</v>
      </c>
      <c r="K840" s="527" t="s">
        <v>2890</v>
      </c>
      <c r="L840" s="527" t="s">
        <v>6371</v>
      </c>
      <c r="M840" s="524"/>
      <c r="N840" s="524"/>
      <c r="O840" s="524"/>
    </row>
    <row r="841" spans="1:15" ht="29" hidden="1">
      <c r="A841" s="524">
        <v>759</v>
      </c>
      <c r="B841" s="524" t="e">
        <f>VLOOKUP(A841,'Hours Detail'!$E$17:$H$1048576,4,)</f>
        <v>#N/A</v>
      </c>
      <c r="C841" s="524" t="s">
        <v>843</v>
      </c>
      <c r="D841" s="524" t="s">
        <v>844</v>
      </c>
      <c r="E841" s="524" t="s">
        <v>845</v>
      </c>
      <c r="F841" s="524" t="s">
        <v>845</v>
      </c>
      <c r="G841" s="524" t="s">
        <v>845</v>
      </c>
      <c r="H841" s="524" t="s">
        <v>845</v>
      </c>
      <c r="I841" s="524" t="s">
        <v>7062</v>
      </c>
      <c r="J841" s="524" t="s">
        <v>844</v>
      </c>
      <c r="K841" s="524"/>
      <c r="L841" s="524" t="s">
        <v>6414</v>
      </c>
      <c r="M841" s="524" t="s">
        <v>6415</v>
      </c>
      <c r="N841" s="524"/>
      <c r="O841" s="524"/>
    </row>
    <row r="842" spans="1:15" ht="58" hidden="1">
      <c r="A842" s="527">
        <v>759</v>
      </c>
      <c r="B842" s="524" t="e">
        <f>VLOOKUP(A842,'Hours Detail'!$E$17:$H$1048576,4,)</f>
        <v>#N/A</v>
      </c>
      <c r="C842" s="527" t="s">
        <v>843</v>
      </c>
      <c r="D842" s="527" t="s">
        <v>2785</v>
      </c>
      <c r="E842" s="527" t="s">
        <v>844</v>
      </c>
      <c r="F842" s="527" t="s">
        <v>845</v>
      </c>
      <c r="G842" s="527">
        <v>22</v>
      </c>
      <c r="H842" s="527" t="s">
        <v>2783</v>
      </c>
      <c r="I842" s="527" t="s">
        <v>2784</v>
      </c>
      <c r="J842" s="527" t="s">
        <v>2890</v>
      </c>
      <c r="K842" s="527" t="s">
        <v>2890</v>
      </c>
      <c r="L842" s="527" t="s">
        <v>6371</v>
      </c>
      <c r="M842" s="524"/>
      <c r="N842" s="524"/>
      <c r="O842" s="524"/>
    </row>
    <row r="843" spans="1:15" ht="29" hidden="1">
      <c r="A843" s="525">
        <v>760</v>
      </c>
      <c r="B843" s="524" t="e">
        <f>VLOOKUP(A843,'Hours Detail'!$E$17:$H$1048576,4,)</f>
        <v>#N/A</v>
      </c>
      <c r="C843" s="524" t="s">
        <v>835</v>
      </c>
      <c r="D843" s="524" t="s">
        <v>836</v>
      </c>
      <c r="E843" s="524" t="s">
        <v>837</v>
      </c>
      <c r="F843" s="524" t="s">
        <v>837</v>
      </c>
      <c r="G843" s="524" t="s">
        <v>837</v>
      </c>
      <c r="H843" s="524" t="s">
        <v>837</v>
      </c>
      <c r="I843" s="524" t="s">
        <v>836</v>
      </c>
      <c r="J843" s="524" t="s">
        <v>836</v>
      </c>
      <c r="K843" s="524"/>
      <c r="L843" s="524" t="s">
        <v>6414</v>
      </c>
      <c r="M843" s="524" t="s">
        <v>6415</v>
      </c>
      <c r="N843" s="524"/>
      <c r="O843" s="524"/>
    </row>
    <row r="844" spans="1:15" ht="58" hidden="1">
      <c r="A844" s="527">
        <v>760</v>
      </c>
      <c r="B844" s="524" t="e">
        <f>VLOOKUP(A844,'Hours Detail'!$E$17:$H$1048576,4,)</f>
        <v>#N/A</v>
      </c>
      <c r="C844" s="527" t="s">
        <v>835</v>
      </c>
      <c r="D844" s="527" t="s">
        <v>2785</v>
      </c>
      <c r="E844" s="527" t="s">
        <v>836</v>
      </c>
      <c r="F844" s="527" t="s">
        <v>837</v>
      </c>
      <c r="G844" s="527">
        <v>22</v>
      </c>
      <c r="H844" s="527" t="s">
        <v>2783</v>
      </c>
      <c r="I844" s="527" t="s">
        <v>2784</v>
      </c>
      <c r="J844" s="527" t="s">
        <v>2890</v>
      </c>
      <c r="K844" s="527" t="s">
        <v>2890</v>
      </c>
      <c r="L844" s="527" t="s">
        <v>6371</v>
      </c>
      <c r="M844" s="524"/>
      <c r="N844" s="524"/>
      <c r="O844" s="524"/>
    </row>
    <row r="845" spans="1:15" ht="29" hidden="1">
      <c r="A845" s="525">
        <v>761</v>
      </c>
      <c r="B845" s="524" t="e">
        <f>VLOOKUP(A845,'Hours Detail'!$E$17:$H$1048576,4,)</f>
        <v>#N/A</v>
      </c>
      <c r="C845" s="524" t="s">
        <v>1</v>
      </c>
      <c r="D845" s="524" t="s">
        <v>852</v>
      </c>
      <c r="E845" s="524" t="s">
        <v>1</v>
      </c>
      <c r="F845" s="524" t="s">
        <v>1</v>
      </c>
      <c r="G845" s="524" t="s">
        <v>1</v>
      </c>
      <c r="H845" s="524" t="s">
        <v>1</v>
      </c>
      <c r="I845" s="524" t="s">
        <v>7063</v>
      </c>
      <c r="J845" s="524" t="s">
        <v>852</v>
      </c>
      <c r="K845" s="524"/>
      <c r="L845" s="524" t="s">
        <v>6414</v>
      </c>
      <c r="M845" s="524" t="s">
        <v>6415</v>
      </c>
      <c r="N845" s="524"/>
      <c r="O845" s="524"/>
    </row>
    <row r="846" spans="1:15" ht="58" hidden="1">
      <c r="A846" s="527">
        <v>761</v>
      </c>
      <c r="B846" s="524" t="e">
        <f>VLOOKUP(A846,'Hours Detail'!$E$17:$H$1048576,4,)</f>
        <v>#N/A</v>
      </c>
      <c r="C846" s="527" t="s">
        <v>1</v>
      </c>
      <c r="D846" s="527" t="s">
        <v>2785</v>
      </c>
      <c r="E846" s="527" t="s">
        <v>852</v>
      </c>
      <c r="F846" s="527" t="s">
        <v>1</v>
      </c>
      <c r="G846" s="527">
        <v>22</v>
      </c>
      <c r="H846" s="527" t="s">
        <v>2783</v>
      </c>
      <c r="I846" s="527" t="s">
        <v>2784</v>
      </c>
      <c r="J846" s="527" t="s">
        <v>2890</v>
      </c>
      <c r="K846" s="527" t="s">
        <v>2890</v>
      </c>
      <c r="L846" s="527" t="s">
        <v>6371</v>
      </c>
      <c r="M846" s="524"/>
      <c r="N846" s="524"/>
      <c r="O846" s="524"/>
    </row>
    <row r="847" spans="1:15" ht="29" hidden="1">
      <c r="A847" s="525">
        <v>762</v>
      </c>
      <c r="B847" s="524" t="e">
        <f>VLOOKUP(A847,'Hours Detail'!$E$17:$H$1048576,4,)</f>
        <v>#N/A</v>
      </c>
      <c r="C847" s="524" t="s">
        <v>853</v>
      </c>
      <c r="D847" s="524" t="s">
        <v>854</v>
      </c>
      <c r="E847" s="524" t="s">
        <v>855</v>
      </c>
      <c r="F847" s="524" t="s">
        <v>855</v>
      </c>
      <c r="G847" s="524" t="s">
        <v>855</v>
      </c>
      <c r="H847" s="524" t="s">
        <v>855</v>
      </c>
      <c r="I847" s="524" t="s">
        <v>7064</v>
      </c>
      <c r="J847" s="524" t="s">
        <v>854</v>
      </c>
      <c r="K847" s="524"/>
      <c r="L847" s="524" t="s">
        <v>6414</v>
      </c>
      <c r="M847" s="524" t="s">
        <v>6415</v>
      </c>
      <c r="N847" s="524"/>
      <c r="O847" s="524"/>
    </row>
    <row r="848" spans="1:15" ht="58" hidden="1">
      <c r="A848" s="527">
        <v>762</v>
      </c>
      <c r="B848" s="524" t="e">
        <f>VLOOKUP(A848,'Hours Detail'!$E$17:$H$1048576,4,)</f>
        <v>#N/A</v>
      </c>
      <c r="C848" s="527" t="s">
        <v>853</v>
      </c>
      <c r="D848" s="527" t="s">
        <v>2785</v>
      </c>
      <c r="E848" s="527" t="s">
        <v>854</v>
      </c>
      <c r="F848" s="527" t="s">
        <v>855</v>
      </c>
      <c r="G848" s="527">
        <v>22</v>
      </c>
      <c r="H848" s="527" t="s">
        <v>2783</v>
      </c>
      <c r="I848" s="527" t="s">
        <v>2784</v>
      </c>
      <c r="J848" s="527" t="s">
        <v>2890</v>
      </c>
      <c r="K848" s="527" t="s">
        <v>2890</v>
      </c>
      <c r="L848" s="527" t="s">
        <v>6371</v>
      </c>
      <c r="M848" s="524"/>
      <c r="N848" s="524"/>
      <c r="O848" s="524"/>
    </row>
    <row r="849" spans="1:15" ht="29" hidden="1">
      <c r="A849" s="525">
        <v>764</v>
      </c>
      <c r="B849" s="524" t="e">
        <f>VLOOKUP(A849,'Hours Detail'!$E$17:$H$1048576,4,)</f>
        <v>#N/A</v>
      </c>
      <c r="C849" s="524" t="s">
        <v>899</v>
      </c>
      <c r="D849" s="524" t="s">
        <v>900</v>
      </c>
      <c r="E849" s="524" t="s">
        <v>899</v>
      </c>
      <c r="F849" s="524" t="s">
        <v>899</v>
      </c>
      <c r="G849" s="524" t="s">
        <v>899</v>
      </c>
      <c r="H849" s="524" t="s">
        <v>899</v>
      </c>
      <c r="I849" s="524" t="s">
        <v>7065</v>
      </c>
      <c r="J849" s="524" t="s">
        <v>900</v>
      </c>
      <c r="K849" s="524"/>
      <c r="L849" s="524" t="s">
        <v>6414</v>
      </c>
      <c r="M849" s="524" t="s">
        <v>6415</v>
      </c>
      <c r="N849" s="524"/>
      <c r="O849" s="524"/>
    </row>
    <row r="850" spans="1:15" ht="58" hidden="1">
      <c r="A850" s="527">
        <v>764</v>
      </c>
      <c r="B850" s="524" t="e">
        <f>VLOOKUP(A850,'Hours Detail'!$E$17:$H$1048576,4,)</f>
        <v>#N/A</v>
      </c>
      <c r="C850" s="527" t="s">
        <v>899</v>
      </c>
      <c r="D850" s="527" t="s">
        <v>2785</v>
      </c>
      <c r="E850" s="527" t="s">
        <v>900</v>
      </c>
      <c r="F850" s="527" t="s">
        <v>899</v>
      </c>
      <c r="G850" s="527">
        <v>22</v>
      </c>
      <c r="H850" s="527" t="s">
        <v>2783</v>
      </c>
      <c r="I850" s="527" t="s">
        <v>2784</v>
      </c>
      <c r="J850" s="527" t="s">
        <v>2890</v>
      </c>
      <c r="K850" s="527" t="s">
        <v>2890</v>
      </c>
      <c r="L850" s="527" t="s">
        <v>6371</v>
      </c>
      <c r="M850" s="524"/>
      <c r="N850" s="524"/>
      <c r="O850" s="524"/>
    </row>
    <row r="851" spans="1:15" ht="29" hidden="1">
      <c r="A851" s="525">
        <v>765</v>
      </c>
      <c r="B851" s="524" t="e">
        <f>VLOOKUP(A851,'Hours Detail'!$E$17:$H$1048576,4,)</f>
        <v>#N/A</v>
      </c>
      <c r="C851" s="524" t="s">
        <v>849</v>
      </c>
      <c r="D851" s="524" t="s">
        <v>850</v>
      </c>
      <c r="E851" s="524" t="s">
        <v>851</v>
      </c>
      <c r="F851" s="524" t="s">
        <v>851</v>
      </c>
      <c r="G851" s="524" t="s">
        <v>851</v>
      </c>
      <c r="H851" s="524" t="s">
        <v>851</v>
      </c>
      <c r="I851" s="524" t="s">
        <v>7066</v>
      </c>
      <c r="J851" s="524" t="s">
        <v>850</v>
      </c>
      <c r="K851" s="524"/>
      <c r="L851" s="524" t="s">
        <v>6414</v>
      </c>
      <c r="M851" s="524" t="s">
        <v>6415</v>
      </c>
      <c r="N851" s="524"/>
      <c r="O851" s="524"/>
    </row>
    <row r="852" spans="1:15" ht="58" hidden="1">
      <c r="A852" s="527">
        <v>765</v>
      </c>
      <c r="B852" s="524" t="e">
        <f>VLOOKUP(A852,'Hours Detail'!$E$17:$H$1048576,4,)</f>
        <v>#N/A</v>
      </c>
      <c r="C852" s="527" t="s">
        <v>849</v>
      </c>
      <c r="D852" s="527" t="s">
        <v>2785</v>
      </c>
      <c r="E852" s="527" t="s">
        <v>850</v>
      </c>
      <c r="F852" s="527" t="s">
        <v>851</v>
      </c>
      <c r="G852" s="527">
        <v>22</v>
      </c>
      <c r="H852" s="527" t="s">
        <v>2783</v>
      </c>
      <c r="I852" s="527" t="s">
        <v>2784</v>
      </c>
      <c r="J852" s="527" t="s">
        <v>2890</v>
      </c>
      <c r="K852" s="527" t="s">
        <v>2890</v>
      </c>
      <c r="L852" s="527" t="s">
        <v>6371</v>
      </c>
      <c r="M852" s="524"/>
      <c r="N852" s="524"/>
      <c r="O852" s="524"/>
    </row>
    <row r="853" spans="1:15" ht="29" hidden="1">
      <c r="A853" s="525">
        <v>771</v>
      </c>
      <c r="B853" s="524" t="e">
        <f>VLOOKUP(A853,'Hours Detail'!$E$17:$H$1048576,4,)</f>
        <v>#N/A</v>
      </c>
      <c r="C853" s="524" t="s">
        <v>871</v>
      </c>
      <c r="D853" s="524" t="s">
        <v>872</v>
      </c>
      <c r="E853" s="524" t="s">
        <v>871</v>
      </c>
      <c r="F853" s="524" t="s">
        <v>871</v>
      </c>
      <c r="G853" s="524" t="s">
        <v>871</v>
      </c>
      <c r="H853" s="524" t="s">
        <v>871</v>
      </c>
      <c r="I853" s="524" t="s">
        <v>872</v>
      </c>
      <c r="J853" s="524" t="s">
        <v>872</v>
      </c>
      <c r="K853" s="524"/>
      <c r="L853" s="524" t="s">
        <v>6414</v>
      </c>
      <c r="M853" s="524" t="s">
        <v>6415</v>
      </c>
      <c r="N853" s="524"/>
      <c r="O853" s="524"/>
    </row>
    <row r="854" spans="1:15" ht="58" hidden="1">
      <c r="A854" s="527">
        <v>771</v>
      </c>
      <c r="B854" s="524" t="e">
        <f>VLOOKUP(A854,'Hours Detail'!$E$17:$H$1048576,4,)</f>
        <v>#N/A</v>
      </c>
      <c r="C854" s="527" t="s">
        <v>871</v>
      </c>
      <c r="D854" s="527" t="s">
        <v>2785</v>
      </c>
      <c r="E854" s="527" t="s">
        <v>872</v>
      </c>
      <c r="F854" s="527" t="s">
        <v>871</v>
      </c>
      <c r="G854" s="527">
        <v>22</v>
      </c>
      <c r="H854" s="527" t="s">
        <v>2783</v>
      </c>
      <c r="I854" s="527" t="s">
        <v>2784</v>
      </c>
      <c r="J854" s="527" t="s">
        <v>2890</v>
      </c>
      <c r="K854" s="527" t="s">
        <v>2890</v>
      </c>
      <c r="L854" s="527" t="s">
        <v>6371</v>
      </c>
      <c r="M854" s="524"/>
      <c r="N854" s="524"/>
      <c r="O854" s="524"/>
    </row>
    <row r="855" spans="1:15" ht="29" hidden="1">
      <c r="A855" s="525">
        <v>772</v>
      </c>
      <c r="B855" s="524" t="e">
        <f>VLOOKUP(A855,'Hours Detail'!$E$17:$H$1048576,4,)</f>
        <v>#N/A</v>
      </c>
      <c r="C855" s="524" t="s">
        <v>882</v>
      </c>
      <c r="D855" s="524" t="s">
        <v>883</v>
      </c>
      <c r="E855" s="524" t="s">
        <v>884</v>
      </c>
      <c r="F855" s="524" t="s">
        <v>884</v>
      </c>
      <c r="G855" s="524" t="s">
        <v>884</v>
      </c>
      <c r="H855" s="524" t="s">
        <v>884</v>
      </c>
      <c r="I855" s="524" t="s">
        <v>883</v>
      </c>
      <c r="J855" s="524" t="s">
        <v>883</v>
      </c>
      <c r="K855" s="524"/>
      <c r="L855" s="524" t="s">
        <v>6414</v>
      </c>
      <c r="M855" s="524" t="s">
        <v>6415</v>
      </c>
      <c r="N855" s="524"/>
      <c r="O855" s="524"/>
    </row>
    <row r="856" spans="1:15" ht="58" hidden="1">
      <c r="A856" s="527">
        <v>772</v>
      </c>
      <c r="B856" s="524" t="e">
        <f>VLOOKUP(A856,'Hours Detail'!$E$17:$H$1048576,4,)</f>
        <v>#N/A</v>
      </c>
      <c r="C856" s="527" t="s">
        <v>882</v>
      </c>
      <c r="D856" s="527" t="s">
        <v>2785</v>
      </c>
      <c r="E856" s="527" t="s">
        <v>883</v>
      </c>
      <c r="F856" s="527" t="s">
        <v>884</v>
      </c>
      <c r="G856" s="527">
        <v>22</v>
      </c>
      <c r="H856" s="527" t="s">
        <v>2783</v>
      </c>
      <c r="I856" s="527" t="s">
        <v>2784</v>
      </c>
      <c r="J856" s="527" t="s">
        <v>2890</v>
      </c>
      <c r="K856" s="527" t="s">
        <v>2890</v>
      </c>
      <c r="L856" s="527" t="s">
        <v>6371</v>
      </c>
      <c r="M856" s="524"/>
      <c r="N856" s="524"/>
      <c r="O856" s="524"/>
    </row>
    <row r="857" spans="1:15" ht="29" hidden="1">
      <c r="A857" s="525">
        <v>773</v>
      </c>
      <c r="B857" s="524" t="e">
        <f>VLOOKUP(A857,'Hours Detail'!$E$17:$H$1048576,4,)</f>
        <v>#N/A</v>
      </c>
      <c r="C857" s="524" t="s">
        <v>885</v>
      </c>
      <c r="D857" s="524" t="s">
        <v>886</v>
      </c>
      <c r="E857" s="524" t="s">
        <v>885</v>
      </c>
      <c r="F857" s="524" t="s">
        <v>885</v>
      </c>
      <c r="G857" s="524" t="s">
        <v>885</v>
      </c>
      <c r="H857" s="524" t="s">
        <v>885</v>
      </c>
      <c r="I857" s="524" t="s">
        <v>7067</v>
      </c>
      <c r="J857" s="524" t="s">
        <v>886</v>
      </c>
      <c r="K857" s="524"/>
      <c r="L857" s="524" t="s">
        <v>6414</v>
      </c>
      <c r="M857" s="524" t="s">
        <v>6415</v>
      </c>
      <c r="N857" s="524"/>
      <c r="O857" s="524"/>
    </row>
    <row r="858" spans="1:15" ht="58" hidden="1">
      <c r="A858" s="527">
        <v>773</v>
      </c>
      <c r="B858" s="524" t="e">
        <f>VLOOKUP(A858,'Hours Detail'!$E$17:$H$1048576,4,)</f>
        <v>#N/A</v>
      </c>
      <c r="C858" s="527" t="s">
        <v>885</v>
      </c>
      <c r="D858" s="527" t="s">
        <v>2785</v>
      </c>
      <c r="E858" s="527" t="s">
        <v>886</v>
      </c>
      <c r="F858" s="527" t="s">
        <v>885</v>
      </c>
      <c r="G858" s="527">
        <v>22</v>
      </c>
      <c r="H858" s="527" t="s">
        <v>2783</v>
      </c>
      <c r="I858" s="527" t="s">
        <v>2784</v>
      </c>
      <c r="J858" s="527" t="s">
        <v>2890</v>
      </c>
      <c r="K858" s="527" t="s">
        <v>2890</v>
      </c>
      <c r="L858" s="527" t="s">
        <v>6371</v>
      </c>
      <c r="M858" s="524"/>
      <c r="N858" s="524"/>
      <c r="O858" s="524"/>
    </row>
    <row r="859" spans="1:15" ht="29" hidden="1">
      <c r="A859" s="525">
        <v>774</v>
      </c>
      <c r="B859" s="524" t="e">
        <f>VLOOKUP(A859,'Hours Detail'!$E$17:$H$1048576,4,)</f>
        <v>#N/A</v>
      </c>
      <c r="C859" s="524" t="s">
        <v>895</v>
      </c>
      <c r="D859" s="524" t="s">
        <v>896</v>
      </c>
      <c r="E859" s="524" t="s">
        <v>895</v>
      </c>
      <c r="F859" s="524" t="s">
        <v>895</v>
      </c>
      <c r="G859" s="524" t="s">
        <v>895</v>
      </c>
      <c r="H859" s="524" t="s">
        <v>895</v>
      </c>
      <c r="I859" s="524" t="s">
        <v>7068</v>
      </c>
      <c r="J859" s="524" t="s">
        <v>896</v>
      </c>
      <c r="K859" s="524"/>
      <c r="L859" s="524" t="s">
        <v>6414</v>
      </c>
      <c r="M859" s="524" t="s">
        <v>6415</v>
      </c>
      <c r="N859" s="524"/>
      <c r="O859" s="524"/>
    </row>
    <row r="860" spans="1:15" ht="58" hidden="1">
      <c r="A860" s="527">
        <v>774</v>
      </c>
      <c r="B860" s="524" t="e">
        <f>VLOOKUP(A860,'Hours Detail'!$E$17:$H$1048576,4,)</f>
        <v>#N/A</v>
      </c>
      <c r="C860" s="527" t="s">
        <v>895</v>
      </c>
      <c r="D860" s="527" t="s">
        <v>2785</v>
      </c>
      <c r="E860" s="527" t="s">
        <v>896</v>
      </c>
      <c r="F860" s="527" t="s">
        <v>895</v>
      </c>
      <c r="G860" s="527">
        <v>22</v>
      </c>
      <c r="H860" s="527" t="s">
        <v>2783</v>
      </c>
      <c r="I860" s="527" t="s">
        <v>2784</v>
      </c>
      <c r="J860" s="527" t="s">
        <v>2890</v>
      </c>
      <c r="K860" s="527" t="s">
        <v>2890</v>
      </c>
      <c r="L860" s="527" t="s">
        <v>6371</v>
      </c>
      <c r="M860" s="524"/>
      <c r="N860" s="524"/>
      <c r="O860" s="524"/>
    </row>
    <row r="861" spans="1:15" ht="29" hidden="1">
      <c r="A861" s="525">
        <v>775</v>
      </c>
      <c r="B861" s="524" t="e">
        <f>VLOOKUP(A861,'Hours Detail'!$E$17:$H$1048576,4,)</f>
        <v>#N/A</v>
      </c>
      <c r="C861" s="524" t="s">
        <v>832</v>
      </c>
      <c r="D861" s="524" t="s">
        <v>833</v>
      </c>
      <c r="E861" s="524" t="s">
        <v>834</v>
      </c>
      <c r="F861" s="524" t="s">
        <v>834</v>
      </c>
      <c r="G861" s="524" t="s">
        <v>834</v>
      </c>
      <c r="H861" s="524" t="s">
        <v>834</v>
      </c>
      <c r="I861" s="524" t="s">
        <v>7069</v>
      </c>
      <c r="J861" s="524" t="s">
        <v>833</v>
      </c>
      <c r="K861" s="524"/>
      <c r="L861" s="524" t="s">
        <v>6414</v>
      </c>
      <c r="M861" s="524" t="s">
        <v>6415</v>
      </c>
      <c r="N861" s="524"/>
      <c r="O861" s="524"/>
    </row>
    <row r="862" spans="1:15" ht="58" hidden="1">
      <c r="A862" s="527">
        <v>775</v>
      </c>
      <c r="B862" s="524" t="e">
        <f>VLOOKUP(A862,'Hours Detail'!$E$17:$H$1048576,4,)</f>
        <v>#N/A</v>
      </c>
      <c r="C862" s="527" t="s">
        <v>832</v>
      </c>
      <c r="D862" s="527" t="s">
        <v>2785</v>
      </c>
      <c r="E862" s="527" t="s">
        <v>833</v>
      </c>
      <c r="F862" s="527" t="s">
        <v>834</v>
      </c>
      <c r="G862" s="527">
        <v>22</v>
      </c>
      <c r="H862" s="527" t="s">
        <v>2783</v>
      </c>
      <c r="I862" s="527" t="s">
        <v>2784</v>
      </c>
      <c r="J862" s="527" t="s">
        <v>2890</v>
      </c>
      <c r="K862" s="527" t="s">
        <v>2890</v>
      </c>
      <c r="L862" s="527" t="s">
        <v>6371</v>
      </c>
      <c r="M862" s="524"/>
      <c r="N862" s="524"/>
      <c r="O862" s="524"/>
    </row>
    <row r="863" spans="1:15" ht="29" hidden="1">
      <c r="A863" s="524">
        <v>781</v>
      </c>
      <c r="B863" s="524" t="e">
        <f>VLOOKUP(A863,'Hours Detail'!$E$17:$H$1048576,4,)</f>
        <v>#N/A</v>
      </c>
      <c r="C863" s="524" t="s">
        <v>868</v>
      </c>
      <c r="D863" s="524" t="s">
        <v>869</v>
      </c>
      <c r="E863" s="524" t="s">
        <v>870</v>
      </c>
      <c r="F863" s="524" t="s">
        <v>870</v>
      </c>
      <c r="G863" s="524" t="s">
        <v>870</v>
      </c>
      <c r="H863" s="524" t="s">
        <v>870</v>
      </c>
      <c r="I863" s="524" t="s">
        <v>7070</v>
      </c>
      <c r="J863" s="524" t="s">
        <v>869</v>
      </c>
      <c r="K863" s="524"/>
      <c r="L863" s="524" t="s">
        <v>6414</v>
      </c>
      <c r="M863" s="524" t="s">
        <v>6415</v>
      </c>
      <c r="N863" s="524"/>
      <c r="O863" s="524"/>
    </row>
    <row r="864" spans="1:15" ht="58" hidden="1">
      <c r="A864" s="527">
        <v>781</v>
      </c>
      <c r="B864" s="524" t="e">
        <f>VLOOKUP(A864,'Hours Detail'!$E$17:$H$1048576,4,)</f>
        <v>#N/A</v>
      </c>
      <c r="C864" s="527" t="s">
        <v>868</v>
      </c>
      <c r="D864" s="527" t="s">
        <v>2785</v>
      </c>
      <c r="E864" s="527" t="s">
        <v>869</v>
      </c>
      <c r="F864" s="527" t="s">
        <v>870</v>
      </c>
      <c r="G864" s="527">
        <v>22</v>
      </c>
      <c r="H864" s="527" t="s">
        <v>2783</v>
      </c>
      <c r="I864" s="527" t="s">
        <v>2784</v>
      </c>
      <c r="J864" s="527" t="s">
        <v>2890</v>
      </c>
      <c r="K864" s="527" t="s">
        <v>2890</v>
      </c>
      <c r="L864" s="527" t="s">
        <v>6371</v>
      </c>
      <c r="M864" s="524"/>
      <c r="N864" s="524"/>
      <c r="O864" s="524"/>
    </row>
    <row r="865" spans="1:15" ht="43.5" hidden="1">
      <c r="A865" s="525">
        <v>782</v>
      </c>
      <c r="B865" s="524" t="e">
        <f>VLOOKUP(A865,'Hours Detail'!$E$17:$H$1048576,4,)</f>
        <v>#N/A</v>
      </c>
      <c r="C865" s="524" t="s">
        <v>878</v>
      </c>
      <c r="D865" s="524" t="s">
        <v>1856</v>
      </c>
      <c r="E865" s="524" t="s">
        <v>878</v>
      </c>
      <c r="F865" s="524" t="s">
        <v>878</v>
      </c>
      <c r="G865" s="524" t="s">
        <v>878</v>
      </c>
      <c r="H865" s="524" t="s">
        <v>878</v>
      </c>
      <c r="I865" s="524" t="s">
        <v>7071</v>
      </c>
      <c r="J865" s="524" t="s">
        <v>1856</v>
      </c>
      <c r="K865" s="524"/>
      <c r="L865" s="524" t="s">
        <v>6414</v>
      </c>
      <c r="M865" s="524" t="s">
        <v>6415</v>
      </c>
      <c r="N865" s="524"/>
      <c r="O865" s="524"/>
    </row>
    <row r="866" spans="1:15" ht="58" hidden="1">
      <c r="A866" s="527">
        <v>782</v>
      </c>
      <c r="B866" s="524" t="e">
        <f>VLOOKUP(A866,'Hours Detail'!$E$17:$H$1048576,4,)</f>
        <v>#N/A</v>
      </c>
      <c r="C866" s="527" t="s">
        <v>878</v>
      </c>
      <c r="D866" s="527" t="s">
        <v>2785</v>
      </c>
      <c r="E866" s="527" t="s">
        <v>1856</v>
      </c>
      <c r="F866" s="527" t="s">
        <v>878</v>
      </c>
      <c r="G866" s="527">
        <v>22</v>
      </c>
      <c r="H866" s="527" t="s">
        <v>2783</v>
      </c>
      <c r="I866" s="527" t="s">
        <v>2784</v>
      </c>
      <c r="J866" s="527" t="s">
        <v>2890</v>
      </c>
      <c r="K866" s="527" t="s">
        <v>2890</v>
      </c>
      <c r="L866" s="527" t="s">
        <v>6371</v>
      </c>
      <c r="M866" s="524"/>
      <c r="N866" s="524"/>
      <c r="O866" s="524"/>
    </row>
    <row r="867" spans="1:15" ht="29" hidden="1">
      <c r="A867" s="524">
        <v>783</v>
      </c>
      <c r="B867" s="524" t="e">
        <f>VLOOKUP(A867,'Hours Detail'!$E$17:$H$1048576,4,)</f>
        <v>#N/A</v>
      </c>
      <c r="C867" s="524" t="s">
        <v>879</v>
      </c>
      <c r="D867" s="524" t="s">
        <v>880</v>
      </c>
      <c r="E867" s="524" t="s">
        <v>881</v>
      </c>
      <c r="F867" s="524" t="s">
        <v>881</v>
      </c>
      <c r="G867" s="524" t="s">
        <v>881</v>
      </c>
      <c r="H867" s="524" t="s">
        <v>881</v>
      </c>
      <c r="I867" s="524" t="s">
        <v>7072</v>
      </c>
      <c r="J867" s="524" t="s">
        <v>880</v>
      </c>
      <c r="K867" s="524"/>
      <c r="L867" s="524" t="s">
        <v>6414</v>
      </c>
      <c r="M867" s="524" t="s">
        <v>6415</v>
      </c>
      <c r="N867" s="524"/>
      <c r="O867" s="524"/>
    </row>
    <row r="868" spans="1:15" ht="58" hidden="1">
      <c r="A868" s="527">
        <v>783</v>
      </c>
      <c r="B868" s="524" t="e">
        <f>VLOOKUP(A868,'Hours Detail'!$E$17:$H$1048576,4,)</f>
        <v>#N/A</v>
      </c>
      <c r="C868" s="527" t="s">
        <v>879</v>
      </c>
      <c r="D868" s="527" t="s">
        <v>2785</v>
      </c>
      <c r="E868" s="527" t="s">
        <v>880</v>
      </c>
      <c r="F868" s="527" t="s">
        <v>881</v>
      </c>
      <c r="G868" s="527">
        <v>22</v>
      </c>
      <c r="H868" s="527" t="s">
        <v>2783</v>
      </c>
      <c r="I868" s="527" t="s">
        <v>2784</v>
      </c>
      <c r="J868" s="527" t="s">
        <v>2890</v>
      </c>
      <c r="K868" s="527" t="s">
        <v>2890</v>
      </c>
      <c r="L868" s="527" t="s">
        <v>6371</v>
      </c>
      <c r="M868" s="524"/>
      <c r="N868" s="524"/>
      <c r="O868" s="524"/>
    </row>
    <row r="869" spans="1:15" ht="29" hidden="1">
      <c r="A869" s="525">
        <v>784</v>
      </c>
      <c r="B869" s="524" t="e">
        <f>VLOOKUP(A869,'Hours Detail'!$E$17:$H$1048576,4,)</f>
        <v>#N/A</v>
      </c>
      <c r="C869" s="524" t="s">
        <v>829</v>
      </c>
      <c r="D869" s="524" t="s">
        <v>830</v>
      </c>
      <c r="E869" s="524" t="s">
        <v>831</v>
      </c>
      <c r="F869" s="524" t="s">
        <v>831</v>
      </c>
      <c r="G869" s="524" t="s">
        <v>831</v>
      </c>
      <c r="H869" s="524" t="s">
        <v>831</v>
      </c>
      <c r="I869" s="524" t="s">
        <v>830</v>
      </c>
      <c r="J869" s="524" t="s">
        <v>830</v>
      </c>
      <c r="K869" s="524"/>
      <c r="L869" s="524" t="s">
        <v>6414</v>
      </c>
      <c r="M869" s="524" t="s">
        <v>6415</v>
      </c>
      <c r="N869" s="524"/>
      <c r="O869" s="524"/>
    </row>
    <row r="870" spans="1:15" ht="58" hidden="1">
      <c r="A870" s="527">
        <v>784</v>
      </c>
      <c r="B870" s="524" t="e">
        <f>VLOOKUP(A870,'Hours Detail'!$E$17:$H$1048576,4,)</f>
        <v>#N/A</v>
      </c>
      <c r="C870" s="527" t="s">
        <v>829</v>
      </c>
      <c r="D870" s="527" t="s">
        <v>2785</v>
      </c>
      <c r="E870" s="527" t="s">
        <v>830</v>
      </c>
      <c r="F870" s="527" t="s">
        <v>831</v>
      </c>
      <c r="G870" s="527">
        <v>22</v>
      </c>
      <c r="H870" s="527" t="s">
        <v>2783</v>
      </c>
      <c r="I870" s="527" t="s">
        <v>2784</v>
      </c>
      <c r="J870" s="527" t="s">
        <v>2890</v>
      </c>
      <c r="K870" s="527" t="s">
        <v>2890</v>
      </c>
      <c r="L870" s="527" t="s">
        <v>6371</v>
      </c>
      <c r="M870" s="524"/>
      <c r="N870" s="524"/>
      <c r="O870" s="524"/>
    </row>
    <row r="871" spans="1:15" ht="29" hidden="1">
      <c r="A871" s="525">
        <v>785</v>
      </c>
      <c r="B871" s="524" t="e">
        <f>VLOOKUP(A871,'Hours Detail'!$E$17:$H$1048576,4,)</f>
        <v>#N/A</v>
      </c>
      <c r="C871" s="524" t="s">
        <v>862</v>
      </c>
      <c r="D871" s="524" t="s">
        <v>863</v>
      </c>
      <c r="E871" s="524" t="s">
        <v>864</v>
      </c>
      <c r="F871" s="524" t="s">
        <v>864</v>
      </c>
      <c r="G871" s="524" t="s">
        <v>864</v>
      </c>
      <c r="H871" s="524" t="s">
        <v>864</v>
      </c>
      <c r="I871" s="524" t="s">
        <v>863</v>
      </c>
      <c r="J871" s="524" t="s">
        <v>863</v>
      </c>
      <c r="K871" s="524"/>
      <c r="L871" s="524" t="s">
        <v>6414</v>
      </c>
      <c r="M871" s="524" t="s">
        <v>6415</v>
      </c>
      <c r="N871" s="524"/>
      <c r="O871" s="524"/>
    </row>
    <row r="872" spans="1:15" ht="58" hidden="1">
      <c r="A872" s="527">
        <v>785</v>
      </c>
      <c r="B872" s="524" t="e">
        <f>VLOOKUP(A872,'Hours Detail'!$E$17:$H$1048576,4,)</f>
        <v>#N/A</v>
      </c>
      <c r="C872" s="527" t="s">
        <v>862</v>
      </c>
      <c r="D872" s="527" t="s">
        <v>2785</v>
      </c>
      <c r="E872" s="527" t="s">
        <v>863</v>
      </c>
      <c r="F872" s="527" t="s">
        <v>864</v>
      </c>
      <c r="G872" s="527">
        <v>22</v>
      </c>
      <c r="H872" s="527" t="s">
        <v>2783</v>
      </c>
      <c r="I872" s="527" t="s">
        <v>2784</v>
      </c>
      <c r="J872" s="527" t="s">
        <v>2890</v>
      </c>
      <c r="K872" s="527" t="s">
        <v>2890</v>
      </c>
      <c r="L872" s="527" t="s">
        <v>6371</v>
      </c>
      <c r="M872" s="524"/>
      <c r="N872" s="524"/>
      <c r="O872" s="524"/>
    </row>
    <row r="873" spans="1:15" ht="29" hidden="1">
      <c r="A873" s="524">
        <v>786</v>
      </c>
      <c r="B873" s="524" t="e">
        <f>VLOOKUP(A873,'Hours Detail'!$E$17:$H$1048576,4,)</f>
        <v>#N/A</v>
      </c>
      <c r="C873" s="524" t="s">
        <v>865</v>
      </c>
      <c r="D873" s="524" t="s">
        <v>866</v>
      </c>
      <c r="E873" s="524" t="s">
        <v>867</v>
      </c>
      <c r="F873" s="524" t="s">
        <v>867</v>
      </c>
      <c r="G873" s="524" t="s">
        <v>867</v>
      </c>
      <c r="H873" s="524" t="s">
        <v>867</v>
      </c>
      <c r="I873" s="524" t="s">
        <v>7073</v>
      </c>
      <c r="J873" s="524" t="s">
        <v>866</v>
      </c>
      <c r="K873" s="524"/>
      <c r="L873" s="524" t="s">
        <v>6414</v>
      </c>
      <c r="M873" s="524" t="s">
        <v>6415</v>
      </c>
      <c r="N873" s="524"/>
      <c r="O873" s="524"/>
    </row>
    <row r="874" spans="1:15" ht="58" hidden="1">
      <c r="A874" s="527">
        <v>786</v>
      </c>
      <c r="B874" s="524" t="e">
        <f>VLOOKUP(A874,'Hours Detail'!$E$17:$H$1048576,4,)</f>
        <v>#N/A</v>
      </c>
      <c r="C874" s="527" t="s">
        <v>865</v>
      </c>
      <c r="D874" s="527" t="s">
        <v>2785</v>
      </c>
      <c r="E874" s="527" t="s">
        <v>866</v>
      </c>
      <c r="F874" s="527" t="s">
        <v>867</v>
      </c>
      <c r="G874" s="527">
        <v>22</v>
      </c>
      <c r="H874" s="527" t="s">
        <v>2783</v>
      </c>
      <c r="I874" s="527" t="s">
        <v>2784</v>
      </c>
      <c r="J874" s="527" t="s">
        <v>2890</v>
      </c>
      <c r="K874" s="527" t="s">
        <v>2890</v>
      </c>
      <c r="L874" s="527" t="s">
        <v>6371</v>
      </c>
      <c r="M874" s="524"/>
      <c r="N874" s="524"/>
      <c r="O874" s="524"/>
    </row>
    <row r="875" spans="1:15" hidden="1">
      <c r="A875" s="524">
        <v>791</v>
      </c>
      <c r="B875" s="524" t="str">
        <f>VLOOKUP(A875,'Hours Detail'!$E$17:$H$1048576,4,)</f>
        <v>No</v>
      </c>
      <c r="C875" s="524" t="s">
        <v>322</v>
      </c>
      <c r="D875" s="524" t="s">
        <v>1180</v>
      </c>
      <c r="E875" s="524" t="s">
        <v>322</v>
      </c>
      <c r="F875" s="524" t="s">
        <v>322</v>
      </c>
      <c r="G875" s="524" t="s">
        <v>322</v>
      </c>
      <c r="H875" s="524" t="s">
        <v>322</v>
      </c>
      <c r="I875" s="524" t="s">
        <v>7074</v>
      </c>
      <c r="J875" s="524" t="s">
        <v>1180</v>
      </c>
      <c r="K875" s="524" t="s">
        <v>6359</v>
      </c>
      <c r="L875" s="524" t="s">
        <v>6397</v>
      </c>
      <c r="M875" s="524" t="s">
        <v>1</v>
      </c>
      <c r="N875" s="524"/>
      <c r="O875" s="524"/>
    </row>
    <row r="876" spans="1:15" ht="130.5" hidden="1">
      <c r="A876" s="527">
        <v>791</v>
      </c>
      <c r="B876" s="524" t="str">
        <f>VLOOKUP(A876,'Hours Detail'!$E$17:$H$1048576,4,)</f>
        <v>No</v>
      </c>
      <c r="C876" s="527" t="s">
        <v>322</v>
      </c>
      <c r="D876" s="527" t="s">
        <v>2162</v>
      </c>
      <c r="E876" s="527" t="s">
        <v>1180</v>
      </c>
      <c r="F876" s="527" t="s">
        <v>322</v>
      </c>
      <c r="G876" s="527">
        <v>182</v>
      </c>
      <c r="H876" s="527" t="s">
        <v>2</v>
      </c>
      <c r="I876" s="527" t="s">
        <v>2298</v>
      </c>
      <c r="J876" s="527" t="s">
        <v>2889</v>
      </c>
      <c r="K876" s="527" t="s">
        <v>2890</v>
      </c>
      <c r="L876" s="527" t="s">
        <v>7075</v>
      </c>
      <c r="M876" s="524"/>
      <c r="N876" s="524"/>
      <c r="O876" s="524"/>
    </row>
    <row r="877" spans="1:15" ht="29" hidden="1">
      <c r="A877" s="524">
        <v>792</v>
      </c>
      <c r="B877" s="524" t="e">
        <f>VLOOKUP(A877,'Hours Detail'!$E$17:$H$1048576,4,)</f>
        <v>#N/A</v>
      </c>
      <c r="C877" s="524" t="s">
        <v>873</v>
      </c>
      <c r="D877" s="524" t="s">
        <v>874</v>
      </c>
      <c r="E877" s="524" t="s">
        <v>875</v>
      </c>
      <c r="F877" s="524" t="s">
        <v>875</v>
      </c>
      <c r="G877" s="524" t="s">
        <v>875</v>
      </c>
      <c r="H877" s="524" t="s">
        <v>875</v>
      </c>
      <c r="I877" s="524" t="s">
        <v>7076</v>
      </c>
      <c r="J877" s="524" t="s">
        <v>874</v>
      </c>
      <c r="K877" s="524"/>
      <c r="L877" s="524" t="s">
        <v>6414</v>
      </c>
      <c r="M877" s="524" t="s">
        <v>6415</v>
      </c>
      <c r="N877" s="524"/>
      <c r="O877" s="524"/>
    </row>
    <row r="878" spans="1:15" ht="58" hidden="1">
      <c r="A878" s="527">
        <v>792</v>
      </c>
      <c r="B878" s="524" t="e">
        <f>VLOOKUP(A878,'Hours Detail'!$E$17:$H$1048576,4,)</f>
        <v>#N/A</v>
      </c>
      <c r="C878" s="527" t="s">
        <v>873</v>
      </c>
      <c r="D878" s="527" t="s">
        <v>2785</v>
      </c>
      <c r="E878" s="527" t="s">
        <v>874</v>
      </c>
      <c r="F878" s="527" t="s">
        <v>875</v>
      </c>
      <c r="G878" s="527">
        <v>22</v>
      </c>
      <c r="H878" s="527" t="s">
        <v>2783</v>
      </c>
      <c r="I878" s="527" t="s">
        <v>2784</v>
      </c>
      <c r="J878" s="527" t="s">
        <v>2890</v>
      </c>
      <c r="K878" s="527" t="s">
        <v>2890</v>
      </c>
      <c r="L878" s="527" t="s">
        <v>6371</v>
      </c>
      <c r="M878" s="524"/>
      <c r="N878" s="524"/>
      <c r="O878" s="524"/>
    </row>
    <row r="879" spans="1:15" ht="29" hidden="1">
      <c r="A879" s="524">
        <v>793</v>
      </c>
      <c r="B879" s="524" t="e">
        <f>VLOOKUP(A879,'Hours Detail'!$E$17:$H$1048576,4,)</f>
        <v>#N/A</v>
      </c>
      <c r="C879" s="524" t="s">
        <v>876</v>
      </c>
      <c r="D879" s="524" t="s">
        <v>877</v>
      </c>
      <c r="E879" s="524" t="s">
        <v>876</v>
      </c>
      <c r="F879" s="524" t="s">
        <v>876</v>
      </c>
      <c r="G879" s="524" t="s">
        <v>876</v>
      </c>
      <c r="H879" s="524" t="s">
        <v>876</v>
      </c>
      <c r="I879" s="524" t="s">
        <v>7077</v>
      </c>
      <c r="J879" s="524" t="s">
        <v>877</v>
      </c>
      <c r="K879" s="524"/>
      <c r="L879" s="524" t="s">
        <v>6414</v>
      </c>
      <c r="M879" s="524" t="s">
        <v>6415</v>
      </c>
      <c r="N879" s="524"/>
      <c r="O879" s="524"/>
    </row>
    <row r="880" spans="1:15" ht="58" hidden="1">
      <c r="A880" s="527">
        <v>793</v>
      </c>
      <c r="B880" s="524" t="e">
        <f>VLOOKUP(A880,'Hours Detail'!$E$17:$H$1048576,4,)</f>
        <v>#N/A</v>
      </c>
      <c r="C880" s="527" t="s">
        <v>876</v>
      </c>
      <c r="D880" s="527" t="s">
        <v>2785</v>
      </c>
      <c r="E880" s="527" t="s">
        <v>877</v>
      </c>
      <c r="F880" s="527" t="s">
        <v>876</v>
      </c>
      <c r="G880" s="527">
        <v>22</v>
      </c>
      <c r="H880" s="527" t="s">
        <v>2783</v>
      </c>
      <c r="I880" s="527" t="s">
        <v>2784</v>
      </c>
      <c r="J880" s="527" t="s">
        <v>2890</v>
      </c>
      <c r="K880" s="527" t="s">
        <v>2890</v>
      </c>
      <c r="L880" s="527" t="s">
        <v>6371</v>
      </c>
      <c r="M880" s="524"/>
      <c r="N880" s="524"/>
      <c r="O880" s="524"/>
    </row>
    <row r="881" spans="1:15" ht="29" hidden="1">
      <c r="A881" s="524">
        <v>795</v>
      </c>
      <c r="B881" s="524" t="e">
        <f>VLOOKUP(A881,'Hours Detail'!$E$17:$H$1048576,4,)</f>
        <v>#N/A</v>
      </c>
      <c r="C881" s="524" t="s">
        <v>887</v>
      </c>
      <c r="D881" s="524" t="s">
        <v>888</v>
      </c>
      <c r="E881" s="524" t="s">
        <v>889</v>
      </c>
      <c r="F881" s="524" t="s">
        <v>889</v>
      </c>
      <c r="G881" s="524" t="s">
        <v>889</v>
      </c>
      <c r="H881" s="524" t="s">
        <v>889</v>
      </c>
      <c r="I881" s="524" t="s">
        <v>888</v>
      </c>
      <c r="J881" s="524" t="s">
        <v>888</v>
      </c>
      <c r="K881" s="524"/>
      <c r="L881" s="524" t="s">
        <v>6414</v>
      </c>
      <c r="M881" s="524" t="s">
        <v>6415</v>
      </c>
      <c r="N881" s="524"/>
      <c r="O881" s="524"/>
    </row>
    <row r="882" spans="1:15" ht="58" hidden="1">
      <c r="A882" s="527">
        <v>795</v>
      </c>
      <c r="B882" s="524" t="e">
        <f>VLOOKUP(A882,'Hours Detail'!$E$17:$H$1048576,4,)</f>
        <v>#N/A</v>
      </c>
      <c r="C882" s="527" t="s">
        <v>887</v>
      </c>
      <c r="D882" s="527" t="s">
        <v>2785</v>
      </c>
      <c r="E882" s="527" t="s">
        <v>888</v>
      </c>
      <c r="F882" s="527" t="s">
        <v>889</v>
      </c>
      <c r="G882" s="527">
        <v>22</v>
      </c>
      <c r="H882" s="527" t="s">
        <v>2783</v>
      </c>
      <c r="I882" s="527" t="s">
        <v>2784</v>
      </c>
      <c r="J882" s="527" t="s">
        <v>2890</v>
      </c>
      <c r="K882" s="527" t="s">
        <v>2890</v>
      </c>
      <c r="L882" s="527" t="s">
        <v>6371</v>
      </c>
      <c r="M882" s="524"/>
      <c r="N882" s="524"/>
      <c r="O882" s="524"/>
    </row>
    <row r="883" spans="1:15" ht="29" hidden="1">
      <c r="A883" s="525">
        <v>796</v>
      </c>
      <c r="B883" s="524" t="e">
        <f>VLOOKUP(A883,'Hours Detail'!$E$17:$H$1048576,4,)</f>
        <v>#N/A</v>
      </c>
      <c r="C883" s="524" t="s">
        <v>846</v>
      </c>
      <c r="D883" s="524" t="s">
        <v>847</v>
      </c>
      <c r="E883" s="524" t="s">
        <v>848</v>
      </c>
      <c r="F883" s="524" t="s">
        <v>848</v>
      </c>
      <c r="G883" s="524" t="s">
        <v>848</v>
      </c>
      <c r="H883" s="524" t="s">
        <v>848</v>
      </c>
      <c r="I883" s="524" t="s">
        <v>7078</v>
      </c>
      <c r="J883" s="524" t="s">
        <v>847</v>
      </c>
      <c r="K883" s="524"/>
      <c r="L883" s="524" t="s">
        <v>6414</v>
      </c>
      <c r="M883" s="524" t="s">
        <v>6415</v>
      </c>
      <c r="N883" s="524"/>
      <c r="O883" s="524"/>
    </row>
    <row r="884" spans="1:15" ht="58" hidden="1">
      <c r="A884" s="527">
        <v>796</v>
      </c>
      <c r="B884" s="524" t="e">
        <f>VLOOKUP(A884,'Hours Detail'!$E$17:$H$1048576,4,)</f>
        <v>#N/A</v>
      </c>
      <c r="C884" s="527" t="s">
        <v>846</v>
      </c>
      <c r="D884" s="527" t="s">
        <v>2785</v>
      </c>
      <c r="E884" s="527" t="s">
        <v>847</v>
      </c>
      <c r="F884" s="527" t="s">
        <v>848</v>
      </c>
      <c r="G884" s="527">
        <v>22</v>
      </c>
      <c r="H884" s="527" t="s">
        <v>2783</v>
      </c>
      <c r="I884" s="527" t="s">
        <v>2784</v>
      </c>
      <c r="J884" s="527" t="s">
        <v>2890</v>
      </c>
      <c r="K884" s="527" t="s">
        <v>2890</v>
      </c>
      <c r="L884" s="527" t="s">
        <v>6371</v>
      </c>
      <c r="M884" s="524"/>
      <c r="N884" s="524"/>
      <c r="O884" s="524"/>
    </row>
    <row r="885" spans="1:15" ht="58" hidden="1">
      <c r="A885" s="525">
        <v>797</v>
      </c>
      <c r="B885" s="524" t="e">
        <f>VLOOKUP(A885,'Hours Detail'!$E$17:$H$1048576,4,)</f>
        <v>#N/A</v>
      </c>
      <c r="C885" s="524" t="s">
        <v>4042</v>
      </c>
      <c r="D885" s="524" t="s">
        <v>7080</v>
      </c>
      <c r="E885" s="524" t="s">
        <v>4040</v>
      </c>
      <c r="F885" s="524" t="s">
        <v>4040</v>
      </c>
      <c r="G885" s="524" t="s">
        <v>4040</v>
      </c>
      <c r="H885" s="524" t="s">
        <v>4040</v>
      </c>
      <c r="I885" s="524" t="s">
        <v>7079</v>
      </c>
      <c r="J885" s="524" t="s">
        <v>7080</v>
      </c>
      <c r="K885" s="524"/>
      <c r="L885" s="524" t="s">
        <v>6414</v>
      </c>
      <c r="M885" s="524" t="s">
        <v>6415</v>
      </c>
      <c r="N885" s="524"/>
      <c r="O885" s="524"/>
    </row>
    <row r="886" spans="1:15" ht="29" hidden="1">
      <c r="A886" s="524">
        <v>798</v>
      </c>
      <c r="B886" s="524" t="e">
        <f>VLOOKUP(A886,'Hours Detail'!$E$17:$H$1048576,4,)</f>
        <v>#N/A</v>
      </c>
      <c r="C886" s="524" t="s">
        <v>7081</v>
      </c>
      <c r="D886" s="524" t="s">
        <v>4039</v>
      </c>
      <c r="E886" s="524" t="s">
        <v>4038</v>
      </c>
      <c r="F886" s="524" t="s">
        <v>4038</v>
      </c>
      <c r="G886" s="524" t="s">
        <v>4038</v>
      </c>
      <c r="H886" s="524" t="s">
        <v>4038</v>
      </c>
      <c r="I886" s="524" t="s">
        <v>7082</v>
      </c>
      <c r="J886" s="524" t="s">
        <v>4039</v>
      </c>
      <c r="K886" s="524"/>
      <c r="L886" s="524" t="s">
        <v>6414</v>
      </c>
      <c r="M886" s="524" t="s">
        <v>6415</v>
      </c>
      <c r="N886" s="524"/>
      <c r="O886" s="524"/>
    </row>
    <row r="887" spans="1:15" ht="29" hidden="1">
      <c r="A887" s="524">
        <v>799</v>
      </c>
      <c r="B887" s="524" t="e">
        <f>VLOOKUP(A887,'Hours Detail'!$E$17:$H$1048576,4,)</f>
        <v>#N/A</v>
      </c>
      <c r="C887" s="524" t="s">
        <v>7083</v>
      </c>
      <c r="D887" s="524" t="s">
        <v>4037</v>
      </c>
      <c r="E887" s="524" t="s">
        <v>4036</v>
      </c>
      <c r="F887" s="524" t="s">
        <v>4036</v>
      </c>
      <c r="G887" s="524" t="s">
        <v>4036</v>
      </c>
      <c r="H887" s="524" t="s">
        <v>4036</v>
      </c>
      <c r="I887" s="524" t="s">
        <v>7084</v>
      </c>
      <c r="J887" s="524" t="s">
        <v>4037</v>
      </c>
      <c r="K887" s="524"/>
      <c r="L887" s="524" t="s">
        <v>6414</v>
      </c>
      <c r="M887" s="524" t="s">
        <v>6415</v>
      </c>
      <c r="N887" s="524"/>
      <c r="O887" s="524"/>
    </row>
    <row r="888" spans="1:15" ht="29" hidden="1">
      <c r="A888" s="524">
        <v>800</v>
      </c>
      <c r="B888" s="524" t="e">
        <f>VLOOKUP(A888,'Hours Detail'!$E$17:$H$1048576,4,)</f>
        <v>#N/A</v>
      </c>
      <c r="C888" s="524" t="s">
        <v>4045</v>
      </c>
      <c r="D888" s="524" t="s">
        <v>4044</v>
      </c>
      <c r="E888" s="524" t="s">
        <v>4043</v>
      </c>
      <c r="F888" s="524" t="s">
        <v>4043</v>
      </c>
      <c r="G888" s="524" t="s">
        <v>4043</v>
      </c>
      <c r="H888" s="524" t="s">
        <v>4043</v>
      </c>
      <c r="I888" s="524" t="s">
        <v>7085</v>
      </c>
      <c r="J888" s="524" t="s">
        <v>4044</v>
      </c>
      <c r="K888" s="524"/>
      <c r="L888" s="524" t="s">
        <v>6414</v>
      </c>
      <c r="M888" s="524" t="s">
        <v>6415</v>
      </c>
      <c r="N888" s="524"/>
      <c r="O888" s="524"/>
    </row>
    <row r="889" spans="1:15" ht="58" hidden="1">
      <c r="A889" s="525">
        <v>801</v>
      </c>
      <c r="B889" s="524" t="str">
        <f>VLOOKUP(A889,'Hours Detail'!$E$17:$H$1048576,4,)</f>
        <v>No</v>
      </c>
      <c r="C889" s="524" t="s">
        <v>99</v>
      </c>
      <c r="D889" s="524" t="s">
        <v>956</v>
      </c>
      <c r="E889" s="524" t="s">
        <v>957</v>
      </c>
      <c r="F889" s="524" t="s">
        <v>957</v>
      </c>
      <c r="G889" s="524" t="s">
        <v>957</v>
      </c>
      <c r="H889" s="524" t="s">
        <v>957</v>
      </c>
      <c r="I889" s="524" t="s">
        <v>7086</v>
      </c>
      <c r="J889" s="524" t="s">
        <v>956</v>
      </c>
      <c r="K889" s="524"/>
      <c r="L889" s="524" t="s">
        <v>6386</v>
      </c>
      <c r="M889" s="524" t="s">
        <v>6488</v>
      </c>
      <c r="N889" s="524" t="s">
        <v>7087</v>
      </c>
      <c r="O889" s="524"/>
    </row>
    <row r="890" spans="1:15" ht="159.5" hidden="1">
      <c r="A890" s="527">
        <v>801</v>
      </c>
      <c r="B890" s="524" t="str">
        <f>VLOOKUP(A890,'Hours Detail'!$E$17:$H$1048576,4,)</f>
        <v>No</v>
      </c>
      <c r="C890" s="527" t="s">
        <v>99</v>
      </c>
      <c r="D890" s="527" t="s">
        <v>955</v>
      </c>
      <c r="E890" s="527" t="s">
        <v>956</v>
      </c>
      <c r="F890" s="527" t="s">
        <v>957</v>
      </c>
      <c r="G890" s="527">
        <v>28</v>
      </c>
      <c r="H890" s="527" t="s">
        <v>9</v>
      </c>
      <c r="I890" s="527" t="s">
        <v>953</v>
      </c>
      <c r="J890" s="527" t="s">
        <v>2889</v>
      </c>
      <c r="K890" s="527" t="s">
        <v>2890</v>
      </c>
      <c r="L890" s="527" t="s">
        <v>7088</v>
      </c>
      <c r="M890" s="524"/>
      <c r="N890" s="524"/>
      <c r="O890" s="524"/>
    </row>
    <row r="891" spans="1:15" ht="130.5" hidden="1">
      <c r="A891" s="525">
        <v>802</v>
      </c>
      <c r="B891" s="524" t="str">
        <f>VLOOKUP(A891,'Hours Detail'!$E$17:$H$1048576,4,)</f>
        <v>No</v>
      </c>
      <c r="C891" s="524" t="s">
        <v>97</v>
      </c>
      <c r="D891" s="524" t="s">
        <v>952</v>
      </c>
      <c r="E891" s="524" t="s">
        <v>954</v>
      </c>
      <c r="F891" s="524" t="s">
        <v>954</v>
      </c>
      <c r="G891" s="524" t="s">
        <v>954</v>
      </c>
      <c r="H891" s="524" t="s">
        <v>954</v>
      </c>
      <c r="I891" s="524" t="s">
        <v>7089</v>
      </c>
      <c r="J891" s="524" t="s">
        <v>952</v>
      </c>
      <c r="K891" s="524"/>
      <c r="L891" s="524" t="s">
        <v>6386</v>
      </c>
      <c r="M891" s="524" t="s">
        <v>6488</v>
      </c>
      <c r="N891" s="524" t="s">
        <v>7090</v>
      </c>
      <c r="O891" s="524"/>
    </row>
    <row r="892" spans="1:15" ht="72.5" hidden="1">
      <c r="A892" s="527">
        <v>802</v>
      </c>
      <c r="B892" s="524" t="str">
        <f>VLOOKUP(A892,'Hours Detail'!$E$17:$H$1048576,4,)</f>
        <v>No</v>
      </c>
      <c r="C892" s="527" t="s">
        <v>97</v>
      </c>
      <c r="D892" s="527" t="s">
        <v>955</v>
      </c>
      <c r="E892" s="527" t="s">
        <v>952</v>
      </c>
      <c r="F892" s="527" t="s">
        <v>954</v>
      </c>
      <c r="G892" s="527">
        <v>28</v>
      </c>
      <c r="H892" s="527" t="s">
        <v>9</v>
      </c>
      <c r="I892" s="527" t="s">
        <v>953</v>
      </c>
      <c r="J892" s="527" t="s">
        <v>2889</v>
      </c>
      <c r="K892" s="527" t="s">
        <v>2890</v>
      </c>
      <c r="L892" s="527" t="s">
        <v>7091</v>
      </c>
      <c r="M892" s="524"/>
      <c r="N892" s="524"/>
      <c r="O892" s="524"/>
    </row>
    <row r="893" spans="1:15" ht="29" hidden="1">
      <c r="A893" s="524">
        <v>808</v>
      </c>
      <c r="B893" s="524" t="e">
        <f>VLOOKUP(A893,'Hours Detail'!$E$17:$H$1048576,4,)</f>
        <v>#N/A</v>
      </c>
      <c r="C893" s="524" t="s">
        <v>1865</v>
      </c>
      <c r="D893" s="524" t="s">
        <v>1866</v>
      </c>
      <c r="E893" s="524" t="s">
        <v>1867</v>
      </c>
      <c r="F893" s="524" t="s">
        <v>1867</v>
      </c>
      <c r="G893" s="524" t="s">
        <v>1867</v>
      </c>
      <c r="H893" s="524" t="s">
        <v>1867</v>
      </c>
      <c r="I893" s="524" t="s">
        <v>1866</v>
      </c>
      <c r="J893" s="524" t="s">
        <v>1866</v>
      </c>
      <c r="K893" s="524"/>
      <c r="L893" s="524" t="s">
        <v>6386</v>
      </c>
      <c r="M893" s="524" t="s">
        <v>6488</v>
      </c>
      <c r="N893" s="524"/>
      <c r="O893" s="524"/>
    </row>
    <row r="894" spans="1:15" ht="29" hidden="1">
      <c r="A894" s="527">
        <v>808</v>
      </c>
      <c r="B894" s="524" t="e">
        <f>VLOOKUP(A894,'Hours Detail'!$E$17:$H$1048576,4,)</f>
        <v>#N/A</v>
      </c>
      <c r="C894" s="527" t="s">
        <v>1865</v>
      </c>
      <c r="D894" s="527" t="s">
        <v>955</v>
      </c>
      <c r="E894" s="527" t="s">
        <v>1866</v>
      </c>
      <c r="F894" s="527" t="s">
        <v>1867</v>
      </c>
      <c r="G894" s="527">
        <v>28</v>
      </c>
      <c r="H894" s="527" t="s">
        <v>9</v>
      </c>
      <c r="I894" s="527" t="s">
        <v>953</v>
      </c>
      <c r="J894" s="527" t="s">
        <v>2890</v>
      </c>
      <c r="K894" s="527" t="s">
        <v>2890</v>
      </c>
      <c r="L894" s="527" t="s">
        <v>6712</v>
      </c>
      <c r="M894" s="524"/>
      <c r="N894" s="524"/>
      <c r="O894" s="524"/>
    </row>
    <row r="895" spans="1:15" ht="58" hidden="1">
      <c r="A895" s="525">
        <v>809</v>
      </c>
      <c r="B895" s="524" t="str">
        <f>VLOOKUP(A895,'Hours Detail'!$E$17:$H$1048576,4,)</f>
        <v>No</v>
      </c>
      <c r="C895" s="524" t="s">
        <v>974</v>
      </c>
      <c r="D895" s="524" t="s">
        <v>3992</v>
      </c>
      <c r="E895" s="524" t="s">
        <v>7092</v>
      </c>
      <c r="F895" s="524" t="s">
        <v>7092</v>
      </c>
      <c r="G895" s="524" t="s">
        <v>7092</v>
      </c>
      <c r="H895" s="524" t="s">
        <v>7092</v>
      </c>
      <c r="I895" s="524" t="s">
        <v>7093</v>
      </c>
      <c r="J895" s="524" t="s">
        <v>3992</v>
      </c>
      <c r="K895" s="524"/>
      <c r="L895" s="524" t="s">
        <v>6386</v>
      </c>
      <c r="M895" s="524" t="s">
        <v>6488</v>
      </c>
      <c r="N895" s="524" t="s">
        <v>7094</v>
      </c>
      <c r="O895" s="524"/>
    </row>
    <row r="896" spans="1:15" ht="116" hidden="1">
      <c r="A896" s="527">
        <v>809</v>
      </c>
      <c r="B896" s="524" t="str">
        <f>VLOOKUP(A896,'Hours Detail'!$E$17:$H$1048576,4,)</f>
        <v>No</v>
      </c>
      <c r="C896" s="527" t="s">
        <v>974</v>
      </c>
      <c r="D896" s="527" t="s">
        <v>955</v>
      </c>
      <c r="E896" s="527" t="s">
        <v>975</v>
      </c>
      <c r="F896" s="527" t="s">
        <v>976</v>
      </c>
      <c r="G896" s="527">
        <v>28</v>
      </c>
      <c r="H896" s="527" t="s">
        <v>9</v>
      </c>
      <c r="I896" s="527" t="s">
        <v>953</v>
      </c>
      <c r="J896" s="527" t="s">
        <v>2889</v>
      </c>
      <c r="K896" s="527" t="s">
        <v>2890</v>
      </c>
      <c r="L896" s="527" t="s">
        <v>7095</v>
      </c>
      <c r="M896" s="524"/>
      <c r="N896" s="524"/>
      <c r="O896" s="524"/>
    </row>
    <row r="897" spans="1:15" ht="43.5" hidden="1">
      <c r="A897" s="525">
        <v>810</v>
      </c>
      <c r="B897" s="524" t="str">
        <f>VLOOKUP(A897,'Hours Detail'!$E$17:$H$1048576,4,)</f>
        <v>No</v>
      </c>
      <c r="C897" s="524" t="s">
        <v>91</v>
      </c>
      <c r="D897" s="524" t="s">
        <v>972</v>
      </c>
      <c r="E897" s="524" t="s">
        <v>973</v>
      </c>
      <c r="F897" s="524" t="s">
        <v>973</v>
      </c>
      <c r="G897" s="524" t="s">
        <v>973</v>
      </c>
      <c r="H897" s="524" t="s">
        <v>973</v>
      </c>
      <c r="I897" s="524" t="s">
        <v>7096</v>
      </c>
      <c r="J897" s="524" t="s">
        <v>7097</v>
      </c>
      <c r="K897" s="524"/>
      <c r="L897" s="524" t="s">
        <v>6386</v>
      </c>
      <c r="M897" s="524" t="s">
        <v>6488</v>
      </c>
      <c r="N897" s="524" t="s">
        <v>7098</v>
      </c>
      <c r="O897" s="524"/>
    </row>
    <row r="898" spans="1:15" ht="87" hidden="1">
      <c r="A898" s="527">
        <v>810</v>
      </c>
      <c r="B898" s="524" t="str">
        <f>VLOOKUP(A898,'Hours Detail'!$E$17:$H$1048576,4,)</f>
        <v>No</v>
      </c>
      <c r="C898" s="527" t="s">
        <v>91</v>
      </c>
      <c r="D898" s="527" t="s">
        <v>955</v>
      </c>
      <c r="E898" s="527" t="s">
        <v>972</v>
      </c>
      <c r="F898" s="527" t="s">
        <v>973</v>
      </c>
      <c r="G898" s="527">
        <v>28</v>
      </c>
      <c r="H898" s="527" t="s">
        <v>9</v>
      </c>
      <c r="I898" s="527" t="s">
        <v>953</v>
      </c>
      <c r="J898" s="527" t="s">
        <v>2889</v>
      </c>
      <c r="K898" s="527" t="s">
        <v>2890</v>
      </c>
      <c r="L898" s="527" t="s">
        <v>7099</v>
      </c>
      <c r="M898" s="524"/>
      <c r="N898" s="524"/>
      <c r="O898" s="524"/>
    </row>
    <row r="899" spans="1:15" ht="72.5" hidden="1">
      <c r="A899" s="525">
        <v>811</v>
      </c>
      <c r="B899" s="524" t="e">
        <f>VLOOKUP(A899,'Hours Detail'!$E$17:$H$1048576,4,)</f>
        <v>#N/A</v>
      </c>
      <c r="C899" s="524" t="s">
        <v>96</v>
      </c>
      <c r="D899" s="524" t="s">
        <v>981</v>
      </c>
      <c r="E899" s="524" t="s">
        <v>982</v>
      </c>
      <c r="F899" s="524" t="s">
        <v>982</v>
      </c>
      <c r="G899" s="524" t="s">
        <v>982</v>
      </c>
      <c r="H899" s="524" t="s">
        <v>982</v>
      </c>
      <c r="I899" s="524" t="s">
        <v>7100</v>
      </c>
      <c r="J899" s="524" t="s">
        <v>981</v>
      </c>
      <c r="K899" s="524"/>
      <c r="L899" s="524" t="s">
        <v>6386</v>
      </c>
      <c r="M899" s="524" t="s">
        <v>6488</v>
      </c>
      <c r="N899" s="524" t="s">
        <v>7101</v>
      </c>
      <c r="O899" s="524"/>
    </row>
    <row r="900" spans="1:15" ht="101.5" hidden="1">
      <c r="A900" s="527">
        <v>811</v>
      </c>
      <c r="B900" s="524" t="e">
        <f>VLOOKUP(A900,'Hours Detail'!$E$17:$H$1048576,4,)</f>
        <v>#N/A</v>
      </c>
      <c r="C900" s="527" t="s">
        <v>96</v>
      </c>
      <c r="D900" s="527" t="s">
        <v>955</v>
      </c>
      <c r="E900" s="527" t="s">
        <v>981</v>
      </c>
      <c r="F900" s="527" t="s">
        <v>982</v>
      </c>
      <c r="G900" s="527">
        <v>28</v>
      </c>
      <c r="H900" s="527" t="s">
        <v>9</v>
      </c>
      <c r="I900" s="527" t="s">
        <v>953</v>
      </c>
      <c r="J900" s="527" t="s">
        <v>2890</v>
      </c>
      <c r="K900" s="527" t="s">
        <v>2890</v>
      </c>
      <c r="L900" s="527" t="s">
        <v>7102</v>
      </c>
      <c r="M900" s="524"/>
      <c r="N900" s="524"/>
      <c r="O900" s="524"/>
    </row>
    <row r="901" spans="1:15" ht="72.5" hidden="1">
      <c r="A901" s="525">
        <v>812</v>
      </c>
      <c r="B901" s="524" t="e">
        <f>VLOOKUP(A901,'Hours Detail'!$E$17:$H$1048576,4,)</f>
        <v>#N/A</v>
      </c>
      <c r="C901" s="524" t="s">
        <v>94</v>
      </c>
      <c r="D901" s="524" t="s">
        <v>979</v>
      </c>
      <c r="E901" s="524" t="s">
        <v>980</v>
      </c>
      <c r="F901" s="524" t="s">
        <v>980</v>
      </c>
      <c r="G901" s="524" t="s">
        <v>980</v>
      </c>
      <c r="H901" s="524" t="s">
        <v>980</v>
      </c>
      <c r="I901" s="524" t="s">
        <v>979</v>
      </c>
      <c r="J901" s="524" t="s">
        <v>979</v>
      </c>
      <c r="K901" s="524"/>
      <c r="L901" s="524" t="s">
        <v>6386</v>
      </c>
      <c r="M901" s="524" t="s">
        <v>6435</v>
      </c>
      <c r="N901" s="524" t="s">
        <v>7103</v>
      </c>
      <c r="O901" s="524"/>
    </row>
    <row r="902" spans="1:15" ht="43.5" hidden="1">
      <c r="A902" s="527">
        <v>812</v>
      </c>
      <c r="B902" s="524" t="e">
        <f>VLOOKUP(A902,'Hours Detail'!$E$17:$H$1048576,4,)</f>
        <v>#N/A</v>
      </c>
      <c r="C902" s="527" t="s">
        <v>94</v>
      </c>
      <c r="D902" s="527" t="s">
        <v>955</v>
      </c>
      <c r="E902" s="527" t="s">
        <v>979</v>
      </c>
      <c r="F902" s="527" t="s">
        <v>980</v>
      </c>
      <c r="G902" s="527">
        <v>28</v>
      </c>
      <c r="H902" s="527" t="s">
        <v>9</v>
      </c>
      <c r="I902" s="527" t="s">
        <v>953</v>
      </c>
      <c r="J902" s="527" t="s">
        <v>2890</v>
      </c>
      <c r="K902" s="527" t="s">
        <v>2890</v>
      </c>
      <c r="L902" s="527" t="s">
        <v>7104</v>
      </c>
      <c r="M902" s="524"/>
      <c r="N902" s="524"/>
      <c r="O902" s="524"/>
    </row>
    <row r="903" spans="1:15" ht="29" hidden="1">
      <c r="A903" s="524">
        <v>813</v>
      </c>
      <c r="B903" s="524" t="str">
        <f>VLOOKUP(A903,'Hours Detail'!$E$17:$H$1048576,4,)</f>
        <v>No</v>
      </c>
      <c r="C903" s="524" t="s">
        <v>14</v>
      </c>
      <c r="D903" s="524" t="s">
        <v>984</v>
      </c>
      <c r="E903" s="524" t="s">
        <v>986</v>
      </c>
      <c r="F903" s="524" t="s">
        <v>986</v>
      </c>
      <c r="G903" s="524" t="s">
        <v>986</v>
      </c>
      <c r="H903" s="524" t="s">
        <v>986</v>
      </c>
      <c r="I903" s="524" t="s">
        <v>7105</v>
      </c>
      <c r="J903" s="524" t="s">
        <v>984</v>
      </c>
      <c r="K903" s="524"/>
      <c r="L903" s="524" t="s">
        <v>6386</v>
      </c>
      <c r="M903" s="524" t="s">
        <v>6488</v>
      </c>
      <c r="N903" s="524"/>
      <c r="O903" s="524"/>
    </row>
    <row r="904" spans="1:15" ht="174" hidden="1">
      <c r="A904" s="527">
        <v>813</v>
      </c>
      <c r="B904" s="524" t="str">
        <f>VLOOKUP(A904,'Hours Detail'!$E$17:$H$1048576,4,)</f>
        <v>No</v>
      </c>
      <c r="C904" s="527" t="s">
        <v>14</v>
      </c>
      <c r="D904" s="527" t="s">
        <v>986</v>
      </c>
      <c r="E904" s="527" t="s">
        <v>984</v>
      </c>
      <c r="F904" s="527" t="s">
        <v>986</v>
      </c>
      <c r="G904" s="527">
        <v>29</v>
      </c>
      <c r="H904" s="527" t="s">
        <v>14</v>
      </c>
      <c r="I904" s="527" t="s">
        <v>984</v>
      </c>
      <c r="J904" s="527" t="s">
        <v>2889</v>
      </c>
      <c r="K904" s="527" t="s">
        <v>2890</v>
      </c>
      <c r="L904" s="527" t="s">
        <v>7106</v>
      </c>
      <c r="M904" s="524"/>
      <c r="N904" s="524"/>
      <c r="O904" s="524"/>
    </row>
    <row r="905" spans="1:15" ht="43.5" hidden="1">
      <c r="A905" s="525">
        <v>814</v>
      </c>
      <c r="B905" s="524" t="str">
        <f>VLOOKUP(A905,'Hours Detail'!$E$17:$H$1048576,4,)</f>
        <v>No</v>
      </c>
      <c r="C905" s="524" t="s">
        <v>20</v>
      </c>
      <c r="D905" s="524" t="s">
        <v>1039</v>
      </c>
      <c r="E905" s="524" t="s">
        <v>1041</v>
      </c>
      <c r="F905" s="524" t="s">
        <v>1041</v>
      </c>
      <c r="G905" s="524" t="s">
        <v>1041</v>
      </c>
      <c r="H905" s="524" t="s">
        <v>1041</v>
      </c>
      <c r="I905" s="524" t="s">
        <v>7107</v>
      </c>
      <c r="J905" s="524" t="s">
        <v>1039</v>
      </c>
      <c r="K905" s="524"/>
      <c r="L905" s="524" t="s">
        <v>6386</v>
      </c>
      <c r="M905" s="524" t="s">
        <v>6435</v>
      </c>
      <c r="N905" s="524"/>
      <c r="O905" s="524"/>
    </row>
    <row r="906" spans="1:15" ht="174" hidden="1">
      <c r="A906" s="527">
        <v>814</v>
      </c>
      <c r="B906" s="524" t="str">
        <f>VLOOKUP(A906,'Hours Detail'!$E$17:$H$1048576,4,)</f>
        <v>No</v>
      </c>
      <c r="C906" s="527" t="s">
        <v>20</v>
      </c>
      <c r="D906" s="527" t="s">
        <v>1041</v>
      </c>
      <c r="E906" s="527" t="s">
        <v>1039</v>
      </c>
      <c r="F906" s="527" t="s">
        <v>1041</v>
      </c>
      <c r="G906" s="527">
        <v>86</v>
      </c>
      <c r="H906" s="527" t="s">
        <v>20</v>
      </c>
      <c r="I906" s="527" t="s">
        <v>1039</v>
      </c>
      <c r="J906" s="527" t="s">
        <v>2889</v>
      </c>
      <c r="K906" s="527" t="s">
        <v>2890</v>
      </c>
      <c r="L906" s="527" t="s">
        <v>7108</v>
      </c>
      <c r="M906" s="524"/>
      <c r="N906" s="524"/>
      <c r="O906" s="524"/>
    </row>
    <row r="907" spans="1:15" ht="58" hidden="1">
      <c r="A907" s="525">
        <v>815</v>
      </c>
      <c r="B907" s="524" t="str">
        <f>VLOOKUP(A907,'Hours Detail'!$E$17:$H$1048576,4,)</f>
        <v>No</v>
      </c>
      <c r="C907" s="524" t="s">
        <v>93</v>
      </c>
      <c r="D907" s="524" t="s">
        <v>1868</v>
      </c>
      <c r="E907" s="524" t="s">
        <v>977</v>
      </c>
      <c r="F907" s="524" t="s">
        <v>977</v>
      </c>
      <c r="G907" s="524" t="s">
        <v>977</v>
      </c>
      <c r="H907" s="524" t="s">
        <v>977</v>
      </c>
      <c r="I907" s="524" t="s">
        <v>7109</v>
      </c>
      <c r="J907" s="524" t="s">
        <v>1868</v>
      </c>
      <c r="K907" s="524"/>
      <c r="L907" s="524" t="s">
        <v>6386</v>
      </c>
      <c r="M907" s="524" t="s">
        <v>6488</v>
      </c>
      <c r="N907" s="524" t="s">
        <v>7110</v>
      </c>
      <c r="O907" s="524"/>
    </row>
    <row r="908" spans="1:15" ht="116" hidden="1">
      <c r="A908" s="527">
        <v>815</v>
      </c>
      <c r="B908" s="524" t="str">
        <f>VLOOKUP(A908,'Hours Detail'!$E$17:$H$1048576,4,)</f>
        <v>No</v>
      </c>
      <c r="C908" s="527" t="s">
        <v>93</v>
      </c>
      <c r="D908" s="527" t="s">
        <v>955</v>
      </c>
      <c r="E908" s="527" t="s">
        <v>1868</v>
      </c>
      <c r="F908" s="527" t="s">
        <v>977</v>
      </c>
      <c r="G908" s="527">
        <v>28</v>
      </c>
      <c r="H908" s="527" t="s">
        <v>9</v>
      </c>
      <c r="I908" s="527" t="s">
        <v>953</v>
      </c>
      <c r="J908" s="527" t="s">
        <v>2889</v>
      </c>
      <c r="K908" s="527" t="s">
        <v>2890</v>
      </c>
      <c r="L908" s="527" t="s">
        <v>7111</v>
      </c>
      <c r="M908" s="524"/>
      <c r="N908" s="524"/>
      <c r="O908" s="524"/>
    </row>
    <row r="909" spans="1:15" ht="87" hidden="1">
      <c r="A909" s="524">
        <v>816</v>
      </c>
      <c r="B909" s="524" t="e">
        <f>VLOOKUP(A909,'Hours Detail'!$E$17:$H$1048576,4,)</f>
        <v>#N/A</v>
      </c>
      <c r="C909" s="524" t="s">
        <v>1230</v>
      </c>
      <c r="D909" s="524" t="s">
        <v>1231</v>
      </c>
      <c r="E909" s="524" t="s">
        <v>1232</v>
      </c>
      <c r="F909" s="524" t="s">
        <v>1232</v>
      </c>
      <c r="G909" s="524" t="s">
        <v>1232</v>
      </c>
      <c r="H909" s="524" t="s">
        <v>1232</v>
      </c>
      <c r="I909" s="524" t="s">
        <v>7112</v>
      </c>
      <c r="J909" s="524" t="s">
        <v>1231</v>
      </c>
      <c r="K909" s="524"/>
      <c r="L909" s="524" t="s">
        <v>6386</v>
      </c>
      <c r="M909" s="524" t="s">
        <v>6435</v>
      </c>
      <c r="N909" s="524"/>
      <c r="O909" s="524"/>
    </row>
    <row r="910" spans="1:15" ht="101.5" hidden="1">
      <c r="A910" s="527">
        <v>816</v>
      </c>
      <c r="B910" s="524" t="e">
        <f>VLOOKUP(A910,'Hours Detail'!$E$17:$H$1048576,4,)</f>
        <v>#N/A</v>
      </c>
      <c r="C910" s="527" t="s">
        <v>1230</v>
      </c>
      <c r="D910" s="527" t="s">
        <v>4703</v>
      </c>
      <c r="E910" s="527" t="s">
        <v>1231</v>
      </c>
      <c r="F910" s="527" t="s">
        <v>1232</v>
      </c>
      <c r="G910" s="527">
        <v>283</v>
      </c>
      <c r="H910" s="527" t="s">
        <v>4705</v>
      </c>
      <c r="I910" s="527" t="s">
        <v>4704</v>
      </c>
      <c r="J910" s="527" t="s">
        <v>2890</v>
      </c>
      <c r="K910" s="527" t="s">
        <v>2890</v>
      </c>
      <c r="L910" s="527" t="s">
        <v>7113</v>
      </c>
      <c r="M910" s="524"/>
      <c r="N910" s="524"/>
      <c r="O910" s="524"/>
    </row>
    <row r="911" spans="1:15" ht="29" hidden="1">
      <c r="A911" s="524">
        <v>817</v>
      </c>
      <c r="B911" s="524" t="e">
        <f>VLOOKUP(A911,'Hours Detail'!$E$17:$H$1048576,4,)</f>
        <v>#N/A</v>
      </c>
      <c r="C911" s="524" t="s">
        <v>5198</v>
      </c>
      <c r="D911" s="524" t="s">
        <v>5197</v>
      </c>
      <c r="E911" s="524" t="s">
        <v>5196</v>
      </c>
      <c r="F911" s="524" t="s">
        <v>5196</v>
      </c>
      <c r="G911" s="524" t="s">
        <v>5196</v>
      </c>
      <c r="H911" s="524" t="s">
        <v>5196</v>
      </c>
      <c r="I911" s="524" t="s">
        <v>5197</v>
      </c>
      <c r="J911" s="524" t="s">
        <v>5197</v>
      </c>
      <c r="K911" s="524"/>
      <c r="L911" s="524" t="s">
        <v>6386</v>
      </c>
      <c r="M911" s="524" t="s">
        <v>6435</v>
      </c>
      <c r="N911" s="524"/>
      <c r="O911" s="524"/>
    </row>
    <row r="912" spans="1:15" ht="43.5" hidden="1">
      <c r="A912" s="525">
        <v>820</v>
      </c>
      <c r="B912" s="524" t="str">
        <f>VLOOKUP(A912,'Hours Detail'!$E$17:$H$1048576,4,)</f>
        <v>No</v>
      </c>
      <c r="C912" s="524" t="s">
        <v>265</v>
      </c>
      <c r="D912" s="524" t="s">
        <v>1053</v>
      </c>
      <c r="E912" s="524" t="s">
        <v>1054</v>
      </c>
      <c r="F912" s="524" t="s">
        <v>1054</v>
      </c>
      <c r="G912" s="524" t="s">
        <v>1054</v>
      </c>
      <c r="H912" s="524" t="s">
        <v>1054</v>
      </c>
      <c r="I912" s="524" t="s">
        <v>7114</v>
      </c>
      <c r="J912" s="524" t="s">
        <v>1053</v>
      </c>
      <c r="K912" s="524" t="s">
        <v>6359</v>
      </c>
      <c r="L912" s="524" t="s">
        <v>6397</v>
      </c>
      <c r="M912" s="524" t="s">
        <v>1</v>
      </c>
      <c r="N912" s="524" t="s">
        <v>7115</v>
      </c>
      <c r="O912" s="524"/>
    </row>
    <row r="913" spans="1:15" ht="159.5" hidden="1">
      <c r="A913" s="527">
        <v>820</v>
      </c>
      <c r="B913" s="524" t="str">
        <f>VLOOKUP(A913,'Hours Detail'!$E$17:$H$1048576,4,)</f>
        <v>No</v>
      </c>
      <c r="C913" s="527" t="s">
        <v>265</v>
      </c>
      <c r="D913" s="527" t="s">
        <v>1</v>
      </c>
      <c r="E913" s="527" t="s">
        <v>1053</v>
      </c>
      <c r="F913" s="527" t="s">
        <v>1054</v>
      </c>
      <c r="G913" s="527">
        <v>87</v>
      </c>
      <c r="H913" s="527" t="s">
        <v>1</v>
      </c>
      <c r="I913" s="527" t="s">
        <v>852</v>
      </c>
      <c r="J913" s="527" t="s">
        <v>2889</v>
      </c>
      <c r="K913" s="527" t="s">
        <v>2889</v>
      </c>
      <c r="L913" s="527" t="s">
        <v>7116</v>
      </c>
      <c r="M913" s="524"/>
      <c r="N913" s="524"/>
      <c r="O913" s="524"/>
    </row>
    <row r="914" spans="1:15" ht="72.5" hidden="1">
      <c r="A914" s="525">
        <v>821</v>
      </c>
      <c r="B914" s="524" t="str">
        <f>VLOOKUP(A914,'Hours Detail'!$E$17:$H$1048576,4,)</f>
        <v>No</v>
      </c>
      <c r="C914" s="524" t="s">
        <v>264</v>
      </c>
      <c r="D914" s="524" t="s">
        <v>1050</v>
      </c>
      <c r="E914" s="524" t="s">
        <v>264</v>
      </c>
      <c r="F914" s="524" t="s">
        <v>264</v>
      </c>
      <c r="G914" s="524" t="s">
        <v>264</v>
      </c>
      <c r="H914" s="524" t="s">
        <v>264</v>
      </c>
      <c r="I914" s="524" t="s">
        <v>7117</v>
      </c>
      <c r="J914" s="524" t="s">
        <v>1050</v>
      </c>
      <c r="K914" s="524" t="s">
        <v>6359</v>
      </c>
      <c r="L914" s="524" t="s">
        <v>6397</v>
      </c>
      <c r="M914" s="524" t="s">
        <v>1</v>
      </c>
      <c r="N914" s="524" t="s">
        <v>7118</v>
      </c>
      <c r="O914" s="524"/>
    </row>
    <row r="915" spans="1:15" ht="145" hidden="1">
      <c r="A915" s="527">
        <v>821</v>
      </c>
      <c r="B915" s="524" t="str">
        <f>VLOOKUP(A915,'Hours Detail'!$E$17:$H$1048576,4,)</f>
        <v>No</v>
      </c>
      <c r="C915" s="527" t="s">
        <v>264</v>
      </c>
      <c r="D915" s="527" t="s">
        <v>1</v>
      </c>
      <c r="E915" s="527" t="s">
        <v>1050</v>
      </c>
      <c r="F915" s="527" t="s">
        <v>264</v>
      </c>
      <c r="G915" s="527">
        <v>87</v>
      </c>
      <c r="H915" s="527" t="s">
        <v>1</v>
      </c>
      <c r="I915" s="527" t="s">
        <v>852</v>
      </c>
      <c r="J915" s="527" t="s">
        <v>2889</v>
      </c>
      <c r="K915" s="527" t="s">
        <v>2889</v>
      </c>
      <c r="L915" s="527" t="s">
        <v>7119</v>
      </c>
      <c r="M915" s="524"/>
      <c r="N915" s="524"/>
      <c r="O915" s="524"/>
    </row>
    <row r="916" spans="1:15" ht="130.5" hidden="1">
      <c r="A916" s="525">
        <v>830</v>
      </c>
      <c r="B916" s="524" t="str">
        <f>VLOOKUP(A916,'Hours Detail'!$E$17:$H$1048576,4,)</f>
        <v>No</v>
      </c>
      <c r="C916" s="524" t="s">
        <v>17</v>
      </c>
      <c r="D916" s="524" t="s">
        <v>987</v>
      </c>
      <c r="E916" s="524" t="s">
        <v>988</v>
      </c>
      <c r="F916" s="524" t="s">
        <v>988</v>
      </c>
      <c r="G916" s="524" t="s">
        <v>988</v>
      </c>
      <c r="H916" s="524" t="s">
        <v>7120</v>
      </c>
      <c r="I916" s="524" t="s">
        <v>987</v>
      </c>
      <c r="J916" s="524" t="s">
        <v>987</v>
      </c>
      <c r="K916" s="524"/>
      <c r="L916" s="524" t="s">
        <v>6386</v>
      </c>
      <c r="M916" s="524" t="s">
        <v>6435</v>
      </c>
      <c r="N916" s="524" t="s">
        <v>7121</v>
      </c>
      <c r="O916" s="524"/>
    </row>
    <row r="917" spans="1:15" ht="87" hidden="1">
      <c r="A917" s="527">
        <v>830</v>
      </c>
      <c r="B917" s="524" t="str">
        <f>VLOOKUP(A917,'Hours Detail'!$E$17:$H$1048576,4,)</f>
        <v>No</v>
      </c>
      <c r="C917" s="527" t="s">
        <v>17</v>
      </c>
      <c r="D917" s="527" t="s">
        <v>988</v>
      </c>
      <c r="E917" s="527" t="s">
        <v>987</v>
      </c>
      <c r="F917" s="527" t="s">
        <v>988</v>
      </c>
      <c r="G917" s="527">
        <v>30</v>
      </c>
      <c r="H917" s="527" t="s">
        <v>17</v>
      </c>
      <c r="I917" s="527" t="s">
        <v>987</v>
      </c>
      <c r="J917" s="527" t="s">
        <v>2889</v>
      </c>
      <c r="K917" s="527" t="s">
        <v>2890</v>
      </c>
      <c r="L917" s="527" t="s">
        <v>7122</v>
      </c>
      <c r="M917" s="524"/>
      <c r="N917" s="524"/>
      <c r="O917" s="524"/>
    </row>
    <row r="918" spans="1:15" ht="87" hidden="1">
      <c r="A918" s="525">
        <v>835</v>
      </c>
      <c r="B918" s="524" t="str">
        <f>VLOOKUP(A918,'Hours Detail'!$E$17:$H$1048576,4,)</f>
        <v>No</v>
      </c>
      <c r="C918" s="524" t="s">
        <v>1360</v>
      </c>
      <c r="D918" s="524" t="s">
        <v>3994</v>
      </c>
      <c r="E918" s="524" t="s">
        <v>1362</v>
      </c>
      <c r="F918" s="524" t="s">
        <v>1362</v>
      </c>
      <c r="G918" s="524" t="s">
        <v>1362</v>
      </c>
      <c r="H918" s="524" t="s">
        <v>1362</v>
      </c>
      <c r="I918" s="524" t="s">
        <v>7123</v>
      </c>
      <c r="J918" s="524" t="s">
        <v>3994</v>
      </c>
      <c r="K918" s="524"/>
      <c r="L918" s="524" t="s">
        <v>6386</v>
      </c>
      <c r="M918" s="524" t="s">
        <v>6488</v>
      </c>
      <c r="N918" s="524"/>
      <c r="O918" s="524"/>
    </row>
    <row r="919" spans="1:15" ht="87" hidden="1">
      <c r="A919" s="527">
        <v>835</v>
      </c>
      <c r="B919" s="524" t="str">
        <f>VLOOKUP(A919,'Hours Detail'!$E$17:$H$1048576,4,)</f>
        <v>No</v>
      </c>
      <c r="C919" s="527" t="s">
        <v>1360</v>
      </c>
      <c r="D919" s="527" t="s">
        <v>955</v>
      </c>
      <c r="E919" s="527" t="s">
        <v>1361</v>
      </c>
      <c r="F919" s="527" t="s">
        <v>1362</v>
      </c>
      <c r="G919" s="527">
        <v>28</v>
      </c>
      <c r="H919" s="527" t="s">
        <v>9</v>
      </c>
      <c r="I919" s="527" t="s">
        <v>953</v>
      </c>
      <c r="J919" s="527" t="s">
        <v>2889</v>
      </c>
      <c r="K919" s="527" t="s">
        <v>2890</v>
      </c>
      <c r="L919" s="527" t="s">
        <v>7124</v>
      </c>
      <c r="M919" s="524"/>
      <c r="N919" s="524"/>
      <c r="O919" s="524"/>
    </row>
    <row r="920" spans="1:15" ht="43.5" hidden="1">
      <c r="A920" s="524">
        <v>850</v>
      </c>
      <c r="B920" s="524" t="e">
        <f>VLOOKUP(A920,'Hours Detail'!$E$17:$H$1048576,4,)</f>
        <v>#N/A</v>
      </c>
      <c r="C920" s="524" t="s">
        <v>4035</v>
      </c>
      <c r="D920" s="524" t="s">
        <v>4034</v>
      </c>
      <c r="E920" s="524" t="s">
        <v>4033</v>
      </c>
      <c r="F920" s="524" t="s">
        <v>4033</v>
      </c>
      <c r="G920" s="524" t="s">
        <v>4033</v>
      </c>
      <c r="H920" s="524" t="s">
        <v>4033</v>
      </c>
      <c r="I920" s="524" t="s">
        <v>4034</v>
      </c>
      <c r="J920" s="524" t="s">
        <v>4034</v>
      </c>
      <c r="K920" s="524"/>
      <c r="L920" s="524" t="s">
        <v>6414</v>
      </c>
      <c r="M920" s="524" t="s">
        <v>6415</v>
      </c>
      <c r="N920" s="524"/>
      <c r="O920" s="524"/>
    </row>
    <row r="921" spans="1:15" ht="43.5" hidden="1">
      <c r="A921" s="524">
        <v>851</v>
      </c>
      <c r="B921" s="524" t="str">
        <f>VLOOKUP(A921,'Hours Detail'!$E$17:$H$1048576,4,)</f>
        <v>No</v>
      </c>
      <c r="C921" s="524" t="s">
        <v>90</v>
      </c>
      <c r="D921" s="524" t="s">
        <v>746</v>
      </c>
      <c r="E921" s="524" t="s">
        <v>747</v>
      </c>
      <c r="F921" s="524" t="s">
        <v>747</v>
      </c>
      <c r="G921" s="524" t="s">
        <v>747</v>
      </c>
      <c r="H921" s="524" t="s">
        <v>747</v>
      </c>
      <c r="I921" s="524" t="s">
        <v>7125</v>
      </c>
      <c r="J921" s="524" t="s">
        <v>746</v>
      </c>
      <c r="K921" s="524"/>
      <c r="L921" s="524" t="s">
        <v>6386</v>
      </c>
      <c r="M921" s="524" t="s">
        <v>6435</v>
      </c>
      <c r="N921" s="524"/>
      <c r="O921" s="524"/>
    </row>
    <row r="922" spans="1:15" ht="130.5" hidden="1">
      <c r="A922" s="527">
        <v>851</v>
      </c>
      <c r="B922" s="524" t="str">
        <f>VLOOKUP(A922,'Hours Detail'!$E$17:$H$1048576,4,)</f>
        <v>No</v>
      </c>
      <c r="C922" s="527" t="s">
        <v>90</v>
      </c>
      <c r="D922" s="527" t="s">
        <v>728</v>
      </c>
      <c r="E922" s="527" t="s">
        <v>746</v>
      </c>
      <c r="F922" s="527" t="s">
        <v>747</v>
      </c>
      <c r="G922" s="527">
        <v>12</v>
      </c>
      <c r="H922" s="527" t="s">
        <v>4</v>
      </c>
      <c r="I922" s="527" t="s">
        <v>726</v>
      </c>
      <c r="J922" s="527" t="s">
        <v>2889</v>
      </c>
      <c r="K922" s="527" t="s">
        <v>2890</v>
      </c>
      <c r="L922" s="527" t="s">
        <v>7126</v>
      </c>
      <c r="M922" s="524"/>
      <c r="N922" s="524"/>
      <c r="O922" s="524"/>
    </row>
    <row r="923" spans="1:15" ht="58" hidden="1">
      <c r="A923" s="525">
        <v>853</v>
      </c>
      <c r="B923" s="524" t="e">
        <f>VLOOKUP(A923,'Hours Detail'!$E$17:$H$1048576,4,)</f>
        <v>#N/A</v>
      </c>
      <c r="C923" s="524" t="s">
        <v>5288</v>
      </c>
      <c r="D923" s="524" t="s">
        <v>5287</v>
      </c>
      <c r="E923" s="524" t="s">
        <v>5286</v>
      </c>
      <c r="F923" s="524" t="s">
        <v>5286</v>
      </c>
      <c r="G923" s="524" t="s">
        <v>5286</v>
      </c>
      <c r="H923" s="524" t="s">
        <v>5286</v>
      </c>
      <c r="I923" s="524" t="s">
        <v>7127</v>
      </c>
      <c r="J923" s="524" t="s">
        <v>5287</v>
      </c>
      <c r="K923" s="524"/>
      <c r="L923" s="524" t="s">
        <v>6386</v>
      </c>
      <c r="M923" s="524" t="s">
        <v>6435</v>
      </c>
      <c r="N923" s="524"/>
      <c r="O923" s="524"/>
    </row>
    <row r="924" spans="1:15" ht="72.5" hidden="1">
      <c r="A924" s="525">
        <v>854</v>
      </c>
      <c r="B924" s="524" t="e">
        <f>VLOOKUP(A924,'Hours Detail'!$E$17:$H$1048576,4,)</f>
        <v>#N/A</v>
      </c>
      <c r="C924" s="524" t="s">
        <v>82</v>
      </c>
      <c r="D924" s="524" t="s">
        <v>4123</v>
      </c>
      <c r="E924" s="524" t="s">
        <v>4122</v>
      </c>
      <c r="F924" s="524" t="s">
        <v>4122</v>
      </c>
      <c r="G924" s="524" t="s">
        <v>4122</v>
      </c>
      <c r="H924" s="524" t="s">
        <v>4122</v>
      </c>
      <c r="I924" s="524" t="s">
        <v>7128</v>
      </c>
      <c r="J924" s="524" t="s">
        <v>4123</v>
      </c>
      <c r="K924" s="524"/>
      <c r="L924" s="524" t="s">
        <v>6386</v>
      </c>
      <c r="M924" s="524" t="s">
        <v>6435</v>
      </c>
      <c r="N924" s="524" t="s">
        <v>7129</v>
      </c>
      <c r="O924" s="524"/>
    </row>
    <row r="925" spans="1:15" ht="43.5" hidden="1">
      <c r="A925" s="527">
        <v>854</v>
      </c>
      <c r="B925" s="524" t="e">
        <f>VLOOKUP(A925,'Hours Detail'!$E$17:$H$1048576,4,)</f>
        <v>#N/A</v>
      </c>
      <c r="C925" s="527" t="s">
        <v>82</v>
      </c>
      <c r="D925" s="527" t="s">
        <v>728</v>
      </c>
      <c r="E925" s="527" t="s">
        <v>748</v>
      </c>
      <c r="F925" s="527" t="s">
        <v>749</v>
      </c>
      <c r="G925" s="527">
        <v>12</v>
      </c>
      <c r="H925" s="527" t="s">
        <v>4</v>
      </c>
      <c r="I925" s="527" t="s">
        <v>726</v>
      </c>
      <c r="J925" s="527" t="s">
        <v>2890</v>
      </c>
      <c r="K925" s="527" t="s">
        <v>2890</v>
      </c>
      <c r="L925" s="527" t="s">
        <v>7130</v>
      </c>
      <c r="M925" s="524"/>
      <c r="N925" s="524"/>
      <c r="O925" s="524"/>
    </row>
    <row r="926" spans="1:15" ht="43.5" hidden="1">
      <c r="A926" s="525">
        <v>855</v>
      </c>
      <c r="B926" s="524" t="str">
        <f>VLOOKUP(A926,'Hours Detail'!$E$17:$H$1048576,4,)</f>
        <v>No</v>
      </c>
      <c r="C926" s="524" t="s">
        <v>81</v>
      </c>
      <c r="D926" s="524" t="s">
        <v>750</v>
      </c>
      <c r="E926" s="524" t="s">
        <v>751</v>
      </c>
      <c r="F926" s="524" t="s">
        <v>751</v>
      </c>
      <c r="G926" s="524" t="s">
        <v>751</v>
      </c>
      <c r="H926" s="524" t="s">
        <v>751</v>
      </c>
      <c r="I926" s="524" t="s">
        <v>7125</v>
      </c>
      <c r="J926" s="524" t="s">
        <v>750</v>
      </c>
      <c r="K926" s="524"/>
      <c r="L926" s="524" t="s">
        <v>6386</v>
      </c>
      <c r="M926" s="524" t="s">
        <v>6435</v>
      </c>
      <c r="N926" s="524" t="s">
        <v>7131</v>
      </c>
      <c r="O926" s="524"/>
    </row>
    <row r="927" spans="1:15" ht="116" hidden="1">
      <c r="A927" s="527">
        <v>855</v>
      </c>
      <c r="B927" s="524" t="str">
        <f>VLOOKUP(A927,'Hours Detail'!$E$17:$H$1048576,4,)</f>
        <v>No</v>
      </c>
      <c r="C927" s="527" t="s">
        <v>81</v>
      </c>
      <c r="D927" s="527" t="s">
        <v>728</v>
      </c>
      <c r="E927" s="527" t="s">
        <v>750</v>
      </c>
      <c r="F927" s="527" t="s">
        <v>751</v>
      </c>
      <c r="G927" s="527">
        <v>12</v>
      </c>
      <c r="H927" s="527" t="s">
        <v>4</v>
      </c>
      <c r="I927" s="527" t="s">
        <v>726</v>
      </c>
      <c r="J927" s="527" t="s">
        <v>2889</v>
      </c>
      <c r="K927" s="527" t="s">
        <v>2890</v>
      </c>
      <c r="L927" s="527" t="s">
        <v>7132</v>
      </c>
      <c r="M927" s="524"/>
      <c r="N927" s="524"/>
      <c r="O927" s="524"/>
    </row>
    <row r="928" spans="1:15" ht="130.5" hidden="1">
      <c r="A928" s="525">
        <v>857</v>
      </c>
      <c r="B928" s="524" t="str">
        <f>VLOOKUP(A928,'Hours Detail'!$E$17:$H$1048576,4,)</f>
        <v>No</v>
      </c>
      <c r="C928" s="524" t="s">
        <v>89</v>
      </c>
      <c r="D928" s="524" t="s">
        <v>4121</v>
      </c>
      <c r="E928" s="524" t="s">
        <v>7133</v>
      </c>
      <c r="F928" s="524" t="s">
        <v>7133</v>
      </c>
      <c r="G928" s="524" t="s">
        <v>7133</v>
      </c>
      <c r="H928" s="524" t="s">
        <v>7133</v>
      </c>
      <c r="I928" s="524" t="s">
        <v>7109</v>
      </c>
      <c r="J928" s="524" t="s">
        <v>4121</v>
      </c>
      <c r="K928" s="524"/>
      <c r="L928" s="524" t="s">
        <v>6386</v>
      </c>
      <c r="M928" s="524" t="s">
        <v>6435</v>
      </c>
      <c r="N928" s="524" t="s">
        <v>7134</v>
      </c>
      <c r="O928" s="524"/>
    </row>
    <row r="929" spans="1:15" ht="130.5" hidden="1">
      <c r="A929" s="527">
        <v>857</v>
      </c>
      <c r="B929" s="524" t="str">
        <f>VLOOKUP(A929,'Hours Detail'!$E$17:$H$1048576,4,)</f>
        <v>No</v>
      </c>
      <c r="C929" s="527" t="s">
        <v>89</v>
      </c>
      <c r="D929" s="527" t="s">
        <v>728</v>
      </c>
      <c r="E929" s="527" t="s">
        <v>752</v>
      </c>
      <c r="F929" s="527" t="s">
        <v>753</v>
      </c>
      <c r="G929" s="527">
        <v>12</v>
      </c>
      <c r="H929" s="527" t="s">
        <v>4</v>
      </c>
      <c r="I929" s="527" t="s">
        <v>726</v>
      </c>
      <c r="J929" s="527" t="s">
        <v>2889</v>
      </c>
      <c r="K929" s="527" t="s">
        <v>2890</v>
      </c>
      <c r="L929" s="527" t="s">
        <v>7135</v>
      </c>
      <c r="M929" s="524"/>
      <c r="N929" s="524"/>
      <c r="O929" s="524"/>
    </row>
    <row r="930" spans="1:15" ht="43.5" hidden="1">
      <c r="A930" s="525">
        <v>858</v>
      </c>
      <c r="B930" s="524" t="str">
        <f>VLOOKUP(A930,'Hours Detail'!$E$17:$H$1048576,4,)</f>
        <v>No</v>
      </c>
      <c r="C930" s="524" t="s">
        <v>79</v>
      </c>
      <c r="D930" s="524" t="s">
        <v>729</v>
      </c>
      <c r="E930" s="524" t="s">
        <v>730</v>
      </c>
      <c r="F930" s="524" t="s">
        <v>730</v>
      </c>
      <c r="G930" s="524" t="s">
        <v>730</v>
      </c>
      <c r="H930" s="524" t="s">
        <v>730</v>
      </c>
      <c r="I930" s="524" t="s">
        <v>7136</v>
      </c>
      <c r="J930" s="524" t="s">
        <v>729</v>
      </c>
      <c r="K930" s="524"/>
      <c r="L930" s="524" t="s">
        <v>6386</v>
      </c>
      <c r="M930" s="524" t="s">
        <v>6435</v>
      </c>
      <c r="N930" s="524" t="s">
        <v>7137</v>
      </c>
      <c r="O930" s="524"/>
    </row>
    <row r="931" spans="1:15" ht="101.5" hidden="1">
      <c r="A931" s="527">
        <v>858</v>
      </c>
      <c r="B931" s="524" t="str">
        <f>VLOOKUP(A931,'Hours Detail'!$E$17:$H$1048576,4,)</f>
        <v>No</v>
      </c>
      <c r="C931" s="527" t="s">
        <v>79</v>
      </c>
      <c r="D931" s="527" t="s">
        <v>728</v>
      </c>
      <c r="E931" s="527" t="s">
        <v>729</v>
      </c>
      <c r="F931" s="527" t="s">
        <v>730</v>
      </c>
      <c r="G931" s="527">
        <v>12</v>
      </c>
      <c r="H931" s="527" t="s">
        <v>4</v>
      </c>
      <c r="I931" s="527" t="s">
        <v>726</v>
      </c>
      <c r="J931" s="527" t="s">
        <v>2889</v>
      </c>
      <c r="K931" s="527" t="s">
        <v>2890</v>
      </c>
      <c r="L931" s="527" t="s">
        <v>7138</v>
      </c>
      <c r="M931" s="524"/>
      <c r="N931" s="524"/>
      <c r="O931" s="524"/>
    </row>
    <row r="932" spans="1:15" ht="43.5" hidden="1">
      <c r="A932" s="525">
        <v>859</v>
      </c>
      <c r="B932" s="524" t="e">
        <f>VLOOKUP(A932,'Hours Detail'!$E$17:$H$1048576,4,)</f>
        <v>#N/A</v>
      </c>
      <c r="C932" s="524" t="s">
        <v>95</v>
      </c>
      <c r="D932" s="524" t="s">
        <v>958</v>
      </c>
      <c r="E932" s="524" t="s">
        <v>959</v>
      </c>
      <c r="F932" s="524" t="s">
        <v>959</v>
      </c>
      <c r="G932" s="524" t="s">
        <v>959</v>
      </c>
      <c r="H932" s="524" t="s">
        <v>959</v>
      </c>
      <c r="I932" s="524" t="s">
        <v>7139</v>
      </c>
      <c r="J932" s="524" t="s">
        <v>958</v>
      </c>
      <c r="K932" s="524"/>
      <c r="L932" s="524" t="s">
        <v>6386</v>
      </c>
      <c r="M932" s="524" t="s">
        <v>6488</v>
      </c>
      <c r="N932" s="524"/>
      <c r="O932" s="524"/>
    </row>
    <row r="933" spans="1:15" ht="87" hidden="1">
      <c r="A933" s="527">
        <v>859</v>
      </c>
      <c r="B933" s="524" t="e">
        <f>VLOOKUP(A933,'Hours Detail'!$E$17:$H$1048576,4,)</f>
        <v>#N/A</v>
      </c>
      <c r="C933" s="527" t="s">
        <v>95</v>
      </c>
      <c r="D933" s="527" t="s">
        <v>955</v>
      </c>
      <c r="E933" s="527" t="s">
        <v>958</v>
      </c>
      <c r="F933" s="527" t="s">
        <v>959</v>
      </c>
      <c r="G933" s="527">
        <v>28</v>
      </c>
      <c r="H933" s="527" t="s">
        <v>9</v>
      </c>
      <c r="I933" s="527" t="s">
        <v>953</v>
      </c>
      <c r="J933" s="527" t="s">
        <v>2890</v>
      </c>
      <c r="K933" s="527" t="s">
        <v>2890</v>
      </c>
      <c r="L933" s="527" t="s">
        <v>7140</v>
      </c>
      <c r="M933" s="524"/>
      <c r="N933" s="524"/>
      <c r="O933" s="524"/>
    </row>
    <row r="934" spans="1:15" ht="72.5" hidden="1">
      <c r="A934" s="525">
        <v>860</v>
      </c>
      <c r="B934" s="524" t="str">
        <f>VLOOKUP(A934,'Hours Detail'!$E$17:$H$1048576,4,)</f>
        <v>No</v>
      </c>
      <c r="C934" s="524" t="s">
        <v>92</v>
      </c>
      <c r="D934" s="524" t="s">
        <v>850</v>
      </c>
      <c r="E934" s="524" t="s">
        <v>978</v>
      </c>
      <c r="F934" s="524" t="s">
        <v>978</v>
      </c>
      <c r="G934" s="524" t="s">
        <v>978</v>
      </c>
      <c r="H934" s="524" t="s">
        <v>978</v>
      </c>
      <c r="I934" s="524" t="s">
        <v>7066</v>
      </c>
      <c r="J934" s="524" t="s">
        <v>850</v>
      </c>
      <c r="K934" s="524"/>
      <c r="L934" s="524" t="s">
        <v>6386</v>
      </c>
      <c r="M934" s="524" t="s">
        <v>6488</v>
      </c>
      <c r="N934" s="524" t="s">
        <v>7141</v>
      </c>
      <c r="O934" s="524"/>
    </row>
    <row r="935" spans="1:15" ht="101.5" hidden="1">
      <c r="A935" s="527">
        <v>860</v>
      </c>
      <c r="B935" s="524" t="str">
        <f>VLOOKUP(A935,'Hours Detail'!$E$17:$H$1048576,4,)</f>
        <v>No</v>
      </c>
      <c r="C935" s="527" t="s">
        <v>92</v>
      </c>
      <c r="D935" s="527" t="s">
        <v>955</v>
      </c>
      <c r="E935" s="527" t="s">
        <v>850</v>
      </c>
      <c r="F935" s="527" t="s">
        <v>978</v>
      </c>
      <c r="G935" s="527">
        <v>28</v>
      </c>
      <c r="H935" s="527" t="s">
        <v>9</v>
      </c>
      <c r="I935" s="527" t="s">
        <v>953</v>
      </c>
      <c r="J935" s="527" t="s">
        <v>2889</v>
      </c>
      <c r="K935" s="527" t="s">
        <v>2890</v>
      </c>
      <c r="L935" s="527" t="s">
        <v>7142</v>
      </c>
      <c r="M935" s="524"/>
      <c r="N935" s="524"/>
      <c r="O935" s="524"/>
    </row>
    <row r="936" spans="1:15" ht="72.5" hidden="1">
      <c r="A936" s="525">
        <v>861</v>
      </c>
      <c r="B936" s="524" t="str">
        <f>VLOOKUP(A936,'Hours Detail'!$E$17:$H$1048576,4,)</f>
        <v>No</v>
      </c>
      <c r="C936" s="524" t="s">
        <v>332</v>
      </c>
      <c r="D936" s="524" t="s">
        <v>968</v>
      </c>
      <c r="E936" s="524" t="s">
        <v>969</v>
      </c>
      <c r="F936" s="524" t="s">
        <v>969</v>
      </c>
      <c r="G936" s="524" t="s">
        <v>969</v>
      </c>
      <c r="H936" s="524" t="s">
        <v>969</v>
      </c>
      <c r="I936" s="524" t="s">
        <v>968</v>
      </c>
      <c r="J936" s="524" t="s">
        <v>968</v>
      </c>
      <c r="K936" s="524"/>
      <c r="L936" s="524" t="s">
        <v>6386</v>
      </c>
      <c r="M936" s="524" t="s">
        <v>6488</v>
      </c>
      <c r="N936" s="524" t="s">
        <v>7143</v>
      </c>
      <c r="O936" s="524"/>
    </row>
    <row r="937" spans="1:15" ht="43.5" hidden="1">
      <c r="A937" s="527">
        <v>861</v>
      </c>
      <c r="B937" s="524" t="str">
        <f>VLOOKUP(A937,'Hours Detail'!$E$17:$H$1048576,4,)</f>
        <v>No</v>
      </c>
      <c r="C937" s="527" t="s">
        <v>332</v>
      </c>
      <c r="D937" s="527" t="s">
        <v>955</v>
      </c>
      <c r="E937" s="527" t="s">
        <v>968</v>
      </c>
      <c r="F937" s="527" t="s">
        <v>969</v>
      </c>
      <c r="G937" s="527">
        <v>28</v>
      </c>
      <c r="H937" s="527" t="s">
        <v>9</v>
      </c>
      <c r="I937" s="527" t="s">
        <v>953</v>
      </c>
      <c r="J937" s="527" t="s">
        <v>2889</v>
      </c>
      <c r="K937" s="527" t="s">
        <v>2890</v>
      </c>
      <c r="L937" s="527" t="s">
        <v>7144</v>
      </c>
      <c r="M937" s="524"/>
      <c r="N937" s="524"/>
      <c r="O937" s="524"/>
    </row>
    <row r="938" spans="1:15" ht="43.5" hidden="1">
      <c r="A938" s="525">
        <v>865</v>
      </c>
      <c r="B938" s="524" t="str">
        <f>VLOOKUP(A938,'Hours Detail'!$E$17:$H$1048576,4,)</f>
        <v>No</v>
      </c>
      <c r="C938" s="524" t="s">
        <v>288</v>
      </c>
      <c r="D938" s="524" t="s">
        <v>1101</v>
      </c>
      <c r="E938" s="524" t="s">
        <v>288</v>
      </c>
      <c r="F938" s="524" t="s">
        <v>288</v>
      </c>
      <c r="G938" s="524" t="s">
        <v>288</v>
      </c>
      <c r="H938" s="524" t="s">
        <v>288</v>
      </c>
      <c r="I938" s="524" t="s">
        <v>7145</v>
      </c>
      <c r="J938" s="524" t="s">
        <v>1101</v>
      </c>
      <c r="K938" s="524" t="s">
        <v>6359</v>
      </c>
      <c r="L938" s="524" t="s">
        <v>6379</v>
      </c>
      <c r="M938" s="524" t="s">
        <v>6979</v>
      </c>
      <c r="N938" s="524" t="s">
        <v>7146</v>
      </c>
      <c r="O938" s="524"/>
    </row>
    <row r="939" spans="1:15" ht="58" hidden="1">
      <c r="A939" s="527">
        <v>865</v>
      </c>
      <c r="B939" s="524" t="str">
        <f>VLOOKUP(A939,'Hours Detail'!$E$17:$H$1048576,4,)</f>
        <v>No</v>
      </c>
      <c r="C939" s="527" t="s">
        <v>288</v>
      </c>
      <c r="D939" s="527" t="s">
        <v>287</v>
      </c>
      <c r="E939" s="527" t="s">
        <v>1101</v>
      </c>
      <c r="F939" s="527" t="s">
        <v>288</v>
      </c>
      <c r="G939" s="527">
        <v>90</v>
      </c>
      <c r="H939" s="527" t="s">
        <v>287</v>
      </c>
      <c r="I939" s="527" t="s">
        <v>1102</v>
      </c>
      <c r="J939" s="527" t="s">
        <v>2889</v>
      </c>
      <c r="K939" s="527" t="s">
        <v>2889</v>
      </c>
      <c r="L939" s="527" t="s">
        <v>7147</v>
      </c>
      <c r="M939" s="524"/>
      <c r="N939" s="524"/>
      <c r="O939" s="524"/>
    </row>
    <row r="940" spans="1:15" ht="43.5" hidden="1">
      <c r="A940" s="525">
        <v>866</v>
      </c>
      <c r="B940" s="524" t="str">
        <f>VLOOKUP(A940,'Hours Detail'!$E$17:$H$1048576,4,)</f>
        <v>No</v>
      </c>
      <c r="C940" s="524" t="s">
        <v>266</v>
      </c>
      <c r="D940" s="524" t="s">
        <v>1055</v>
      </c>
      <c r="E940" s="524" t="s">
        <v>1056</v>
      </c>
      <c r="F940" s="524" t="s">
        <v>1056</v>
      </c>
      <c r="G940" s="524" t="s">
        <v>1056</v>
      </c>
      <c r="H940" s="524" t="s">
        <v>1056</v>
      </c>
      <c r="I940" s="524" t="s">
        <v>7148</v>
      </c>
      <c r="J940" s="524" t="s">
        <v>1055</v>
      </c>
      <c r="K940" s="524" t="s">
        <v>6359</v>
      </c>
      <c r="L940" s="524" t="s">
        <v>6397</v>
      </c>
      <c r="M940" s="524" t="s">
        <v>1</v>
      </c>
      <c r="N940" s="524" t="s">
        <v>7149</v>
      </c>
      <c r="O940" s="524"/>
    </row>
    <row r="941" spans="1:15" ht="72.5" hidden="1">
      <c r="A941" s="527">
        <v>866</v>
      </c>
      <c r="B941" s="524" t="str">
        <f>VLOOKUP(A941,'Hours Detail'!$E$17:$H$1048576,4,)</f>
        <v>No</v>
      </c>
      <c r="C941" s="527" t="s">
        <v>266</v>
      </c>
      <c r="D941" s="527" t="s">
        <v>1</v>
      </c>
      <c r="E941" s="527" t="s">
        <v>1055</v>
      </c>
      <c r="F941" s="527" t="s">
        <v>1056</v>
      </c>
      <c r="G941" s="527">
        <v>87</v>
      </c>
      <c r="H941" s="527" t="s">
        <v>1</v>
      </c>
      <c r="I941" s="527" t="s">
        <v>852</v>
      </c>
      <c r="J941" s="527" t="s">
        <v>2889</v>
      </c>
      <c r="K941" s="527" t="s">
        <v>2889</v>
      </c>
      <c r="L941" s="527" t="s">
        <v>7150</v>
      </c>
      <c r="M941" s="524"/>
      <c r="N941" s="524"/>
      <c r="O941" s="524"/>
    </row>
    <row r="942" spans="1:15" ht="58" hidden="1">
      <c r="A942" s="525">
        <v>867</v>
      </c>
      <c r="B942" s="524" t="str">
        <f>VLOOKUP(A942,'Hours Detail'!$E$17:$H$1048576,4,)</f>
        <v>No</v>
      </c>
      <c r="C942" s="524" t="s">
        <v>421</v>
      </c>
      <c r="D942" s="524" t="s">
        <v>1513</v>
      </c>
      <c r="E942" s="524" t="s">
        <v>1514</v>
      </c>
      <c r="F942" s="524" t="s">
        <v>1514</v>
      </c>
      <c r="G942" s="524" t="s">
        <v>1514</v>
      </c>
      <c r="H942" s="524" t="s">
        <v>1514</v>
      </c>
      <c r="I942" s="524" t="s">
        <v>7151</v>
      </c>
      <c r="J942" s="524" t="s">
        <v>1513</v>
      </c>
      <c r="K942" s="524" t="s">
        <v>6359</v>
      </c>
      <c r="L942" s="524" t="s">
        <v>6379</v>
      </c>
      <c r="M942" s="524" t="s">
        <v>6380</v>
      </c>
      <c r="N942" s="524" t="s">
        <v>7152</v>
      </c>
      <c r="O942" s="524"/>
    </row>
    <row r="943" spans="1:15" ht="87" hidden="1">
      <c r="A943" s="527">
        <v>867</v>
      </c>
      <c r="B943" s="524" t="str">
        <f>VLOOKUP(A943,'Hours Detail'!$E$17:$H$1048576,4,)</f>
        <v>No</v>
      </c>
      <c r="C943" s="527" t="s">
        <v>421</v>
      </c>
      <c r="D943" s="527" t="s">
        <v>420</v>
      </c>
      <c r="E943" s="527" t="s">
        <v>1513</v>
      </c>
      <c r="F943" s="527" t="s">
        <v>1514</v>
      </c>
      <c r="G943" s="527">
        <v>391</v>
      </c>
      <c r="H943" s="527" t="s">
        <v>420</v>
      </c>
      <c r="I943" s="527" t="s">
        <v>420</v>
      </c>
      <c r="J943" s="527" t="s">
        <v>2889</v>
      </c>
      <c r="K943" s="527" t="s">
        <v>2890</v>
      </c>
      <c r="L943" s="527" t="s">
        <v>7153</v>
      </c>
      <c r="M943" s="524"/>
      <c r="N943" s="524"/>
      <c r="O943" s="524"/>
    </row>
    <row r="944" spans="1:15" ht="58" hidden="1">
      <c r="A944" s="525">
        <v>868</v>
      </c>
      <c r="B944" s="524" t="e">
        <f>VLOOKUP(A944,'Hours Detail'!$E$17:$H$1048576,4,)</f>
        <v>#N/A</v>
      </c>
      <c r="C944" s="524" t="s">
        <v>1204</v>
      </c>
      <c r="D944" s="524" t="s">
        <v>1204</v>
      </c>
      <c r="E944" s="524" t="s">
        <v>1204</v>
      </c>
      <c r="F944" s="524" t="s">
        <v>1204</v>
      </c>
      <c r="G944" s="524" t="s">
        <v>1204</v>
      </c>
      <c r="H944" s="524" t="s">
        <v>1204</v>
      </c>
      <c r="I944" s="524" t="s">
        <v>1204</v>
      </c>
      <c r="J944" s="524" t="s">
        <v>1204</v>
      </c>
      <c r="K944" s="524" t="s">
        <v>6359</v>
      </c>
      <c r="L944" s="524" t="s">
        <v>6368</v>
      </c>
      <c r="M944" s="524" t="s">
        <v>6370</v>
      </c>
      <c r="N944" s="524"/>
      <c r="O944" s="524"/>
    </row>
    <row r="945" spans="1:15" ht="174" hidden="1">
      <c r="A945" s="527">
        <v>868</v>
      </c>
      <c r="B945" s="524" t="e">
        <f>VLOOKUP(A945,'Hours Detail'!$E$17:$H$1048576,4,)</f>
        <v>#N/A</v>
      </c>
      <c r="C945" s="527" t="s">
        <v>1204</v>
      </c>
      <c r="D945" s="527" t="s">
        <v>4703</v>
      </c>
      <c r="E945" s="527" t="s">
        <v>1204</v>
      </c>
      <c r="F945" s="527" t="s">
        <v>1204</v>
      </c>
      <c r="G945" s="527">
        <v>283</v>
      </c>
      <c r="H945" s="527" t="s">
        <v>4705</v>
      </c>
      <c r="I945" s="527" t="s">
        <v>4704</v>
      </c>
      <c r="J945" s="527" t="s">
        <v>2890</v>
      </c>
      <c r="K945" s="527" t="s">
        <v>2889</v>
      </c>
      <c r="L945" s="527" t="s">
        <v>7154</v>
      </c>
      <c r="M945" s="524"/>
      <c r="N945" s="524"/>
      <c r="O945" s="524"/>
    </row>
    <row r="946" spans="1:15" ht="43.5" hidden="1">
      <c r="A946" s="525">
        <v>869</v>
      </c>
      <c r="B946" s="524" t="str">
        <f>VLOOKUP(A946,'Hours Detail'!$E$17:$H$1048576,4,)</f>
        <v>No</v>
      </c>
      <c r="C946" s="524" t="s">
        <v>26</v>
      </c>
      <c r="D946" s="524" t="s">
        <v>1059</v>
      </c>
      <c r="E946" s="524" t="s">
        <v>26</v>
      </c>
      <c r="F946" s="524" t="s">
        <v>26</v>
      </c>
      <c r="G946" s="524" t="s">
        <v>26</v>
      </c>
      <c r="H946" s="524" t="s">
        <v>26</v>
      </c>
      <c r="I946" s="524" t="s">
        <v>7155</v>
      </c>
      <c r="J946" s="524" t="s">
        <v>1059</v>
      </c>
      <c r="K946" s="524" t="s">
        <v>6359</v>
      </c>
      <c r="L946" s="524" t="s">
        <v>6397</v>
      </c>
      <c r="M946" s="524" t="s">
        <v>1</v>
      </c>
      <c r="N946" s="524" t="s">
        <v>7156</v>
      </c>
      <c r="O946" s="524"/>
    </row>
    <row r="947" spans="1:15" ht="217.5" hidden="1">
      <c r="A947" s="527">
        <v>869</v>
      </c>
      <c r="B947" s="524" t="str">
        <f>VLOOKUP(A947,'Hours Detail'!$E$17:$H$1048576,4,)</f>
        <v>No</v>
      </c>
      <c r="C947" s="527" t="s">
        <v>26</v>
      </c>
      <c r="D947" s="527" t="s">
        <v>1</v>
      </c>
      <c r="E947" s="527" t="s">
        <v>1059</v>
      </c>
      <c r="F947" s="527" t="s">
        <v>26</v>
      </c>
      <c r="G947" s="527">
        <v>87</v>
      </c>
      <c r="H947" s="527" t="s">
        <v>1</v>
      </c>
      <c r="I947" s="527" t="s">
        <v>852</v>
      </c>
      <c r="J947" s="527" t="s">
        <v>2889</v>
      </c>
      <c r="K947" s="527" t="s">
        <v>2889</v>
      </c>
      <c r="L947" s="527" t="s">
        <v>7157</v>
      </c>
      <c r="M947" s="524"/>
      <c r="N947" s="524"/>
      <c r="O947" s="524"/>
    </row>
    <row r="948" spans="1:15" ht="43.5" hidden="1">
      <c r="A948" s="525">
        <v>870</v>
      </c>
      <c r="B948" s="524" t="e">
        <f>VLOOKUP(A948,'Hours Detail'!$E$17:$H$1048576,4,)</f>
        <v>#N/A</v>
      </c>
      <c r="C948" s="524" t="s">
        <v>267</v>
      </c>
      <c r="D948" s="524" t="s">
        <v>1051</v>
      </c>
      <c r="E948" s="524" t="s">
        <v>1052</v>
      </c>
      <c r="F948" s="524" t="s">
        <v>1052</v>
      </c>
      <c r="G948" s="524" t="s">
        <v>1052</v>
      </c>
      <c r="H948" s="524" t="s">
        <v>1052</v>
      </c>
      <c r="I948" s="524" t="s">
        <v>7158</v>
      </c>
      <c r="J948" s="524" t="s">
        <v>1051</v>
      </c>
      <c r="K948" s="524" t="s">
        <v>6359</v>
      </c>
      <c r="L948" s="524" t="s">
        <v>6414</v>
      </c>
      <c r="M948" s="524" t="s">
        <v>6415</v>
      </c>
      <c r="N948" s="524"/>
      <c r="O948" s="524"/>
    </row>
    <row r="949" spans="1:15" ht="188.5" hidden="1">
      <c r="A949" s="527">
        <v>870</v>
      </c>
      <c r="B949" s="524" t="e">
        <f>VLOOKUP(A949,'Hours Detail'!$E$17:$H$1048576,4,)</f>
        <v>#N/A</v>
      </c>
      <c r="C949" s="527" t="s">
        <v>267</v>
      </c>
      <c r="D949" s="527" t="s">
        <v>1</v>
      </c>
      <c r="E949" s="527" t="s">
        <v>1051</v>
      </c>
      <c r="F949" s="527" t="s">
        <v>1052</v>
      </c>
      <c r="G949" s="527">
        <v>87</v>
      </c>
      <c r="H949" s="527" t="s">
        <v>1</v>
      </c>
      <c r="I949" s="527" t="s">
        <v>852</v>
      </c>
      <c r="J949" s="527" t="s">
        <v>2890</v>
      </c>
      <c r="K949" s="527" t="s">
        <v>2889</v>
      </c>
      <c r="L949" s="527" t="s">
        <v>7159</v>
      </c>
      <c r="M949" s="524"/>
      <c r="N949" s="524"/>
      <c r="O949" s="524"/>
    </row>
    <row r="950" spans="1:15" ht="58" hidden="1">
      <c r="A950" s="525">
        <v>871</v>
      </c>
      <c r="B950" s="524" t="str">
        <f>VLOOKUP(A950,'Hours Detail'!$E$17:$H$1048576,4,)</f>
        <v>No</v>
      </c>
      <c r="C950" s="524" t="s">
        <v>270</v>
      </c>
      <c r="D950" s="524" t="s">
        <v>1057</v>
      </c>
      <c r="E950" s="524" t="s">
        <v>1058</v>
      </c>
      <c r="F950" s="524" t="s">
        <v>1058</v>
      </c>
      <c r="G950" s="524" t="s">
        <v>1058</v>
      </c>
      <c r="H950" s="524" t="s">
        <v>1058</v>
      </c>
      <c r="I950" s="524" t="s">
        <v>7160</v>
      </c>
      <c r="J950" s="524" t="s">
        <v>1057</v>
      </c>
      <c r="K950" s="524" t="s">
        <v>6359</v>
      </c>
      <c r="L950" s="524" t="s">
        <v>6414</v>
      </c>
      <c r="M950" s="524" t="s">
        <v>6415</v>
      </c>
      <c r="N950" s="524" t="s">
        <v>7161</v>
      </c>
      <c r="O950" s="524"/>
    </row>
    <row r="951" spans="1:15" ht="232" hidden="1">
      <c r="A951" s="527">
        <v>871</v>
      </c>
      <c r="B951" s="524" t="str">
        <f>VLOOKUP(A951,'Hours Detail'!$E$17:$H$1048576,4,)</f>
        <v>No</v>
      </c>
      <c r="C951" s="527" t="s">
        <v>270</v>
      </c>
      <c r="D951" s="527" t="s">
        <v>1</v>
      </c>
      <c r="E951" s="527" t="s">
        <v>1057</v>
      </c>
      <c r="F951" s="527" t="s">
        <v>1058</v>
      </c>
      <c r="G951" s="527">
        <v>87</v>
      </c>
      <c r="H951" s="527" t="s">
        <v>1</v>
      </c>
      <c r="I951" s="527" t="s">
        <v>852</v>
      </c>
      <c r="J951" s="527" t="s">
        <v>2889</v>
      </c>
      <c r="K951" s="527" t="s">
        <v>2889</v>
      </c>
      <c r="L951" s="527" t="s">
        <v>7162</v>
      </c>
      <c r="M951" s="524"/>
      <c r="N951" s="524"/>
      <c r="O951" s="524"/>
    </row>
    <row r="952" spans="1:15" ht="72.5" hidden="1">
      <c r="A952" s="524">
        <v>872</v>
      </c>
      <c r="B952" s="524" t="str">
        <f>VLOOKUP(A952,'Hours Detail'!$E$17:$H$1048576,4,)</f>
        <v>No</v>
      </c>
      <c r="C952" s="524" t="s">
        <v>7163</v>
      </c>
      <c r="D952" s="524" t="s">
        <v>944</v>
      </c>
      <c r="E952" s="524" t="s">
        <v>945</v>
      </c>
      <c r="F952" s="524" t="s">
        <v>945</v>
      </c>
      <c r="G952" s="524" t="s">
        <v>945</v>
      </c>
      <c r="H952" s="524" t="s">
        <v>945</v>
      </c>
      <c r="I952" s="524" t="s">
        <v>7164</v>
      </c>
      <c r="J952" s="524" t="s">
        <v>944</v>
      </c>
      <c r="K952" s="524" t="s">
        <v>6359</v>
      </c>
      <c r="L952" s="524" t="s">
        <v>6414</v>
      </c>
      <c r="M952" s="524" t="s">
        <v>6415</v>
      </c>
      <c r="N952" s="524"/>
      <c r="O952" s="524"/>
    </row>
    <row r="953" spans="1:15" ht="130.5" hidden="1">
      <c r="A953" s="527">
        <v>872</v>
      </c>
      <c r="B953" s="524" t="str">
        <f>VLOOKUP(A953,'Hours Detail'!$E$17:$H$1048576,4,)</f>
        <v>No</v>
      </c>
      <c r="C953" s="527" t="s">
        <v>244</v>
      </c>
      <c r="D953" s="527" t="s">
        <v>2174</v>
      </c>
      <c r="E953" s="527" t="s">
        <v>944</v>
      </c>
      <c r="F953" s="527" t="s">
        <v>945</v>
      </c>
      <c r="G953" s="527">
        <v>26</v>
      </c>
      <c r="H953" s="527" t="s">
        <v>237</v>
      </c>
      <c r="I953" s="527" t="s">
        <v>2322</v>
      </c>
      <c r="J953" s="527" t="s">
        <v>2889</v>
      </c>
      <c r="K953" s="527" t="s">
        <v>2889</v>
      </c>
      <c r="L953" s="527" t="s">
        <v>7165</v>
      </c>
      <c r="M953" s="524"/>
      <c r="N953" s="524"/>
      <c r="O953" s="524"/>
    </row>
    <row r="954" spans="1:15" ht="72.5" hidden="1">
      <c r="A954" s="525">
        <v>873</v>
      </c>
      <c r="B954" s="524" t="str">
        <f>VLOOKUP(A954,'Hours Detail'!$E$17:$H$1048576,4,)</f>
        <v>No</v>
      </c>
      <c r="C954" s="524" t="s">
        <v>239</v>
      </c>
      <c r="D954" s="524" t="s">
        <v>1857</v>
      </c>
      <c r="E954" s="524" t="s">
        <v>4007</v>
      </c>
      <c r="F954" s="524" t="s">
        <v>4007</v>
      </c>
      <c r="G954" s="524" t="s">
        <v>4007</v>
      </c>
      <c r="H954" s="524" t="s">
        <v>4007</v>
      </c>
      <c r="I954" s="524" t="s">
        <v>7166</v>
      </c>
      <c r="J954" s="524" t="s">
        <v>1857</v>
      </c>
      <c r="K954" s="524" t="s">
        <v>6359</v>
      </c>
      <c r="L954" s="524" t="s">
        <v>6414</v>
      </c>
      <c r="M954" s="524" t="s">
        <v>6415</v>
      </c>
      <c r="N954" s="524"/>
      <c r="O954" s="524"/>
    </row>
    <row r="955" spans="1:15" ht="159.5" hidden="1">
      <c r="A955" s="527">
        <v>873</v>
      </c>
      <c r="B955" s="524" t="str">
        <f>VLOOKUP(A955,'Hours Detail'!$E$17:$H$1048576,4,)</f>
        <v>No</v>
      </c>
      <c r="C955" s="527" t="s">
        <v>239</v>
      </c>
      <c r="D955" s="527" t="s">
        <v>2174</v>
      </c>
      <c r="E955" s="527" t="s">
        <v>1857</v>
      </c>
      <c r="F955" s="527" t="s">
        <v>939</v>
      </c>
      <c r="G955" s="527">
        <v>26</v>
      </c>
      <c r="H955" s="527" t="s">
        <v>237</v>
      </c>
      <c r="I955" s="527" t="s">
        <v>2322</v>
      </c>
      <c r="J955" s="527" t="s">
        <v>2889</v>
      </c>
      <c r="K955" s="527" t="s">
        <v>2889</v>
      </c>
      <c r="L955" s="527" t="s">
        <v>7167</v>
      </c>
      <c r="M955" s="524"/>
      <c r="N955" s="524"/>
      <c r="O955" s="524"/>
    </row>
    <row r="956" spans="1:15" ht="72.5" hidden="1">
      <c r="A956" s="525">
        <v>874</v>
      </c>
      <c r="B956" s="524" t="str">
        <f>VLOOKUP(A956,'Hours Detail'!$E$17:$H$1048576,4,)</f>
        <v>No</v>
      </c>
      <c r="C956" s="524" t="s">
        <v>7168</v>
      </c>
      <c r="D956" s="524" t="s">
        <v>1858</v>
      </c>
      <c r="E956" s="524" t="s">
        <v>7169</v>
      </c>
      <c r="F956" s="524" t="s">
        <v>7169</v>
      </c>
      <c r="G956" s="524" t="s">
        <v>7169</v>
      </c>
      <c r="H956" s="524" t="s">
        <v>7169</v>
      </c>
      <c r="I956" s="524" t="s">
        <v>7170</v>
      </c>
      <c r="J956" s="524" t="s">
        <v>7171</v>
      </c>
      <c r="K956" s="524" t="s">
        <v>6359</v>
      </c>
      <c r="L956" s="524" t="s">
        <v>6414</v>
      </c>
      <c r="M956" s="524" t="s">
        <v>6415</v>
      </c>
      <c r="N956" s="524"/>
      <c r="O956" s="524"/>
    </row>
    <row r="957" spans="1:15" ht="130.5" hidden="1">
      <c r="A957" s="527">
        <v>874</v>
      </c>
      <c r="B957" s="524" t="str">
        <f>VLOOKUP(A957,'Hours Detail'!$E$17:$H$1048576,4,)</f>
        <v>No</v>
      </c>
      <c r="C957" s="527" t="s">
        <v>238</v>
      </c>
      <c r="D957" s="527" t="s">
        <v>2174</v>
      </c>
      <c r="E957" s="527" t="s">
        <v>1858</v>
      </c>
      <c r="F957" s="527" t="s">
        <v>946</v>
      </c>
      <c r="G957" s="527">
        <v>26</v>
      </c>
      <c r="H957" s="527" t="s">
        <v>237</v>
      </c>
      <c r="I957" s="527" t="s">
        <v>2322</v>
      </c>
      <c r="J957" s="527" t="s">
        <v>2889</v>
      </c>
      <c r="K957" s="527" t="s">
        <v>2889</v>
      </c>
      <c r="L957" s="527" t="s">
        <v>7172</v>
      </c>
      <c r="M957" s="524"/>
      <c r="N957" s="524"/>
      <c r="O957" s="524"/>
    </row>
    <row r="958" spans="1:15" ht="72.5" hidden="1">
      <c r="A958" s="525">
        <v>875</v>
      </c>
      <c r="B958" s="524" t="e">
        <f>VLOOKUP(A958,'Hours Detail'!$E$17:$H$1048576,4,)</f>
        <v>#N/A</v>
      </c>
      <c r="C958" s="524" t="s">
        <v>362</v>
      </c>
      <c r="D958" s="524" t="s">
        <v>1302</v>
      </c>
      <c r="E958" s="524" t="s">
        <v>1303</v>
      </c>
      <c r="F958" s="524" t="s">
        <v>1303</v>
      </c>
      <c r="G958" s="524" t="s">
        <v>1303</v>
      </c>
      <c r="H958" s="524" t="s">
        <v>1303</v>
      </c>
      <c r="I958" s="524" t="s">
        <v>7173</v>
      </c>
      <c r="J958" s="524" t="s">
        <v>1302</v>
      </c>
      <c r="K958" s="524" t="s">
        <v>6359</v>
      </c>
      <c r="L958" s="524" t="s">
        <v>6414</v>
      </c>
      <c r="M958" s="524" t="s">
        <v>6415</v>
      </c>
      <c r="N958" s="524"/>
      <c r="O958" s="524"/>
    </row>
    <row r="959" spans="1:15" ht="58" hidden="1">
      <c r="A959" s="527">
        <v>875</v>
      </c>
      <c r="B959" s="524" t="e">
        <f>VLOOKUP(A959,'Hours Detail'!$E$17:$H$1048576,4,)</f>
        <v>#N/A</v>
      </c>
      <c r="C959" s="527" t="s">
        <v>362</v>
      </c>
      <c r="D959" s="527" t="s">
        <v>4703</v>
      </c>
      <c r="E959" s="527" t="s">
        <v>1302</v>
      </c>
      <c r="F959" s="527" t="s">
        <v>1303</v>
      </c>
      <c r="G959" s="527">
        <v>283</v>
      </c>
      <c r="H959" s="527" t="s">
        <v>4705</v>
      </c>
      <c r="I959" s="527" t="s">
        <v>4704</v>
      </c>
      <c r="J959" s="527" t="s">
        <v>2890</v>
      </c>
      <c r="K959" s="527" t="s">
        <v>2890</v>
      </c>
      <c r="L959" s="527" t="s">
        <v>7174</v>
      </c>
      <c r="M959" s="524"/>
      <c r="N959" s="524"/>
      <c r="O959" s="524"/>
    </row>
    <row r="960" spans="1:15" ht="58" hidden="1">
      <c r="A960" s="525">
        <v>880</v>
      </c>
      <c r="B960" s="524" t="str">
        <f>VLOOKUP(A960,'Hours Detail'!$E$17:$H$1048576,4,)</f>
        <v>No</v>
      </c>
      <c r="C960" s="524" t="s">
        <v>341</v>
      </c>
      <c r="D960" s="524" t="s">
        <v>966</v>
      </c>
      <c r="E960" s="524" t="s">
        <v>967</v>
      </c>
      <c r="F960" s="524" t="s">
        <v>967</v>
      </c>
      <c r="G960" s="524" t="s">
        <v>967</v>
      </c>
      <c r="H960" s="524" t="s">
        <v>967</v>
      </c>
      <c r="I960" s="524" t="s">
        <v>7175</v>
      </c>
      <c r="J960" s="524" t="s">
        <v>966</v>
      </c>
      <c r="K960" s="524"/>
      <c r="L960" s="524" t="s">
        <v>6386</v>
      </c>
      <c r="M960" s="524" t="s">
        <v>6488</v>
      </c>
      <c r="N960" s="524"/>
      <c r="O960" s="524"/>
    </row>
    <row r="961" spans="1:15" ht="87" hidden="1">
      <c r="A961" s="527">
        <v>880</v>
      </c>
      <c r="B961" s="524" t="str">
        <f>VLOOKUP(A961,'Hours Detail'!$E$17:$H$1048576,4,)</f>
        <v>No</v>
      </c>
      <c r="C961" s="527" t="s">
        <v>341</v>
      </c>
      <c r="D961" s="527" t="s">
        <v>955</v>
      </c>
      <c r="E961" s="527" t="s">
        <v>966</v>
      </c>
      <c r="F961" s="527" t="s">
        <v>967</v>
      </c>
      <c r="G961" s="527">
        <v>28</v>
      </c>
      <c r="H961" s="527" t="s">
        <v>9</v>
      </c>
      <c r="I961" s="527" t="s">
        <v>953</v>
      </c>
      <c r="J961" s="527" t="s">
        <v>2889</v>
      </c>
      <c r="K961" s="527" t="s">
        <v>2890</v>
      </c>
      <c r="L961" s="527" t="s">
        <v>7176</v>
      </c>
      <c r="M961" s="524"/>
      <c r="N961" s="524"/>
      <c r="O961" s="524"/>
    </row>
    <row r="962" spans="1:15" ht="58" hidden="1">
      <c r="A962" s="525">
        <v>895</v>
      </c>
      <c r="B962" s="524" t="e">
        <f>VLOOKUP(A962,'Hours Detail'!$E$17:$H$1048576,4,)</f>
        <v>#N/A</v>
      </c>
      <c r="C962" s="524" t="s">
        <v>184</v>
      </c>
      <c r="D962" s="524" t="s">
        <v>557</v>
      </c>
      <c r="E962" s="524" t="s">
        <v>558</v>
      </c>
      <c r="F962" s="524" t="s">
        <v>558</v>
      </c>
      <c r="G962" s="524" t="s">
        <v>558</v>
      </c>
      <c r="H962" s="524" t="s">
        <v>558</v>
      </c>
      <c r="I962" s="524" t="s">
        <v>7177</v>
      </c>
      <c r="J962" s="524" t="s">
        <v>557</v>
      </c>
      <c r="K962" s="524" t="s">
        <v>6359</v>
      </c>
      <c r="L962" s="524" t="s">
        <v>6397</v>
      </c>
      <c r="M962" s="524" t="s">
        <v>2384</v>
      </c>
      <c r="N962" s="524"/>
      <c r="O962" s="524"/>
    </row>
    <row r="963" spans="1:15" ht="101.5" hidden="1">
      <c r="A963" s="527">
        <v>895</v>
      </c>
      <c r="B963" s="524" t="e">
        <f>VLOOKUP(A963,'Hours Detail'!$E$17:$H$1048576,4,)</f>
        <v>#N/A</v>
      </c>
      <c r="C963" s="527" t="s">
        <v>184</v>
      </c>
      <c r="D963" s="527" t="s">
        <v>2170</v>
      </c>
      <c r="E963" s="527" t="s">
        <v>557</v>
      </c>
      <c r="F963" s="527" t="s">
        <v>558</v>
      </c>
      <c r="G963" s="527">
        <v>5</v>
      </c>
      <c r="H963" s="527" t="s">
        <v>177</v>
      </c>
      <c r="I963" s="527" t="s">
        <v>2310</v>
      </c>
      <c r="J963" s="527" t="s">
        <v>2890</v>
      </c>
      <c r="K963" s="527" t="s">
        <v>2889</v>
      </c>
      <c r="L963" s="527" t="s">
        <v>7178</v>
      </c>
      <c r="M963" s="524"/>
      <c r="N963" s="524"/>
      <c r="O963" s="524"/>
    </row>
    <row r="964" spans="1:15" ht="116" hidden="1">
      <c r="A964" s="525">
        <v>896</v>
      </c>
      <c r="B964" s="524" t="str">
        <f>VLOOKUP(A964,'Hours Detail'!$E$17:$H$1048576,4,)</f>
        <v>No</v>
      </c>
      <c r="C964" s="524" t="s">
        <v>225</v>
      </c>
      <c r="D964" s="524" t="s">
        <v>4069</v>
      </c>
      <c r="E964" s="524" t="s">
        <v>789</v>
      </c>
      <c r="F964" s="524" t="s">
        <v>789</v>
      </c>
      <c r="G964" s="524" t="s">
        <v>789</v>
      </c>
      <c r="H964" s="524" t="s">
        <v>789</v>
      </c>
      <c r="I964" s="524" t="s">
        <v>7179</v>
      </c>
      <c r="J964" s="524" t="s">
        <v>4069</v>
      </c>
      <c r="K964" s="524" t="s">
        <v>6359</v>
      </c>
      <c r="L964" s="524" t="s">
        <v>6365</v>
      </c>
      <c r="M964" s="524" t="s">
        <v>6366</v>
      </c>
      <c r="N964" s="524"/>
      <c r="O964" s="524"/>
    </row>
    <row r="965" spans="1:15" ht="116" hidden="1">
      <c r="A965" s="527">
        <v>896</v>
      </c>
      <c r="B965" s="524" t="str">
        <f>VLOOKUP(A965,'Hours Detail'!$E$17:$H$1048576,4,)</f>
        <v>No</v>
      </c>
      <c r="C965" s="527" t="s">
        <v>225</v>
      </c>
      <c r="D965" s="527" t="s">
        <v>770</v>
      </c>
      <c r="E965" s="527" t="s">
        <v>788</v>
      </c>
      <c r="F965" s="527" t="s">
        <v>789</v>
      </c>
      <c r="G965" s="527">
        <v>15</v>
      </c>
      <c r="H965" s="527" t="s">
        <v>768</v>
      </c>
      <c r="I965" s="527" t="s">
        <v>769</v>
      </c>
      <c r="J965" s="527" t="s">
        <v>2889</v>
      </c>
      <c r="K965" s="527" t="s">
        <v>2889</v>
      </c>
      <c r="L965" s="527" t="s">
        <v>7180</v>
      </c>
      <c r="M965" s="524"/>
      <c r="N965" s="524"/>
      <c r="O965" s="524"/>
    </row>
    <row r="966" spans="1:15" ht="72.5" hidden="1">
      <c r="A966" s="525">
        <v>899</v>
      </c>
      <c r="B966" s="524" t="e">
        <f>VLOOKUP(A966,'Hours Detail'!$E$17:$H$1048576,4,)</f>
        <v>#N/A</v>
      </c>
      <c r="C966" s="524" t="s">
        <v>5501</v>
      </c>
      <c r="D966" s="524" t="s">
        <v>5500</v>
      </c>
      <c r="E966" s="524" t="s">
        <v>5499</v>
      </c>
      <c r="F966" s="524" t="s">
        <v>5499</v>
      </c>
      <c r="G966" s="524" t="s">
        <v>5499</v>
      </c>
      <c r="H966" s="524" t="s">
        <v>5499</v>
      </c>
      <c r="I966" s="524" t="s">
        <v>7181</v>
      </c>
      <c r="J966" s="524" t="s">
        <v>5500</v>
      </c>
      <c r="K966" s="524"/>
      <c r="L966" s="524" t="s">
        <v>6386</v>
      </c>
      <c r="M966" s="524" t="s">
        <v>6435</v>
      </c>
      <c r="N966" s="524"/>
      <c r="O966" s="524"/>
    </row>
    <row r="967" spans="1:15" ht="87" hidden="1">
      <c r="A967" s="525">
        <v>900</v>
      </c>
      <c r="B967" s="524" t="str">
        <f>VLOOKUP(A967,'Hours Detail'!$E$17:$H$1048576,4,)</f>
        <v>No</v>
      </c>
      <c r="C967" s="524" t="s">
        <v>243</v>
      </c>
      <c r="D967" s="524" t="s">
        <v>940</v>
      </c>
      <c r="E967" s="524" t="s">
        <v>941</v>
      </c>
      <c r="F967" s="524" t="s">
        <v>941</v>
      </c>
      <c r="G967" s="524" t="s">
        <v>941</v>
      </c>
      <c r="H967" s="524" t="s">
        <v>941</v>
      </c>
      <c r="I967" s="524" t="s">
        <v>7182</v>
      </c>
      <c r="J967" s="524" t="s">
        <v>940</v>
      </c>
      <c r="K967" s="524" t="s">
        <v>6359</v>
      </c>
      <c r="L967" s="524" t="s">
        <v>6414</v>
      </c>
      <c r="M967" s="524" t="s">
        <v>6415</v>
      </c>
      <c r="N967" s="524" t="s">
        <v>7183</v>
      </c>
      <c r="O967" s="524"/>
    </row>
    <row r="968" spans="1:15" ht="188.5" hidden="1">
      <c r="A968" s="527">
        <v>900</v>
      </c>
      <c r="B968" s="524" t="str">
        <f>VLOOKUP(A968,'Hours Detail'!$E$17:$H$1048576,4,)</f>
        <v>No</v>
      </c>
      <c r="C968" s="527" t="s">
        <v>243</v>
      </c>
      <c r="D968" s="527" t="s">
        <v>2174</v>
      </c>
      <c r="E968" s="527" t="s">
        <v>940</v>
      </c>
      <c r="F968" s="527" t="s">
        <v>941</v>
      </c>
      <c r="G968" s="527">
        <v>26</v>
      </c>
      <c r="H968" s="527" t="s">
        <v>237</v>
      </c>
      <c r="I968" s="527" t="s">
        <v>2322</v>
      </c>
      <c r="J968" s="527" t="s">
        <v>2889</v>
      </c>
      <c r="K968" s="527" t="s">
        <v>2889</v>
      </c>
      <c r="L968" s="527" t="s">
        <v>7184</v>
      </c>
      <c r="M968" s="524"/>
      <c r="N968" s="524"/>
      <c r="O968" s="524"/>
    </row>
    <row r="969" spans="1:15" ht="58" hidden="1">
      <c r="A969" s="525">
        <v>903</v>
      </c>
      <c r="B969" s="524" t="str">
        <f>VLOOKUP(A969,'Hours Detail'!$E$17:$H$1048576,4,)</f>
        <v>No</v>
      </c>
      <c r="C969" s="524" t="s">
        <v>302</v>
      </c>
      <c r="D969" s="524" t="s">
        <v>1119</v>
      </c>
      <c r="E969" s="524" t="s">
        <v>1120</v>
      </c>
      <c r="F969" s="524" t="s">
        <v>1120</v>
      </c>
      <c r="G969" s="524" t="s">
        <v>1120</v>
      </c>
      <c r="H969" s="524" t="s">
        <v>1120</v>
      </c>
      <c r="I969" s="524" t="s">
        <v>7185</v>
      </c>
      <c r="J969" s="524" t="s">
        <v>7186</v>
      </c>
      <c r="K969" s="524" t="s">
        <v>6359</v>
      </c>
      <c r="L969" s="524" t="s">
        <v>6414</v>
      </c>
      <c r="M969" s="524" t="s">
        <v>6450</v>
      </c>
      <c r="N969" s="524" t="s">
        <v>7187</v>
      </c>
      <c r="O969" s="524"/>
    </row>
    <row r="970" spans="1:15" ht="43.5" hidden="1">
      <c r="A970" s="527">
        <v>903</v>
      </c>
      <c r="B970" s="524" t="str">
        <f>VLOOKUP(A970,'Hours Detail'!$E$17:$H$1048576,4,)</f>
        <v>No</v>
      </c>
      <c r="C970" s="527" t="s">
        <v>302</v>
      </c>
      <c r="D970" s="527" t="s">
        <v>2303</v>
      </c>
      <c r="E970" s="527" t="s">
        <v>1119</v>
      </c>
      <c r="F970" s="527" t="s">
        <v>1120</v>
      </c>
      <c r="G970" s="527">
        <v>96</v>
      </c>
      <c r="H970" s="527" t="s">
        <v>301</v>
      </c>
      <c r="I970" s="527" t="s">
        <v>2302</v>
      </c>
      <c r="J970" s="527" t="s">
        <v>2889</v>
      </c>
      <c r="K970" s="527" t="s">
        <v>2889</v>
      </c>
      <c r="L970" s="527" t="s">
        <v>7188</v>
      </c>
      <c r="M970" s="524"/>
      <c r="N970" s="524"/>
      <c r="O970" s="524"/>
    </row>
    <row r="971" spans="1:15" ht="58">
      <c r="A971" s="524">
        <v>905</v>
      </c>
      <c r="B971" s="524" t="str">
        <f>VLOOKUP(A971,'Hours Detail'!$E$17:$H$1048576,4,)</f>
        <v>No</v>
      </c>
      <c r="C971" s="524" t="s">
        <v>56</v>
      </c>
      <c r="D971" s="524" t="s">
        <v>812</v>
      </c>
      <c r="E971" s="524" t="s">
        <v>813</v>
      </c>
      <c r="F971" s="524" t="s">
        <v>813</v>
      </c>
      <c r="G971" s="524" t="s">
        <v>813</v>
      </c>
      <c r="H971" s="524" t="s">
        <v>813</v>
      </c>
      <c r="I971" s="524" t="s">
        <v>7189</v>
      </c>
      <c r="J971" s="524" t="s">
        <v>812</v>
      </c>
      <c r="K971" s="524"/>
      <c r="L971" s="524" t="s">
        <v>6399</v>
      </c>
      <c r="M971" s="524" t="s">
        <v>6437</v>
      </c>
      <c r="N971" s="524"/>
      <c r="O971" s="524"/>
    </row>
    <row r="972" spans="1:15" ht="145">
      <c r="A972" s="524">
        <v>905</v>
      </c>
      <c r="B972" s="524" t="str">
        <f>VLOOKUP(A972,'Hours Detail'!$E$17:$H$1048576,4,)</f>
        <v>No</v>
      </c>
      <c r="C972" s="524" t="s">
        <v>56</v>
      </c>
      <c r="D972" s="527" t="s">
        <v>797</v>
      </c>
      <c r="E972" s="527" t="s">
        <v>812</v>
      </c>
      <c r="F972" s="527" t="s">
        <v>813</v>
      </c>
      <c r="G972" s="527">
        <v>16</v>
      </c>
      <c r="H972" s="527" t="s">
        <v>3</v>
      </c>
      <c r="I972" s="527" t="s">
        <v>795</v>
      </c>
      <c r="J972" s="527" t="s">
        <v>2889</v>
      </c>
      <c r="K972" s="527" t="s">
        <v>2889</v>
      </c>
      <c r="L972" s="527" t="s">
        <v>7190</v>
      </c>
      <c r="M972" s="524"/>
      <c r="N972" s="524"/>
      <c r="O972" s="524"/>
    </row>
    <row r="973" spans="1:15" ht="217.5" hidden="1">
      <c r="A973" s="525">
        <v>907</v>
      </c>
      <c r="B973" s="524" t="str">
        <f>VLOOKUP(A973,'Hours Detail'!$E$17:$H$1048576,4,)</f>
        <v>No</v>
      </c>
      <c r="C973" s="524" t="s">
        <v>102</v>
      </c>
      <c r="D973" s="524" t="s">
        <v>1162</v>
      </c>
      <c r="E973" s="524" t="s">
        <v>1163</v>
      </c>
      <c r="F973" s="524" t="s">
        <v>1163</v>
      </c>
      <c r="G973" s="524" t="s">
        <v>1163</v>
      </c>
      <c r="H973" s="524" t="s">
        <v>1163</v>
      </c>
      <c r="I973" s="524" t="s">
        <v>7191</v>
      </c>
      <c r="J973" s="524" t="s">
        <v>1162</v>
      </c>
      <c r="K973" s="524"/>
      <c r="L973" s="524" t="s">
        <v>6386</v>
      </c>
      <c r="M973" s="524" t="s">
        <v>6435</v>
      </c>
      <c r="N973" s="524" t="s">
        <v>7192</v>
      </c>
      <c r="O973" s="524"/>
    </row>
    <row r="974" spans="1:15" ht="145" hidden="1">
      <c r="A974" s="527">
        <v>907</v>
      </c>
      <c r="B974" s="524" t="str">
        <f>VLOOKUP(A974,'Hours Detail'!$E$17:$H$1048576,4,)</f>
        <v>No</v>
      </c>
      <c r="C974" s="527" t="s">
        <v>102</v>
      </c>
      <c r="D974" s="527" t="s">
        <v>1159</v>
      </c>
      <c r="E974" s="527" t="s">
        <v>1162</v>
      </c>
      <c r="F974" s="527" t="s">
        <v>1163</v>
      </c>
      <c r="G974" s="527">
        <v>104</v>
      </c>
      <c r="H974" s="527" t="s">
        <v>23</v>
      </c>
      <c r="I974" s="527" t="s">
        <v>1157</v>
      </c>
      <c r="J974" s="527" t="s">
        <v>2889</v>
      </c>
      <c r="K974" s="527" t="s">
        <v>2890</v>
      </c>
      <c r="L974" s="527" t="s">
        <v>7193</v>
      </c>
      <c r="M974" s="524"/>
      <c r="N974" s="524"/>
      <c r="O974" s="524"/>
    </row>
    <row r="975" spans="1:15" ht="72.5" hidden="1">
      <c r="A975" s="525">
        <v>908</v>
      </c>
      <c r="B975" s="524" t="e">
        <f>VLOOKUP(A975,'Hours Detail'!$E$17:$H$1048576,4,)</f>
        <v>#N/A</v>
      </c>
      <c r="C975" s="524" t="s">
        <v>88</v>
      </c>
      <c r="D975" s="524" t="s">
        <v>725</v>
      </c>
      <c r="E975" s="524" t="s">
        <v>727</v>
      </c>
      <c r="F975" s="524" t="s">
        <v>727</v>
      </c>
      <c r="G975" s="524" t="s">
        <v>727</v>
      </c>
      <c r="H975" s="524" t="s">
        <v>727</v>
      </c>
      <c r="I975" s="524" t="s">
        <v>725</v>
      </c>
      <c r="J975" s="524" t="s">
        <v>725</v>
      </c>
      <c r="K975" s="524"/>
      <c r="L975" s="524" t="s">
        <v>6386</v>
      </c>
      <c r="M975" s="524" t="s">
        <v>6435</v>
      </c>
      <c r="N975" s="524" t="s">
        <v>7194</v>
      </c>
      <c r="O975" s="524"/>
    </row>
    <row r="976" spans="1:15" ht="58" hidden="1">
      <c r="A976" s="527">
        <v>908</v>
      </c>
      <c r="B976" s="524" t="e">
        <f>VLOOKUP(A976,'Hours Detail'!$E$17:$H$1048576,4,)</f>
        <v>#N/A</v>
      </c>
      <c r="C976" s="527" t="s">
        <v>88</v>
      </c>
      <c r="D976" s="527" t="s">
        <v>728</v>
      </c>
      <c r="E976" s="527" t="s">
        <v>725</v>
      </c>
      <c r="F976" s="527" t="s">
        <v>727</v>
      </c>
      <c r="G976" s="527">
        <v>12</v>
      </c>
      <c r="H976" s="527" t="s">
        <v>4</v>
      </c>
      <c r="I976" s="527" t="s">
        <v>726</v>
      </c>
      <c r="J976" s="527" t="s">
        <v>2890</v>
      </c>
      <c r="K976" s="527" t="s">
        <v>2890</v>
      </c>
      <c r="L976" s="527" t="s">
        <v>6371</v>
      </c>
      <c r="M976" s="524"/>
      <c r="N976" s="524"/>
      <c r="O976" s="524"/>
    </row>
    <row r="977" spans="1:15" ht="58">
      <c r="A977" s="525">
        <v>909</v>
      </c>
      <c r="B977" s="524" t="str">
        <f>VLOOKUP(A977,'Hours Detail'!$E$17:$H$1048576,4,)</f>
        <v>No</v>
      </c>
      <c r="C977" s="524" t="s">
        <v>150</v>
      </c>
      <c r="D977" s="524" t="s">
        <v>511</v>
      </c>
      <c r="E977" s="524" t="s">
        <v>512</v>
      </c>
      <c r="F977" s="524" t="s">
        <v>512</v>
      </c>
      <c r="G977" s="524" t="s">
        <v>512</v>
      </c>
      <c r="H977" s="524" t="s">
        <v>512</v>
      </c>
      <c r="I977" s="524" t="s">
        <v>7195</v>
      </c>
      <c r="J977" s="524" t="s">
        <v>511</v>
      </c>
      <c r="K977" s="524" t="s">
        <v>6359</v>
      </c>
      <c r="L977" s="524" t="s">
        <v>6414</v>
      </c>
      <c r="M977" s="524" t="s">
        <v>6415</v>
      </c>
      <c r="N977" s="524"/>
      <c r="O977" s="524"/>
    </row>
    <row r="978" spans="1:15" ht="145">
      <c r="A978" s="524">
        <v>909</v>
      </c>
      <c r="B978" s="524" t="str">
        <f>VLOOKUP(A978,'Hours Detail'!$E$17:$H$1048576,4,)</f>
        <v>No</v>
      </c>
      <c r="C978" s="524" t="s">
        <v>150</v>
      </c>
      <c r="D978" s="527" t="s">
        <v>470</v>
      </c>
      <c r="E978" s="527" t="s">
        <v>511</v>
      </c>
      <c r="F978" s="527" t="s">
        <v>512</v>
      </c>
      <c r="G978" s="527">
        <v>3</v>
      </c>
      <c r="H978" s="527" t="s">
        <v>149</v>
      </c>
      <c r="I978" s="527" t="s">
        <v>468</v>
      </c>
      <c r="J978" s="527" t="s">
        <v>2889</v>
      </c>
      <c r="K978" s="527" t="s">
        <v>2889</v>
      </c>
      <c r="L978" s="527" t="s">
        <v>7196</v>
      </c>
      <c r="M978" s="524"/>
      <c r="N978" s="524"/>
      <c r="O978" s="524"/>
    </row>
    <row r="979" spans="1:15" ht="130.5">
      <c r="A979" s="525">
        <v>911</v>
      </c>
      <c r="B979" s="524" t="str">
        <f>VLOOKUP(A979,'Hours Detail'!$E$17:$H$1048576,4,)</f>
        <v>No</v>
      </c>
      <c r="C979" s="524" t="s">
        <v>162</v>
      </c>
      <c r="D979" s="524" t="s">
        <v>514</v>
      </c>
      <c r="E979" s="524" t="s">
        <v>515</v>
      </c>
      <c r="F979" s="524" t="s">
        <v>515</v>
      </c>
      <c r="G979" s="524" t="s">
        <v>515</v>
      </c>
      <c r="H979" s="524" t="s">
        <v>515</v>
      </c>
      <c r="I979" s="524" t="s">
        <v>7197</v>
      </c>
      <c r="J979" s="524" t="s">
        <v>7198</v>
      </c>
      <c r="K979" s="524" t="s">
        <v>6359</v>
      </c>
      <c r="L979" s="524" t="s">
        <v>6386</v>
      </c>
      <c r="M979" s="524" t="s">
        <v>4133</v>
      </c>
      <c r="N979" s="524" t="s">
        <v>7199</v>
      </c>
      <c r="O979" s="524"/>
    </row>
    <row r="980" spans="1:15" ht="87">
      <c r="A980" s="524">
        <v>911</v>
      </c>
      <c r="B980" s="524" t="str">
        <f>VLOOKUP(A980,'Hours Detail'!$E$17:$H$1048576,4,)</f>
        <v>No</v>
      </c>
      <c r="C980" s="524" t="s">
        <v>162</v>
      </c>
      <c r="D980" s="527" t="s">
        <v>470</v>
      </c>
      <c r="E980" s="527" t="s">
        <v>514</v>
      </c>
      <c r="F980" s="527" t="s">
        <v>515</v>
      </c>
      <c r="G980" s="527">
        <v>3</v>
      </c>
      <c r="H980" s="527" t="s">
        <v>149</v>
      </c>
      <c r="I980" s="527" t="s">
        <v>468</v>
      </c>
      <c r="J980" s="527" t="s">
        <v>2889</v>
      </c>
      <c r="K980" s="527" t="s">
        <v>2889</v>
      </c>
      <c r="L980" s="527" t="s">
        <v>7200</v>
      </c>
      <c r="M980" s="524"/>
      <c r="N980" s="524"/>
      <c r="O980" s="524"/>
    </row>
    <row r="981" spans="1:15" ht="58" hidden="1">
      <c r="A981" s="525">
        <v>912</v>
      </c>
      <c r="B981" s="524" t="e">
        <f>VLOOKUP(A981,'Hours Detail'!$E$17:$H$1048576,4,)</f>
        <v>#N/A</v>
      </c>
      <c r="C981" s="524" t="s">
        <v>257</v>
      </c>
      <c r="D981" s="524" t="s">
        <v>1022</v>
      </c>
      <c r="E981" s="524" t="s">
        <v>1024</v>
      </c>
      <c r="F981" s="524" t="s">
        <v>1024</v>
      </c>
      <c r="G981" s="524" t="s">
        <v>1024</v>
      </c>
      <c r="H981" s="524" t="s">
        <v>1024</v>
      </c>
      <c r="I981" s="524" t="s">
        <v>7201</v>
      </c>
      <c r="J981" s="524" t="s">
        <v>1022</v>
      </c>
      <c r="K981" s="524"/>
      <c r="L981" s="524" t="s">
        <v>6379</v>
      </c>
      <c r="M981" s="524" t="s">
        <v>6380</v>
      </c>
      <c r="N981" s="524" t="s">
        <v>7202</v>
      </c>
      <c r="O981" s="524"/>
    </row>
    <row r="982" spans="1:15" hidden="1">
      <c r="A982" s="527">
        <v>912</v>
      </c>
      <c r="B982" s="524" t="e">
        <f>VLOOKUP(A982,'Hours Detail'!$E$17:$H$1048576,4,)</f>
        <v>#N/A</v>
      </c>
      <c r="C982" s="527" t="s">
        <v>257</v>
      </c>
      <c r="D982" s="527" t="s">
        <v>1024</v>
      </c>
      <c r="E982" s="527" t="s">
        <v>1022</v>
      </c>
      <c r="F982" s="527" t="s">
        <v>1024</v>
      </c>
      <c r="G982" s="527">
        <v>71</v>
      </c>
      <c r="H982" s="527" t="s">
        <v>257</v>
      </c>
      <c r="I982" s="527" t="s">
        <v>1022</v>
      </c>
      <c r="J982" s="527" t="s">
        <v>2890</v>
      </c>
      <c r="K982" s="527" t="s">
        <v>2889</v>
      </c>
      <c r="L982" s="527" t="s">
        <v>6371</v>
      </c>
      <c r="M982" s="524"/>
      <c r="N982" s="524"/>
      <c r="O982" s="524"/>
    </row>
    <row r="983" spans="1:15" ht="29" hidden="1">
      <c r="A983" s="524">
        <v>913</v>
      </c>
      <c r="B983" s="524" t="str">
        <f>VLOOKUP(A983,'Hours Detail'!$E$17:$H$1048576,4,)</f>
        <v>No</v>
      </c>
      <c r="C983" s="524" t="s">
        <v>120</v>
      </c>
      <c r="D983" s="524" t="s">
        <v>614</v>
      </c>
      <c r="E983" s="524" t="s">
        <v>615</v>
      </c>
      <c r="F983" s="524" t="s">
        <v>615</v>
      </c>
      <c r="G983" s="524" t="s">
        <v>615</v>
      </c>
      <c r="H983" s="524" t="s">
        <v>615</v>
      </c>
      <c r="I983" s="524" t="s">
        <v>7203</v>
      </c>
      <c r="J983" s="524" t="s">
        <v>614</v>
      </c>
      <c r="K983" s="524" t="s">
        <v>6359</v>
      </c>
      <c r="L983" s="524" t="s">
        <v>6381</v>
      </c>
      <c r="M983" s="524" t="s">
        <v>2313</v>
      </c>
      <c r="N983" s="524"/>
      <c r="O983" s="524"/>
    </row>
    <row r="984" spans="1:15" ht="159.5" hidden="1">
      <c r="A984" s="527">
        <v>913</v>
      </c>
      <c r="B984" s="524" t="str">
        <f>VLOOKUP(A984,'Hours Detail'!$E$17:$H$1048576,4,)</f>
        <v>No</v>
      </c>
      <c r="C984" s="527" t="s">
        <v>120</v>
      </c>
      <c r="D984" s="527" t="s">
        <v>15</v>
      </c>
      <c r="E984" s="527" t="s">
        <v>614</v>
      </c>
      <c r="F984" s="527" t="s">
        <v>615</v>
      </c>
      <c r="G984" s="527">
        <v>7</v>
      </c>
      <c r="H984" s="527" t="s">
        <v>15</v>
      </c>
      <c r="I984" s="527" t="s">
        <v>2313</v>
      </c>
      <c r="J984" s="527" t="s">
        <v>2889</v>
      </c>
      <c r="K984" s="527" t="s">
        <v>2890</v>
      </c>
      <c r="L984" s="527" t="s">
        <v>7204</v>
      </c>
      <c r="M984" s="524"/>
      <c r="N984" s="524"/>
      <c r="O984" s="524"/>
    </row>
    <row r="985" spans="1:15" hidden="1">
      <c r="A985" s="524">
        <v>914</v>
      </c>
      <c r="B985" s="524" t="str">
        <f>VLOOKUP(A985,'Hours Detail'!$E$17:$H$1048576,4,)</f>
        <v>No</v>
      </c>
      <c r="C985" s="524" t="s">
        <v>399</v>
      </c>
      <c r="D985" s="524" t="s">
        <v>1363</v>
      </c>
      <c r="E985" s="524" t="s">
        <v>1364</v>
      </c>
      <c r="F985" s="524" t="s">
        <v>1364</v>
      </c>
      <c r="G985" s="524" t="s">
        <v>1364</v>
      </c>
      <c r="H985" s="524" t="s">
        <v>1364</v>
      </c>
      <c r="I985" s="524" t="s">
        <v>7205</v>
      </c>
      <c r="J985" s="524" t="s">
        <v>1363</v>
      </c>
      <c r="K985" s="524"/>
      <c r="L985" s="524" t="s">
        <v>6397</v>
      </c>
      <c r="M985" s="524" t="s">
        <v>2384</v>
      </c>
      <c r="N985" s="524"/>
      <c r="O985" s="524"/>
    </row>
    <row r="986" spans="1:15" ht="58" hidden="1">
      <c r="A986" s="527">
        <v>914</v>
      </c>
      <c r="B986" s="524" t="str">
        <f>VLOOKUP(A986,'Hours Detail'!$E$17:$H$1048576,4,)</f>
        <v>No</v>
      </c>
      <c r="C986" s="527" t="s">
        <v>399</v>
      </c>
      <c r="D986" s="527" t="s">
        <v>2170</v>
      </c>
      <c r="E986" s="527" t="s">
        <v>1363</v>
      </c>
      <c r="F986" s="527" t="s">
        <v>1364</v>
      </c>
      <c r="G986" s="527">
        <v>5</v>
      </c>
      <c r="H986" s="527" t="s">
        <v>177</v>
      </c>
      <c r="I986" s="527" t="s">
        <v>2310</v>
      </c>
      <c r="J986" s="527" t="s">
        <v>2889</v>
      </c>
      <c r="K986" s="527" t="s">
        <v>2890</v>
      </c>
      <c r="L986" s="527" t="s">
        <v>6371</v>
      </c>
      <c r="M986" s="524"/>
      <c r="N986" s="524"/>
      <c r="O986" s="524"/>
    </row>
    <row r="987" spans="1:15" ht="246.5" hidden="1">
      <c r="A987" s="525">
        <v>915</v>
      </c>
      <c r="B987" s="524" t="str">
        <f>VLOOKUP(A987,'Hours Detail'!$E$17:$H$1048576,4,)</f>
        <v>No</v>
      </c>
      <c r="C987" s="524" t="s">
        <v>113</v>
      </c>
      <c r="D987" s="524" t="s">
        <v>4212</v>
      </c>
      <c r="E987" s="524" t="s">
        <v>617</v>
      </c>
      <c r="F987" s="524" t="s">
        <v>617</v>
      </c>
      <c r="G987" s="524" t="s">
        <v>617</v>
      </c>
      <c r="H987" s="524" t="s">
        <v>617</v>
      </c>
      <c r="I987" s="524" t="s">
        <v>7206</v>
      </c>
      <c r="J987" s="524" t="s">
        <v>4212</v>
      </c>
      <c r="K987" s="524" t="s">
        <v>6359</v>
      </c>
      <c r="L987" s="524" t="s">
        <v>6381</v>
      </c>
      <c r="M987" s="524" t="s">
        <v>2313</v>
      </c>
      <c r="N987" s="524" t="s">
        <v>7207</v>
      </c>
      <c r="O987" s="524"/>
    </row>
    <row r="988" spans="1:15" ht="159.5" hidden="1">
      <c r="A988" s="527">
        <v>915</v>
      </c>
      <c r="B988" s="524" t="str">
        <f>VLOOKUP(A988,'Hours Detail'!$E$17:$H$1048576,4,)</f>
        <v>No</v>
      </c>
      <c r="C988" s="527" t="s">
        <v>113</v>
      </c>
      <c r="D988" s="527" t="s">
        <v>15</v>
      </c>
      <c r="E988" s="527" t="s">
        <v>616</v>
      </c>
      <c r="F988" s="527" t="s">
        <v>617</v>
      </c>
      <c r="G988" s="527">
        <v>7</v>
      </c>
      <c r="H988" s="527" t="s">
        <v>15</v>
      </c>
      <c r="I988" s="527" t="s">
        <v>2313</v>
      </c>
      <c r="J988" s="527" t="s">
        <v>2889</v>
      </c>
      <c r="K988" s="527" t="s">
        <v>2890</v>
      </c>
      <c r="L988" s="527" t="s">
        <v>7208</v>
      </c>
      <c r="M988" s="524"/>
      <c r="N988" s="524"/>
      <c r="O988" s="524"/>
    </row>
    <row r="989" spans="1:15" ht="101.5">
      <c r="A989" s="525">
        <v>916</v>
      </c>
      <c r="B989" s="524" t="str">
        <f>VLOOKUP(A989,'Hours Detail'!$E$17:$H$1048576,4,)</f>
        <v>No</v>
      </c>
      <c r="C989" s="524" t="s">
        <v>178</v>
      </c>
      <c r="D989" s="524" t="s">
        <v>556</v>
      </c>
      <c r="E989" s="524" t="s">
        <v>178</v>
      </c>
      <c r="F989" s="524" t="s">
        <v>178</v>
      </c>
      <c r="G989" s="524" t="s">
        <v>178</v>
      </c>
      <c r="H989" s="524" t="s">
        <v>178</v>
      </c>
      <c r="I989" s="524" t="s">
        <v>7209</v>
      </c>
      <c r="J989" s="524" t="s">
        <v>556</v>
      </c>
      <c r="K989" s="524" t="s">
        <v>6359</v>
      </c>
      <c r="L989" s="524" t="s">
        <v>6397</v>
      </c>
      <c r="M989" s="524" t="s">
        <v>2384</v>
      </c>
      <c r="N989" s="524" t="s">
        <v>7210</v>
      </c>
      <c r="O989" s="524"/>
    </row>
    <row r="990" spans="1:15" ht="232">
      <c r="A990" s="524">
        <v>916</v>
      </c>
      <c r="B990" s="524" t="str">
        <f>VLOOKUP(A990,'Hours Detail'!$E$17:$H$1048576,4,)</f>
        <v>No</v>
      </c>
      <c r="C990" s="524" t="s">
        <v>178</v>
      </c>
      <c r="D990" s="527" t="s">
        <v>2170</v>
      </c>
      <c r="E990" s="527" t="s">
        <v>556</v>
      </c>
      <c r="F990" s="527" t="s">
        <v>178</v>
      </c>
      <c r="G990" s="527">
        <v>5</v>
      </c>
      <c r="H990" s="527" t="s">
        <v>177</v>
      </c>
      <c r="I990" s="527" t="s">
        <v>2310</v>
      </c>
      <c r="J990" s="527" t="s">
        <v>2889</v>
      </c>
      <c r="K990" s="527" t="s">
        <v>2889</v>
      </c>
      <c r="L990" s="527" t="s">
        <v>7211</v>
      </c>
      <c r="M990" s="524"/>
      <c r="N990" s="524"/>
      <c r="O990" s="524"/>
    </row>
    <row r="991" spans="1:15" ht="130.5" hidden="1">
      <c r="A991" s="525">
        <v>917</v>
      </c>
      <c r="B991" s="524" t="str">
        <f>VLOOKUP(A991,'Hours Detail'!$E$17:$H$1048576,4,)</f>
        <v>No</v>
      </c>
      <c r="C991" s="524" t="s">
        <v>4211</v>
      </c>
      <c r="D991" s="524" t="s">
        <v>4210</v>
      </c>
      <c r="E991" s="524" t="s">
        <v>4209</v>
      </c>
      <c r="F991" s="524" t="s">
        <v>4209</v>
      </c>
      <c r="G991" s="524" t="s">
        <v>4209</v>
      </c>
      <c r="H991" s="524" t="s">
        <v>4209</v>
      </c>
      <c r="I991" s="524" t="s">
        <v>7212</v>
      </c>
      <c r="J991" s="524" t="s">
        <v>4210</v>
      </c>
      <c r="K991" s="524" t="s">
        <v>6359</v>
      </c>
      <c r="L991" s="524" t="s">
        <v>6381</v>
      </c>
      <c r="M991" s="524" t="s">
        <v>2313</v>
      </c>
      <c r="N991" s="524" t="s">
        <v>7213</v>
      </c>
      <c r="O991" s="524"/>
    </row>
    <row r="992" spans="1:15" ht="87" hidden="1">
      <c r="A992" s="527">
        <v>917</v>
      </c>
      <c r="B992" s="524" t="str">
        <f>VLOOKUP(A992,'Hours Detail'!$E$17:$H$1048576,4,)</f>
        <v>No</v>
      </c>
      <c r="C992" s="527" t="s">
        <v>618</v>
      </c>
      <c r="D992" s="527" t="s">
        <v>15</v>
      </c>
      <c r="E992" s="527" t="s">
        <v>619</v>
      </c>
      <c r="F992" s="527" t="s">
        <v>620</v>
      </c>
      <c r="G992" s="527">
        <v>7</v>
      </c>
      <c r="H992" s="527" t="s">
        <v>15</v>
      </c>
      <c r="I992" s="527" t="s">
        <v>2313</v>
      </c>
      <c r="J992" s="527" t="s">
        <v>2889</v>
      </c>
      <c r="K992" s="527" t="s">
        <v>2890</v>
      </c>
      <c r="L992" s="527" t="s">
        <v>7214</v>
      </c>
      <c r="M992" s="524"/>
      <c r="N992" s="524"/>
      <c r="O992" s="524"/>
    </row>
    <row r="993" spans="1:15" ht="29" hidden="1">
      <c r="A993" s="525">
        <v>918</v>
      </c>
      <c r="B993" s="524" t="e">
        <f>VLOOKUP(A993,'Hours Detail'!$E$17:$H$1048576,4,)</f>
        <v>#N/A</v>
      </c>
      <c r="C993" s="524" t="s">
        <v>308</v>
      </c>
      <c r="D993" s="524" t="s">
        <v>1138</v>
      </c>
      <c r="E993" s="524" t="s">
        <v>1140</v>
      </c>
      <c r="F993" s="524" t="s">
        <v>1140</v>
      </c>
      <c r="G993" s="524" t="s">
        <v>1140</v>
      </c>
      <c r="H993" s="524" t="s">
        <v>1140</v>
      </c>
      <c r="I993" s="524" t="s">
        <v>7215</v>
      </c>
      <c r="J993" s="524" t="s">
        <v>1138</v>
      </c>
      <c r="K993" s="524"/>
      <c r="L993" s="524" t="s">
        <v>6381</v>
      </c>
      <c r="M993" s="524" t="s">
        <v>2313</v>
      </c>
      <c r="N993" s="524" t="s">
        <v>7216</v>
      </c>
      <c r="O993" s="524"/>
    </row>
    <row r="994" spans="1:15" hidden="1">
      <c r="A994" s="527">
        <v>918</v>
      </c>
      <c r="B994" s="524" t="e">
        <f>VLOOKUP(A994,'Hours Detail'!$E$17:$H$1048576,4,)</f>
        <v>#N/A</v>
      </c>
      <c r="C994" s="527" t="s">
        <v>308</v>
      </c>
      <c r="D994" s="527" t="s">
        <v>1140</v>
      </c>
      <c r="E994" s="527" t="s">
        <v>1138</v>
      </c>
      <c r="F994" s="527" t="s">
        <v>1140</v>
      </c>
      <c r="G994" s="527">
        <v>100</v>
      </c>
      <c r="H994" s="527" t="s">
        <v>308</v>
      </c>
      <c r="I994" s="527" t="s">
        <v>1138</v>
      </c>
      <c r="J994" s="527" t="s">
        <v>2890</v>
      </c>
      <c r="K994" s="527" t="s">
        <v>2890</v>
      </c>
      <c r="L994" s="527" t="s">
        <v>6371</v>
      </c>
      <c r="M994" s="524"/>
      <c r="N994" s="524"/>
      <c r="O994" s="524"/>
    </row>
    <row r="995" spans="1:15" ht="87" hidden="1">
      <c r="A995" s="524">
        <v>919</v>
      </c>
      <c r="B995" s="524" t="str">
        <f>VLOOKUP(A995,'Hours Detail'!$E$17:$H$1048576,4,)</f>
        <v>No</v>
      </c>
      <c r="C995" s="524" t="s">
        <v>110</v>
      </c>
      <c r="D995" s="524" t="s">
        <v>1135</v>
      </c>
      <c r="E995" s="524" t="s">
        <v>1136</v>
      </c>
      <c r="F995" s="524" t="s">
        <v>1136</v>
      </c>
      <c r="G995" s="524" t="s">
        <v>1136</v>
      </c>
      <c r="H995" s="524" t="s">
        <v>1136</v>
      </c>
      <c r="I995" s="524" t="s">
        <v>7217</v>
      </c>
      <c r="J995" s="524" t="s">
        <v>1135</v>
      </c>
      <c r="K995" s="524" t="s">
        <v>6359</v>
      </c>
      <c r="L995" s="524" t="s">
        <v>6381</v>
      </c>
      <c r="M995" s="524" t="s">
        <v>522</v>
      </c>
      <c r="N995" s="524"/>
      <c r="O995" s="524"/>
    </row>
    <row r="996" spans="1:15" ht="159.5" hidden="1">
      <c r="A996" s="527">
        <v>919</v>
      </c>
      <c r="B996" s="524" t="str">
        <f>VLOOKUP(A996,'Hours Detail'!$E$17:$H$1048576,4,)</f>
        <v>No</v>
      </c>
      <c r="C996" s="527" t="s">
        <v>110</v>
      </c>
      <c r="D996" s="527" t="s">
        <v>2167</v>
      </c>
      <c r="E996" s="527" t="s">
        <v>1135</v>
      </c>
      <c r="F996" s="527" t="s">
        <v>1136</v>
      </c>
      <c r="G996" s="527">
        <v>99</v>
      </c>
      <c r="H996" s="527" t="s">
        <v>5</v>
      </c>
      <c r="I996" s="527" t="s">
        <v>2305</v>
      </c>
      <c r="J996" s="527" t="s">
        <v>2889</v>
      </c>
      <c r="K996" s="527" t="s">
        <v>2889</v>
      </c>
      <c r="L996" s="527" t="s">
        <v>7218</v>
      </c>
      <c r="M996" s="524"/>
      <c r="N996" s="524"/>
      <c r="O996" s="524"/>
    </row>
    <row r="997" spans="1:15" ht="72.5" hidden="1">
      <c r="A997" s="525">
        <v>920</v>
      </c>
      <c r="B997" s="524" t="str">
        <f>VLOOKUP(A997,'Hours Detail'!$E$17:$H$1048576,4,)</f>
        <v>No</v>
      </c>
      <c r="C997" s="524" t="s">
        <v>117</v>
      </c>
      <c r="D997" s="524" t="s">
        <v>608</v>
      </c>
      <c r="E997" s="524" t="s">
        <v>609</v>
      </c>
      <c r="F997" s="524" t="s">
        <v>609</v>
      </c>
      <c r="G997" s="524" t="s">
        <v>609</v>
      </c>
      <c r="H997" s="524" t="s">
        <v>609</v>
      </c>
      <c r="I997" s="524" t="s">
        <v>7219</v>
      </c>
      <c r="J997" s="524" t="s">
        <v>608</v>
      </c>
      <c r="K997" s="524" t="s">
        <v>6359</v>
      </c>
      <c r="L997" s="524" t="s">
        <v>6381</v>
      </c>
      <c r="M997" s="524" t="s">
        <v>2313</v>
      </c>
      <c r="N997" s="524" t="s">
        <v>7220</v>
      </c>
      <c r="O997" s="524"/>
    </row>
    <row r="998" spans="1:15" ht="87" hidden="1">
      <c r="A998" s="527">
        <v>920</v>
      </c>
      <c r="B998" s="524" t="str">
        <f>VLOOKUP(A998,'Hours Detail'!$E$17:$H$1048576,4,)</f>
        <v>No</v>
      </c>
      <c r="C998" s="527" t="s">
        <v>117</v>
      </c>
      <c r="D998" s="527" t="s">
        <v>15</v>
      </c>
      <c r="E998" s="527" t="s">
        <v>608</v>
      </c>
      <c r="F998" s="527" t="s">
        <v>609</v>
      </c>
      <c r="G998" s="527">
        <v>7</v>
      </c>
      <c r="H998" s="527" t="s">
        <v>15</v>
      </c>
      <c r="I998" s="527" t="s">
        <v>2313</v>
      </c>
      <c r="J998" s="527" t="s">
        <v>2889</v>
      </c>
      <c r="K998" s="527" t="s">
        <v>2890</v>
      </c>
      <c r="L998" s="527" t="s">
        <v>7221</v>
      </c>
      <c r="M998" s="524"/>
      <c r="N998" s="524"/>
      <c r="O998" s="524"/>
    </row>
    <row r="999" spans="1:15" ht="116">
      <c r="A999" s="525">
        <v>921</v>
      </c>
      <c r="B999" s="524" t="str">
        <f>VLOOKUP(A999,'Hours Detail'!$E$17:$H$1048576,4,)</f>
        <v>No</v>
      </c>
      <c r="C999" s="524" t="s">
        <v>807</v>
      </c>
      <c r="D999" s="524" t="s">
        <v>808</v>
      </c>
      <c r="E999" s="524" t="s">
        <v>809</v>
      </c>
      <c r="F999" s="524" t="s">
        <v>7222</v>
      </c>
      <c r="G999" s="524" t="s">
        <v>7223</v>
      </c>
      <c r="H999" s="524" t="s">
        <v>7224</v>
      </c>
      <c r="I999" s="524" t="s">
        <v>7225</v>
      </c>
      <c r="J999" s="524" t="s">
        <v>808</v>
      </c>
      <c r="K999" s="524" t="s">
        <v>6359</v>
      </c>
      <c r="L999" s="524" t="s">
        <v>6399</v>
      </c>
      <c r="M999" s="524" t="s">
        <v>6613</v>
      </c>
      <c r="N999" s="524" t="s">
        <v>7226</v>
      </c>
      <c r="O999" s="524"/>
    </row>
    <row r="1000" spans="1:15" ht="145">
      <c r="A1000" s="524">
        <v>921</v>
      </c>
      <c r="B1000" s="524" t="str">
        <f>VLOOKUP(A1000,'Hours Detail'!$E$17:$H$1048576,4,)</f>
        <v>No</v>
      </c>
      <c r="C1000" s="524" t="s">
        <v>807</v>
      </c>
      <c r="D1000" s="527" t="s">
        <v>797</v>
      </c>
      <c r="E1000" s="527" t="s">
        <v>808</v>
      </c>
      <c r="F1000" s="527" t="s">
        <v>809</v>
      </c>
      <c r="G1000" s="527">
        <v>16</v>
      </c>
      <c r="H1000" s="527" t="s">
        <v>3</v>
      </c>
      <c r="I1000" s="527" t="s">
        <v>795</v>
      </c>
      <c r="J1000" s="527" t="s">
        <v>2889</v>
      </c>
      <c r="K1000" s="527" t="s">
        <v>2889</v>
      </c>
      <c r="L1000" s="527" t="s">
        <v>7227</v>
      </c>
      <c r="M1000" s="524"/>
      <c r="N1000" s="524"/>
      <c r="O1000" s="524"/>
    </row>
    <row r="1001" spans="1:15" ht="72.5" hidden="1">
      <c r="A1001" s="525">
        <v>922</v>
      </c>
      <c r="B1001" s="524" t="e">
        <f>VLOOKUP(A1001,'Hours Detail'!$E$17:$H$1048576,4,)</f>
        <v>#N/A</v>
      </c>
      <c r="C1001" s="524" t="s">
        <v>4263</v>
      </c>
      <c r="D1001" s="524" t="s">
        <v>4262</v>
      </c>
      <c r="E1001" s="524" t="s">
        <v>4261</v>
      </c>
      <c r="F1001" s="524" t="s">
        <v>4261</v>
      </c>
      <c r="G1001" s="524" t="s">
        <v>4261</v>
      </c>
      <c r="H1001" s="524" t="s">
        <v>4261</v>
      </c>
      <c r="I1001" s="524" t="s">
        <v>7228</v>
      </c>
      <c r="J1001" s="524" t="s">
        <v>4262</v>
      </c>
      <c r="K1001" s="524" t="s">
        <v>6359</v>
      </c>
      <c r="L1001" s="524" t="s">
        <v>6376</v>
      </c>
      <c r="M1001" s="524" t="s">
        <v>6377</v>
      </c>
      <c r="N1001" s="524"/>
      <c r="O1001" s="524"/>
    </row>
    <row r="1002" spans="1:15" ht="130.5" hidden="1">
      <c r="A1002" s="525">
        <v>923</v>
      </c>
      <c r="B1002" s="524" t="str">
        <f>VLOOKUP(A1002,'Hours Detail'!$E$17:$H$1048576,4,)</f>
        <v>No</v>
      </c>
      <c r="C1002" s="524" t="s">
        <v>6</v>
      </c>
      <c r="D1002" s="524" t="s">
        <v>705</v>
      </c>
      <c r="E1002" s="524" t="s">
        <v>706</v>
      </c>
      <c r="F1002" s="524" t="s">
        <v>706</v>
      </c>
      <c r="G1002" s="524" t="s">
        <v>706</v>
      </c>
      <c r="H1002" s="524" t="s">
        <v>706</v>
      </c>
      <c r="I1002" s="524" t="s">
        <v>7229</v>
      </c>
      <c r="J1002" s="524" t="s">
        <v>705</v>
      </c>
      <c r="K1002" s="524"/>
      <c r="L1002" s="524" t="s">
        <v>6386</v>
      </c>
      <c r="M1002" s="524" t="s">
        <v>4133</v>
      </c>
      <c r="N1002" s="524" t="s">
        <v>7230</v>
      </c>
      <c r="O1002" s="524"/>
    </row>
    <row r="1003" spans="1:15" ht="101.5" hidden="1">
      <c r="A1003" s="527">
        <v>923</v>
      </c>
      <c r="B1003" s="524" t="str">
        <f>VLOOKUP(A1003,'Hours Detail'!$E$17:$H$1048576,4,)</f>
        <v>No</v>
      </c>
      <c r="C1003" s="527" t="s">
        <v>6</v>
      </c>
      <c r="D1003" s="527" t="s">
        <v>706</v>
      </c>
      <c r="E1003" s="527" t="s">
        <v>705</v>
      </c>
      <c r="F1003" s="527" t="s">
        <v>706</v>
      </c>
      <c r="G1003" s="527">
        <v>11</v>
      </c>
      <c r="H1003" s="527" t="s">
        <v>6</v>
      </c>
      <c r="I1003" s="527" t="s">
        <v>705</v>
      </c>
      <c r="J1003" s="527" t="s">
        <v>2889</v>
      </c>
      <c r="K1003" s="527" t="s">
        <v>2890</v>
      </c>
      <c r="L1003" s="527" t="s">
        <v>7231</v>
      </c>
      <c r="M1003" s="524"/>
      <c r="N1003" s="524"/>
      <c r="O1003" s="524"/>
    </row>
    <row r="1004" spans="1:15" ht="87" hidden="1">
      <c r="A1004" s="524">
        <v>924</v>
      </c>
      <c r="B1004" s="524" t="e">
        <f>VLOOKUP(A1004,'Hours Detail'!$E$17:$H$1048576,4,)</f>
        <v>#N/A</v>
      </c>
      <c r="C1004" s="524" t="s">
        <v>215</v>
      </c>
      <c r="D1004" s="524" t="s">
        <v>703</v>
      </c>
      <c r="E1004" s="524" t="s">
        <v>704</v>
      </c>
      <c r="F1004" s="524" t="s">
        <v>704</v>
      </c>
      <c r="G1004" s="524" t="s">
        <v>704</v>
      </c>
      <c r="H1004" s="524" t="s">
        <v>704</v>
      </c>
      <c r="I1004" s="524" t="s">
        <v>7232</v>
      </c>
      <c r="J1004" s="524" t="s">
        <v>7233</v>
      </c>
      <c r="K1004" s="524"/>
      <c r="L1004" s="524" t="s">
        <v>6365</v>
      </c>
      <c r="M1004" s="524" t="s">
        <v>6366</v>
      </c>
      <c r="N1004" s="524"/>
      <c r="O1004" s="524"/>
    </row>
    <row r="1005" spans="1:15" ht="188.5" hidden="1">
      <c r="A1005" s="527">
        <v>924</v>
      </c>
      <c r="B1005" s="524" t="e">
        <f>VLOOKUP(A1005,'Hours Detail'!$E$17:$H$1048576,4,)</f>
        <v>#N/A</v>
      </c>
      <c r="C1005" s="527" t="s">
        <v>215</v>
      </c>
      <c r="D1005" s="527" t="s">
        <v>2316</v>
      </c>
      <c r="E1005" s="527" t="s">
        <v>703</v>
      </c>
      <c r="F1005" s="527" t="s">
        <v>704</v>
      </c>
      <c r="G1005" s="527">
        <v>10</v>
      </c>
      <c r="H1005" s="527" t="s">
        <v>213</v>
      </c>
      <c r="I1005" s="527" t="s">
        <v>2315</v>
      </c>
      <c r="J1005" s="527" t="s">
        <v>2890</v>
      </c>
      <c r="K1005" s="527" t="s">
        <v>2890</v>
      </c>
      <c r="L1005" s="527" t="s">
        <v>7234</v>
      </c>
      <c r="M1005" s="524"/>
      <c r="N1005" s="524"/>
      <c r="O1005" s="524"/>
    </row>
    <row r="1006" spans="1:15" ht="130.5">
      <c r="A1006" s="525">
        <v>925</v>
      </c>
      <c r="B1006" s="524" t="str">
        <f>VLOOKUP(A1006,'Hours Detail'!$E$17:$H$1048576,4,)</f>
        <v>No</v>
      </c>
      <c r="C1006" s="524" t="s">
        <v>133</v>
      </c>
      <c r="D1006" s="524" t="s">
        <v>1034</v>
      </c>
      <c r="E1006" s="524" t="s">
        <v>1035</v>
      </c>
      <c r="F1006" s="524" t="s">
        <v>1035</v>
      </c>
      <c r="G1006" s="524" t="s">
        <v>1035</v>
      </c>
      <c r="H1006" s="524" t="s">
        <v>1035</v>
      </c>
      <c r="I1006" s="524" t="s">
        <v>7235</v>
      </c>
      <c r="J1006" s="524" t="s">
        <v>1034</v>
      </c>
      <c r="K1006" s="524"/>
      <c r="L1006" s="524" t="s">
        <v>6386</v>
      </c>
      <c r="M1006" s="524" t="s">
        <v>6424</v>
      </c>
      <c r="N1006" s="524" t="s">
        <v>7236</v>
      </c>
      <c r="O1006" s="524"/>
    </row>
    <row r="1007" spans="1:15" ht="43.5">
      <c r="A1007" s="524">
        <v>925</v>
      </c>
      <c r="B1007" s="524" t="str">
        <f>VLOOKUP(A1007,'Hours Detail'!$E$17:$H$1048576,4,)</f>
        <v>No</v>
      </c>
      <c r="C1007" s="524" t="s">
        <v>133</v>
      </c>
      <c r="D1007" s="527" t="s">
        <v>1035</v>
      </c>
      <c r="E1007" s="527" t="s">
        <v>1034</v>
      </c>
      <c r="F1007" s="527" t="s">
        <v>1035</v>
      </c>
      <c r="G1007" s="527">
        <v>84</v>
      </c>
      <c r="H1007" s="527" t="s">
        <v>133</v>
      </c>
      <c r="I1007" s="527" t="s">
        <v>1034</v>
      </c>
      <c r="J1007" s="527" t="s">
        <v>2889</v>
      </c>
      <c r="K1007" s="527" t="s">
        <v>2890</v>
      </c>
      <c r="L1007" s="527" t="s">
        <v>7237</v>
      </c>
      <c r="M1007" s="524"/>
      <c r="N1007" s="524"/>
      <c r="O1007" s="524"/>
    </row>
    <row r="1008" spans="1:15" ht="72.5" hidden="1">
      <c r="A1008" s="525">
        <v>927</v>
      </c>
      <c r="B1008" s="524" t="str">
        <f>VLOOKUP(A1008,'Hours Detail'!$E$17:$H$1048576,4,)</f>
        <v>No</v>
      </c>
      <c r="C1008" s="524" t="s">
        <v>131</v>
      </c>
      <c r="D1008" s="524" t="s">
        <v>756</v>
      </c>
      <c r="E1008" s="524" t="s">
        <v>757</v>
      </c>
      <c r="F1008" s="524" t="s">
        <v>757</v>
      </c>
      <c r="G1008" s="524" t="s">
        <v>757</v>
      </c>
      <c r="H1008" s="524" t="s">
        <v>757</v>
      </c>
      <c r="I1008" s="524" t="s">
        <v>7238</v>
      </c>
      <c r="J1008" s="524" t="s">
        <v>756</v>
      </c>
      <c r="K1008" s="524"/>
      <c r="L1008" s="524" t="s">
        <v>6386</v>
      </c>
      <c r="M1008" s="524" t="s">
        <v>6424</v>
      </c>
      <c r="N1008" s="524" t="s">
        <v>7239</v>
      </c>
      <c r="O1008" s="524"/>
    </row>
    <row r="1009" spans="1:15" ht="87" hidden="1">
      <c r="A1009" s="527">
        <v>927</v>
      </c>
      <c r="B1009" s="524" t="str">
        <f>VLOOKUP(A1009,'Hours Detail'!$E$17:$H$1048576,4,)</f>
        <v>No</v>
      </c>
      <c r="C1009" s="527" t="s">
        <v>131</v>
      </c>
      <c r="D1009" s="527" t="s">
        <v>2172</v>
      </c>
      <c r="E1009" s="527" t="s">
        <v>756</v>
      </c>
      <c r="F1009" s="527" t="s">
        <v>757</v>
      </c>
      <c r="G1009" s="527">
        <v>13</v>
      </c>
      <c r="H1009" s="527" t="s">
        <v>11</v>
      </c>
      <c r="I1009" s="527" t="s">
        <v>2317</v>
      </c>
      <c r="J1009" s="527" t="s">
        <v>2889</v>
      </c>
      <c r="K1009" s="527" t="s">
        <v>2890</v>
      </c>
      <c r="L1009" s="527" t="s">
        <v>7240</v>
      </c>
      <c r="M1009" s="524"/>
      <c r="N1009" s="524"/>
      <c r="O1009" s="524"/>
    </row>
    <row r="1010" spans="1:15" ht="145" hidden="1">
      <c r="A1010" s="525">
        <v>928</v>
      </c>
      <c r="B1010" s="524" t="str">
        <f>VLOOKUP(A1010,'Hours Detail'!$E$17:$H$1048576,4,)</f>
        <v>No</v>
      </c>
      <c r="C1010" s="524" t="s">
        <v>125</v>
      </c>
      <c r="D1010" s="524" t="s">
        <v>1523</v>
      </c>
      <c r="E1010" s="524" t="s">
        <v>1524</v>
      </c>
      <c r="F1010" s="524" t="s">
        <v>1524</v>
      </c>
      <c r="G1010" s="524" t="s">
        <v>1524</v>
      </c>
      <c r="H1010" s="524" t="s">
        <v>1524</v>
      </c>
      <c r="I1010" s="524" t="s">
        <v>7241</v>
      </c>
      <c r="J1010" s="524" t="s">
        <v>1523</v>
      </c>
      <c r="K1010" s="524" t="s">
        <v>6359</v>
      </c>
      <c r="L1010" s="524" t="s">
        <v>6381</v>
      </c>
      <c r="M1010" s="524" t="s">
        <v>2313</v>
      </c>
      <c r="N1010" s="524" t="s">
        <v>7242</v>
      </c>
      <c r="O1010" s="524"/>
    </row>
    <row r="1011" spans="1:15" ht="159.5" hidden="1">
      <c r="A1011" s="527">
        <v>928</v>
      </c>
      <c r="B1011" s="524" t="str">
        <f>VLOOKUP(A1011,'Hours Detail'!$E$17:$H$1048576,4,)</f>
        <v>No</v>
      </c>
      <c r="C1011" s="527" t="s">
        <v>125</v>
      </c>
      <c r="D1011" s="527" t="s">
        <v>2328</v>
      </c>
      <c r="E1011" s="527" t="s">
        <v>1523</v>
      </c>
      <c r="F1011" s="527" t="s">
        <v>1524</v>
      </c>
      <c r="G1011" s="527">
        <v>456</v>
      </c>
      <c r="H1011" s="527" t="s">
        <v>342</v>
      </c>
      <c r="I1011" s="527" t="s">
        <v>2327</v>
      </c>
      <c r="J1011" s="527" t="s">
        <v>2889</v>
      </c>
      <c r="K1011" s="527" t="s">
        <v>2890</v>
      </c>
      <c r="L1011" s="527" t="s">
        <v>7243</v>
      </c>
      <c r="M1011" s="524"/>
      <c r="N1011" s="524"/>
      <c r="O1011" s="524"/>
    </row>
    <row r="1012" spans="1:15" ht="29" hidden="1">
      <c r="A1012" s="524">
        <v>929</v>
      </c>
      <c r="B1012" s="524" t="str">
        <f>VLOOKUP(A1012,'Hours Detail'!$E$17:$H$1048576,4,)</f>
        <v>No</v>
      </c>
      <c r="C1012" s="524" t="s">
        <v>299</v>
      </c>
      <c r="D1012" s="524" t="s">
        <v>1117</v>
      </c>
      <c r="E1012" s="524" t="s">
        <v>1118</v>
      </c>
      <c r="F1012" s="524" t="s">
        <v>1118</v>
      </c>
      <c r="G1012" s="524" t="s">
        <v>1118</v>
      </c>
      <c r="H1012" s="524" t="s">
        <v>1118</v>
      </c>
      <c r="I1012" s="524" t="s">
        <v>7244</v>
      </c>
      <c r="J1012" s="524" t="s">
        <v>1117</v>
      </c>
      <c r="K1012" s="524" t="s">
        <v>6359</v>
      </c>
      <c r="L1012" s="524" t="s">
        <v>6379</v>
      </c>
      <c r="M1012" s="524" t="s">
        <v>6380</v>
      </c>
      <c r="N1012" s="524"/>
      <c r="O1012" s="524"/>
    </row>
    <row r="1013" spans="1:15" ht="87" hidden="1">
      <c r="A1013" s="527">
        <v>929</v>
      </c>
      <c r="B1013" s="524" t="str">
        <f>VLOOKUP(A1013,'Hours Detail'!$E$17:$H$1048576,4,)</f>
        <v>No</v>
      </c>
      <c r="C1013" s="527" t="s">
        <v>299</v>
      </c>
      <c r="D1013" s="527" t="s">
        <v>297</v>
      </c>
      <c r="E1013" s="527" t="s">
        <v>1117</v>
      </c>
      <c r="F1013" s="527" t="s">
        <v>1118</v>
      </c>
      <c r="G1013" s="527">
        <v>94</v>
      </c>
      <c r="H1013" s="527" t="s">
        <v>297</v>
      </c>
      <c r="I1013" s="527" t="s">
        <v>297</v>
      </c>
      <c r="J1013" s="527" t="s">
        <v>2889</v>
      </c>
      <c r="K1013" s="527" t="s">
        <v>2890</v>
      </c>
      <c r="L1013" s="527" t="s">
        <v>7245</v>
      </c>
      <c r="M1013" s="524"/>
      <c r="N1013" s="524"/>
      <c r="O1013" s="524"/>
    </row>
    <row r="1014" spans="1:15" ht="58" hidden="1">
      <c r="A1014" s="525">
        <v>931</v>
      </c>
      <c r="B1014" s="524" t="e">
        <f>VLOOKUP(A1014,'Hours Detail'!$E$17:$H$1048576,4,)</f>
        <v>#N/A</v>
      </c>
      <c r="C1014" s="524" t="s">
        <v>240</v>
      </c>
      <c r="D1014" s="524" t="s">
        <v>950</v>
      </c>
      <c r="E1014" s="524" t="s">
        <v>951</v>
      </c>
      <c r="F1014" s="524" t="s">
        <v>951</v>
      </c>
      <c r="G1014" s="524" t="s">
        <v>951</v>
      </c>
      <c r="H1014" s="524" t="s">
        <v>951</v>
      </c>
      <c r="I1014" s="524" t="s">
        <v>7246</v>
      </c>
      <c r="J1014" s="524" t="s">
        <v>7247</v>
      </c>
      <c r="K1014" s="524"/>
      <c r="L1014" s="524" t="s">
        <v>6414</v>
      </c>
      <c r="M1014" s="524" t="s">
        <v>6415</v>
      </c>
      <c r="N1014" s="524"/>
      <c r="O1014" s="524"/>
    </row>
    <row r="1015" spans="1:15" ht="43.5" hidden="1">
      <c r="A1015" s="527">
        <v>931</v>
      </c>
      <c r="B1015" s="524" t="e">
        <f>VLOOKUP(A1015,'Hours Detail'!$E$17:$H$1048576,4,)</f>
        <v>#N/A</v>
      </c>
      <c r="C1015" s="527" t="s">
        <v>240</v>
      </c>
      <c r="D1015" s="527" t="s">
        <v>2174</v>
      </c>
      <c r="E1015" s="527" t="s">
        <v>950</v>
      </c>
      <c r="F1015" s="527" t="s">
        <v>951</v>
      </c>
      <c r="G1015" s="527">
        <v>26</v>
      </c>
      <c r="H1015" s="527" t="s">
        <v>237</v>
      </c>
      <c r="I1015" s="527" t="s">
        <v>2322</v>
      </c>
      <c r="J1015" s="527" t="s">
        <v>2890</v>
      </c>
      <c r="K1015" s="527" t="s">
        <v>2889</v>
      </c>
      <c r="L1015" s="527" t="s">
        <v>6371</v>
      </c>
      <c r="M1015" s="524"/>
      <c r="N1015" s="524"/>
      <c r="O1015" s="524"/>
    </row>
    <row r="1016" spans="1:15" ht="87" hidden="1">
      <c r="A1016" s="527">
        <v>932</v>
      </c>
      <c r="B1016" s="524" t="str">
        <f>VLOOKUP(A1016,'Hours Detail'!$E$17:$H$1048576,4,)</f>
        <v>No</v>
      </c>
      <c r="C1016" s="527" t="s">
        <v>256</v>
      </c>
      <c r="D1016" s="527" t="s">
        <v>1011</v>
      </c>
      <c r="E1016" s="527" t="s">
        <v>1019</v>
      </c>
      <c r="F1016" s="527" t="s">
        <v>1020</v>
      </c>
      <c r="G1016" s="527">
        <v>38</v>
      </c>
      <c r="H1016" s="527" t="s">
        <v>42</v>
      </c>
      <c r="I1016" s="527" t="s">
        <v>1009</v>
      </c>
      <c r="J1016" s="527" t="s">
        <v>2889</v>
      </c>
      <c r="K1016" s="527" t="s">
        <v>2889</v>
      </c>
      <c r="L1016" s="527" t="s">
        <v>7248</v>
      </c>
      <c r="M1016" s="524"/>
      <c r="N1016" s="524"/>
      <c r="O1016" s="524"/>
    </row>
    <row r="1017" spans="1:15" ht="43.5" hidden="1">
      <c r="A1017" s="524">
        <v>933</v>
      </c>
      <c r="B1017" s="524" t="e">
        <f>VLOOKUP(A1017,'Hours Detail'!$E$17:$H$1048576,4,)</f>
        <v>#N/A</v>
      </c>
      <c r="C1017" s="524" t="s">
        <v>3936</v>
      </c>
      <c r="D1017" s="524" t="s">
        <v>3935</v>
      </c>
      <c r="E1017" s="524" t="s">
        <v>3934</v>
      </c>
      <c r="F1017" s="524" t="s">
        <v>3934</v>
      </c>
      <c r="G1017" s="524" t="s">
        <v>3934</v>
      </c>
      <c r="H1017" s="524" t="s">
        <v>3934</v>
      </c>
      <c r="I1017" s="524" t="s">
        <v>3935</v>
      </c>
      <c r="J1017" s="524" t="s">
        <v>3935</v>
      </c>
      <c r="K1017" s="524"/>
      <c r="L1017" s="524" t="s">
        <v>6400</v>
      </c>
      <c r="M1017" s="524" t="s">
        <v>6401</v>
      </c>
      <c r="N1017" s="524"/>
      <c r="O1017" s="524"/>
    </row>
    <row r="1018" spans="1:15" ht="43.5" hidden="1">
      <c r="A1018" s="524">
        <v>935</v>
      </c>
      <c r="B1018" s="524" t="str">
        <f>VLOOKUP(A1018,'Hours Detail'!$E$17:$H$1048576,4,)</f>
        <v>No</v>
      </c>
      <c r="C1018" s="524" t="s">
        <v>282</v>
      </c>
      <c r="D1018" s="524" t="s">
        <v>1094</v>
      </c>
      <c r="E1018" s="524" t="s">
        <v>1096</v>
      </c>
      <c r="F1018" s="524" t="s">
        <v>1096</v>
      </c>
      <c r="G1018" s="524" t="s">
        <v>1096</v>
      </c>
      <c r="H1018" s="524" t="s">
        <v>1096</v>
      </c>
      <c r="I1018" s="524" t="s">
        <v>7249</v>
      </c>
      <c r="J1018" s="524" t="s">
        <v>1094</v>
      </c>
      <c r="K1018" s="524"/>
      <c r="L1018" s="524" t="s">
        <v>6376</v>
      </c>
      <c r="M1018" s="524" t="s">
        <v>6416</v>
      </c>
      <c r="N1018" s="524"/>
      <c r="O1018" s="524"/>
    </row>
    <row r="1019" spans="1:15" ht="145" hidden="1">
      <c r="A1019" s="527">
        <v>935</v>
      </c>
      <c r="B1019" s="524" t="str">
        <f>VLOOKUP(A1019,'Hours Detail'!$E$17:$H$1048576,4,)</f>
        <v>No</v>
      </c>
      <c r="C1019" s="527" t="s">
        <v>285</v>
      </c>
      <c r="D1019" s="527" t="s">
        <v>1096</v>
      </c>
      <c r="E1019" s="527" t="s">
        <v>1094</v>
      </c>
      <c r="F1019" s="527" t="s">
        <v>1096</v>
      </c>
      <c r="G1019" s="527">
        <v>89</v>
      </c>
      <c r="H1019" s="527" t="s">
        <v>282</v>
      </c>
      <c r="I1019" s="527" t="s">
        <v>1094</v>
      </c>
      <c r="J1019" s="527" t="s">
        <v>2889</v>
      </c>
      <c r="K1019" s="527" t="s">
        <v>2889</v>
      </c>
      <c r="L1019" s="527" t="s">
        <v>7250</v>
      </c>
      <c r="M1019" s="524"/>
      <c r="N1019" s="524"/>
      <c r="O1019" s="524"/>
    </row>
    <row r="1020" spans="1:15" ht="58" hidden="1">
      <c r="A1020" s="525">
        <v>936</v>
      </c>
      <c r="B1020" s="524" t="str">
        <f>VLOOKUP(A1020,'Hours Detail'!$E$17:$H$1048576,4,)</f>
        <v>No</v>
      </c>
      <c r="C1020" s="524" t="s">
        <v>7251</v>
      </c>
      <c r="D1020" s="524" t="s">
        <v>4071</v>
      </c>
      <c r="E1020" s="524" t="s">
        <v>778</v>
      </c>
      <c r="F1020" s="524" t="s">
        <v>778</v>
      </c>
      <c r="G1020" s="524" t="s">
        <v>778</v>
      </c>
      <c r="H1020" s="524" t="s">
        <v>778</v>
      </c>
      <c r="I1020" s="524" t="s">
        <v>7252</v>
      </c>
      <c r="J1020" s="524" t="s">
        <v>4071</v>
      </c>
      <c r="K1020" s="524" t="s">
        <v>6359</v>
      </c>
      <c r="L1020" s="524" t="s">
        <v>6379</v>
      </c>
      <c r="M1020" s="524" t="s">
        <v>6502</v>
      </c>
      <c r="N1020" s="524" t="s">
        <v>7253</v>
      </c>
      <c r="O1020" s="524"/>
    </row>
    <row r="1021" spans="1:15" ht="72.5" hidden="1">
      <c r="A1021" s="527">
        <v>936</v>
      </c>
      <c r="B1021" s="524" t="str">
        <f>VLOOKUP(A1021,'Hours Detail'!$E$17:$H$1048576,4,)</f>
        <v>No</v>
      </c>
      <c r="C1021" s="527" t="s">
        <v>222</v>
      </c>
      <c r="D1021" s="527" t="s">
        <v>770</v>
      </c>
      <c r="E1021" s="527" t="s">
        <v>777</v>
      </c>
      <c r="F1021" s="527" t="s">
        <v>778</v>
      </c>
      <c r="G1021" s="527">
        <v>15</v>
      </c>
      <c r="H1021" s="527" t="s">
        <v>768</v>
      </c>
      <c r="I1021" s="527" t="s">
        <v>769</v>
      </c>
      <c r="J1021" s="527" t="s">
        <v>2889</v>
      </c>
      <c r="K1021" s="527" t="s">
        <v>2889</v>
      </c>
      <c r="L1021" s="527" t="s">
        <v>7254</v>
      </c>
      <c r="M1021" s="524"/>
      <c r="N1021" s="524"/>
      <c r="O1021" s="524"/>
    </row>
    <row r="1022" spans="1:15" ht="130.5" hidden="1">
      <c r="A1022" s="525">
        <v>937</v>
      </c>
      <c r="B1022" s="524" t="str">
        <f>VLOOKUP(A1022,'Hours Detail'!$E$17:$H$1048576,4,)</f>
        <v>No</v>
      </c>
      <c r="C1022" s="524" t="s">
        <v>134</v>
      </c>
      <c r="D1022" s="524" t="s">
        <v>1036</v>
      </c>
      <c r="E1022" s="524" t="s">
        <v>1037</v>
      </c>
      <c r="F1022" s="524" t="s">
        <v>1037</v>
      </c>
      <c r="G1022" s="524" t="s">
        <v>1037</v>
      </c>
      <c r="H1022" s="524" t="s">
        <v>1037</v>
      </c>
      <c r="I1022" s="524" t="s">
        <v>7255</v>
      </c>
      <c r="J1022" s="524" t="s">
        <v>1036</v>
      </c>
      <c r="K1022" s="524"/>
      <c r="L1022" s="524" t="s">
        <v>6386</v>
      </c>
      <c r="M1022" s="524" t="s">
        <v>4133</v>
      </c>
      <c r="N1022" s="524" t="s">
        <v>7256</v>
      </c>
      <c r="O1022" s="524"/>
    </row>
    <row r="1023" spans="1:15" ht="72.5" hidden="1">
      <c r="A1023" s="527">
        <v>937</v>
      </c>
      <c r="B1023" s="524" t="str">
        <f>VLOOKUP(A1023,'Hours Detail'!$E$17:$H$1048576,4,)</f>
        <v>No</v>
      </c>
      <c r="C1023" s="527" t="s">
        <v>134</v>
      </c>
      <c r="D1023" s="527" t="s">
        <v>2163</v>
      </c>
      <c r="E1023" s="527" t="s">
        <v>1036</v>
      </c>
      <c r="F1023" s="527" t="s">
        <v>1037</v>
      </c>
      <c r="G1023" s="527">
        <v>85</v>
      </c>
      <c r="H1023" s="527" t="s">
        <v>18</v>
      </c>
      <c r="I1023" s="527" t="s">
        <v>2299</v>
      </c>
      <c r="J1023" s="527" t="s">
        <v>2889</v>
      </c>
      <c r="K1023" s="527" t="s">
        <v>2889</v>
      </c>
      <c r="L1023" s="527" t="s">
        <v>7257</v>
      </c>
      <c r="M1023" s="524"/>
      <c r="N1023" s="524"/>
      <c r="O1023" s="524"/>
    </row>
    <row r="1024" spans="1:15" ht="58" hidden="1">
      <c r="A1024" s="525">
        <v>938</v>
      </c>
      <c r="B1024" s="524" t="e">
        <f>VLOOKUP(A1024,'Hours Detail'!$E$17:$H$1048576,4,)</f>
        <v>#N/A</v>
      </c>
      <c r="C1024" s="524" t="s">
        <v>4215</v>
      </c>
      <c r="D1024" s="524" t="s">
        <v>4214</v>
      </c>
      <c r="E1024" s="524" t="s">
        <v>4213</v>
      </c>
      <c r="F1024" s="524" t="s">
        <v>4213</v>
      </c>
      <c r="G1024" s="524" t="s">
        <v>4213</v>
      </c>
      <c r="H1024" s="524" t="s">
        <v>4213</v>
      </c>
      <c r="I1024" s="524" t="s">
        <v>4214</v>
      </c>
      <c r="J1024" s="524" t="s">
        <v>4214</v>
      </c>
      <c r="K1024" s="524"/>
      <c r="L1024" s="524" t="s">
        <v>6381</v>
      </c>
      <c r="M1024" s="524" t="s">
        <v>2313</v>
      </c>
      <c r="N1024" s="524"/>
      <c r="O1024" s="524"/>
    </row>
    <row r="1025" spans="1:15" ht="58" hidden="1">
      <c r="A1025" s="524">
        <v>940</v>
      </c>
      <c r="B1025" s="524" t="e">
        <f>VLOOKUP(A1025,'Hours Detail'!$E$17:$H$1048576,4,)</f>
        <v>#N/A</v>
      </c>
      <c r="C1025" s="524" t="s">
        <v>4901</v>
      </c>
      <c r="D1025" s="524" t="s">
        <v>4900</v>
      </c>
      <c r="E1025" s="524" t="s">
        <v>4899</v>
      </c>
      <c r="F1025" s="524" t="s">
        <v>4899</v>
      </c>
      <c r="G1025" s="524" t="s">
        <v>4899</v>
      </c>
      <c r="H1025" s="524" t="s">
        <v>4899</v>
      </c>
      <c r="I1025" s="524" t="s">
        <v>4900</v>
      </c>
      <c r="J1025" s="524" t="s">
        <v>4900</v>
      </c>
      <c r="K1025" s="524"/>
      <c r="L1025" s="524" t="s">
        <v>6386</v>
      </c>
      <c r="M1025" s="524" t="s">
        <v>6435</v>
      </c>
      <c r="N1025" s="524"/>
      <c r="O1025" s="524"/>
    </row>
    <row r="1026" spans="1:15" ht="72.5" hidden="1">
      <c r="A1026" s="525">
        <v>941</v>
      </c>
      <c r="B1026" s="524" t="str">
        <f>VLOOKUP(A1026,'Hours Detail'!$E$17:$H$1048576,4,)</f>
        <v>No</v>
      </c>
      <c r="C1026" s="524" t="s">
        <v>307</v>
      </c>
      <c r="D1026" s="524" t="s">
        <v>1123</v>
      </c>
      <c r="E1026" s="524" t="s">
        <v>1124</v>
      </c>
      <c r="F1026" s="524" t="s">
        <v>1124</v>
      </c>
      <c r="G1026" s="524" t="s">
        <v>1124</v>
      </c>
      <c r="H1026" s="524" t="s">
        <v>1124</v>
      </c>
      <c r="I1026" s="524" t="s">
        <v>7258</v>
      </c>
      <c r="J1026" s="524" t="s">
        <v>1123</v>
      </c>
      <c r="K1026" s="524" t="s">
        <v>6359</v>
      </c>
      <c r="L1026" s="524" t="s">
        <v>6379</v>
      </c>
      <c r="M1026" s="524" t="s">
        <v>6502</v>
      </c>
      <c r="N1026" s="524" t="s">
        <v>7259</v>
      </c>
      <c r="O1026" s="524"/>
    </row>
    <row r="1027" spans="1:15" ht="72.5" hidden="1">
      <c r="A1027" s="527">
        <v>941</v>
      </c>
      <c r="B1027" s="524" t="str">
        <f>VLOOKUP(A1027,'Hours Detail'!$E$17:$H$1048576,4,)</f>
        <v>No</v>
      </c>
      <c r="C1027" s="527" t="s">
        <v>307</v>
      </c>
      <c r="D1027" s="527" t="s">
        <v>2165</v>
      </c>
      <c r="E1027" s="527" t="s">
        <v>1123</v>
      </c>
      <c r="F1027" s="527" t="s">
        <v>1124</v>
      </c>
      <c r="G1027" s="527">
        <v>98</v>
      </c>
      <c r="H1027" s="527" t="s">
        <v>303</v>
      </c>
      <c r="I1027" s="527" t="s">
        <v>2304</v>
      </c>
      <c r="J1027" s="527" t="s">
        <v>2889</v>
      </c>
      <c r="K1027" s="527" t="s">
        <v>2889</v>
      </c>
      <c r="L1027" s="527" t="s">
        <v>7260</v>
      </c>
      <c r="M1027" s="524"/>
      <c r="N1027" s="524"/>
      <c r="O1027" s="524"/>
    </row>
    <row r="1028" spans="1:15" ht="72.5" hidden="1">
      <c r="A1028" s="525">
        <v>942</v>
      </c>
      <c r="B1028" s="524" t="str">
        <f>VLOOKUP(A1028,'Hours Detail'!$E$17:$H$1048576,4,)</f>
        <v>No</v>
      </c>
      <c r="C1028" s="524" t="s">
        <v>32</v>
      </c>
      <c r="D1028" s="524" t="s">
        <v>683</v>
      </c>
      <c r="E1028" s="524" t="s">
        <v>684</v>
      </c>
      <c r="F1028" s="524" t="s">
        <v>684</v>
      </c>
      <c r="G1028" s="524" t="s">
        <v>684</v>
      </c>
      <c r="H1028" s="524" t="s">
        <v>684</v>
      </c>
      <c r="I1028" s="524" t="s">
        <v>7261</v>
      </c>
      <c r="J1028" s="524" t="s">
        <v>683</v>
      </c>
      <c r="K1028" s="524" t="s">
        <v>6359</v>
      </c>
      <c r="L1028" s="524" t="s">
        <v>6368</v>
      </c>
      <c r="M1028" s="524" t="s">
        <v>6370</v>
      </c>
      <c r="N1028" s="524" t="s">
        <v>7262</v>
      </c>
      <c r="O1028" s="524"/>
    </row>
    <row r="1029" spans="1:15" ht="174" hidden="1">
      <c r="A1029" s="527">
        <v>942</v>
      </c>
      <c r="B1029" s="524" t="str">
        <f>VLOOKUP(A1029,'Hours Detail'!$E$17:$H$1048576,4,)</f>
        <v>No</v>
      </c>
      <c r="C1029" s="527" t="s">
        <v>32</v>
      </c>
      <c r="D1029" s="527" t="s">
        <v>676</v>
      </c>
      <c r="E1029" s="527" t="s">
        <v>683</v>
      </c>
      <c r="F1029" s="527" t="s">
        <v>684</v>
      </c>
      <c r="G1029" s="527">
        <v>9</v>
      </c>
      <c r="H1029" s="527" t="s">
        <v>0</v>
      </c>
      <c r="I1029" s="527" t="s">
        <v>674</v>
      </c>
      <c r="J1029" s="527" t="s">
        <v>2889</v>
      </c>
      <c r="K1029" s="527" t="s">
        <v>2889</v>
      </c>
      <c r="L1029" s="527" t="s">
        <v>7263</v>
      </c>
      <c r="M1029" s="524"/>
      <c r="N1029" s="524"/>
      <c r="O1029" s="524"/>
    </row>
    <row r="1030" spans="1:15" ht="43.5" hidden="1">
      <c r="A1030" s="524">
        <v>943</v>
      </c>
      <c r="B1030" s="524" t="e">
        <f>VLOOKUP(A1030,'Hours Detail'!$E$17:$H$1048576,4,)</f>
        <v>#N/A</v>
      </c>
      <c r="C1030" s="524" t="s">
        <v>4720</v>
      </c>
      <c r="D1030" s="524" t="s">
        <v>4719</v>
      </c>
      <c r="E1030" s="524" t="s">
        <v>4718</v>
      </c>
      <c r="F1030" s="524" t="s">
        <v>4718</v>
      </c>
      <c r="G1030" s="524" t="s">
        <v>4718</v>
      </c>
      <c r="H1030" s="524" t="s">
        <v>4718</v>
      </c>
      <c r="I1030" s="524" t="s">
        <v>4719</v>
      </c>
      <c r="J1030" s="524" t="s">
        <v>4719</v>
      </c>
      <c r="K1030" s="524"/>
      <c r="L1030" s="524" t="s">
        <v>6386</v>
      </c>
      <c r="M1030" s="524" t="s">
        <v>6488</v>
      </c>
      <c r="N1030" s="524"/>
      <c r="O1030" s="524"/>
    </row>
    <row r="1031" spans="1:15" ht="43.5">
      <c r="A1031" s="525">
        <v>944</v>
      </c>
      <c r="B1031" s="524" t="str">
        <f>VLOOKUP(A1031,'Hours Detail'!$E$17:$H$1048576,4,)</f>
        <v>No</v>
      </c>
      <c r="C1031" s="524" t="s">
        <v>4280</v>
      </c>
      <c r="D1031" s="524" t="s">
        <v>506</v>
      </c>
      <c r="E1031" s="524" t="s">
        <v>507</v>
      </c>
      <c r="F1031" s="524" t="s">
        <v>507</v>
      </c>
      <c r="G1031" s="524" t="s">
        <v>507</v>
      </c>
      <c r="H1031" s="524" t="s">
        <v>507</v>
      </c>
      <c r="I1031" s="524" t="s">
        <v>7264</v>
      </c>
      <c r="J1031" s="524" t="s">
        <v>506</v>
      </c>
      <c r="K1031" s="524"/>
      <c r="L1031" s="524" t="s">
        <v>6414</v>
      </c>
      <c r="M1031" s="524" t="s">
        <v>6415</v>
      </c>
      <c r="N1031" s="524"/>
      <c r="O1031" s="524"/>
    </row>
    <row r="1032" spans="1:15" ht="159.5">
      <c r="A1032" s="524">
        <v>944</v>
      </c>
      <c r="B1032" s="524" t="str">
        <f>VLOOKUP(A1032,'Hours Detail'!$E$17:$H$1048576,4,)</f>
        <v>No</v>
      </c>
      <c r="C1032" s="524" t="s">
        <v>1744</v>
      </c>
      <c r="D1032" s="527" t="s">
        <v>470</v>
      </c>
      <c r="E1032" s="527" t="s">
        <v>506</v>
      </c>
      <c r="F1032" s="527" t="s">
        <v>507</v>
      </c>
      <c r="G1032" s="527">
        <v>3</v>
      </c>
      <c r="H1032" s="527" t="s">
        <v>149</v>
      </c>
      <c r="I1032" s="527" t="s">
        <v>468</v>
      </c>
      <c r="J1032" s="527" t="s">
        <v>2889</v>
      </c>
      <c r="K1032" s="527" t="s">
        <v>2889</v>
      </c>
      <c r="L1032" s="527" t="s">
        <v>7265</v>
      </c>
      <c r="M1032" s="524"/>
      <c r="N1032" s="524"/>
      <c r="O1032" s="524"/>
    </row>
    <row r="1033" spans="1:15" ht="72.5" hidden="1">
      <c r="A1033" s="525">
        <v>945</v>
      </c>
      <c r="B1033" s="524" t="str">
        <f>VLOOKUP(A1033,'Hours Detail'!$E$17:$H$1048576,4,)</f>
        <v>No</v>
      </c>
      <c r="C1033" s="524" t="s">
        <v>2809</v>
      </c>
      <c r="D1033" s="524" t="s">
        <v>920</v>
      </c>
      <c r="E1033" s="524" t="s">
        <v>921</v>
      </c>
      <c r="F1033" s="524" t="s">
        <v>921</v>
      </c>
      <c r="G1033" s="524" t="s">
        <v>921</v>
      </c>
      <c r="H1033" s="524" t="s">
        <v>921</v>
      </c>
      <c r="I1033" s="524" t="s">
        <v>7266</v>
      </c>
      <c r="J1033" s="524" t="s">
        <v>920</v>
      </c>
      <c r="K1033" s="524" t="s">
        <v>6359</v>
      </c>
      <c r="L1033" s="524" t="s">
        <v>6368</v>
      </c>
      <c r="M1033" s="524" t="s">
        <v>2573</v>
      </c>
      <c r="N1033" s="524" t="s">
        <v>7267</v>
      </c>
      <c r="O1033" s="524"/>
    </row>
    <row r="1034" spans="1:15" ht="174" hidden="1">
      <c r="A1034" s="527">
        <v>945</v>
      </c>
      <c r="B1034" s="524" t="str">
        <f>VLOOKUP(A1034,'Hours Detail'!$E$17:$H$1048576,4,)</f>
        <v>No</v>
      </c>
      <c r="C1034" s="527" t="s">
        <v>31</v>
      </c>
      <c r="D1034" s="527" t="s">
        <v>2845</v>
      </c>
      <c r="E1034" s="527" t="s">
        <v>920</v>
      </c>
      <c r="F1034" s="527" t="s">
        <v>921</v>
      </c>
      <c r="G1034" s="527">
        <v>999</v>
      </c>
      <c r="H1034" s="527" t="s">
        <v>2843</v>
      </c>
      <c r="I1034" s="527" t="s">
        <v>2844</v>
      </c>
      <c r="J1034" s="527" t="s">
        <v>2889</v>
      </c>
      <c r="K1034" s="527" t="s">
        <v>2889</v>
      </c>
      <c r="L1034" s="527" t="s">
        <v>7268</v>
      </c>
      <c r="M1034" s="524"/>
      <c r="N1034" s="524"/>
      <c r="O1034" s="524"/>
    </row>
    <row r="1035" spans="1:15" ht="246.5">
      <c r="A1035" s="525">
        <v>947</v>
      </c>
      <c r="B1035" s="524" t="str">
        <f>VLOOKUP(A1035,'Hours Detail'!$E$17:$H$1048576,4,)</f>
        <v>No</v>
      </c>
      <c r="C1035" s="524" t="s">
        <v>165</v>
      </c>
      <c r="D1035" s="524" t="s">
        <v>496</v>
      </c>
      <c r="E1035" s="524" t="s">
        <v>497</v>
      </c>
      <c r="F1035" s="524" t="s">
        <v>497</v>
      </c>
      <c r="G1035" s="524" t="s">
        <v>497</v>
      </c>
      <c r="H1035" s="524" t="s">
        <v>497</v>
      </c>
      <c r="I1035" s="524" t="s">
        <v>7269</v>
      </c>
      <c r="J1035" s="524" t="s">
        <v>496</v>
      </c>
      <c r="K1035" s="524" t="s">
        <v>6359</v>
      </c>
      <c r="L1035" s="524" t="s">
        <v>6399</v>
      </c>
      <c r="M1035" s="524" t="s">
        <v>6613</v>
      </c>
      <c r="N1035" s="524" t="s">
        <v>7270</v>
      </c>
      <c r="O1035" s="524"/>
    </row>
    <row r="1036" spans="1:15" ht="203">
      <c r="A1036" s="524">
        <v>947</v>
      </c>
      <c r="B1036" s="524" t="str">
        <f>VLOOKUP(A1036,'Hours Detail'!$E$17:$H$1048576,4,)</f>
        <v>No</v>
      </c>
      <c r="C1036" s="524" t="s">
        <v>165</v>
      </c>
      <c r="D1036" s="527" t="s">
        <v>470</v>
      </c>
      <c r="E1036" s="527" t="s">
        <v>496</v>
      </c>
      <c r="F1036" s="527" t="s">
        <v>497</v>
      </c>
      <c r="G1036" s="527">
        <v>3</v>
      </c>
      <c r="H1036" s="527" t="s">
        <v>149</v>
      </c>
      <c r="I1036" s="527" t="s">
        <v>468</v>
      </c>
      <c r="J1036" s="527" t="s">
        <v>2889</v>
      </c>
      <c r="K1036" s="527" t="s">
        <v>2889</v>
      </c>
      <c r="L1036" s="527" t="s">
        <v>7271</v>
      </c>
      <c r="M1036" s="524"/>
      <c r="N1036" s="524"/>
      <c r="O1036" s="524"/>
    </row>
    <row r="1037" spans="1:15" ht="116" hidden="1">
      <c r="A1037" s="524">
        <v>950</v>
      </c>
      <c r="B1037" s="524" t="str">
        <f>VLOOKUP(A1037,'Hours Detail'!$E$17:$H$1048576,4,)</f>
        <v>No</v>
      </c>
      <c r="C1037" s="524" t="s">
        <v>700</v>
      </c>
      <c r="D1037" s="524" t="s">
        <v>701</v>
      </c>
      <c r="E1037" s="524" t="s">
        <v>702</v>
      </c>
      <c r="F1037" s="524" t="s">
        <v>702</v>
      </c>
      <c r="G1037" s="524" t="s">
        <v>702</v>
      </c>
      <c r="H1037" s="524" t="s">
        <v>702</v>
      </c>
      <c r="I1037" s="524" t="s">
        <v>7272</v>
      </c>
      <c r="J1037" s="524" t="s">
        <v>701</v>
      </c>
      <c r="K1037" s="524"/>
      <c r="L1037" s="524" t="s">
        <v>6365</v>
      </c>
      <c r="M1037" s="524" t="s">
        <v>6366</v>
      </c>
      <c r="N1037" s="524"/>
      <c r="O1037" s="524"/>
    </row>
    <row r="1038" spans="1:15" ht="72.5" hidden="1">
      <c r="A1038" s="527">
        <v>950</v>
      </c>
      <c r="B1038" s="524" t="str">
        <f>VLOOKUP(A1038,'Hours Detail'!$E$17:$H$1048576,4,)</f>
        <v>No</v>
      </c>
      <c r="C1038" s="527" t="s">
        <v>700</v>
      </c>
      <c r="D1038" s="527" t="s">
        <v>2316</v>
      </c>
      <c r="E1038" s="527" t="s">
        <v>701</v>
      </c>
      <c r="F1038" s="527" t="s">
        <v>702</v>
      </c>
      <c r="G1038" s="527">
        <v>10</v>
      </c>
      <c r="H1038" s="527" t="s">
        <v>213</v>
      </c>
      <c r="I1038" s="527" t="s">
        <v>2315</v>
      </c>
      <c r="J1038" s="527" t="s">
        <v>2889</v>
      </c>
      <c r="K1038" s="527" t="s">
        <v>2890</v>
      </c>
      <c r="L1038" s="527" t="s">
        <v>6371</v>
      </c>
      <c r="M1038" s="524"/>
      <c r="N1038" s="524"/>
      <c r="O1038" s="524"/>
    </row>
    <row r="1039" spans="1:15" ht="43.5" hidden="1">
      <c r="A1039" s="525">
        <v>951</v>
      </c>
      <c r="B1039" s="524" t="str">
        <f>VLOOKUP(A1039,'Hours Detail'!$E$17:$H$1048576,4,)</f>
        <v>No</v>
      </c>
      <c r="C1039" s="524" t="s">
        <v>210</v>
      </c>
      <c r="D1039" s="524" t="s">
        <v>687</v>
      </c>
      <c r="E1039" s="524" t="s">
        <v>688</v>
      </c>
      <c r="F1039" s="524" t="s">
        <v>688</v>
      </c>
      <c r="G1039" s="524" t="s">
        <v>688</v>
      </c>
      <c r="H1039" s="524" t="s">
        <v>688</v>
      </c>
      <c r="I1039" s="524" t="s">
        <v>687</v>
      </c>
      <c r="J1039" s="524" t="s">
        <v>687</v>
      </c>
      <c r="K1039" s="524"/>
      <c r="L1039" s="524" t="s">
        <v>6368</v>
      </c>
      <c r="M1039" s="524" t="s">
        <v>6370</v>
      </c>
      <c r="N1039" s="524"/>
      <c r="O1039" s="524"/>
    </row>
    <row r="1040" spans="1:15" ht="43.5" hidden="1">
      <c r="A1040" s="527">
        <v>951</v>
      </c>
      <c r="B1040" s="524" t="str">
        <f>VLOOKUP(A1040,'Hours Detail'!$E$17:$H$1048576,4,)</f>
        <v>No</v>
      </c>
      <c r="C1040" s="527" t="s">
        <v>210</v>
      </c>
      <c r="D1040" s="527" t="s">
        <v>676</v>
      </c>
      <c r="E1040" s="527" t="s">
        <v>687</v>
      </c>
      <c r="F1040" s="527" t="s">
        <v>688</v>
      </c>
      <c r="G1040" s="527">
        <v>9</v>
      </c>
      <c r="H1040" s="527" t="s">
        <v>0</v>
      </c>
      <c r="I1040" s="527" t="s">
        <v>674</v>
      </c>
      <c r="J1040" s="527" t="s">
        <v>2889</v>
      </c>
      <c r="K1040" s="527" t="s">
        <v>2890</v>
      </c>
      <c r="L1040" s="527" t="s">
        <v>6371</v>
      </c>
      <c r="M1040" s="524"/>
      <c r="N1040" s="524"/>
      <c r="O1040" s="524"/>
    </row>
    <row r="1041" spans="1:15" ht="58" hidden="1">
      <c r="A1041" s="524">
        <v>952</v>
      </c>
      <c r="B1041" s="524" t="str">
        <f>VLOOKUP(A1041,'Hours Detail'!$E$17:$H$1048576,4,)</f>
        <v>No</v>
      </c>
      <c r="C1041" s="524" t="s">
        <v>309</v>
      </c>
      <c r="D1041" s="524" t="s">
        <v>1137</v>
      </c>
      <c r="E1041" s="524" t="s">
        <v>1139</v>
      </c>
      <c r="F1041" s="524" t="s">
        <v>1139</v>
      </c>
      <c r="G1041" s="524" t="s">
        <v>1139</v>
      </c>
      <c r="H1041" s="524" t="s">
        <v>1139</v>
      </c>
      <c r="I1041" s="524" t="s">
        <v>7273</v>
      </c>
      <c r="J1041" s="524" t="s">
        <v>1137</v>
      </c>
      <c r="K1041" s="524" t="s">
        <v>6359</v>
      </c>
      <c r="L1041" s="524" t="s">
        <v>6381</v>
      </c>
      <c r="M1041" s="524" t="s">
        <v>2313</v>
      </c>
      <c r="N1041" s="524"/>
      <c r="O1041" s="524"/>
    </row>
    <row r="1042" spans="1:15" ht="116" hidden="1">
      <c r="A1042" s="527">
        <v>952</v>
      </c>
      <c r="B1042" s="524" t="str">
        <f>VLOOKUP(A1042,'Hours Detail'!$E$17:$H$1048576,4,)</f>
        <v>No</v>
      </c>
      <c r="C1042" s="527" t="s">
        <v>309</v>
      </c>
      <c r="D1042" s="527" t="s">
        <v>1140</v>
      </c>
      <c r="E1042" s="527" t="s">
        <v>1137</v>
      </c>
      <c r="F1042" s="527" t="s">
        <v>1139</v>
      </c>
      <c r="G1042" s="527">
        <v>100</v>
      </c>
      <c r="H1042" s="527" t="s">
        <v>308</v>
      </c>
      <c r="I1042" s="527" t="s">
        <v>1138</v>
      </c>
      <c r="J1042" s="527" t="s">
        <v>2889</v>
      </c>
      <c r="K1042" s="527" t="s">
        <v>2890</v>
      </c>
      <c r="L1042" s="527" t="s">
        <v>7274</v>
      </c>
      <c r="M1042" s="524"/>
      <c r="N1042" s="524"/>
      <c r="O1042" s="524"/>
    </row>
    <row r="1043" spans="1:15" ht="43.5" hidden="1">
      <c r="A1043" s="524">
        <v>953</v>
      </c>
      <c r="B1043" s="524" t="e">
        <f>VLOOKUP(A1043,'Hours Detail'!$E$17:$H$1048576,4,)</f>
        <v>#N/A</v>
      </c>
      <c r="C1043" s="524" t="s">
        <v>1141</v>
      </c>
      <c r="D1043" s="524" t="s">
        <v>1142</v>
      </c>
      <c r="E1043" s="524" t="s">
        <v>1141</v>
      </c>
      <c r="F1043" s="524" t="s">
        <v>1141</v>
      </c>
      <c r="G1043" s="524" t="s">
        <v>1141</v>
      </c>
      <c r="H1043" s="524" t="s">
        <v>1141</v>
      </c>
      <c r="I1043" s="524" t="s">
        <v>7275</v>
      </c>
      <c r="J1043" s="524" t="s">
        <v>1142</v>
      </c>
      <c r="K1043" s="524" t="s">
        <v>6359</v>
      </c>
      <c r="L1043" s="524" t="s">
        <v>6381</v>
      </c>
      <c r="M1043" s="524" t="s">
        <v>2313</v>
      </c>
      <c r="N1043" s="524"/>
      <c r="O1043" s="524"/>
    </row>
    <row r="1044" spans="1:15" ht="101.5" hidden="1">
      <c r="A1044" s="527">
        <v>953</v>
      </c>
      <c r="B1044" s="524" t="e">
        <f>VLOOKUP(A1044,'Hours Detail'!$E$17:$H$1048576,4,)</f>
        <v>#N/A</v>
      </c>
      <c r="C1044" s="527" t="s">
        <v>1141</v>
      </c>
      <c r="D1044" s="527" t="s">
        <v>1140</v>
      </c>
      <c r="E1044" s="527" t="s">
        <v>1142</v>
      </c>
      <c r="F1044" s="527" t="s">
        <v>1141</v>
      </c>
      <c r="G1044" s="527">
        <v>100</v>
      </c>
      <c r="H1044" s="527" t="s">
        <v>308</v>
      </c>
      <c r="I1044" s="527" t="s">
        <v>1138</v>
      </c>
      <c r="J1044" s="527" t="s">
        <v>2890</v>
      </c>
      <c r="K1044" s="527" t="s">
        <v>2890</v>
      </c>
      <c r="L1044" s="527" t="s">
        <v>7276</v>
      </c>
      <c r="M1044" s="524"/>
      <c r="N1044" s="524"/>
      <c r="O1044" s="524"/>
    </row>
    <row r="1045" spans="1:15" ht="72.5" hidden="1">
      <c r="A1045" s="525">
        <v>954</v>
      </c>
      <c r="B1045" s="524" t="e">
        <f>VLOOKUP(A1045,'Hours Detail'!$E$17:$H$1048576,4,)</f>
        <v>#N/A</v>
      </c>
      <c r="C1045" s="524" t="s">
        <v>4870</v>
      </c>
      <c r="D1045" s="524" t="s">
        <v>4869</v>
      </c>
      <c r="E1045" s="524" t="s">
        <v>4868</v>
      </c>
      <c r="F1045" s="524" t="s">
        <v>4868</v>
      </c>
      <c r="G1045" s="524" t="s">
        <v>4868</v>
      </c>
      <c r="H1045" s="524" t="s">
        <v>4868</v>
      </c>
      <c r="I1045" s="524" t="s">
        <v>4869</v>
      </c>
      <c r="J1045" s="524" t="s">
        <v>4869</v>
      </c>
      <c r="K1045" s="524"/>
      <c r="L1045" s="524" t="s">
        <v>6381</v>
      </c>
      <c r="M1045" s="524" t="s">
        <v>2313</v>
      </c>
      <c r="N1045" s="524"/>
      <c r="O1045" s="524"/>
    </row>
    <row r="1046" spans="1:15" ht="43.5" hidden="1">
      <c r="A1046" s="525">
        <v>970</v>
      </c>
      <c r="B1046" s="524" t="e">
        <f>VLOOKUP(A1046,'Hours Detail'!$E$17:$H$1048576,4,)</f>
        <v>#N/A</v>
      </c>
      <c r="C1046" s="524" t="s">
        <v>269</v>
      </c>
      <c r="D1046" s="524" t="s">
        <v>1048</v>
      </c>
      <c r="E1046" s="524" t="s">
        <v>1049</v>
      </c>
      <c r="F1046" s="524" t="s">
        <v>1049</v>
      </c>
      <c r="G1046" s="524" t="s">
        <v>1049</v>
      </c>
      <c r="H1046" s="524" t="s">
        <v>1049</v>
      </c>
      <c r="I1046" s="524" t="s">
        <v>7277</v>
      </c>
      <c r="J1046" s="524" t="s">
        <v>1048</v>
      </c>
      <c r="K1046" s="524" t="s">
        <v>6359</v>
      </c>
      <c r="L1046" s="524" t="s">
        <v>6397</v>
      </c>
      <c r="M1046" s="524" t="s">
        <v>1</v>
      </c>
      <c r="N1046" s="524" t="s">
        <v>7278</v>
      </c>
      <c r="O1046" s="524"/>
    </row>
    <row r="1047" spans="1:15" ht="43.5" hidden="1">
      <c r="A1047" s="527">
        <v>970</v>
      </c>
      <c r="B1047" s="524" t="e">
        <f>VLOOKUP(A1047,'Hours Detail'!$E$17:$H$1048576,4,)</f>
        <v>#N/A</v>
      </c>
      <c r="C1047" s="527" t="s">
        <v>269</v>
      </c>
      <c r="D1047" s="527" t="s">
        <v>1</v>
      </c>
      <c r="E1047" s="527" t="s">
        <v>1048</v>
      </c>
      <c r="F1047" s="527" t="s">
        <v>1049</v>
      </c>
      <c r="G1047" s="527">
        <v>87</v>
      </c>
      <c r="H1047" s="527" t="s">
        <v>1</v>
      </c>
      <c r="I1047" s="527" t="s">
        <v>852</v>
      </c>
      <c r="J1047" s="527" t="s">
        <v>2890</v>
      </c>
      <c r="K1047" s="527" t="s">
        <v>2889</v>
      </c>
      <c r="L1047" s="527" t="s">
        <v>7279</v>
      </c>
      <c r="M1047" s="524"/>
      <c r="N1047" s="524"/>
      <c r="O1047" s="524"/>
    </row>
    <row r="1048" spans="1:15" ht="29" hidden="1">
      <c r="A1048" s="525">
        <v>980</v>
      </c>
      <c r="B1048" s="524" t="e">
        <f>VLOOKUP(A1048,'Hours Detail'!$E$17:$H$1048576,4,)</f>
        <v>#N/A</v>
      </c>
      <c r="C1048" s="524" t="s">
        <v>5643</v>
      </c>
      <c r="D1048" s="524" t="s">
        <v>5644</v>
      </c>
      <c r="E1048" s="524" t="s">
        <v>5643</v>
      </c>
      <c r="F1048" s="524" t="s">
        <v>5643</v>
      </c>
      <c r="G1048" s="524" t="s">
        <v>5643</v>
      </c>
      <c r="H1048" s="524" t="s">
        <v>5643</v>
      </c>
      <c r="I1048" s="524" t="s">
        <v>5644</v>
      </c>
      <c r="J1048" s="524" t="s">
        <v>7280</v>
      </c>
      <c r="K1048" s="524"/>
      <c r="L1048" s="524" t="s">
        <v>6381</v>
      </c>
      <c r="M1048" s="524" t="s">
        <v>2313</v>
      </c>
      <c r="N1048" s="524"/>
      <c r="O1048" s="524"/>
    </row>
    <row r="1049" spans="1:15" ht="72.5" hidden="1">
      <c r="A1049" s="524">
        <v>981</v>
      </c>
      <c r="B1049" s="524" t="e">
        <f>VLOOKUP(A1049,'Hours Detail'!$E$17:$H$1048576,4,)</f>
        <v>#N/A</v>
      </c>
      <c r="C1049" s="524" t="s">
        <v>5347</v>
      </c>
      <c r="D1049" s="524" t="s">
        <v>5346</v>
      </c>
      <c r="E1049" s="524" t="s">
        <v>5345</v>
      </c>
      <c r="F1049" s="524" t="s">
        <v>5345</v>
      </c>
      <c r="G1049" s="524" t="s">
        <v>5345</v>
      </c>
      <c r="H1049" s="524" t="s">
        <v>5345</v>
      </c>
      <c r="I1049" s="524" t="s">
        <v>5346</v>
      </c>
      <c r="J1049" s="524" t="s">
        <v>5346</v>
      </c>
      <c r="K1049" s="524"/>
      <c r="L1049" s="524" t="s">
        <v>6381</v>
      </c>
      <c r="M1049" s="524" t="s">
        <v>2313</v>
      </c>
      <c r="N1049" s="524"/>
      <c r="O1049" s="524"/>
    </row>
    <row r="1050" spans="1:15" ht="72.5" hidden="1">
      <c r="A1050" s="524">
        <v>982</v>
      </c>
      <c r="B1050" s="524" t="e">
        <f>VLOOKUP(A1050,'Hours Detail'!$E$17:$H$1048576,4,)</f>
        <v>#N/A</v>
      </c>
      <c r="C1050" s="524" t="s">
        <v>5347</v>
      </c>
      <c r="D1050" s="524" t="s">
        <v>5346</v>
      </c>
      <c r="E1050" s="524" t="s">
        <v>5345</v>
      </c>
      <c r="F1050" s="524" t="s">
        <v>5345</v>
      </c>
      <c r="G1050" s="524" t="s">
        <v>5345</v>
      </c>
      <c r="H1050" s="524" t="s">
        <v>5345</v>
      </c>
      <c r="I1050" s="524" t="s">
        <v>5346</v>
      </c>
      <c r="J1050" s="524" t="s">
        <v>5346</v>
      </c>
      <c r="K1050" s="524"/>
      <c r="L1050" s="524" t="s">
        <v>6381</v>
      </c>
      <c r="M1050" s="524" t="s">
        <v>2313</v>
      </c>
      <c r="N1050" s="524"/>
      <c r="O1050" s="524"/>
    </row>
    <row r="1051" spans="1:15" ht="101.5" hidden="1">
      <c r="A1051" s="525">
        <v>987</v>
      </c>
      <c r="B1051" s="524" t="e">
        <f>VLOOKUP(A1051,'Hours Detail'!$E$17:$H$1048576,4,)</f>
        <v>#N/A</v>
      </c>
      <c r="C1051" s="524" t="s">
        <v>65</v>
      </c>
      <c r="D1051" s="524" t="s">
        <v>569</v>
      </c>
      <c r="E1051" s="524" t="s">
        <v>570</v>
      </c>
      <c r="F1051" s="524" t="s">
        <v>7281</v>
      </c>
      <c r="G1051" s="524" t="s">
        <v>570</v>
      </c>
      <c r="H1051" s="524" t="s">
        <v>7282</v>
      </c>
      <c r="I1051" s="524" t="s">
        <v>7283</v>
      </c>
      <c r="J1051" s="524" t="s">
        <v>569</v>
      </c>
      <c r="K1051" s="524"/>
      <c r="L1051" s="524" t="s">
        <v>6399</v>
      </c>
      <c r="M1051" s="524" t="s">
        <v>6509</v>
      </c>
      <c r="N1051" s="524" t="s">
        <v>7284</v>
      </c>
      <c r="O1051" s="524"/>
    </row>
    <row r="1052" spans="1:15" ht="87" hidden="1">
      <c r="A1052" s="527">
        <v>987</v>
      </c>
      <c r="B1052" s="524" t="e">
        <f>VLOOKUP(A1052,'Hours Detail'!$E$17:$H$1048576,4,)</f>
        <v>#N/A</v>
      </c>
      <c r="C1052" s="527" t="s">
        <v>65</v>
      </c>
      <c r="D1052" s="527" t="s">
        <v>2312</v>
      </c>
      <c r="E1052" s="527" t="s">
        <v>569</v>
      </c>
      <c r="F1052" s="527" t="s">
        <v>570</v>
      </c>
      <c r="G1052" s="527">
        <v>6</v>
      </c>
      <c r="H1052" s="527" t="s">
        <v>58</v>
      </c>
      <c r="I1052" s="527" t="s">
        <v>2311</v>
      </c>
      <c r="J1052" s="527" t="s">
        <v>2890</v>
      </c>
      <c r="K1052" s="527" t="s">
        <v>2889</v>
      </c>
      <c r="L1052" s="527" t="s">
        <v>7285</v>
      </c>
      <c r="M1052" s="524"/>
      <c r="N1052" s="524"/>
      <c r="O1052" s="524"/>
    </row>
    <row r="1053" spans="1:15" ht="72.5" hidden="1">
      <c r="A1053" s="525">
        <v>988</v>
      </c>
      <c r="B1053" s="524" t="str">
        <f>VLOOKUP(A1053,'Hours Detail'!$E$17:$H$1048576,4,)</f>
        <v>No</v>
      </c>
      <c r="C1053" s="524" t="s">
        <v>77</v>
      </c>
      <c r="D1053" s="524" t="s">
        <v>1145</v>
      </c>
      <c r="E1053" s="524" t="s">
        <v>1146</v>
      </c>
      <c r="F1053" s="524" t="s">
        <v>1146</v>
      </c>
      <c r="G1053" s="524" t="s">
        <v>1146</v>
      </c>
      <c r="H1053" s="524" t="s">
        <v>1146</v>
      </c>
      <c r="I1053" s="524" t="s">
        <v>7286</v>
      </c>
      <c r="J1053" s="524" t="s">
        <v>7287</v>
      </c>
      <c r="K1053" s="524"/>
      <c r="L1053" s="524" t="s">
        <v>6399</v>
      </c>
      <c r="M1053" s="524" t="s">
        <v>6509</v>
      </c>
      <c r="N1053" s="524" t="s">
        <v>7288</v>
      </c>
      <c r="O1053" s="524"/>
    </row>
    <row r="1054" spans="1:15" ht="116" hidden="1">
      <c r="A1054" s="527">
        <v>988</v>
      </c>
      <c r="B1054" s="524" t="str">
        <f>VLOOKUP(A1054,'Hours Detail'!$E$17:$H$1048576,4,)</f>
        <v>No</v>
      </c>
      <c r="C1054" s="527" t="s">
        <v>77</v>
      </c>
      <c r="D1054" s="527" t="s">
        <v>2307</v>
      </c>
      <c r="E1054" s="527" t="s">
        <v>1145</v>
      </c>
      <c r="F1054" s="527" t="s">
        <v>1146</v>
      </c>
      <c r="G1054" s="527">
        <v>102</v>
      </c>
      <c r="H1054" s="527" t="s">
        <v>21</v>
      </c>
      <c r="I1054" s="527" t="s">
        <v>1145</v>
      </c>
      <c r="J1054" s="527" t="s">
        <v>2889</v>
      </c>
      <c r="K1054" s="527" t="s">
        <v>2889</v>
      </c>
      <c r="L1054" s="527" t="s">
        <v>7289</v>
      </c>
      <c r="M1054" s="524"/>
      <c r="N1054" s="524"/>
      <c r="O1054" s="524"/>
    </row>
    <row r="1055" spans="1:15" ht="29" hidden="1">
      <c r="A1055" s="524">
        <v>989</v>
      </c>
      <c r="B1055" s="524" t="e">
        <f>VLOOKUP(A1055,'Hours Detail'!$E$17:$H$1048576,4,)</f>
        <v>#N/A</v>
      </c>
      <c r="C1055" s="524" t="s">
        <v>298</v>
      </c>
      <c r="D1055" s="524" t="s">
        <v>1115</v>
      </c>
      <c r="E1055" s="524" t="s">
        <v>1116</v>
      </c>
      <c r="F1055" s="524" t="s">
        <v>1116</v>
      </c>
      <c r="G1055" s="524" t="s">
        <v>1116</v>
      </c>
      <c r="H1055" s="524" t="s">
        <v>1116</v>
      </c>
      <c r="I1055" s="524" t="s">
        <v>7290</v>
      </c>
      <c r="J1055" s="524" t="s">
        <v>1115</v>
      </c>
      <c r="K1055" s="524"/>
      <c r="L1055" s="524" t="s">
        <v>6379</v>
      </c>
      <c r="M1055" s="524" t="s">
        <v>6380</v>
      </c>
      <c r="N1055" s="524"/>
      <c r="O1055" s="524"/>
    </row>
    <row r="1056" spans="1:15" hidden="1">
      <c r="A1056" s="527">
        <v>989</v>
      </c>
      <c r="B1056" s="524" t="e">
        <f>VLOOKUP(A1056,'Hours Detail'!$E$17:$H$1048576,4,)</f>
        <v>#N/A</v>
      </c>
      <c r="C1056" s="527" t="s">
        <v>298</v>
      </c>
      <c r="D1056" s="527" t="s">
        <v>297</v>
      </c>
      <c r="E1056" s="527" t="s">
        <v>1115</v>
      </c>
      <c r="F1056" s="527" t="s">
        <v>1116</v>
      </c>
      <c r="G1056" s="527">
        <v>94</v>
      </c>
      <c r="H1056" s="527" t="s">
        <v>297</v>
      </c>
      <c r="I1056" s="527" t="s">
        <v>297</v>
      </c>
      <c r="J1056" s="527" t="s">
        <v>2890</v>
      </c>
      <c r="K1056" s="527" t="s">
        <v>2890</v>
      </c>
      <c r="L1056" s="527" t="s">
        <v>7291</v>
      </c>
      <c r="M1056" s="524"/>
      <c r="N1056" s="524"/>
      <c r="O1056" s="524"/>
    </row>
    <row r="1057" spans="1:15" ht="43.5" hidden="1">
      <c r="A1057" s="525">
        <v>990</v>
      </c>
      <c r="B1057" s="524" t="e">
        <f>VLOOKUP(A1057,'Hours Detail'!$E$17:$H$1048576,4,)</f>
        <v>#N/A</v>
      </c>
      <c r="C1057" s="524" t="s">
        <v>253</v>
      </c>
      <c r="D1057" s="524" t="s">
        <v>996</v>
      </c>
      <c r="E1057" s="524" t="s">
        <v>998</v>
      </c>
      <c r="F1057" s="524" t="s">
        <v>998</v>
      </c>
      <c r="G1057" s="524" t="s">
        <v>998</v>
      </c>
      <c r="H1057" s="524" t="s">
        <v>998</v>
      </c>
      <c r="I1057" s="524" t="s">
        <v>996</v>
      </c>
      <c r="J1057" s="524" t="s">
        <v>996</v>
      </c>
      <c r="K1057" s="524"/>
      <c r="L1057" s="524" t="s">
        <v>6399</v>
      </c>
      <c r="M1057" s="524" t="s">
        <v>188</v>
      </c>
      <c r="N1057" s="524"/>
      <c r="O1057" s="524"/>
    </row>
    <row r="1058" spans="1:15" ht="43.5" hidden="1">
      <c r="A1058" s="527">
        <v>990</v>
      </c>
      <c r="B1058" s="524" t="e">
        <f>VLOOKUP(A1058,'Hours Detail'!$E$17:$H$1048576,4,)</f>
        <v>#N/A</v>
      </c>
      <c r="C1058" s="527" t="s">
        <v>253</v>
      </c>
      <c r="D1058" s="527" t="s">
        <v>999</v>
      </c>
      <c r="E1058" s="527" t="s">
        <v>996</v>
      </c>
      <c r="F1058" s="527" t="s">
        <v>998</v>
      </c>
      <c r="G1058" s="527">
        <v>36</v>
      </c>
      <c r="H1058" s="527" t="s">
        <v>250</v>
      </c>
      <c r="I1058" s="527" t="s">
        <v>997</v>
      </c>
      <c r="J1058" s="527" t="s">
        <v>2890</v>
      </c>
      <c r="K1058" s="527" t="s">
        <v>3153</v>
      </c>
      <c r="L1058" s="527" t="s">
        <v>6371</v>
      </c>
      <c r="M1058" s="524"/>
      <c r="N1058" s="524"/>
      <c r="O1058" s="524"/>
    </row>
    <row r="1059" spans="1:15" ht="72.5" hidden="1">
      <c r="A1059" s="524">
        <v>991</v>
      </c>
      <c r="B1059" s="524" t="e">
        <f>VLOOKUP(A1059,'Hours Detail'!$E$17:$H$1048576,4,)</f>
        <v>#N/A</v>
      </c>
      <c r="C1059" s="524" t="s">
        <v>185</v>
      </c>
      <c r="D1059" s="524" t="s">
        <v>541</v>
      </c>
      <c r="E1059" s="524" t="s">
        <v>542</v>
      </c>
      <c r="F1059" s="524" t="s">
        <v>542</v>
      </c>
      <c r="G1059" s="524" t="s">
        <v>542</v>
      </c>
      <c r="H1059" s="524" t="s">
        <v>542</v>
      </c>
      <c r="I1059" s="524" t="s">
        <v>7292</v>
      </c>
      <c r="J1059" s="524" t="s">
        <v>541</v>
      </c>
      <c r="K1059" s="524" t="s">
        <v>6359</v>
      </c>
      <c r="L1059" s="524" t="s">
        <v>6397</v>
      </c>
      <c r="M1059" s="524" t="s">
        <v>2384</v>
      </c>
      <c r="N1059" s="524"/>
      <c r="O1059" s="524"/>
    </row>
    <row r="1060" spans="1:15" ht="58" hidden="1">
      <c r="A1060" s="527">
        <v>991</v>
      </c>
      <c r="B1060" s="524" t="e">
        <f>VLOOKUP(A1060,'Hours Detail'!$E$17:$H$1048576,4,)</f>
        <v>#N/A</v>
      </c>
      <c r="C1060" s="527" t="s">
        <v>185</v>
      </c>
      <c r="D1060" s="527" t="s">
        <v>2170</v>
      </c>
      <c r="E1060" s="527" t="s">
        <v>541</v>
      </c>
      <c r="F1060" s="527" t="s">
        <v>542</v>
      </c>
      <c r="G1060" s="527">
        <v>5</v>
      </c>
      <c r="H1060" s="527" t="s">
        <v>177</v>
      </c>
      <c r="I1060" s="527" t="s">
        <v>2310</v>
      </c>
      <c r="J1060" s="527" t="s">
        <v>2890</v>
      </c>
      <c r="K1060" s="527" t="s">
        <v>2889</v>
      </c>
      <c r="L1060" s="527" t="s">
        <v>7293</v>
      </c>
      <c r="M1060" s="524"/>
      <c r="N1060" s="524"/>
      <c r="O1060" s="524"/>
    </row>
    <row r="1061" spans="1:15" ht="304.5" hidden="1">
      <c r="A1061" s="525">
        <v>992</v>
      </c>
      <c r="B1061" s="524" t="e">
        <f>VLOOKUP(A1061,'Hours Detail'!$E$17:$H$1048576,4,)</f>
        <v>#N/A</v>
      </c>
      <c r="C1061" s="524" t="s">
        <v>1477</v>
      </c>
      <c r="D1061" s="524" t="s">
        <v>1479</v>
      </c>
      <c r="E1061" s="524" t="s">
        <v>1481</v>
      </c>
      <c r="F1061" s="524" t="s">
        <v>1481</v>
      </c>
      <c r="G1061" s="524" t="s">
        <v>1481</v>
      </c>
      <c r="H1061" s="524" t="s">
        <v>1481</v>
      </c>
      <c r="I1061" s="524" t="s">
        <v>7294</v>
      </c>
      <c r="J1061" s="524" t="s">
        <v>1479</v>
      </c>
      <c r="K1061" s="524"/>
      <c r="L1061" s="524" t="s">
        <v>6402</v>
      </c>
      <c r="M1061" s="524" t="s">
        <v>6403</v>
      </c>
      <c r="N1061" s="524" t="s">
        <v>7295</v>
      </c>
      <c r="O1061" s="524"/>
    </row>
    <row r="1062" spans="1:15" ht="58" hidden="1">
      <c r="A1062" s="527">
        <v>992</v>
      </c>
      <c r="B1062" s="524" t="e">
        <f>VLOOKUP(A1062,'Hours Detail'!$E$17:$H$1048576,4,)</f>
        <v>#N/A</v>
      </c>
      <c r="C1062" s="527" t="s">
        <v>1477</v>
      </c>
      <c r="D1062" s="527" t="s">
        <v>1482</v>
      </c>
      <c r="E1062" s="527" t="s">
        <v>1479</v>
      </c>
      <c r="F1062" s="527" t="s">
        <v>1481</v>
      </c>
      <c r="G1062" s="527">
        <v>304</v>
      </c>
      <c r="H1062" s="527" t="s">
        <v>1478</v>
      </c>
      <c r="I1062" s="527" t="s">
        <v>1480</v>
      </c>
      <c r="J1062" s="527" t="s">
        <v>2890</v>
      </c>
      <c r="K1062" s="527" t="s">
        <v>2890</v>
      </c>
      <c r="L1062" s="527" t="s">
        <v>6371</v>
      </c>
      <c r="M1062" s="524"/>
      <c r="N1062" s="524"/>
      <c r="O1062" s="524"/>
    </row>
    <row r="1063" spans="1:15" ht="217.5" hidden="1">
      <c r="A1063" s="525">
        <v>993</v>
      </c>
      <c r="B1063" s="524" t="e">
        <f>VLOOKUP(A1063,'Hours Detail'!$E$17:$H$1048576,4,)</f>
        <v>#N/A</v>
      </c>
      <c r="C1063" s="524" t="s">
        <v>5778</v>
      </c>
      <c r="D1063" s="524" t="s">
        <v>5777</v>
      </c>
      <c r="E1063" s="524" t="s">
        <v>5776</v>
      </c>
      <c r="F1063" s="524" t="s">
        <v>5776</v>
      </c>
      <c r="G1063" s="524" t="s">
        <v>5776</v>
      </c>
      <c r="H1063" s="524" t="s">
        <v>5776</v>
      </c>
      <c r="I1063" s="524" t="s">
        <v>7296</v>
      </c>
      <c r="J1063" s="524" t="s">
        <v>5777</v>
      </c>
      <c r="K1063" s="524"/>
      <c r="L1063" s="524" t="s">
        <v>6402</v>
      </c>
      <c r="M1063" s="524" t="s">
        <v>6403</v>
      </c>
      <c r="N1063" s="524" t="s">
        <v>7297</v>
      </c>
      <c r="O1063" s="524"/>
    </row>
    <row r="1064" spans="1:15" ht="72.5" hidden="1">
      <c r="A1064" s="524">
        <v>994</v>
      </c>
      <c r="B1064" s="524" t="str">
        <f>VLOOKUP(A1064,'Hours Detail'!$E$17:$H$1048576,4,)</f>
        <v>No</v>
      </c>
      <c r="C1064" s="524" t="s">
        <v>212</v>
      </c>
      <c r="D1064" s="524" t="s">
        <v>4179</v>
      </c>
      <c r="E1064" s="524" t="s">
        <v>686</v>
      </c>
      <c r="F1064" s="524" t="s">
        <v>686</v>
      </c>
      <c r="G1064" s="524" t="s">
        <v>686</v>
      </c>
      <c r="H1064" s="524" t="s">
        <v>686</v>
      </c>
      <c r="I1064" s="524" t="s">
        <v>7298</v>
      </c>
      <c r="J1064" s="524" t="s">
        <v>4179</v>
      </c>
      <c r="K1064" s="524" t="s">
        <v>6359</v>
      </c>
      <c r="L1064" s="524" t="s">
        <v>6368</v>
      </c>
      <c r="M1064" s="524" t="s">
        <v>6370</v>
      </c>
      <c r="N1064" s="524"/>
      <c r="O1064" s="524"/>
    </row>
    <row r="1065" spans="1:15" ht="174" hidden="1">
      <c r="A1065" s="527">
        <v>994</v>
      </c>
      <c r="B1065" s="524" t="str">
        <f>VLOOKUP(A1065,'Hours Detail'!$E$17:$H$1048576,4,)</f>
        <v>No</v>
      </c>
      <c r="C1065" s="527" t="s">
        <v>212</v>
      </c>
      <c r="D1065" s="527" t="s">
        <v>676</v>
      </c>
      <c r="E1065" s="527" t="s">
        <v>685</v>
      </c>
      <c r="F1065" s="527" t="s">
        <v>686</v>
      </c>
      <c r="G1065" s="527">
        <v>9</v>
      </c>
      <c r="H1065" s="527" t="s">
        <v>0</v>
      </c>
      <c r="I1065" s="527" t="s">
        <v>674</v>
      </c>
      <c r="J1065" s="527" t="s">
        <v>2889</v>
      </c>
      <c r="K1065" s="527" t="s">
        <v>2889</v>
      </c>
      <c r="L1065" s="527" t="s">
        <v>7299</v>
      </c>
      <c r="M1065" s="524"/>
      <c r="N1065" s="524"/>
      <c r="O1065" s="524"/>
    </row>
    <row r="1066" spans="1:15" ht="72.5" hidden="1">
      <c r="A1066" s="525">
        <v>995</v>
      </c>
      <c r="B1066" s="524" t="e">
        <f>VLOOKUP(A1066,'Hours Detail'!$E$17:$H$1048576,4,)</f>
        <v>#N/A</v>
      </c>
      <c r="C1066" s="524" t="s">
        <v>263</v>
      </c>
      <c r="D1066" s="524" t="s">
        <v>1032</v>
      </c>
      <c r="E1066" s="524" t="s">
        <v>1033</v>
      </c>
      <c r="F1066" s="524" t="s">
        <v>1033</v>
      </c>
      <c r="G1066" s="524" t="s">
        <v>1033</v>
      </c>
      <c r="H1066" s="524" t="s">
        <v>1033</v>
      </c>
      <c r="I1066" s="524" t="s">
        <v>7300</v>
      </c>
      <c r="J1066" s="524" t="s">
        <v>1032</v>
      </c>
      <c r="K1066" s="524" t="s">
        <v>6359</v>
      </c>
      <c r="L1066" s="524" t="s">
        <v>6414</v>
      </c>
      <c r="M1066" s="524" t="s">
        <v>6415</v>
      </c>
      <c r="N1066" s="524"/>
      <c r="O1066" s="524"/>
    </row>
    <row r="1067" spans="1:15" ht="130.5" hidden="1">
      <c r="A1067" s="527">
        <v>995</v>
      </c>
      <c r="B1067" s="524" t="e">
        <f>VLOOKUP(A1067,'Hours Detail'!$E$17:$H$1048576,4,)</f>
        <v>#N/A</v>
      </c>
      <c r="C1067" s="527" t="s">
        <v>263</v>
      </c>
      <c r="D1067" s="527" t="s">
        <v>262</v>
      </c>
      <c r="E1067" s="527" t="s">
        <v>1032</v>
      </c>
      <c r="F1067" s="527" t="s">
        <v>1033</v>
      </c>
      <c r="G1067" s="527">
        <v>82</v>
      </c>
      <c r="H1067" s="527" t="s">
        <v>262</v>
      </c>
      <c r="I1067" s="527" t="s">
        <v>262</v>
      </c>
      <c r="J1067" s="527" t="s">
        <v>2890</v>
      </c>
      <c r="K1067" s="527" t="s">
        <v>2890</v>
      </c>
      <c r="L1067" s="527" t="s">
        <v>7301</v>
      </c>
      <c r="M1067" s="524"/>
      <c r="N1067" s="524"/>
      <c r="O1067" s="524"/>
    </row>
    <row r="1068" spans="1:15" ht="72.5" hidden="1">
      <c r="A1068" s="525">
        <v>996</v>
      </c>
      <c r="B1068" s="524" t="str">
        <f>VLOOKUP(A1068,'Hours Detail'!$E$17:$H$1048576,4,)</f>
        <v>No</v>
      </c>
      <c r="C1068" s="524" t="s">
        <v>300</v>
      </c>
      <c r="D1068" s="524" t="s">
        <v>300</v>
      </c>
      <c r="E1068" s="524" t="s">
        <v>300</v>
      </c>
      <c r="F1068" s="524" t="s">
        <v>300</v>
      </c>
      <c r="G1068" s="524" t="s">
        <v>300</v>
      </c>
      <c r="H1068" s="524" t="s">
        <v>300</v>
      </c>
      <c r="I1068" s="524" t="s">
        <v>300</v>
      </c>
      <c r="J1068" s="524" t="s">
        <v>300</v>
      </c>
      <c r="K1068" s="524" t="s">
        <v>6359</v>
      </c>
      <c r="L1068" s="524" t="s">
        <v>6397</v>
      </c>
      <c r="M1068" s="524" t="s">
        <v>1</v>
      </c>
      <c r="N1068" s="524" t="s">
        <v>7302</v>
      </c>
      <c r="O1068" s="524"/>
    </row>
    <row r="1069" spans="1:15" ht="72.5" hidden="1">
      <c r="A1069" s="527">
        <v>996</v>
      </c>
      <c r="B1069" s="524" t="str">
        <f>VLOOKUP(A1069,'Hours Detail'!$E$17:$H$1048576,4,)</f>
        <v>No</v>
      </c>
      <c r="C1069" s="527" t="s">
        <v>300</v>
      </c>
      <c r="D1069" s="527" t="s">
        <v>300</v>
      </c>
      <c r="E1069" s="527" t="s">
        <v>300</v>
      </c>
      <c r="F1069" s="527" t="s">
        <v>300</v>
      </c>
      <c r="G1069" s="527">
        <v>95</v>
      </c>
      <c r="H1069" s="527" t="s">
        <v>300</v>
      </c>
      <c r="I1069" s="527" t="s">
        <v>300</v>
      </c>
      <c r="J1069" s="527" t="s">
        <v>2889</v>
      </c>
      <c r="K1069" s="527" t="s">
        <v>2889</v>
      </c>
      <c r="L1069" s="527" t="s">
        <v>7303</v>
      </c>
      <c r="M1069" s="524"/>
      <c r="N1069" s="524"/>
      <c r="O1069" s="524"/>
    </row>
    <row r="1070" spans="1:15" ht="43.5" hidden="1">
      <c r="A1070" s="524">
        <v>998</v>
      </c>
      <c r="B1070" s="524" t="str">
        <f>VLOOKUP(A1070,'Hours Detail'!$E$17:$H$1048576,4,)</f>
        <v>No</v>
      </c>
      <c r="C1070" s="524" t="s">
        <v>206</v>
      </c>
      <c r="D1070" s="524" t="s">
        <v>647</v>
      </c>
      <c r="E1070" s="524" t="s">
        <v>648</v>
      </c>
      <c r="F1070" s="524" t="s">
        <v>648</v>
      </c>
      <c r="G1070" s="524" t="s">
        <v>648</v>
      </c>
      <c r="H1070" s="524" t="s">
        <v>648</v>
      </c>
      <c r="I1070" s="524" t="s">
        <v>7304</v>
      </c>
      <c r="J1070" s="524" t="s">
        <v>647</v>
      </c>
      <c r="K1070" s="524" t="s">
        <v>6359</v>
      </c>
      <c r="L1070" s="524" t="s">
        <v>6365</v>
      </c>
      <c r="M1070" s="524" t="s">
        <v>6366</v>
      </c>
      <c r="N1070" s="524"/>
      <c r="O1070" s="524"/>
    </row>
    <row r="1071" spans="1:15" ht="101.5" hidden="1">
      <c r="A1071" s="527">
        <v>998</v>
      </c>
      <c r="B1071" s="524" t="str">
        <f>VLOOKUP(A1071,'Hours Detail'!$E$17:$H$1048576,4,)</f>
        <v>No</v>
      </c>
      <c r="C1071" s="527" t="s">
        <v>206</v>
      </c>
      <c r="D1071" s="527" t="s">
        <v>2171</v>
      </c>
      <c r="E1071" s="527" t="s">
        <v>647</v>
      </c>
      <c r="F1071" s="527" t="s">
        <v>648</v>
      </c>
      <c r="G1071" s="527">
        <v>8</v>
      </c>
      <c r="H1071" s="527" t="s">
        <v>188</v>
      </c>
      <c r="I1071" s="527" t="s">
        <v>2314</v>
      </c>
      <c r="J1071" s="527" t="s">
        <v>2889</v>
      </c>
      <c r="K1071" s="527" t="s">
        <v>2889</v>
      </c>
      <c r="L1071" s="527" t="s">
        <v>7305</v>
      </c>
      <c r="M1071" s="524"/>
      <c r="N1071" s="524"/>
      <c r="O1071" s="524"/>
    </row>
    <row r="1072" spans="1:15" ht="58" hidden="1">
      <c r="A1072" s="525">
        <v>999</v>
      </c>
      <c r="B1072" s="524" t="e">
        <f>VLOOKUP(A1072,'Hours Detail'!$E$17:$H$1048576,4,)</f>
        <v>#N/A</v>
      </c>
      <c r="C1072" s="524" t="s">
        <v>4293</v>
      </c>
      <c r="D1072" s="524" t="s">
        <v>490</v>
      </c>
      <c r="E1072" s="524" t="s">
        <v>7306</v>
      </c>
      <c r="F1072" s="524" t="s">
        <v>7306</v>
      </c>
      <c r="G1072" s="524" t="s">
        <v>7306</v>
      </c>
      <c r="H1072" s="524" t="s">
        <v>7306</v>
      </c>
      <c r="I1072" s="524" t="s">
        <v>7307</v>
      </c>
      <c r="J1072" s="524" t="s">
        <v>490</v>
      </c>
      <c r="K1072" s="524" t="s">
        <v>6359</v>
      </c>
      <c r="L1072" s="524" t="s">
        <v>6386</v>
      </c>
      <c r="M1072" s="524" t="s">
        <v>6435</v>
      </c>
      <c r="N1072" s="524" t="s">
        <v>7308</v>
      </c>
      <c r="O1072" s="524"/>
    </row>
    <row r="1073" spans="1:15" ht="101.5" hidden="1">
      <c r="A1073" s="527">
        <v>999</v>
      </c>
      <c r="B1073" s="524" t="e">
        <f>VLOOKUP(A1073,'Hours Detail'!$E$17:$H$1048576,4,)</f>
        <v>#N/A</v>
      </c>
      <c r="C1073" s="527" t="s">
        <v>166</v>
      </c>
      <c r="D1073" s="527" t="s">
        <v>470</v>
      </c>
      <c r="E1073" s="527" t="s">
        <v>490</v>
      </c>
      <c r="F1073" s="527" t="s">
        <v>491</v>
      </c>
      <c r="G1073" s="527">
        <v>3</v>
      </c>
      <c r="H1073" s="527" t="s">
        <v>149</v>
      </c>
      <c r="I1073" s="527" t="s">
        <v>468</v>
      </c>
      <c r="J1073" s="527" t="s">
        <v>2890</v>
      </c>
      <c r="K1073" s="527" t="s">
        <v>2890</v>
      </c>
      <c r="L1073" s="527" t="s">
        <v>7309</v>
      </c>
      <c r="M1073" s="524"/>
      <c r="N1073" s="524"/>
      <c r="O1073" s="524"/>
    </row>
    <row r="1074" spans="1:15" ht="58" hidden="1">
      <c r="A1074" s="525">
        <v>1000</v>
      </c>
      <c r="B1074" s="524" t="e">
        <f>VLOOKUP(A1074,'Hours Detail'!$E$17:$H$1048576,4,)</f>
        <v>#N/A</v>
      </c>
      <c r="C1074" s="524" t="s">
        <v>261</v>
      </c>
      <c r="D1074" s="524" t="s">
        <v>1027</v>
      </c>
      <c r="E1074" s="524" t="s">
        <v>261</v>
      </c>
      <c r="F1074" s="524" t="s">
        <v>261</v>
      </c>
      <c r="G1074" s="524" t="s">
        <v>261</v>
      </c>
      <c r="H1074" s="524" t="s">
        <v>261</v>
      </c>
      <c r="I1074" s="524" t="s">
        <v>7310</v>
      </c>
      <c r="J1074" s="524" t="s">
        <v>1027</v>
      </c>
      <c r="K1074" s="524"/>
      <c r="L1074" s="524" t="s">
        <v>6379</v>
      </c>
      <c r="M1074" s="524" t="s">
        <v>6380</v>
      </c>
      <c r="N1074" s="524" t="s">
        <v>7311</v>
      </c>
      <c r="O1074" s="524"/>
    </row>
    <row r="1075" spans="1:15" hidden="1">
      <c r="A1075" s="527">
        <v>1000</v>
      </c>
      <c r="B1075" s="524" t="e">
        <f>VLOOKUP(A1075,'Hours Detail'!$E$17:$H$1048576,4,)</f>
        <v>#N/A</v>
      </c>
      <c r="C1075" s="527" t="s">
        <v>261</v>
      </c>
      <c r="D1075" s="527" t="s">
        <v>1024</v>
      </c>
      <c r="E1075" s="527" t="s">
        <v>1027</v>
      </c>
      <c r="F1075" s="527" t="s">
        <v>261</v>
      </c>
      <c r="G1075" s="527">
        <v>71</v>
      </c>
      <c r="H1075" s="527" t="s">
        <v>257</v>
      </c>
      <c r="I1075" s="527" t="s">
        <v>1022</v>
      </c>
      <c r="J1075" s="527" t="s">
        <v>2890</v>
      </c>
      <c r="K1075" s="527" t="s">
        <v>2889</v>
      </c>
      <c r="L1075" s="527" t="s">
        <v>6371</v>
      </c>
      <c r="M1075" s="524"/>
      <c r="N1075" s="524"/>
      <c r="O1075" s="524"/>
    </row>
    <row r="1076" spans="1:15" ht="43.5" hidden="1">
      <c r="A1076" s="525">
        <v>1002</v>
      </c>
      <c r="B1076" s="524" t="str">
        <f>VLOOKUP(A1076,'Hours Detail'!$E$17:$H$1048576,4,)</f>
        <v>No</v>
      </c>
      <c r="C1076" s="524" t="s">
        <v>180</v>
      </c>
      <c r="D1076" s="524" t="s">
        <v>539</v>
      </c>
      <c r="E1076" s="524" t="s">
        <v>540</v>
      </c>
      <c r="F1076" s="524" t="s">
        <v>540</v>
      </c>
      <c r="G1076" s="524" t="s">
        <v>540</v>
      </c>
      <c r="H1076" s="524" t="s">
        <v>540</v>
      </c>
      <c r="I1076" s="524" t="s">
        <v>7312</v>
      </c>
      <c r="J1076" s="524" t="s">
        <v>539</v>
      </c>
      <c r="K1076" s="524" t="s">
        <v>6359</v>
      </c>
      <c r="L1076" s="524" t="s">
        <v>6397</v>
      </c>
      <c r="M1076" s="524" t="s">
        <v>2384</v>
      </c>
      <c r="N1076" s="524" t="s">
        <v>7313</v>
      </c>
      <c r="O1076" s="524"/>
    </row>
    <row r="1077" spans="1:15" ht="58" hidden="1">
      <c r="A1077" s="527">
        <v>1002</v>
      </c>
      <c r="B1077" s="524" t="str">
        <f>VLOOKUP(A1077,'Hours Detail'!$E$17:$H$1048576,4,)</f>
        <v>No</v>
      </c>
      <c r="C1077" s="527" t="s">
        <v>180</v>
      </c>
      <c r="D1077" s="527" t="s">
        <v>2170</v>
      </c>
      <c r="E1077" s="527" t="s">
        <v>539</v>
      </c>
      <c r="F1077" s="527" t="s">
        <v>540</v>
      </c>
      <c r="G1077" s="527">
        <v>5</v>
      </c>
      <c r="H1077" s="527" t="s">
        <v>177</v>
      </c>
      <c r="I1077" s="527" t="s">
        <v>2310</v>
      </c>
      <c r="J1077" s="527" t="s">
        <v>2889</v>
      </c>
      <c r="K1077" s="527" t="s">
        <v>2889</v>
      </c>
      <c r="L1077" s="527" t="s">
        <v>7314</v>
      </c>
      <c r="M1077" s="524"/>
      <c r="N1077" s="524"/>
      <c r="O1077" s="524"/>
    </row>
    <row r="1078" spans="1:15" ht="58" hidden="1">
      <c r="A1078" s="525">
        <v>1003</v>
      </c>
      <c r="B1078" s="524" t="str">
        <f>VLOOKUP(A1078,'Hours Detail'!$E$17:$H$1048576,4,)</f>
        <v>No</v>
      </c>
      <c r="C1078" s="524" t="s">
        <v>259</v>
      </c>
      <c r="D1078" s="524" t="s">
        <v>1028</v>
      </c>
      <c r="E1078" s="524" t="s">
        <v>1029</v>
      </c>
      <c r="F1078" s="524" t="s">
        <v>1029</v>
      </c>
      <c r="G1078" s="524" t="s">
        <v>1029</v>
      </c>
      <c r="H1078" s="524" t="s">
        <v>1029</v>
      </c>
      <c r="I1078" s="524" t="s">
        <v>7315</v>
      </c>
      <c r="J1078" s="524" t="s">
        <v>1028</v>
      </c>
      <c r="K1078" s="524" t="s">
        <v>6359</v>
      </c>
      <c r="L1078" s="524" t="s">
        <v>6379</v>
      </c>
      <c r="M1078" s="524" t="s">
        <v>6380</v>
      </c>
      <c r="N1078" s="524" t="s">
        <v>7316</v>
      </c>
      <c r="O1078" s="524"/>
    </row>
    <row r="1079" spans="1:15" ht="72.5" hidden="1">
      <c r="A1079" s="527">
        <v>1003</v>
      </c>
      <c r="B1079" s="524" t="str">
        <f>VLOOKUP(A1079,'Hours Detail'!$E$17:$H$1048576,4,)</f>
        <v>No</v>
      </c>
      <c r="C1079" s="527" t="s">
        <v>259</v>
      </c>
      <c r="D1079" s="527" t="s">
        <v>1024</v>
      </c>
      <c r="E1079" s="527" t="s">
        <v>1028</v>
      </c>
      <c r="F1079" s="527" t="s">
        <v>1029</v>
      </c>
      <c r="G1079" s="527">
        <v>71</v>
      </c>
      <c r="H1079" s="527" t="s">
        <v>257</v>
      </c>
      <c r="I1079" s="527" t="s">
        <v>1022</v>
      </c>
      <c r="J1079" s="527" t="s">
        <v>2889</v>
      </c>
      <c r="K1079" s="527" t="s">
        <v>2889</v>
      </c>
      <c r="L1079" s="527" t="s">
        <v>7317</v>
      </c>
      <c r="M1079" s="524"/>
      <c r="N1079" s="524"/>
      <c r="O1079" s="524"/>
    </row>
    <row r="1080" spans="1:15" ht="391.5" hidden="1">
      <c r="A1080" s="525">
        <v>1005</v>
      </c>
      <c r="B1080" s="524" t="e">
        <f>VLOOKUP(A1080,'Hours Detail'!$E$17:$H$1048576,4,)</f>
        <v>#N/A</v>
      </c>
      <c r="C1080" s="524" t="s">
        <v>5774</v>
      </c>
      <c r="D1080" s="524" t="s">
        <v>5773</v>
      </c>
      <c r="E1080" s="524" t="s">
        <v>5772</v>
      </c>
      <c r="F1080" s="524" t="s">
        <v>5772</v>
      </c>
      <c r="G1080" s="524" t="s">
        <v>5772</v>
      </c>
      <c r="H1080" s="524" t="s">
        <v>5772</v>
      </c>
      <c r="I1080" s="524" t="s">
        <v>5773</v>
      </c>
      <c r="J1080" s="524" t="s">
        <v>5773</v>
      </c>
      <c r="K1080" s="524"/>
      <c r="L1080" s="524" t="s">
        <v>6386</v>
      </c>
      <c r="M1080" s="524" t="s">
        <v>6435</v>
      </c>
      <c r="N1080" s="524" t="s">
        <v>7318</v>
      </c>
      <c r="O1080" s="524"/>
    </row>
    <row r="1081" spans="1:15" ht="87" hidden="1">
      <c r="A1081" s="525">
        <v>1006</v>
      </c>
      <c r="B1081" s="524" t="str">
        <f>VLOOKUP(A1081,'Hours Detail'!$E$17:$H$1048576,4,)</f>
        <v>No</v>
      </c>
      <c r="C1081" s="524" t="s">
        <v>78</v>
      </c>
      <c r="D1081" s="524" t="s">
        <v>7320</v>
      </c>
      <c r="E1081" s="524" t="s">
        <v>4313</v>
      </c>
      <c r="F1081" s="524" t="s">
        <v>4313</v>
      </c>
      <c r="G1081" s="524" t="s">
        <v>4313</v>
      </c>
      <c r="H1081" s="524" t="s">
        <v>4313</v>
      </c>
      <c r="I1081" s="524" t="s">
        <v>7319</v>
      </c>
      <c r="J1081" s="524" t="s">
        <v>7321</v>
      </c>
      <c r="K1081" s="524"/>
      <c r="L1081" s="524" t="s">
        <v>6399</v>
      </c>
      <c r="M1081" s="524" t="s">
        <v>6613</v>
      </c>
      <c r="N1081" s="524" t="s">
        <v>7322</v>
      </c>
      <c r="O1081" s="524"/>
    </row>
    <row r="1082" spans="1:15" ht="130.5" hidden="1">
      <c r="A1082" s="527">
        <v>1006</v>
      </c>
      <c r="B1082" s="524" t="str">
        <f>VLOOKUP(A1082,'Hours Detail'!$E$17:$H$1048576,4,)</f>
        <v>No</v>
      </c>
      <c r="C1082" s="527" t="s">
        <v>78</v>
      </c>
      <c r="D1082" s="527" t="s">
        <v>2307</v>
      </c>
      <c r="E1082" s="527" t="s">
        <v>1147</v>
      </c>
      <c r="F1082" s="527" t="s">
        <v>2865</v>
      </c>
      <c r="G1082" s="527">
        <v>102</v>
      </c>
      <c r="H1082" s="527" t="s">
        <v>21</v>
      </c>
      <c r="I1082" s="527" t="s">
        <v>1145</v>
      </c>
      <c r="J1082" s="527" t="s">
        <v>2889</v>
      </c>
      <c r="K1082" s="527" t="s">
        <v>2890</v>
      </c>
      <c r="L1082" s="527" t="s">
        <v>7323</v>
      </c>
      <c r="M1082" s="524"/>
      <c r="N1082" s="524"/>
      <c r="O1082" s="524"/>
    </row>
    <row r="1083" spans="1:15" ht="72.5" hidden="1">
      <c r="A1083" s="525">
        <v>1007</v>
      </c>
      <c r="B1083" s="524" t="e">
        <f>VLOOKUP(A1083,'Hours Detail'!$E$17:$H$1048576,4,)</f>
        <v>#N/A</v>
      </c>
      <c r="C1083" s="524" t="s">
        <v>306</v>
      </c>
      <c r="D1083" s="524" t="s">
        <v>1125</v>
      </c>
      <c r="E1083" s="524" t="s">
        <v>1126</v>
      </c>
      <c r="F1083" s="524" t="s">
        <v>1126</v>
      </c>
      <c r="G1083" s="524" t="s">
        <v>1126</v>
      </c>
      <c r="H1083" s="524" t="s">
        <v>1126</v>
      </c>
      <c r="I1083" s="524" t="s">
        <v>7324</v>
      </c>
      <c r="J1083" s="524" t="s">
        <v>1125</v>
      </c>
      <c r="K1083" s="524" t="s">
        <v>6359</v>
      </c>
      <c r="L1083" s="524" t="s">
        <v>6379</v>
      </c>
      <c r="M1083" s="524" t="s">
        <v>6380</v>
      </c>
      <c r="N1083" s="524" t="s">
        <v>7325</v>
      </c>
      <c r="O1083" s="524"/>
    </row>
    <row r="1084" spans="1:15" ht="130.5" hidden="1">
      <c r="A1084" s="527">
        <v>1007</v>
      </c>
      <c r="B1084" s="524" t="e">
        <f>VLOOKUP(A1084,'Hours Detail'!$E$17:$H$1048576,4,)</f>
        <v>#N/A</v>
      </c>
      <c r="C1084" s="527" t="s">
        <v>306</v>
      </c>
      <c r="D1084" s="527" t="s">
        <v>2165</v>
      </c>
      <c r="E1084" s="527" t="s">
        <v>1125</v>
      </c>
      <c r="F1084" s="527" t="s">
        <v>1126</v>
      </c>
      <c r="G1084" s="527">
        <v>98</v>
      </c>
      <c r="H1084" s="527" t="s">
        <v>303</v>
      </c>
      <c r="I1084" s="527" t="s">
        <v>2304</v>
      </c>
      <c r="J1084" s="527" t="s">
        <v>2890</v>
      </c>
      <c r="K1084" s="527" t="s">
        <v>2889</v>
      </c>
      <c r="L1084" s="527" t="s">
        <v>7326</v>
      </c>
      <c r="M1084" s="524"/>
      <c r="N1084" s="524"/>
      <c r="O1084" s="524"/>
    </row>
    <row r="1085" spans="1:15" ht="188.5" hidden="1">
      <c r="A1085" s="525">
        <v>1008</v>
      </c>
      <c r="B1085" s="524" t="str">
        <f>VLOOKUP(A1085,'Hours Detail'!$E$17:$H$1048576,4,)</f>
        <v>No</v>
      </c>
      <c r="C1085" s="524" t="s">
        <v>312</v>
      </c>
      <c r="D1085" s="524" t="s">
        <v>1160</v>
      </c>
      <c r="E1085" s="524" t="s">
        <v>1161</v>
      </c>
      <c r="F1085" s="524" t="s">
        <v>1161</v>
      </c>
      <c r="G1085" s="524" t="s">
        <v>1161</v>
      </c>
      <c r="H1085" s="524" t="s">
        <v>1161</v>
      </c>
      <c r="I1085" s="524" t="s">
        <v>7327</v>
      </c>
      <c r="J1085" s="524" t="s">
        <v>1160</v>
      </c>
      <c r="K1085" s="524" t="s">
        <v>6359</v>
      </c>
      <c r="L1085" s="524" t="s">
        <v>6399</v>
      </c>
      <c r="M1085" s="524" t="s">
        <v>6459</v>
      </c>
      <c r="N1085" s="524" t="s">
        <v>7328</v>
      </c>
      <c r="O1085" s="524"/>
    </row>
    <row r="1086" spans="1:15" ht="159.5" hidden="1">
      <c r="A1086" s="527">
        <v>1008</v>
      </c>
      <c r="B1086" s="524" t="str">
        <f>VLOOKUP(A1086,'Hours Detail'!$E$17:$H$1048576,4,)</f>
        <v>No</v>
      </c>
      <c r="C1086" s="527" t="s">
        <v>312</v>
      </c>
      <c r="D1086" s="527" t="s">
        <v>1159</v>
      </c>
      <c r="E1086" s="527" t="s">
        <v>1160</v>
      </c>
      <c r="F1086" s="527" t="s">
        <v>1161</v>
      </c>
      <c r="G1086" s="527">
        <v>104</v>
      </c>
      <c r="H1086" s="527" t="s">
        <v>23</v>
      </c>
      <c r="I1086" s="527" t="s">
        <v>1157</v>
      </c>
      <c r="J1086" s="527" t="s">
        <v>2889</v>
      </c>
      <c r="K1086" s="527" t="s">
        <v>2890</v>
      </c>
      <c r="L1086" s="527" t="s">
        <v>7329</v>
      </c>
      <c r="M1086" s="524"/>
      <c r="N1086" s="524"/>
      <c r="O1086" s="524"/>
    </row>
    <row r="1087" spans="1:15" ht="43.5" hidden="1">
      <c r="A1087" s="525">
        <v>1010</v>
      </c>
      <c r="B1087" s="524" t="e">
        <f>VLOOKUP(A1087,'Hours Detail'!$E$17:$H$1048576,4,)</f>
        <v>#N/A</v>
      </c>
      <c r="C1087" s="524" t="s">
        <v>4334</v>
      </c>
      <c r="D1087" s="524" t="s">
        <v>4333</v>
      </c>
      <c r="E1087" s="524" t="s">
        <v>4332</v>
      </c>
      <c r="F1087" s="524" t="s">
        <v>4332</v>
      </c>
      <c r="G1087" s="524" t="s">
        <v>4332</v>
      </c>
      <c r="H1087" s="524" t="s">
        <v>4332</v>
      </c>
      <c r="I1087" s="524" t="s">
        <v>7330</v>
      </c>
      <c r="J1087" s="524" t="s">
        <v>4333</v>
      </c>
      <c r="K1087" s="524" t="s">
        <v>6359</v>
      </c>
      <c r="L1087" s="524" t="s">
        <v>6376</v>
      </c>
      <c r="M1087" s="524" t="s">
        <v>6377</v>
      </c>
      <c r="N1087" s="524"/>
      <c r="O1087" s="524"/>
    </row>
    <row r="1088" spans="1:15" ht="87" hidden="1">
      <c r="A1088" s="525">
        <v>1011</v>
      </c>
      <c r="B1088" s="524" t="str">
        <f>VLOOKUP(A1088,'Hours Detail'!$E$17:$H$1048576,4,)</f>
        <v>No</v>
      </c>
      <c r="C1088" s="524" t="s">
        <v>277</v>
      </c>
      <c r="D1088" s="524" t="s">
        <v>1081</v>
      </c>
      <c r="E1088" s="524" t="s">
        <v>1082</v>
      </c>
      <c r="F1088" s="524" t="s">
        <v>1082</v>
      </c>
      <c r="G1088" s="524" t="s">
        <v>1082</v>
      </c>
      <c r="H1088" s="524" t="s">
        <v>1082</v>
      </c>
      <c r="I1088" s="524" t="s">
        <v>7331</v>
      </c>
      <c r="J1088" s="524" t="s">
        <v>1081</v>
      </c>
      <c r="K1088" s="524" t="s">
        <v>6359</v>
      </c>
      <c r="L1088" s="524" t="s">
        <v>6376</v>
      </c>
      <c r="M1088" s="524" t="s">
        <v>6377</v>
      </c>
      <c r="N1088" s="524"/>
      <c r="O1088" s="524"/>
    </row>
    <row r="1089" spans="1:15" ht="174" hidden="1">
      <c r="A1089" s="527">
        <v>1011</v>
      </c>
      <c r="B1089" s="524" t="str">
        <f>VLOOKUP(A1089,'Hours Detail'!$E$17:$H$1048576,4,)</f>
        <v>No</v>
      </c>
      <c r="C1089" s="527" t="s">
        <v>277</v>
      </c>
      <c r="D1089" s="527" t="s">
        <v>1068</v>
      </c>
      <c r="E1089" s="527" t="s">
        <v>1081</v>
      </c>
      <c r="F1089" s="527" t="s">
        <v>1082</v>
      </c>
      <c r="G1089" s="527">
        <v>88</v>
      </c>
      <c r="H1089" s="527" t="s">
        <v>16</v>
      </c>
      <c r="I1089" s="527" t="s">
        <v>1066</v>
      </c>
      <c r="J1089" s="527" t="s">
        <v>2889</v>
      </c>
      <c r="K1089" s="527" t="s">
        <v>2889</v>
      </c>
      <c r="L1089" s="527" t="s">
        <v>7332</v>
      </c>
      <c r="M1089" s="524"/>
      <c r="N1089" s="524"/>
      <c r="O1089" s="524"/>
    </row>
    <row r="1090" spans="1:15" ht="72.5" hidden="1">
      <c r="A1090" s="525">
        <v>1110</v>
      </c>
      <c r="B1090" s="524" t="e">
        <f>VLOOKUP(A1090,'Hours Detail'!$E$17:$H$1048576,4,)</f>
        <v>#N/A</v>
      </c>
      <c r="C1090" s="524" t="s">
        <v>7333</v>
      </c>
      <c r="D1090" s="524" t="s">
        <v>5392</v>
      </c>
      <c r="E1090" s="524" t="s">
        <v>5391</v>
      </c>
      <c r="F1090" s="524" t="s">
        <v>5391</v>
      </c>
      <c r="G1090" s="524" t="s">
        <v>5391</v>
      </c>
      <c r="H1090" s="524" t="s">
        <v>5391</v>
      </c>
      <c r="I1090" s="524" t="s">
        <v>7334</v>
      </c>
      <c r="J1090" s="524" t="s">
        <v>5392</v>
      </c>
      <c r="K1090" s="524"/>
      <c r="L1090" s="524" t="s">
        <v>6365</v>
      </c>
      <c r="M1090" s="524" t="s">
        <v>6366</v>
      </c>
      <c r="N1090" s="524"/>
      <c r="O1090" s="524"/>
    </row>
    <row r="1091" spans="1:15" ht="29" hidden="1">
      <c r="A1091" s="525">
        <v>1111</v>
      </c>
      <c r="B1091" s="524" t="e">
        <f>VLOOKUP(A1091,'Hours Detail'!$E$17:$H$1048576,4,)</f>
        <v>#N/A</v>
      </c>
      <c r="C1091" s="524" t="s">
        <v>1201</v>
      </c>
      <c r="D1091" s="524" t="s">
        <v>1202</v>
      </c>
      <c r="E1091" s="524" t="s">
        <v>1203</v>
      </c>
      <c r="F1091" s="524" t="s">
        <v>1203</v>
      </c>
      <c r="G1091" s="524" t="s">
        <v>1203</v>
      </c>
      <c r="H1091" s="524" t="s">
        <v>1203</v>
      </c>
      <c r="I1091" s="524" t="s">
        <v>1202</v>
      </c>
      <c r="J1091" s="524" t="s">
        <v>1202</v>
      </c>
      <c r="K1091" s="524"/>
      <c r="L1091" s="524" t="s">
        <v>6400</v>
      </c>
      <c r="M1091" s="524" t="s">
        <v>6401</v>
      </c>
      <c r="N1091" s="524"/>
      <c r="O1091" s="524"/>
    </row>
    <row r="1092" spans="1:15" ht="58" hidden="1">
      <c r="A1092" s="527">
        <v>1111</v>
      </c>
      <c r="B1092" s="524" t="e">
        <f>VLOOKUP(A1092,'Hours Detail'!$E$17:$H$1048576,4,)</f>
        <v>#N/A</v>
      </c>
      <c r="C1092" s="527" t="s">
        <v>1201</v>
      </c>
      <c r="D1092" s="527" t="s">
        <v>4703</v>
      </c>
      <c r="E1092" s="527" t="s">
        <v>1202</v>
      </c>
      <c r="F1092" s="527" t="s">
        <v>1203</v>
      </c>
      <c r="G1092" s="527">
        <v>283</v>
      </c>
      <c r="H1092" s="527" t="s">
        <v>4705</v>
      </c>
      <c r="I1092" s="527" t="s">
        <v>4704</v>
      </c>
      <c r="J1092" s="527" t="s">
        <v>2890</v>
      </c>
      <c r="K1092" s="527" t="s">
        <v>2890</v>
      </c>
      <c r="L1092" s="527" t="s">
        <v>6371</v>
      </c>
      <c r="M1092" s="524"/>
      <c r="N1092" s="524"/>
      <c r="O1092" s="524"/>
    </row>
    <row r="1093" spans="1:15" ht="29" hidden="1">
      <c r="A1093" s="524">
        <v>1112</v>
      </c>
      <c r="B1093" s="524" t="str">
        <f>VLOOKUP(A1093,'Hours Detail'!$E$17:$H$1048576,4,)</f>
        <v>No</v>
      </c>
      <c r="C1093" s="524" t="s">
        <v>7335</v>
      </c>
      <c r="D1093" s="524" t="s">
        <v>577</v>
      </c>
      <c r="E1093" s="524" t="s">
        <v>578</v>
      </c>
      <c r="F1093" s="524" t="s">
        <v>578</v>
      </c>
      <c r="G1093" s="524" t="s">
        <v>578</v>
      </c>
      <c r="H1093" s="524" t="s">
        <v>578</v>
      </c>
      <c r="I1093" s="524" t="s">
        <v>7336</v>
      </c>
      <c r="J1093" s="524" t="s">
        <v>577</v>
      </c>
      <c r="K1093" s="524"/>
      <c r="L1093" s="524" t="s">
        <v>6414</v>
      </c>
      <c r="M1093" s="524" t="s">
        <v>6415</v>
      </c>
      <c r="N1093" s="524"/>
      <c r="O1093" s="524"/>
    </row>
    <row r="1094" spans="1:15" ht="101.5" hidden="1">
      <c r="A1094" s="527">
        <v>1112</v>
      </c>
      <c r="B1094" s="524" t="str">
        <f>VLOOKUP(A1094,'Hours Detail'!$E$17:$H$1048576,4,)</f>
        <v>No</v>
      </c>
      <c r="C1094" s="527" t="s">
        <v>1785</v>
      </c>
      <c r="D1094" s="527" t="s">
        <v>2312</v>
      </c>
      <c r="E1094" s="527" t="s">
        <v>577</v>
      </c>
      <c r="F1094" s="527" t="s">
        <v>578</v>
      </c>
      <c r="G1094" s="527">
        <v>6</v>
      </c>
      <c r="H1094" s="527" t="s">
        <v>58</v>
      </c>
      <c r="I1094" s="527" t="s">
        <v>2311</v>
      </c>
      <c r="J1094" s="527" t="s">
        <v>2889</v>
      </c>
      <c r="K1094" s="527" t="s">
        <v>2889</v>
      </c>
      <c r="L1094" s="527" t="s">
        <v>7337</v>
      </c>
      <c r="M1094" s="524"/>
      <c r="N1094" s="524"/>
      <c r="O1094" s="524"/>
    </row>
    <row r="1095" spans="1:15" ht="145" hidden="1">
      <c r="A1095" s="525">
        <v>1113</v>
      </c>
      <c r="B1095" s="524" t="str">
        <f>VLOOKUP(A1095,'Hours Detail'!$E$17:$H$1048576,4,)</f>
        <v>No</v>
      </c>
      <c r="C1095" s="524" t="s">
        <v>1016</v>
      </c>
      <c r="D1095" s="524" t="s">
        <v>7339</v>
      </c>
      <c r="E1095" s="524" t="s">
        <v>1018</v>
      </c>
      <c r="F1095" s="524" t="s">
        <v>1018</v>
      </c>
      <c r="G1095" s="524" t="s">
        <v>1018</v>
      </c>
      <c r="H1095" s="524" t="s">
        <v>1018</v>
      </c>
      <c r="I1095" s="524" t="s">
        <v>7338</v>
      </c>
      <c r="J1095" s="524" t="s">
        <v>7339</v>
      </c>
      <c r="K1095" s="524" t="s">
        <v>6359</v>
      </c>
      <c r="L1095" s="524" t="s">
        <v>6365</v>
      </c>
      <c r="M1095" s="524" t="s">
        <v>6366</v>
      </c>
      <c r="N1095" s="524" t="s">
        <v>7340</v>
      </c>
      <c r="O1095" s="524"/>
    </row>
    <row r="1096" spans="1:15" ht="275.5" hidden="1">
      <c r="A1096" s="527">
        <v>1113</v>
      </c>
      <c r="B1096" s="524" t="str">
        <f>VLOOKUP(A1096,'Hours Detail'!$E$17:$H$1048576,4,)</f>
        <v>No</v>
      </c>
      <c r="C1096" s="527" t="s">
        <v>1016</v>
      </c>
      <c r="D1096" s="527" t="s">
        <v>1011</v>
      </c>
      <c r="E1096" s="527" t="s">
        <v>1017</v>
      </c>
      <c r="F1096" s="527" t="s">
        <v>1018</v>
      </c>
      <c r="G1096" s="527">
        <v>38</v>
      </c>
      <c r="H1096" s="527" t="s">
        <v>42</v>
      </c>
      <c r="I1096" s="527" t="s">
        <v>1009</v>
      </c>
      <c r="J1096" s="527" t="s">
        <v>2889</v>
      </c>
      <c r="K1096" s="527" t="s">
        <v>2889</v>
      </c>
      <c r="L1096" s="527" t="s">
        <v>7341</v>
      </c>
      <c r="M1096" s="524"/>
      <c r="N1096" s="524"/>
      <c r="O1096" s="524"/>
    </row>
    <row r="1097" spans="1:15" ht="101.5" hidden="1">
      <c r="A1097" s="525">
        <v>1114</v>
      </c>
      <c r="B1097" s="524" t="e">
        <f>VLOOKUP(A1097,'Hours Detail'!$E$17:$H$1048576,4,)</f>
        <v>#N/A</v>
      </c>
      <c r="C1097" s="524" t="s">
        <v>51</v>
      </c>
      <c r="D1097" s="524" t="s">
        <v>800</v>
      </c>
      <c r="E1097" s="524" t="s">
        <v>51</v>
      </c>
      <c r="F1097" s="524" t="s">
        <v>51</v>
      </c>
      <c r="G1097" s="524" t="s">
        <v>51</v>
      </c>
      <c r="H1097" s="524" t="s">
        <v>51</v>
      </c>
      <c r="I1097" s="524" t="s">
        <v>7342</v>
      </c>
      <c r="J1097" s="524" t="s">
        <v>800</v>
      </c>
      <c r="K1097" s="524"/>
      <c r="L1097" s="524" t="s">
        <v>6399</v>
      </c>
      <c r="M1097" s="524" t="s">
        <v>6509</v>
      </c>
      <c r="N1097" s="524" t="s">
        <v>7343</v>
      </c>
      <c r="O1097" s="524"/>
    </row>
    <row r="1098" spans="1:15" ht="130.5" hidden="1">
      <c r="A1098" s="527">
        <v>1114</v>
      </c>
      <c r="B1098" s="524" t="e">
        <f>VLOOKUP(A1098,'Hours Detail'!$E$17:$H$1048576,4,)</f>
        <v>#N/A</v>
      </c>
      <c r="C1098" s="527" t="s">
        <v>51</v>
      </c>
      <c r="D1098" s="527" t="s">
        <v>797</v>
      </c>
      <c r="E1098" s="527" t="s">
        <v>800</v>
      </c>
      <c r="F1098" s="527" t="s">
        <v>51</v>
      </c>
      <c r="G1098" s="527">
        <v>16</v>
      </c>
      <c r="H1098" s="527" t="s">
        <v>3</v>
      </c>
      <c r="I1098" s="527" t="s">
        <v>795</v>
      </c>
      <c r="J1098" s="527" t="s">
        <v>2890</v>
      </c>
      <c r="K1098" s="527" t="s">
        <v>2889</v>
      </c>
      <c r="L1098" s="527" t="s">
        <v>7344</v>
      </c>
      <c r="M1098" s="524"/>
      <c r="N1098" s="524"/>
      <c r="O1098" s="524"/>
    </row>
    <row r="1099" spans="1:15" ht="217.5" hidden="1">
      <c r="A1099" s="525">
        <v>1115</v>
      </c>
      <c r="B1099" s="524" t="e">
        <f>VLOOKUP(A1099,'Hours Detail'!$E$17:$H$1048576,4,)</f>
        <v>#N/A</v>
      </c>
      <c r="C1099" s="524" t="s">
        <v>52</v>
      </c>
      <c r="D1099" s="524" t="s">
        <v>801</v>
      </c>
      <c r="E1099" s="524" t="s">
        <v>802</v>
      </c>
      <c r="F1099" s="524" t="s">
        <v>802</v>
      </c>
      <c r="G1099" s="524" t="s">
        <v>802</v>
      </c>
      <c r="H1099" s="524" t="s">
        <v>802</v>
      </c>
      <c r="I1099" s="524" t="s">
        <v>7345</v>
      </c>
      <c r="J1099" s="524" t="s">
        <v>801</v>
      </c>
      <c r="K1099" s="524" t="s">
        <v>6359</v>
      </c>
      <c r="L1099" s="524" t="s">
        <v>6399</v>
      </c>
      <c r="M1099" s="524" t="s">
        <v>6437</v>
      </c>
      <c r="N1099" s="524" t="s">
        <v>7346</v>
      </c>
      <c r="O1099" s="524"/>
    </row>
    <row r="1100" spans="1:15" ht="145" hidden="1">
      <c r="A1100" s="527">
        <v>1115</v>
      </c>
      <c r="B1100" s="524" t="e">
        <f>VLOOKUP(A1100,'Hours Detail'!$E$17:$H$1048576,4,)</f>
        <v>#N/A</v>
      </c>
      <c r="C1100" s="527" t="s">
        <v>52</v>
      </c>
      <c r="D1100" s="527" t="s">
        <v>797</v>
      </c>
      <c r="E1100" s="527" t="s">
        <v>801</v>
      </c>
      <c r="F1100" s="527" t="s">
        <v>802</v>
      </c>
      <c r="G1100" s="527">
        <v>16</v>
      </c>
      <c r="H1100" s="527" t="s">
        <v>3</v>
      </c>
      <c r="I1100" s="527" t="s">
        <v>795</v>
      </c>
      <c r="J1100" s="527" t="s">
        <v>2890</v>
      </c>
      <c r="K1100" s="527" t="s">
        <v>2889</v>
      </c>
      <c r="L1100" s="527" t="s">
        <v>7347</v>
      </c>
      <c r="M1100" s="524"/>
      <c r="N1100" s="524"/>
      <c r="O1100" s="524"/>
    </row>
    <row r="1101" spans="1:15" ht="58" hidden="1">
      <c r="A1101" s="525">
        <v>1116</v>
      </c>
      <c r="B1101" s="524" t="str">
        <f>VLOOKUP(A1101,'Hours Detail'!$E$17:$H$1048576,4,)</f>
        <v>No</v>
      </c>
      <c r="C1101" s="524" t="s">
        <v>310</v>
      </c>
      <c r="D1101" s="524" t="s">
        <v>1143</v>
      </c>
      <c r="E1101" s="524" t="s">
        <v>1144</v>
      </c>
      <c r="F1101" s="524" t="s">
        <v>1144</v>
      </c>
      <c r="G1101" s="524" t="s">
        <v>1144</v>
      </c>
      <c r="H1101" s="524" t="s">
        <v>1144</v>
      </c>
      <c r="I1101" s="524" t="s">
        <v>7348</v>
      </c>
      <c r="J1101" s="524" t="s">
        <v>1143</v>
      </c>
      <c r="K1101" s="524" t="s">
        <v>6359</v>
      </c>
      <c r="L1101" s="524" t="s">
        <v>6399</v>
      </c>
      <c r="M1101" s="524" t="s">
        <v>6437</v>
      </c>
      <c r="N1101" s="524" t="s">
        <v>7349</v>
      </c>
      <c r="O1101" s="524"/>
    </row>
    <row r="1102" spans="1:15" ht="174" hidden="1">
      <c r="A1102" s="527">
        <v>1116</v>
      </c>
      <c r="B1102" s="524" t="str">
        <f>VLOOKUP(A1102,'Hours Detail'!$E$17:$H$1048576,4,)</f>
        <v>No</v>
      </c>
      <c r="C1102" s="527" t="s">
        <v>310</v>
      </c>
      <c r="D1102" s="527" t="s">
        <v>2168</v>
      </c>
      <c r="E1102" s="527" t="s">
        <v>1143</v>
      </c>
      <c r="F1102" s="527" t="s">
        <v>1144</v>
      </c>
      <c r="G1102" s="527">
        <v>101</v>
      </c>
      <c r="H1102" s="527" t="s">
        <v>19</v>
      </c>
      <c r="I1102" s="527" t="s">
        <v>2306</v>
      </c>
      <c r="J1102" s="527" t="s">
        <v>2889</v>
      </c>
      <c r="K1102" s="527" t="s">
        <v>2889</v>
      </c>
      <c r="L1102" s="527" t="s">
        <v>7350</v>
      </c>
      <c r="M1102" s="524"/>
      <c r="N1102" s="524"/>
      <c r="O1102" s="524"/>
    </row>
    <row r="1103" spans="1:15" ht="87" hidden="1">
      <c r="A1103" s="525">
        <v>1117</v>
      </c>
      <c r="B1103" s="524" t="e">
        <f>VLOOKUP(A1103,'Hours Detail'!$E$17:$H$1048576,4,)</f>
        <v>#N/A</v>
      </c>
      <c r="C1103" s="524" t="s">
        <v>246</v>
      </c>
      <c r="D1103" s="524" t="s">
        <v>992</v>
      </c>
      <c r="E1103" s="524" t="s">
        <v>993</v>
      </c>
      <c r="F1103" s="524" t="s">
        <v>993</v>
      </c>
      <c r="G1103" s="524" t="s">
        <v>993</v>
      </c>
      <c r="H1103" s="524" t="s">
        <v>993</v>
      </c>
      <c r="I1103" s="524" t="s">
        <v>992</v>
      </c>
      <c r="J1103" s="524" t="s">
        <v>992</v>
      </c>
      <c r="K1103" s="524"/>
      <c r="L1103" s="524" t="s">
        <v>6399</v>
      </c>
      <c r="M1103" s="524" t="s">
        <v>6613</v>
      </c>
      <c r="N1103" s="524" t="s">
        <v>7351</v>
      </c>
      <c r="O1103" s="524"/>
    </row>
    <row r="1104" spans="1:15" ht="29" hidden="1">
      <c r="A1104" s="527">
        <v>1117</v>
      </c>
      <c r="B1104" s="524" t="e">
        <f>VLOOKUP(A1104,'Hours Detail'!$E$17:$H$1048576,4,)</f>
        <v>#N/A</v>
      </c>
      <c r="C1104" s="527" t="s">
        <v>246</v>
      </c>
      <c r="D1104" s="527" t="s">
        <v>245</v>
      </c>
      <c r="E1104" s="527" t="s">
        <v>992</v>
      </c>
      <c r="F1104" s="527" t="s">
        <v>993</v>
      </c>
      <c r="G1104" s="527">
        <v>31</v>
      </c>
      <c r="H1104" s="527" t="s">
        <v>245</v>
      </c>
      <c r="I1104" s="527" t="s">
        <v>990</v>
      </c>
      <c r="J1104" s="527" t="s">
        <v>2890</v>
      </c>
      <c r="K1104" s="527" t="s">
        <v>2890</v>
      </c>
      <c r="L1104" s="527" t="s">
        <v>7352</v>
      </c>
      <c r="M1104" s="524"/>
      <c r="N1104" s="524"/>
      <c r="O1104" s="524"/>
    </row>
    <row r="1105" spans="1:15" ht="72.5" hidden="1">
      <c r="A1105" s="525">
        <v>1118</v>
      </c>
      <c r="B1105" s="524" t="e">
        <f>VLOOKUP(A1105,'Hours Detail'!$E$17:$H$1048576,4,)</f>
        <v>#N/A</v>
      </c>
      <c r="C1105" s="524" t="s">
        <v>80</v>
      </c>
      <c r="D1105" s="524" t="s">
        <v>739</v>
      </c>
      <c r="E1105" s="524" t="s">
        <v>740</v>
      </c>
      <c r="F1105" s="524" t="s">
        <v>740</v>
      </c>
      <c r="G1105" s="524" t="s">
        <v>740</v>
      </c>
      <c r="H1105" s="524" t="s">
        <v>740</v>
      </c>
      <c r="I1105" s="524" t="s">
        <v>739</v>
      </c>
      <c r="J1105" s="524" t="s">
        <v>739</v>
      </c>
      <c r="K1105" s="524"/>
      <c r="L1105" s="524" t="s">
        <v>6386</v>
      </c>
      <c r="M1105" s="524" t="s">
        <v>6488</v>
      </c>
      <c r="N1105" s="524" t="s">
        <v>7353</v>
      </c>
      <c r="O1105" s="524"/>
    </row>
    <row r="1106" spans="1:15" ht="43.5" hidden="1">
      <c r="A1106" s="527">
        <v>1118</v>
      </c>
      <c r="B1106" s="524" t="e">
        <f>VLOOKUP(A1106,'Hours Detail'!$E$17:$H$1048576,4,)</f>
        <v>#N/A</v>
      </c>
      <c r="C1106" s="527" t="s">
        <v>80</v>
      </c>
      <c r="D1106" s="527" t="s">
        <v>728</v>
      </c>
      <c r="E1106" s="527" t="s">
        <v>739</v>
      </c>
      <c r="F1106" s="527" t="s">
        <v>740</v>
      </c>
      <c r="G1106" s="527">
        <v>12</v>
      </c>
      <c r="H1106" s="527" t="s">
        <v>4</v>
      </c>
      <c r="I1106" s="527" t="s">
        <v>726</v>
      </c>
      <c r="J1106" s="527" t="s">
        <v>2890</v>
      </c>
      <c r="K1106" s="527" t="s">
        <v>2890</v>
      </c>
      <c r="L1106" s="527" t="s">
        <v>7354</v>
      </c>
      <c r="M1106" s="524"/>
      <c r="N1106" s="524"/>
      <c r="O1106" s="524"/>
    </row>
    <row r="1107" spans="1:15" ht="116" hidden="1">
      <c r="A1107" s="525">
        <v>1119</v>
      </c>
      <c r="B1107" s="524" t="e">
        <f>VLOOKUP(A1107,'Hours Detail'!$E$17:$H$1048576,4,)</f>
        <v>#N/A</v>
      </c>
      <c r="C1107" s="524" t="s">
        <v>4204</v>
      </c>
      <c r="D1107" s="524" t="s">
        <v>4203</v>
      </c>
      <c r="E1107" s="524" t="s">
        <v>4202</v>
      </c>
      <c r="F1107" s="524" t="s">
        <v>4202</v>
      </c>
      <c r="G1107" s="524" t="s">
        <v>4202</v>
      </c>
      <c r="H1107" s="524" t="s">
        <v>4202</v>
      </c>
      <c r="I1107" s="524" t="s">
        <v>4203</v>
      </c>
      <c r="J1107" s="524" t="s">
        <v>4203</v>
      </c>
      <c r="K1107" s="524"/>
      <c r="L1107" s="524" t="s">
        <v>6365</v>
      </c>
      <c r="M1107" s="524" t="s">
        <v>6366</v>
      </c>
      <c r="N1107" s="524"/>
      <c r="O1107" s="524"/>
    </row>
    <row r="1108" spans="1:15" ht="72.5">
      <c r="A1108" s="525">
        <v>1120</v>
      </c>
      <c r="B1108" s="524" t="str">
        <f>VLOOKUP(A1108,'Hours Detail'!$E$17:$H$1048576,4,)</f>
        <v>No</v>
      </c>
      <c r="C1108" s="524" t="s">
        <v>156</v>
      </c>
      <c r="D1108" s="524" t="s">
        <v>4297</v>
      </c>
      <c r="E1108" s="524" t="s">
        <v>486</v>
      </c>
      <c r="F1108" s="524" t="s">
        <v>486</v>
      </c>
      <c r="G1108" s="524" t="s">
        <v>486</v>
      </c>
      <c r="H1108" s="524" t="s">
        <v>486</v>
      </c>
      <c r="I1108" s="524" t="s">
        <v>7355</v>
      </c>
      <c r="J1108" s="524" t="s">
        <v>4297</v>
      </c>
      <c r="K1108" s="524"/>
      <c r="L1108" s="524" t="s">
        <v>6386</v>
      </c>
      <c r="M1108" s="524" t="s">
        <v>6435</v>
      </c>
      <c r="N1108" s="524" t="s">
        <v>7356</v>
      </c>
      <c r="O1108" s="524"/>
    </row>
    <row r="1109" spans="1:15" ht="159.5">
      <c r="A1109" s="524">
        <v>1120</v>
      </c>
      <c r="B1109" s="524" t="str">
        <f>VLOOKUP(A1109,'Hours Detail'!$E$17:$H$1048576,4,)</f>
        <v>No</v>
      </c>
      <c r="C1109" s="524" t="s">
        <v>156</v>
      </c>
      <c r="D1109" s="527" t="s">
        <v>470</v>
      </c>
      <c r="E1109" s="527" t="s">
        <v>485</v>
      </c>
      <c r="F1109" s="527" t="s">
        <v>486</v>
      </c>
      <c r="G1109" s="527">
        <v>3</v>
      </c>
      <c r="H1109" s="527" t="s">
        <v>149</v>
      </c>
      <c r="I1109" s="527" t="s">
        <v>468</v>
      </c>
      <c r="J1109" s="527" t="s">
        <v>2889</v>
      </c>
      <c r="K1109" s="527" t="s">
        <v>2890</v>
      </c>
      <c r="L1109" s="527" t="s">
        <v>7357</v>
      </c>
      <c r="M1109" s="524"/>
      <c r="N1109" s="524"/>
      <c r="O1109" s="524"/>
    </row>
    <row r="1110" spans="1:15" ht="87" hidden="1">
      <c r="A1110" s="525">
        <v>1121</v>
      </c>
      <c r="B1110" s="524" t="str">
        <f>VLOOKUP(A1110,'Hours Detail'!$E$17:$H$1048576,4,)</f>
        <v>No</v>
      </c>
      <c r="C1110" s="524" t="s">
        <v>7358</v>
      </c>
      <c r="D1110" s="524" t="s">
        <v>4077</v>
      </c>
      <c r="E1110" s="524" t="s">
        <v>4076</v>
      </c>
      <c r="F1110" s="524" t="s">
        <v>4076</v>
      </c>
      <c r="G1110" s="524" t="s">
        <v>4076</v>
      </c>
      <c r="H1110" s="524" t="s">
        <v>4076</v>
      </c>
      <c r="I1110" s="524" t="s">
        <v>7359</v>
      </c>
      <c r="J1110" s="524" t="s">
        <v>4077</v>
      </c>
      <c r="K1110" s="524"/>
      <c r="L1110" s="524" t="s">
        <v>6399</v>
      </c>
      <c r="M1110" s="524" t="s">
        <v>6613</v>
      </c>
      <c r="N1110" s="524" t="s">
        <v>7360</v>
      </c>
      <c r="O1110" s="524"/>
    </row>
    <row r="1111" spans="1:15" ht="101.5" hidden="1">
      <c r="A1111" s="527">
        <v>1121</v>
      </c>
      <c r="B1111" s="524" t="str">
        <f>VLOOKUP(A1111,'Hours Detail'!$E$17:$H$1048576,4,)</f>
        <v>No</v>
      </c>
      <c r="C1111" s="527" t="s">
        <v>137</v>
      </c>
      <c r="D1111" s="527" t="s">
        <v>12</v>
      </c>
      <c r="E1111" s="527" t="s">
        <v>761</v>
      </c>
      <c r="F1111" s="527" t="s">
        <v>762</v>
      </c>
      <c r="G1111" s="527">
        <v>14</v>
      </c>
      <c r="H1111" s="527" t="s">
        <v>12</v>
      </c>
      <c r="I1111" s="527" t="s">
        <v>2318</v>
      </c>
      <c r="J1111" s="527" t="s">
        <v>2889</v>
      </c>
      <c r="K1111" s="527" t="s">
        <v>2889</v>
      </c>
      <c r="L1111" s="527" t="s">
        <v>7361</v>
      </c>
      <c r="M1111" s="524"/>
      <c r="N1111" s="524"/>
      <c r="O1111" s="524"/>
    </row>
    <row r="1112" spans="1:15" ht="58" hidden="1">
      <c r="A1112" s="525">
        <v>1122</v>
      </c>
      <c r="B1112" s="524" t="e">
        <f>VLOOKUP(A1112,'Hours Detail'!$E$17:$H$1048576,4,)</f>
        <v>#N/A</v>
      </c>
      <c r="C1112" s="524" t="s">
        <v>4941</v>
      </c>
      <c r="D1112" s="524" t="s">
        <v>4940</v>
      </c>
      <c r="E1112" s="524" t="s">
        <v>4939</v>
      </c>
      <c r="F1112" s="524" t="s">
        <v>4939</v>
      </c>
      <c r="G1112" s="524" t="s">
        <v>4939</v>
      </c>
      <c r="H1112" s="524" t="s">
        <v>4939</v>
      </c>
      <c r="I1112" s="524" t="s">
        <v>4940</v>
      </c>
      <c r="J1112" s="524" t="s">
        <v>4940</v>
      </c>
      <c r="K1112" s="524"/>
      <c r="L1112" s="524" t="s">
        <v>6399</v>
      </c>
      <c r="M1112" s="524" t="s">
        <v>188</v>
      </c>
      <c r="N1112" s="524"/>
      <c r="O1112" s="524"/>
    </row>
    <row r="1113" spans="1:15" hidden="1">
      <c r="A1113" s="524">
        <v>1123</v>
      </c>
      <c r="B1113" s="524" t="str">
        <f>VLOOKUP(A1113,'Hours Detail'!$E$17:$H$1048576,4,)</f>
        <v>No</v>
      </c>
      <c r="C1113" s="524" t="s">
        <v>245</v>
      </c>
      <c r="D1113" s="524" t="s">
        <v>245</v>
      </c>
      <c r="E1113" s="524" t="s">
        <v>245</v>
      </c>
      <c r="F1113" s="524" t="s">
        <v>245</v>
      </c>
      <c r="G1113" s="524" t="s">
        <v>245</v>
      </c>
      <c r="H1113" s="524" t="s">
        <v>245</v>
      </c>
      <c r="I1113" s="524" t="s">
        <v>245</v>
      </c>
      <c r="J1113" s="524" t="s">
        <v>245</v>
      </c>
      <c r="K1113" s="524"/>
      <c r="L1113" s="524" t="s">
        <v>6399</v>
      </c>
      <c r="M1113" s="524" t="s">
        <v>6613</v>
      </c>
      <c r="N1113" s="524"/>
      <c r="O1113" s="524"/>
    </row>
    <row r="1114" spans="1:15" hidden="1">
      <c r="A1114" s="527">
        <v>1123</v>
      </c>
      <c r="B1114" s="524" t="str">
        <f>VLOOKUP(A1114,'Hours Detail'!$E$17:$H$1048576,4,)</f>
        <v>No</v>
      </c>
      <c r="C1114" s="527" t="s">
        <v>245</v>
      </c>
      <c r="D1114" s="527" t="s">
        <v>245</v>
      </c>
      <c r="E1114" s="527" t="s">
        <v>990</v>
      </c>
      <c r="F1114" s="527" t="s">
        <v>245</v>
      </c>
      <c r="G1114" s="527">
        <v>31</v>
      </c>
      <c r="H1114" s="527" t="s">
        <v>245</v>
      </c>
      <c r="I1114" s="527" t="s">
        <v>990</v>
      </c>
      <c r="J1114" s="527" t="s">
        <v>2889</v>
      </c>
      <c r="K1114" s="527" t="s">
        <v>2890</v>
      </c>
      <c r="L1114" s="527" t="s">
        <v>7352</v>
      </c>
      <c r="M1114" s="524"/>
      <c r="N1114" s="524"/>
      <c r="O1114" s="524"/>
    </row>
    <row r="1115" spans="1:15" hidden="1">
      <c r="A1115" s="524">
        <v>1124</v>
      </c>
      <c r="B1115" s="524" t="str">
        <f>VLOOKUP(A1115,'Hours Detail'!$E$17:$H$1048576,4,)</f>
        <v>No</v>
      </c>
      <c r="C1115" s="524" t="s">
        <v>262</v>
      </c>
      <c r="D1115" s="524" t="s">
        <v>262</v>
      </c>
      <c r="E1115" s="524" t="s">
        <v>262</v>
      </c>
      <c r="F1115" s="524" t="s">
        <v>262</v>
      </c>
      <c r="G1115" s="524" t="s">
        <v>262</v>
      </c>
      <c r="H1115" s="524" t="s">
        <v>262</v>
      </c>
      <c r="I1115" s="524" t="s">
        <v>1738</v>
      </c>
      <c r="J1115" s="524" t="s">
        <v>262</v>
      </c>
      <c r="K1115" s="524"/>
      <c r="L1115" s="524" t="s">
        <v>6399</v>
      </c>
      <c r="M1115" s="524" t="s">
        <v>6613</v>
      </c>
      <c r="N1115" s="524"/>
      <c r="O1115" s="524"/>
    </row>
    <row r="1116" spans="1:15" hidden="1">
      <c r="A1116" s="527">
        <v>1124</v>
      </c>
      <c r="B1116" s="524" t="str">
        <f>VLOOKUP(A1116,'Hours Detail'!$E$17:$H$1048576,4,)</f>
        <v>No</v>
      </c>
      <c r="C1116" s="527" t="s">
        <v>262</v>
      </c>
      <c r="D1116" s="527" t="s">
        <v>262</v>
      </c>
      <c r="E1116" s="527" t="s">
        <v>1738</v>
      </c>
      <c r="F1116" s="527" t="s">
        <v>262</v>
      </c>
      <c r="G1116" s="527">
        <v>82</v>
      </c>
      <c r="H1116" s="527" t="s">
        <v>262</v>
      </c>
      <c r="I1116" s="527" t="s">
        <v>262</v>
      </c>
      <c r="J1116" s="527" t="s">
        <v>2889</v>
      </c>
      <c r="K1116" s="527" t="s">
        <v>2890</v>
      </c>
      <c r="L1116" s="527" t="s">
        <v>7352</v>
      </c>
      <c r="M1116" s="524"/>
      <c r="N1116" s="524"/>
      <c r="O1116" s="524"/>
    </row>
    <row r="1117" spans="1:15" hidden="1">
      <c r="A1117" s="524">
        <v>1125</v>
      </c>
      <c r="B1117" s="524" t="str">
        <f>VLOOKUP(A1117,'Hours Detail'!$E$17:$H$1048576,4,)</f>
        <v>No</v>
      </c>
      <c r="C1117" s="524" t="s">
        <v>248</v>
      </c>
      <c r="D1117" s="524" t="s">
        <v>995</v>
      </c>
      <c r="E1117" s="524" t="s">
        <v>248</v>
      </c>
      <c r="F1117" s="524" t="s">
        <v>248</v>
      </c>
      <c r="G1117" s="524" t="s">
        <v>248</v>
      </c>
      <c r="H1117" s="524" t="s">
        <v>248</v>
      </c>
      <c r="I1117" s="524" t="s">
        <v>7362</v>
      </c>
      <c r="J1117" s="524" t="s">
        <v>995</v>
      </c>
      <c r="K1117" s="524"/>
      <c r="L1117" s="524" t="s">
        <v>6399</v>
      </c>
      <c r="M1117" s="524" t="s">
        <v>6613</v>
      </c>
      <c r="N1117" s="524"/>
      <c r="O1117" s="524"/>
    </row>
    <row r="1118" spans="1:15" hidden="1">
      <c r="A1118" s="527">
        <v>1125</v>
      </c>
      <c r="B1118" s="524" t="str">
        <f>VLOOKUP(A1118,'Hours Detail'!$E$17:$H$1048576,4,)</f>
        <v>No</v>
      </c>
      <c r="C1118" s="527" t="s">
        <v>248</v>
      </c>
      <c r="D1118" s="527" t="s">
        <v>248</v>
      </c>
      <c r="E1118" s="527" t="s">
        <v>995</v>
      </c>
      <c r="F1118" s="527" t="s">
        <v>248</v>
      </c>
      <c r="G1118" s="527">
        <v>32</v>
      </c>
      <c r="H1118" s="527" t="s">
        <v>248</v>
      </c>
      <c r="I1118" s="527" t="s">
        <v>995</v>
      </c>
      <c r="J1118" s="527" t="s">
        <v>2889</v>
      </c>
      <c r="K1118" s="527" t="s">
        <v>2890</v>
      </c>
      <c r="L1118" s="527" t="s">
        <v>7352</v>
      </c>
      <c r="M1118" s="524"/>
      <c r="N1118" s="524"/>
      <c r="O1118" s="524"/>
    </row>
    <row r="1119" spans="1:15" ht="116" hidden="1">
      <c r="A1119" s="525">
        <v>1126</v>
      </c>
      <c r="B1119" s="524" t="str">
        <f>VLOOKUP(A1119,'Hours Detail'!$E$17:$H$1048576,4,)</f>
        <v>No</v>
      </c>
      <c r="C1119" s="524" t="s">
        <v>247</v>
      </c>
      <c r="D1119" s="524" t="s">
        <v>7364</v>
      </c>
      <c r="E1119" s="524" t="s">
        <v>7363</v>
      </c>
      <c r="F1119" s="524" t="s">
        <v>7363</v>
      </c>
      <c r="G1119" s="524" t="s">
        <v>7363</v>
      </c>
      <c r="H1119" s="524" t="s">
        <v>7363</v>
      </c>
      <c r="I1119" s="524" t="s">
        <v>7364</v>
      </c>
      <c r="J1119" s="524" t="s">
        <v>7364</v>
      </c>
      <c r="K1119" s="524"/>
      <c r="L1119" s="524" t="s">
        <v>6399</v>
      </c>
      <c r="M1119" s="524" t="s">
        <v>6613</v>
      </c>
      <c r="N1119" s="524" t="s">
        <v>7365</v>
      </c>
      <c r="O1119" s="524"/>
    </row>
    <row r="1120" spans="1:15" ht="43.5" hidden="1">
      <c r="A1120" s="527">
        <v>1126</v>
      </c>
      <c r="B1120" s="524" t="str">
        <f>VLOOKUP(A1120,'Hours Detail'!$E$17:$H$1048576,4,)</f>
        <v>No</v>
      </c>
      <c r="C1120" s="527" t="s">
        <v>247</v>
      </c>
      <c r="D1120" s="527" t="s">
        <v>245</v>
      </c>
      <c r="E1120" s="527" t="s">
        <v>1871</v>
      </c>
      <c r="F1120" s="527" t="s">
        <v>2876</v>
      </c>
      <c r="G1120" s="527">
        <v>31</v>
      </c>
      <c r="H1120" s="527" t="s">
        <v>245</v>
      </c>
      <c r="I1120" s="527" t="s">
        <v>990</v>
      </c>
      <c r="J1120" s="527" t="s">
        <v>2889</v>
      </c>
      <c r="K1120" s="527" t="s">
        <v>2890</v>
      </c>
      <c r="L1120" s="527" t="s">
        <v>7352</v>
      </c>
      <c r="M1120" s="524"/>
      <c r="N1120" s="524"/>
      <c r="O1120" s="524"/>
    </row>
    <row r="1121" spans="1:15" ht="72.5" hidden="1">
      <c r="A1121" s="524">
        <v>1127</v>
      </c>
      <c r="B1121" s="524" t="e">
        <f>VLOOKUP(A1121,'Hours Detail'!$E$17:$H$1048576,4,)</f>
        <v>#N/A</v>
      </c>
      <c r="C1121" s="524" t="s">
        <v>3983</v>
      </c>
      <c r="D1121" s="524" t="s">
        <v>3982</v>
      </c>
      <c r="E1121" s="524" t="s">
        <v>3982</v>
      </c>
      <c r="F1121" s="524" t="s">
        <v>3982</v>
      </c>
      <c r="G1121" s="524" t="s">
        <v>3982</v>
      </c>
      <c r="H1121" s="524" t="s">
        <v>3982</v>
      </c>
      <c r="I1121" s="524" t="s">
        <v>3982</v>
      </c>
      <c r="J1121" s="524" t="s">
        <v>3982</v>
      </c>
      <c r="K1121" s="524"/>
      <c r="L1121" s="524" t="s">
        <v>6399</v>
      </c>
      <c r="M1121" s="524" t="s">
        <v>6613</v>
      </c>
      <c r="N1121" s="524"/>
      <c r="O1121" s="524"/>
    </row>
    <row r="1122" spans="1:15" ht="43.5" hidden="1">
      <c r="A1122" s="524">
        <v>1128</v>
      </c>
      <c r="B1122" s="524" t="e">
        <f>VLOOKUP(A1122,'Hours Detail'!$E$17:$H$1048576,4,)</f>
        <v>#N/A</v>
      </c>
      <c r="C1122" s="524" t="s">
        <v>3981</v>
      </c>
      <c r="D1122" s="524" t="s">
        <v>3980</v>
      </c>
      <c r="E1122" s="524" t="s">
        <v>3979</v>
      </c>
      <c r="F1122" s="524" t="s">
        <v>3979</v>
      </c>
      <c r="G1122" s="524" t="s">
        <v>3979</v>
      </c>
      <c r="H1122" s="524" t="s">
        <v>3979</v>
      </c>
      <c r="I1122" s="524" t="s">
        <v>3980</v>
      </c>
      <c r="J1122" s="524" t="s">
        <v>3980</v>
      </c>
      <c r="K1122" s="524"/>
      <c r="L1122" s="524" t="s">
        <v>6399</v>
      </c>
      <c r="M1122" s="524" t="s">
        <v>6613</v>
      </c>
      <c r="N1122" s="524"/>
      <c r="O1122" s="524"/>
    </row>
    <row r="1123" spans="1:15" ht="58" hidden="1">
      <c r="A1123" s="525">
        <v>1129</v>
      </c>
      <c r="B1123" s="524" t="e">
        <f>VLOOKUP(A1123,'Hours Detail'!$E$17:$H$1048576,4,)</f>
        <v>#N/A</v>
      </c>
      <c r="C1123" s="524" t="s">
        <v>1407</v>
      </c>
      <c r="D1123" s="524" t="s">
        <v>1408</v>
      </c>
      <c r="E1123" s="524" t="s">
        <v>1409</v>
      </c>
      <c r="F1123" s="524" t="s">
        <v>1409</v>
      </c>
      <c r="G1123" s="524" t="s">
        <v>1409</v>
      </c>
      <c r="H1123" s="524" t="s">
        <v>1409</v>
      </c>
      <c r="I1123" s="524" t="s">
        <v>7366</v>
      </c>
      <c r="J1123" s="524" t="s">
        <v>1408</v>
      </c>
      <c r="K1123" s="524"/>
      <c r="L1123" s="524" t="s">
        <v>6376</v>
      </c>
      <c r="M1123" s="524" t="s">
        <v>6377</v>
      </c>
      <c r="N1123" s="524"/>
      <c r="O1123" s="524"/>
    </row>
    <row r="1124" spans="1:15" ht="58" hidden="1">
      <c r="A1124" s="524">
        <v>1130</v>
      </c>
      <c r="B1124" s="524" t="e">
        <f>VLOOKUP(A1124,'Hours Detail'!$E$17:$H$1048576,4,)</f>
        <v>#N/A</v>
      </c>
      <c r="C1124" s="524" t="s">
        <v>4938</v>
      </c>
      <c r="D1124" s="524" t="s">
        <v>4937</v>
      </c>
      <c r="E1124" s="524" t="s">
        <v>4936</v>
      </c>
      <c r="F1124" s="524" t="s">
        <v>4936</v>
      </c>
      <c r="G1124" s="524" t="s">
        <v>4936</v>
      </c>
      <c r="H1124" s="524" t="s">
        <v>4936</v>
      </c>
      <c r="I1124" s="524" t="s">
        <v>4937</v>
      </c>
      <c r="J1124" s="524" t="s">
        <v>4937</v>
      </c>
      <c r="K1124" s="524"/>
      <c r="L1124" s="524" t="s">
        <v>6399</v>
      </c>
      <c r="M1124" s="524" t="s">
        <v>6613</v>
      </c>
      <c r="N1124" s="524"/>
      <c r="O1124" s="524"/>
    </row>
    <row r="1125" spans="1:15" hidden="1">
      <c r="A1125" s="524">
        <v>1131</v>
      </c>
      <c r="B1125" s="524" t="str">
        <f>VLOOKUP(A1125,'Hours Detail'!$E$17:$H$1048576,4,)</f>
        <v>No</v>
      </c>
      <c r="C1125" s="524" t="s">
        <v>249</v>
      </c>
      <c r="D1125" s="524" t="s">
        <v>1872</v>
      </c>
      <c r="E1125" s="524" t="s">
        <v>1872</v>
      </c>
      <c r="F1125" s="524" t="s">
        <v>1872</v>
      </c>
      <c r="G1125" s="524" t="s">
        <v>1872</v>
      </c>
      <c r="H1125" s="524" t="s">
        <v>1872</v>
      </c>
      <c r="I1125" s="524" t="s">
        <v>1872</v>
      </c>
      <c r="J1125" s="524" t="s">
        <v>1872</v>
      </c>
      <c r="K1125" s="524"/>
      <c r="L1125" s="524" t="s">
        <v>6399</v>
      </c>
      <c r="M1125" s="524" t="s">
        <v>6613</v>
      </c>
      <c r="N1125" s="524"/>
      <c r="O1125" s="524"/>
    </row>
    <row r="1126" spans="1:15" hidden="1">
      <c r="A1126" s="527">
        <v>1131</v>
      </c>
      <c r="B1126" s="524" t="str">
        <f>VLOOKUP(A1126,'Hours Detail'!$E$17:$H$1048576,4,)</f>
        <v>No</v>
      </c>
      <c r="C1126" s="527" t="s">
        <v>249</v>
      </c>
      <c r="D1126" s="527" t="s">
        <v>248</v>
      </c>
      <c r="E1126" s="527" t="s">
        <v>1872</v>
      </c>
      <c r="F1126" s="527" t="s">
        <v>249</v>
      </c>
      <c r="G1126" s="527">
        <v>32</v>
      </c>
      <c r="H1126" s="527" t="s">
        <v>248</v>
      </c>
      <c r="I1126" s="527" t="s">
        <v>995</v>
      </c>
      <c r="J1126" s="527" t="s">
        <v>2889</v>
      </c>
      <c r="K1126" s="527" t="s">
        <v>2890</v>
      </c>
      <c r="L1126" s="527" t="s">
        <v>7352</v>
      </c>
      <c r="M1126" s="524"/>
      <c r="N1126" s="524"/>
      <c r="O1126" s="524"/>
    </row>
    <row r="1127" spans="1:15" ht="29" hidden="1">
      <c r="A1127" s="525">
        <v>1132</v>
      </c>
      <c r="B1127" s="524" t="e">
        <f>VLOOKUP(A1127,'Hours Detail'!$E$17:$H$1048576,4,)</f>
        <v>#N/A</v>
      </c>
      <c r="C1127" s="524" t="s">
        <v>283</v>
      </c>
      <c r="D1127" s="524" t="s">
        <v>1097</v>
      </c>
      <c r="E1127" s="524" t="s">
        <v>1098</v>
      </c>
      <c r="F1127" s="524" t="s">
        <v>1098</v>
      </c>
      <c r="G1127" s="524" t="s">
        <v>1098</v>
      </c>
      <c r="H1127" s="524" t="s">
        <v>1098</v>
      </c>
      <c r="I1127" s="524" t="s">
        <v>7367</v>
      </c>
      <c r="J1127" s="524" t="s">
        <v>1097</v>
      </c>
      <c r="K1127" s="524" t="s">
        <v>6359</v>
      </c>
      <c r="L1127" s="524" t="s">
        <v>6376</v>
      </c>
      <c r="M1127" s="524" t="s">
        <v>6416</v>
      </c>
      <c r="N1127" s="524"/>
      <c r="O1127" s="524"/>
    </row>
    <row r="1128" spans="1:15" ht="101.5" hidden="1">
      <c r="A1128" s="527">
        <v>1132</v>
      </c>
      <c r="B1128" s="524" t="e">
        <f>VLOOKUP(A1128,'Hours Detail'!$E$17:$H$1048576,4,)</f>
        <v>#N/A</v>
      </c>
      <c r="C1128" s="527" t="s">
        <v>283</v>
      </c>
      <c r="D1128" s="527" t="s">
        <v>1096</v>
      </c>
      <c r="E1128" s="527" t="s">
        <v>1097</v>
      </c>
      <c r="F1128" s="527" t="s">
        <v>1098</v>
      </c>
      <c r="G1128" s="527">
        <v>89</v>
      </c>
      <c r="H1128" s="527" t="s">
        <v>282</v>
      </c>
      <c r="I1128" s="527" t="s">
        <v>1094</v>
      </c>
      <c r="J1128" s="527" t="s">
        <v>2890</v>
      </c>
      <c r="K1128" s="527" t="s">
        <v>2889</v>
      </c>
      <c r="L1128" s="527" t="s">
        <v>7368</v>
      </c>
      <c r="M1128" s="524"/>
      <c r="N1128" s="524"/>
      <c r="O1128" s="524"/>
    </row>
    <row r="1129" spans="1:15" ht="58" hidden="1">
      <c r="A1129" s="525">
        <v>1133</v>
      </c>
      <c r="B1129" s="524" t="str">
        <f>VLOOKUP(A1129,'Hours Detail'!$E$17:$H$1048576,4,)</f>
        <v>No</v>
      </c>
      <c r="C1129" s="524" t="s">
        <v>258</v>
      </c>
      <c r="D1129" s="524" t="s">
        <v>1025</v>
      </c>
      <c r="E1129" s="524" t="s">
        <v>1026</v>
      </c>
      <c r="F1129" s="524" t="s">
        <v>1026</v>
      </c>
      <c r="G1129" s="524" t="s">
        <v>1026</v>
      </c>
      <c r="H1129" s="524" t="s">
        <v>1026</v>
      </c>
      <c r="I1129" s="524" t="s">
        <v>7369</v>
      </c>
      <c r="J1129" s="524" t="s">
        <v>1025</v>
      </c>
      <c r="K1129" s="524" t="s">
        <v>6359</v>
      </c>
      <c r="L1129" s="524" t="s">
        <v>6379</v>
      </c>
      <c r="M1129" s="524" t="s">
        <v>6380</v>
      </c>
      <c r="N1129" s="524"/>
      <c r="O1129" s="524"/>
    </row>
    <row r="1130" spans="1:15" ht="87" hidden="1">
      <c r="A1130" s="527">
        <v>1133</v>
      </c>
      <c r="B1130" s="524" t="str">
        <f>VLOOKUP(A1130,'Hours Detail'!$E$17:$H$1048576,4,)</f>
        <v>No</v>
      </c>
      <c r="C1130" s="527" t="s">
        <v>258</v>
      </c>
      <c r="D1130" s="527" t="s">
        <v>1024</v>
      </c>
      <c r="E1130" s="527" t="s">
        <v>1025</v>
      </c>
      <c r="F1130" s="527" t="s">
        <v>1026</v>
      </c>
      <c r="G1130" s="527">
        <v>71</v>
      </c>
      <c r="H1130" s="527" t="s">
        <v>257</v>
      </c>
      <c r="I1130" s="527" t="s">
        <v>1022</v>
      </c>
      <c r="J1130" s="527" t="s">
        <v>2889</v>
      </c>
      <c r="K1130" s="527" t="s">
        <v>2889</v>
      </c>
      <c r="L1130" s="527" t="s">
        <v>7370</v>
      </c>
      <c r="M1130" s="524"/>
      <c r="N1130" s="524"/>
      <c r="O1130" s="524"/>
    </row>
    <row r="1131" spans="1:15" ht="43.5" hidden="1">
      <c r="A1131" s="525">
        <v>1134</v>
      </c>
      <c r="B1131" s="524" t="e">
        <f>VLOOKUP(A1131,'Hours Detail'!$E$17:$H$1048576,4,)</f>
        <v>#N/A</v>
      </c>
      <c r="C1131" s="524" t="s">
        <v>1071</v>
      </c>
      <c r="D1131" s="524" t="s">
        <v>1072</v>
      </c>
      <c r="E1131" s="524" t="s">
        <v>1073</v>
      </c>
      <c r="F1131" s="524" t="s">
        <v>1073</v>
      </c>
      <c r="G1131" s="524" t="s">
        <v>1073</v>
      </c>
      <c r="H1131" s="524" t="s">
        <v>1073</v>
      </c>
      <c r="I1131" s="524" t="s">
        <v>7371</v>
      </c>
      <c r="J1131" s="524" t="s">
        <v>1072</v>
      </c>
      <c r="K1131" s="524"/>
      <c r="L1131" s="524" t="s">
        <v>6365</v>
      </c>
      <c r="M1131" s="524" t="s">
        <v>6366</v>
      </c>
      <c r="N1131" s="524"/>
      <c r="O1131" s="524"/>
    </row>
    <row r="1132" spans="1:15" ht="43.5" hidden="1">
      <c r="A1132" s="527">
        <v>1134</v>
      </c>
      <c r="B1132" s="524" t="e">
        <f>VLOOKUP(A1132,'Hours Detail'!$E$17:$H$1048576,4,)</f>
        <v>#N/A</v>
      </c>
      <c r="C1132" s="527" t="s">
        <v>1071</v>
      </c>
      <c r="D1132" s="527" t="s">
        <v>1068</v>
      </c>
      <c r="E1132" s="527" t="s">
        <v>1072</v>
      </c>
      <c r="F1132" s="527" t="s">
        <v>1073</v>
      </c>
      <c r="G1132" s="527">
        <v>88</v>
      </c>
      <c r="H1132" s="527" t="s">
        <v>16</v>
      </c>
      <c r="I1132" s="527" t="s">
        <v>1066</v>
      </c>
      <c r="J1132" s="527" t="s">
        <v>2890</v>
      </c>
      <c r="K1132" s="527" t="s">
        <v>2889</v>
      </c>
      <c r="L1132" s="527" t="s">
        <v>6371</v>
      </c>
      <c r="M1132" s="524"/>
      <c r="N1132" s="524"/>
      <c r="O1132" s="524"/>
    </row>
    <row r="1133" spans="1:15" ht="43.5" hidden="1">
      <c r="A1133" s="525">
        <v>1135</v>
      </c>
      <c r="B1133" s="524" t="e">
        <f>VLOOKUP(A1133,'Hours Detail'!$E$17:$H$1048576,4,)</f>
        <v>#N/A</v>
      </c>
      <c r="C1133" s="524" t="s">
        <v>4345</v>
      </c>
      <c r="D1133" s="524" t="s">
        <v>4344</v>
      </c>
      <c r="E1133" s="524" t="s">
        <v>4343</v>
      </c>
      <c r="F1133" s="524" t="s">
        <v>4343</v>
      </c>
      <c r="G1133" s="524" t="s">
        <v>4343</v>
      </c>
      <c r="H1133" s="524" t="s">
        <v>4343</v>
      </c>
      <c r="I1133" s="524" t="s">
        <v>7372</v>
      </c>
      <c r="J1133" s="524" t="s">
        <v>4344</v>
      </c>
      <c r="K1133" s="524" t="s">
        <v>6359</v>
      </c>
      <c r="L1133" s="524" t="s">
        <v>6414</v>
      </c>
      <c r="M1133" s="524" t="s">
        <v>6415</v>
      </c>
      <c r="N1133" s="524"/>
      <c r="O1133" s="524"/>
    </row>
    <row r="1134" spans="1:15" ht="29" hidden="1">
      <c r="A1134" s="525">
        <v>1136</v>
      </c>
      <c r="B1134" s="524" t="e">
        <f>VLOOKUP(A1134,'Hours Detail'!$E$17:$H$1048576,4,)</f>
        <v>#N/A</v>
      </c>
      <c r="C1134" s="524" t="s">
        <v>4340</v>
      </c>
      <c r="D1134" s="524" t="s">
        <v>4339</v>
      </c>
      <c r="E1134" s="524" t="s">
        <v>4338</v>
      </c>
      <c r="F1134" s="524" t="s">
        <v>4338</v>
      </c>
      <c r="G1134" s="524" t="s">
        <v>4338</v>
      </c>
      <c r="H1134" s="524" t="s">
        <v>4338</v>
      </c>
      <c r="I1134" s="524" t="s">
        <v>7373</v>
      </c>
      <c r="J1134" s="524" t="s">
        <v>4339</v>
      </c>
      <c r="K1134" s="524" t="s">
        <v>6359</v>
      </c>
      <c r="L1134" s="524" t="s">
        <v>6414</v>
      </c>
      <c r="M1134" s="524" t="s">
        <v>6450</v>
      </c>
      <c r="N1134" s="524"/>
      <c r="O1134" s="524"/>
    </row>
    <row r="1135" spans="1:15" ht="72.5" hidden="1">
      <c r="A1135" s="524">
        <v>1137</v>
      </c>
      <c r="B1135" s="524" t="str">
        <f>VLOOKUP(A1135,'Hours Detail'!$E$17:$H$1048576,4,)</f>
        <v>No</v>
      </c>
      <c r="C1135" s="524" t="s">
        <v>228</v>
      </c>
      <c r="D1135" s="524" t="s">
        <v>781</v>
      </c>
      <c r="E1135" s="524" t="s">
        <v>782</v>
      </c>
      <c r="F1135" s="524" t="s">
        <v>782</v>
      </c>
      <c r="G1135" s="524" t="s">
        <v>782</v>
      </c>
      <c r="H1135" s="524" t="s">
        <v>782</v>
      </c>
      <c r="I1135" s="524" t="s">
        <v>7374</v>
      </c>
      <c r="J1135" s="524" t="s">
        <v>781</v>
      </c>
      <c r="K1135" s="524" t="s">
        <v>6359</v>
      </c>
      <c r="L1135" s="524" t="s">
        <v>6379</v>
      </c>
      <c r="M1135" s="524" t="s">
        <v>6502</v>
      </c>
      <c r="N1135" s="524"/>
      <c r="O1135" s="524"/>
    </row>
    <row r="1136" spans="1:15" ht="58" hidden="1">
      <c r="A1136" s="527">
        <v>1137</v>
      </c>
      <c r="B1136" s="524" t="str">
        <f>VLOOKUP(A1136,'Hours Detail'!$E$17:$H$1048576,4,)</f>
        <v>No</v>
      </c>
      <c r="C1136" s="527" t="s">
        <v>228</v>
      </c>
      <c r="D1136" s="527" t="s">
        <v>770</v>
      </c>
      <c r="E1136" s="527" t="s">
        <v>781</v>
      </c>
      <c r="F1136" s="527" t="s">
        <v>782</v>
      </c>
      <c r="G1136" s="527">
        <v>15</v>
      </c>
      <c r="H1136" s="527" t="s">
        <v>768</v>
      </c>
      <c r="I1136" s="527" t="s">
        <v>769</v>
      </c>
      <c r="J1136" s="527" t="s">
        <v>2889</v>
      </c>
      <c r="K1136" s="527" t="s">
        <v>2889</v>
      </c>
      <c r="L1136" s="527" t="s">
        <v>7375</v>
      </c>
      <c r="M1136" s="524"/>
      <c r="N1136" s="524"/>
      <c r="O1136" s="524"/>
    </row>
    <row r="1137" spans="1:15" ht="43.5" hidden="1">
      <c r="A1137" s="524">
        <v>1138</v>
      </c>
      <c r="B1137" s="524" t="e">
        <f>VLOOKUP(A1137,'Hours Detail'!$E$17:$H$1048576,4,)</f>
        <v>#N/A</v>
      </c>
      <c r="C1137" s="524" t="s">
        <v>404</v>
      </c>
      <c r="D1137" s="524" t="s">
        <v>7376</v>
      </c>
      <c r="E1137" s="524" t="s">
        <v>7376</v>
      </c>
      <c r="F1137" s="524" t="s">
        <v>7376</v>
      </c>
      <c r="G1137" s="524" t="s">
        <v>7376</v>
      </c>
      <c r="H1137" s="524" t="s">
        <v>7376</v>
      </c>
      <c r="I1137" s="524" t="s">
        <v>7376</v>
      </c>
      <c r="J1137" s="524" t="s">
        <v>7377</v>
      </c>
      <c r="K1137" s="524"/>
      <c r="L1137" s="524" t="s">
        <v>6399</v>
      </c>
      <c r="M1137" s="524" t="s">
        <v>6613</v>
      </c>
      <c r="N1137" s="524"/>
      <c r="O1137" s="524"/>
    </row>
    <row r="1138" spans="1:15" ht="29" hidden="1">
      <c r="A1138" s="527">
        <v>1138</v>
      </c>
      <c r="B1138" s="524" t="e">
        <f>VLOOKUP(A1138,'Hours Detail'!$E$17:$H$1048576,4,)</f>
        <v>#N/A</v>
      </c>
      <c r="C1138" s="527" t="s">
        <v>404</v>
      </c>
      <c r="D1138" s="527" t="s">
        <v>245</v>
      </c>
      <c r="E1138" s="527" t="s">
        <v>2873</v>
      </c>
      <c r="F1138" s="527" t="s">
        <v>2874</v>
      </c>
      <c r="G1138" s="527">
        <v>31</v>
      </c>
      <c r="H1138" s="527" t="s">
        <v>245</v>
      </c>
      <c r="I1138" s="527" t="s">
        <v>990</v>
      </c>
      <c r="J1138" s="527" t="s">
        <v>2890</v>
      </c>
      <c r="K1138" s="527" t="s">
        <v>2890</v>
      </c>
      <c r="L1138" s="527" t="s">
        <v>7352</v>
      </c>
      <c r="M1138" s="524"/>
      <c r="N1138" s="524"/>
      <c r="O1138" s="524"/>
    </row>
    <row r="1139" spans="1:15" ht="58" hidden="1">
      <c r="A1139" s="525">
        <v>1141</v>
      </c>
      <c r="B1139" s="524" t="e">
        <f>VLOOKUP(A1139,'Hours Detail'!$E$17:$H$1048576,4,)</f>
        <v>#N/A</v>
      </c>
      <c r="C1139" s="524" t="s">
        <v>364</v>
      </c>
      <c r="D1139" s="524" t="s">
        <v>1349</v>
      </c>
      <c r="E1139" s="524" t="s">
        <v>1349</v>
      </c>
      <c r="F1139" s="524" t="s">
        <v>1349</v>
      </c>
      <c r="G1139" s="524" t="s">
        <v>1349</v>
      </c>
      <c r="H1139" s="524" t="s">
        <v>1349</v>
      </c>
      <c r="I1139" s="524" t="s">
        <v>1349</v>
      </c>
      <c r="J1139" s="524" t="s">
        <v>1349</v>
      </c>
      <c r="K1139" s="524"/>
      <c r="L1139" s="524" t="s">
        <v>6399</v>
      </c>
      <c r="M1139" s="524" t="s">
        <v>6613</v>
      </c>
      <c r="N1139" s="524"/>
      <c r="O1139" s="524"/>
    </row>
    <row r="1140" spans="1:15" ht="58" hidden="1">
      <c r="A1140" s="527">
        <v>1141</v>
      </c>
      <c r="B1140" s="524" t="e">
        <f>VLOOKUP(A1140,'Hours Detail'!$E$17:$H$1048576,4,)</f>
        <v>#N/A</v>
      </c>
      <c r="C1140" s="527" t="s">
        <v>364</v>
      </c>
      <c r="D1140" s="527" t="s">
        <v>4703</v>
      </c>
      <c r="E1140" s="527" t="s">
        <v>1349</v>
      </c>
      <c r="F1140" s="527" t="s">
        <v>2865</v>
      </c>
      <c r="G1140" s="527">
        <v>283</v>
      </c>
      <c r="H1140" s="527" t="s">
        <v>4705</v>
      </c>
      <c r="I1140" s="527" t="s">
        <v>4704</v>
      </c>
      <c r="J1140" s="527" t="s">
        <v>2890</v>
      </c>
      <c r="K1140" s="527" t="s">
        <v>2890</v>
      </c>
      <c r="L1140" s="527" t="s">
        <v>6371</v>
      </c>
      <c r="M1140" s="524"/>
      <c r="N1140" s="524"/>
      <c r="O1140" s="524"/>
    </row>
    <row r="1141" spans="1:15" ht="29" hidden="1">
      <c r="A1141" s="524">
        <v>1142</v>
      </c>
      <c r="B1141" s="524" t="e">
        <f>VLOOKUP(A1141,'Hours Detail'!$E$17:$H$1048576,4,)</f>
        <v>#N/A</v>
      </c>
      <c r="C1141" s="524" t="s">
        <v>994</v>
      </c>
      <c r="D1141" s="524" t="s">
        <v>994</v>
      </c>
      <c r="E1141" s="524" t="s">
        <v>994</v>
      </c>
      <c r="F1141" s="524" t="s">
        <v>994</v>
      </c>
      <c r="G1141" s="524" t="s">
        <v>994</v>
      </c>
      <c r="H1141" s="524" t="s">
        <v>994</v>
      </c>
      <c r="I1141" s="524" t="s">
        <v>994</v>
      </c>
      <c r="J1141" s="524" t="s">
        <v>994</v>
      </c>
      <c r="K1141" s="524"/>
      <c r="L1141" s="524" t="s">
        <v>6376</v>
      </c>
      <c r="M1141" s="524" t="s">
        <v>6377</v>
      </c>
      <c r="N1141" s="524"/>
      <c r="O1141" s="524"/>
    </row>
    <row r="1142" spans="1:15" hidden="1">
      <c r="A1142" s="527">
        <v>1142</v>
      </c>
      <c r="B1142" s="524" t="e">
        <f>VLOOKUP(A1142,'Hours Detail'!$E$17:$H$1048576,4,)</f>
        <v>#N/A</v>
      </c>
      <c r="C1142" s="527" t="s">
        <v>994</v>
      </c>
      <c r="D1142" s="527" t="s">
        <v>245</v>
      </c>
      <c r="E1142" s="527" t="s">
        <v>994</v>
      </c>
      <c r="F1142" s="527" t="s">
        <v>994</v>
      </c>
      <c r="G1142" s="527">
        <v>31</v>
      </c>
      <c r="H1142" s="527" t="s">
        <v>245</v>
      </c>
      <c r="I1142" s="527" t="s">
        <v>990</v>
      </c>
      <c r="J1142" s="527" t="s">
        <v>2890</v>
      </c>
      <c r="K1142" s="527" t="s">
        <v>2890</v>
      </c>
      <c r="L1142" s="527" t="s">
        <v>7352</v>
      </c>
      <c r="M1142" s="524"/>
      <c r="N1142" s="524"/>
      <c r="O1142" s="524"/>
    </row>
    <row r="1143" spans="1:15" hidden="1">
      <c r="A1143" s="524">
        <v>1143</v>
      </c>
      <c r="B1143" s="524" t="e">
        <f>VLOOKUP(A1143,'Hours Detail'!$E$17:$H$1048576,4,)</f>
        <v>#N/A</v>
      </c>
      <c r="C1143" s="524" t="s">
        <v>5184</v>
      </c>
      <c r="D1143" s="524" t="s">
        <v>7378</v>
      </c>
      <c r="E1143" s="524" t="s">
        <v>7378</v>
      </c>
      <c r="F1143" s="524" t="s">
        <v>7378</v>
      </c>
      <c r="G1143" s="524" t="s">
        <v>7378</v>
      </c>
      <c r="H1143" s="524" t="s">
        <v>7378</v>
      </c>
      <c r="I1143" s="524" t="s">
        <v>7378</v>
      </c>
      <c r="J1143" s="524" t="s">
        <v>7378</v>
      </c>
      <c r="K1143" s="524"/>
      <c r="L1143" s="524" t="s">
        <v>6399</v>
      </c>
      <c r="M1143" s="524" t="s">
        <v>6613</v>
      </c>
      <c r="N1143" s="524"/>
      <c r="O1143" s="524"/>
    </row>
    <row r="1144" spans="1:15" ht="72.5" hidden="1">
      <c r="A1144" s="525">
        <v>1199</v>
      </c>
      <c r="B1144" s="524" t="e">
        <f>VLOOKUP(A1144,'Hours Detail'!$E$17:$H$1048576,4,)</f>
        <v>#N/A</v>
      </c>
      <c r="C1144" s="524" t="s">
        <v>67</v>
      </c>
      <c r="D1144" s="524" t="s">
        <v>588</v>
      </c>
      <c r="E1144" s="524" t="s">
        <v>589</v>
      </c>
      <c r="F1144" s="524" t="s">
        <v>589</v>
      </c>
      <c r="G1144" s="524" t="s">
        <v>589</v>
      </c>
      <c r="H1144" s="524" t="s">
        <v>589</v>
      </c>
      <c r="I1144" s="524" t="s">
        <v>588</v>
      </c>
      <c r="J1144" s="524" t="s">
        <v>588</v>
      </c>
      <c r="K1144" s="524"/>
      <c r="L1144" s="524" t="s">
        <v>6386</v>
      </c>
      <c r="M1144" s="524" t="s">
        <v>6435</v>
      </c>
      <c r="N1144" s="524" t="s">
        <v>7379</v>
      </c>
      <c r="O1144" s="524"/>
    </row>
    <row r="1145" spans="1:15" ht="72.5" hidden="1">
      <c r="A1145" s="527">
        <v>1199</v>
      </c>
      <c r="B1145" s="524" t="e">
        <f>VLOOKUP(A1145,'Hours Detail'!$E$17:$H$1048576,4,)</f>
        <v>#N/A</v>
      </c>
      <c r="C1145" s="527" t="s">
        <v>67</v>
      </c>
      <c r="D1145" s="527" t="s">
        <v>2312</v>
      </c>
      <c r="E1145" s="527" t="s">
        <v>588</v>
      </c>
      <c r="F1145" s="527" t="s">
        <v>589</v>
      </c>
      <c r="G1145" s="527">
        <v>6</v>
      </c>
      <c r="H1145" s="527" t="s">
        <v>58</v>
      </c>
      <c r="I1145" s="527" t="s">
        <v>2311</v>
      </c>
      <c r="J1145" s="527" t="s">
        <v>2890</v>
      </c>
      <c r="K1145" s="527" t="s">
        <v>2890</v>
      </c>
      <c r="L1145" s="527" t="s">
        <v>6371</v>
      </c>
      <c r="M1145" s="524"/>
      <c r="N1145" s="524"/>
      <c r="O1145" s="524"/>
    </row>
    <row r="1146" spans="1:15" ht="130.5" hidden="1">
      <c r="A1146" s="525">
        <v>1200</v>
      </c>
      <c r="B1146" s="524" t="str">
        <f>VLOOKUP(A1146,'Hours Detail'!$E$17:$H$1048576,4,)</f>
        <v>No</v>
      </c>
      <c r="C1146" s="524" t="s">
        <v>112</v>
      </c>
      <c r="D1146" s="524" t="s">
        <v>612</v>
      </c>
      <c r="E1146" s="524" t="s">
        <v>613</v>
      </c>
      <c r="F1146" s="524" t="s">
        <v>613</v>
      </c>
      <c r="G1146" s="524" t="s">
        <v>613</v>
      </c>
      <c r="H1146" s="524" t="s">
        <v>613</v>
      </c>
      <c r="I1146" s="524" t="s">
        <v>7380</v>
      </c>
      <c r="J1146" s="524" t="s">
        <v>612</v>
      </c>
      <c r="K1146" s="524" t="s">
        <v>6359</v>
      </c>
      <c r="L1146" s="524" t="s">
        <v>6381</v>
      </c>
      <c r="M1146" s="524" t="s">
        <v>2313</v>
      </c>
      <c r="N1146" s="524" t="s">
        <v>7381</v>
      </c>
      <c r="O1146" s="524"/>
    </row>
    <row r="1147" spans="1:15" ht="174" hidden="1">
      <c r="A1147" s="527">
        <v>1200</v>
      </c>
      <c r="B1147" s="524" t="str">
        <f>VLOOKUP(A1147,'Hours Detail'!$E$17:$H$1048576,4,)</f>
        <v>No</v>
      </c>
      <c r="C1147" s="527" t="s">
        <v>112</v>
      </c>
      <c r="D1147" s="527" t="s">
        <v>15</v>
      </c>
      <c r="E1147" s="527" t="s">
        <v>612</v>
      </c>
      <c r="F1147" s="527" t="s">
        <v>613</v>
      </c>
      <c r="G1147" s="527">
        <v>7</v>
      </c>
      <c r="H1147" s="527" t="s">
        <v>15</v>
      </c>
      <c r="I1147" s="527" t="s">
        <v>2313</v>
      </c>
      <c r="J1147" s="527" t="s">
        <v>2889</v>
      </c>
      <c r="K1147" s="527" t="s">
        <v>2890</v>
      </c>
      <c r="L1147" s="527" t="s">
        <v>7382</v>
      </c>
      <c r="M1147" s="524"/>
      <c r="N1147" s="524"/>
      <c r="O1147" s="524"/>
    </row>
    <row r="1148" spans="1:15" ht="58">
      <c r="A1148" s="525">
        <v>1201</v>
      </c>
      <c r="B1148" s="524" t="str">
        <f>VLOOKUP(A1148,'Hours Detail'!$E$17:$H$1048576,4,)</f>
        <v>No</v>
      </c>
      <c r="C1148" s="524" t="s">
        <v>4693</v>
      </c>
      <c r="D1148" s="524" t="s">
        <v>7384</v>
      </c>
      <c r="E1148" s="524" t="s">
        <v>4691</v>
      </c>
      <c r="F1148" s="524" t="s">
        <v>4691</v>
      </c>
      <c r="G1148" s="524" t="s">
        <v>4691</v>
      </c>
      <c r="H1148" s="524" t="s">
        <v>4691</v>
      </c>
      <c r="I1148" s="524" t="s">
        <v>7383</v>
      </c>
      <c r="J1148" s="524" t="s">
        <v>7384</v>
      </c>
      <c r="K1148" s="524"/>
      <c r="L1148" s="524" t="s">
        <v>6590</v>
      </c>
      <c r="M1148" s="524" t="s">
        <v>6592</v>
      </c>
      <c r="N1148" s="524" t="s">
        <v>7385</v>
      </c>
      <c r="O1148" s="524"/>
    </row>
    <row r="1149" spans="1:15" ht="58">
      <c r="A1149" s="525">
        <v>1202</v>
      </c>
      <c r="B1149" s="524" t="str">
        <f>VLOOKUP(A1149,'Hours Detail'!$E$17:$H$1048576,4,)</f>
        <v>No</v>
      </c>
      <c r="C1149" s="524" t="s">
        <v>4615</v>
      </c>
      <c r="D1149" s="524" t="s">
        <v>7387</v>
      </c>
      <c r="E1149" s="524" t="s">
        <v>4613</v>
      </c>
      <c r="F1149" s="524" t="s">
        <v>4613</v>
      </c>
      <c r="G1149" s="524" t="s">
        <v>4613</v>
      </c>
      <c r="H1149" s="524" t="s">
        <v>4613</v>
      </c>
      <c r="I1149" s="524" t="s">
        <v>7386</v>
      </c>
      <c r="J1149" s="524" t="s">
        <v>7387</v>
      </c>
      <c r="K1149" s="524"/>
      <c r="L1149" s="524" t="s">
        <v>6590</v>
      </c>
      <c r="M1149" s="524" t="s">
        <v>6592</v>
      </c>
      <c r="N1149" s="524" t="s">
        <v>7388</v>
      </c>
      <c r="O1149" s="524"/>
    </row>
    <row r="1150" spans="1:15" ht="58">
      <c r="A1150" s="525">
        <v>1203</v>
      </c>
      <c r="B1150" s="524" t="str">
        <f>VLOOKUP(A1150,'Hours Detail'!$E$17:$H$1048576,4,)</f>
        <v>No</v>
      </c>
      <c r="C1150" s="524" t="s">
        <v>3875</v>
      </c>
      <c r="D1150" s="524" t="s">
        <v>3876</v>
      </c>
      <c r="E1150" s="524" t="s">
        <v>3875</v>
      </c>
      <c r="F1150" s="524" t="s">
        <v>3875</v>
      </c>
      <c r="G1150" s="524" t="s">
        <v>3875</v>
      </c>
      <c r="H1150" s="524" t="s">
        <v>3875</v>
      </c>
      <c r="I1150" s="524" t="s">
        <v>7389</v>
      </c>
      <c r="J1150" s="524" t="s">
        <v>3876</v>
      </c>
      <c r="K1150" s="524"/>
      <c r="L1150" s="524" t="s">
        <v>6590</v>
      </c>
      <c r="M1150" s="524" t="s">
        <v>5878</v>
      </c>
      <c r="N1150" s="524" t="s">
        <v>7390</v>
      </c>
      <c r="O1150" s="524"/>
    </row>
    <row r="1151" spans="1:15" ht="58">
      <c r="A1151" s="525">
        <v>1204</v>
      </c>
      <c r="B1151" s="524" t="str">
        <f>VLOOKUP(A1151,'Hours Detail'!$E$17:$H$1048576,4,)</f>
        <v>No</v>
      </c>
      <c r="C1151" s="524" t="s">
        <v>3820</v>
      </c>
      <c r="D1151" s="524" t="s">
        <v>3819</v>
      </c>
      <c r="E1151" s="524" t="s">
        <v>3818</v>
      </c>
      <c r="F1151" s="524" t="s">
        <v>3818</v>
      </c>
      <c r="G1151" s="524" t="s">
        <v>3818</v>
      </c>
      <c r="H1151" s="524" t="s">
        <v>3818</v>
      </c>
      <c r="I1151" s="524" t="s">
        <v>7391</v>
      </c>
      <c r="J1151" s="524" t="s">
        <v>7392</v>
      </c>
      <c r="K1151" s="524"/>
      <c r="L1151" s="524" t="s">
        <v>6590</v>
      </c>
      <c r="M1151" s="524" t="s">
        <v>6591</v>
      </c>
      <c r="N1151" s="524" t="s">
        <v>7393</v>
      </c>
      <c r="O1151" s="524"/>
    </row>
    <row r="1152" spans="1:15" ht="58" hidden="1">
      <c r="A1152" s="525">
        <v>1205</v>
      </c>
      <c r="B1152" s="524" t="str">
        <f>VLOOKUP(A1152,'Hours Detail'!$E$17:$H$1048576,4,)</f>
        <v>No</v>
      </c>
      <c r="C1152" s="524" t="s">
        <v>4520</v>
      </c>
      <c r="D1152" s="524" t="s">
        <v>4519</v>
      </c>
      <c r="E1152" s="524" t="s">
        <v>4518</v>
      </c>
      <c r="F1152" s="524" t="s">
        <v>4518</v>
      </c>
      <c r="G1152" s="524" t="s">
        <v>4518</v>
      </c>
      <c r="H1152" s="524" t="s">
        <v>4518</v>
      </c>
      <c r="I1152" s="524" t="s">
        <v>7394</v>
      </c>
      <c r="J1152" s="524" t="s">
        <v>4519</v>
      </c>
      <c r="K1152" s="524"/>
      <c r="L1152" s="524" t="s">
        <v>6590</v>
      </c>
      <c r="M1152" s="524" t="s">
        <v>6592</v>
      </c>
      <c r="N1152" s="524" t="s">
        <v>7395</v>
      </c>
      <c r="O1152" s="524"/>
    </row>
    <row r="1153" spans="1:15" ht="101.5" hidden="1">
      <c r="A1153" s="525">
        <v>1206</v>
      </c>
      <c r="B1153" s="524" t="str">
        <f>VLOOKUP(A1153,'Hours Detail'!$E$17:$H$1048576,4,)</f>
        <v>No</v>
      </c>
      <c r="C1153" s="524" t="s">
        <v>4672</v>
      </c>
      <c r="D1153" s="524" t="s">
        <v>4671</v>
      </c>
      <c r="E1153" s="524" t="s">
        <v>4670</v>
      </c>
      <c r="F1153" s="524" t="s">
        <v>4670</v>
      </c>
      <c r="G1153" s="524" t="s">
        <v>4670</v>
      </c>
      <c r="H1153" s="524" t="s">
        <v>4670</v>
      </c>
      <c r="I1153" s="524" t="s">
        <v>4671</v>
      </c>
      <c r="J1153" s="524" t="s">
        <v>4671</v>
      </c>
      <c r="K1153" s="524"/>
      <c r="L1153" s="524" t="s">
        <v>6590</v>
      </c>
      <c r="M1153" s="524" t="s">
        <v>6592</v>
      </c>
      <c r="N1153" s="524" t="s">
        <v>7396</v>
      </c>
      <c r="O1153" s="524"/>
    </row>
    <row r="1154" spans="1:15" ht="87" hidden="1">
      <c r="A1154" s="525">
        <v>1207</v>
      </c>
      <c r="B1154" s="524" t="e">
        <f>VLOOKUP(A1154,'Hours Detail'!$E$17:$H$1048576,4,)</f>
        <v>#N/A</v>
      </c>
      <c r="C1154" s="524" t="s">
        <v>4621</v>
      </c>
      <c r="D1154" s="524" t="s">
        <v>4620</v>
      </c>
      <c r="E1154" s="524" t="s">
        <v>4619</v>
      </c>
      <c r="F1154" s="524" t="s">
        <v>4619</v>
      </c>
      <c r="G1154" s="524" t="s">
        <v>4619</v>
      </c>
      <c r="H1154" s="524" t="s">
        <v>4619</v>
      </c>
      <c r="I1154" s="524" t="s">
        <v>4620</v>
      </c>
      <c r="J1154" s="524" t="s">
        <v>4620</v>
      </c>
      <c r="K1154" s="524"/>
      <c r="L1154" s="524" t="s">
        <v>6590</v>
      </c>
      <c r="M1154" s="524" t="s">
        <v>6592</v>
      </c>
      <c r="N1154" s="524" t="s">
        <v>6812</v>
      </c>
      <c r="O1154" s="524"/>
    </row>
    <row r="1155" spans="1:15" ht="101.5">
      <c r="A1155" s="525">
        <v>1208</v>
      </c>
      <c r="B1155" s="524" t="str">
        <f>VLOOKUP(A1155,'Hours Detail'!$E$17:$H$1048576,4,)</f>
        <v>No</v>
      </c>
      <c r="C1155" s="524" t="s">
        <v>4541</v>
      </c>
      <c r="D1155" s="524" t="s">
        <v>4540</v>
      </c>
      <c r="E1155" s="524" t="s">
        <v>4539</v>
      </c>
      <c r="F1155" s="524" t="s">
        <v>4539</v>
      </c>
      <c r="G1155" s="524" t="s">
        <v>4539</v>
      </c>
      <c r="H1155" s="524" t="s">
        <v>4539</v>
      </c>
      <c r="I1155" s="524" t="s">
        <v>7397</v>
      </c>
      <c r="J1155" s="524" t="s">
        <v>4540</v>
      </c>
      <c r="K1155" s="524"/>
      <c r="L1155" s="524" t="s">
        <v>6590</v>
      </c>
      <c r="M1155" s="524" t="s">
        <v>7398</v>
      </c>
      <c r="N1155" s="524" t="s">
        <v>7399</v>
      </c>
      <c r="O1155" s="524"/>
    </row>
    <row r="1156" spans="1:15" ht="72.5">
      <c r="A1156" s="525">
        <v>1209</v>
      </c>
      <c r="B1156" s="524" t="str">
        <f>VLOOKUP(A1156,'Hours Detail'!$E$17:$H$1048576,4,)</f>
        <v>No</v>
      </c>
      <c r="C1156" s="524" t="s">
        <v>3679</v>
      </c>
      <c r="D1156" s="524" t="s">
        <v>3678</v>
      </c>
      <c r="E1156" s="524" t="s">
        <v>3677</v>
      </c>
      <c r="F1156" s="524" t="s">
        <v>3677</v>
      </c>
      <c r="G1156" s="524" t="s">
        <v>3677</v>
      </c>
      <c r="H1156" s="524" t="s">
        <v>3677</v>
      </c>
      <c r="I1156" s="524" t="s">
        <v>7400</v>
      </c>
      <c r="J1156" s="524" t="s">
        <v>3678</v>
      </c>
      <c r="K1156" s="524"/>
      <c r="L1156" s="524" t="s">
        <v>6590</v>
      </c>
      <c r="M1156" s="524" t="s">
        <v>5878</v>
      </c>
      <c r="N1156" s="524" t="s">
        <v>7401</v>
      </c>
      <c r="O1156" s="524"/>
    </row>
    <row r="1157" spans="1:15" ht="43.5" hidden="1">
      <c r="A1157" s="525">
        <v>1210</v>
      </c>
      <c r="B1157" s="524" t="str">
        <f>VLOOKUP(A1157,'Hours Detail'!$E$17:$H$1048576,4,)</f>
        <v>No</v>
      </c>
      <c r="C1157" s="524" t="s">
        <v>3857</v>
      </c>
      <c r="D1157" s="524" t="s">
        <v>3856</v>
      </c>
      <c r="E1157" s="524" t="s">
        <v>3855</v>
      </c>
      <c r="F1157" s="524" t="s">
        <v>3855</v>
      </c>
      <c r="G1157" s="524" t="s">
        <v>3855</v>
      </c>
      <c r="H1157" s="524" t="s">
        <v>3855</v>
      </c>
      <c r="I1157" s="524" t="s">
        <v>3856</v>
      </c>
      <c r="J1157" s="524" t="s">
        <v>3856</v>
      </c>
      <c r="K1157" s="524"/>
      <c r="L1157" s="524" t="s">
        <v>6590</v>
      </c>
      <c r="M1157" s="524" t="s">
        <v>7398</v>
      </c>
      <c r="N1157" s="524" t="s">
        <v>7402</v>
      </c>
      <c r="O1157" s="524"/>
    </row>
    <row r="1158" spans="1:15" ht="43.5">
      <c r="A1158" s="525">
        <v>1211</v>
      </c>
      <c r="B1158" s="524" t="str">
        <f>VLOOKUP(A1158,'Hours Detail'!$E$17:$H$1048576,4,)</f>
        <v>No</v>
      </c>
      <c r="C1158" s="524" t="s">
        <v>3874</v>
      </c>
      <c r="D1158" s="524" t="s">
        <v>3873</v>
      </c>
      <c r="E1158" s="524" t="s">
        <v>3872</v>
      </c>
      <c r="F1158" s="524" t="s">
        <v>3872</v>
      </c>
      <c r="G1158" s="524" t="s">
        <v>3872</v>
      </c>
      <c r="H1158" s="524" t="s">
        <v>3872</v>
      </c>
      <c r="I1158" s="524" t="s">
        <v>3873</v>
      </c>
      <c r="J1158" s="524" t="s">
        <v>3873</v>
      </c>
      <c r="K1158" s="524"/>
      <c r="L1158" s="524" t="s">
        <v>6590</v>
      </c>
      <c r="M1158" s="524" t="s">
        <v>5878</v>
      </c>
      <c r="N1158" s="524" t="s">
        <v>7403</v>
      </c>
      <c r="O1158" s="524"/>
    </row>
    <row r="1159" spans="1:15" ht="29">
      <c r="A1159" s="525">
        <v>1212</v>
      </c>
      <c r="B1159" s="524" t="str">
        <f>VLOOKUP(A1159,'Hours Detail'!$E$17:$H$1048576,4,)</f>
        <v>No</v>
      </c>
      <c r="C1159" s="524" t="s">
        <v>3879</v>
      </c>
      <c r="D1159" s="524" t="s">
        <v>3878</v>
      </c>
      <c r="E1159" s="524" t="s">
        <v>3877</v>
      </c>
      <c r="F1159" s="524" t="s">
        <v>3877</v>
      </c>
      <c r="G1159" s="524" t="s">
        <v>3877</v>
      </c>
      <c r="H1159" s="524" t="s">
        <v>3877</v>
      </c>
      <c r="I1159" s="524" t="s">
        <v>3878</v>
      </c>
      <c r="J1159" s="524" t="s">
        <v>3878</v>
      </c>
      <c r="K1159" s="524"/>
      <c r="L1159" s="524" t="s">
        <v>6590</v>
      </c>
      <c r="M1159" s="524" t="s">
        <v>7398</v>
      </c>
      <c r="N1159" s="524" t="s">
        <v>7404</v>
      </c>
      <c r="O1159" s="524"/>
    </row>
    <row r="1160" spans="1:15" ht="58" hidden="1">
      <c r="A1160" s="525">
        <v>1213</v>
      </c>
      <c r="B1160" s="524" t="str">
        <f>VLOOKUP(A1160,'Hours Detail'!$E$17:$H$1048576,4,)</f>
        <v>No</v>
      </c>
      <c r="C1160" s="524" t="s">
        <v>3814</v>
      </c>
      <c r="D1160" s="524" t="s">
        <v>3813</v>
      </c>
      <c r="E1160" s="524" t="s">
        <v>3812</v>
      </c>
      <c r="F1160" s="524" t="s">
        <v>3812</v>
      </c>
      <c r="G1160" s="524" t="s">
        <v>3812</v>
      </c>
      <c r="H1160" s="524" t="s">
        <v>3812</v>
      </c>
      <c r="I1160" s="524" t="s">
        <v>3813</v>
      </c>
      <c r="J1160" s="524" t="s">
        <v>3813</v>
      </c>
      <c r="K1160" s="524"/>
      <c r="L1160" s="524" t="s">
        <v>6590</v>
      </c>
      <c r="M1160" s="524" t="s">
        <v>6591</v>
      </c>
      <c r="N1160" s="524" t="s">
        <v>7405</v>
      </c>
      <c r="O1160" s="524"/>
    </row>
    <row r="1161" spans="1:15" ht="72.5" hidden="1">
      <c r="A1161" s="525">
        <v>1214</v>
      </c>
      <c r="B1161" s="524" t="e">
        <f>VLOOKUP(A1161,'Hours Detail'!$E$17:$H$1048576,4,)</f>
        <v>#N/A</v>
      </c>
      <c r="C1161" s="524" t="s">
        <v>4489</v>
      </c>
      <c r="D1161" s="524" t="s">
        <v>4488</v>
      </c>
      <c r="E1161" s="524" t="s">
        <v>4487</v>
      </c>
      <c r="F1161" s="524" t="s">
        <v>4487</v>
      </c>
      <c r="G1161" s="524" t="s">
        <v>4487</v>
      </c>
      <c r="H1161" s="524" t="s">
        <v>4487</v>
      </c>
      <c r="I1161" s="524" t="s">
        <v>4488</v>
      </c>
      <c r="J1161" s="524" t="s">
        <v>4488</v>
      </c>
      <c r="K1161" s="524"/>
      <c r="L1161" s="524" t="s">
        <v>6590</v>
      </c>
      <c r="M1161" s="524" t="s">
        <v>6592</v>
      </c>
      <c r="N1161" s="524" t="s">
        <v>6889</v>
      </c>
      <c r="O1161" s="524"/>
    </row>
    <row r="1162" spans="1:15" ht="87">
      <c r="A1162" s="525">
        <v>1215</v>
      </c>
      <c r="B1162" s="524" t="str">
        <f>VLOOKUP(A1162,'Hours Detail'!$E$17:$H$1048576,4,)</f>
        <v>No</v>
      </c>
      <c r="C1162" s="524" t="s">
        <v>4618</v>
      </c>
      <c r="D1162" s="524" t="s">
        <v>4617</v>
      </c>
      <c r="E1162" s="524" t="s">
        <v>4616</v>
      </c>
      <c r="F1162" s="524" t="s">
        <v>4616</v>
      </c>
      <c r="G1162" s="524" t="s">
        <v>4616</v>
      </c>
      <c r="H1162" s="524" t="s">
        <v>4616</v>
      </c>
      <c r="I1162" s="524" t="s">
        <v>7406</v>
      </c>
      <c r="J1162" s="524" t="s">
        <v>4617</v>
      </c>
      <c r="K1162" s="524"/>
      <c r="L1162" s="524" t="s">
        <v>6590</v>
      </c>
      <c r="M1162" s="524" t="s">
        <v>6592</v>
      </c>
      <c r="N1162" s="524" t="s">
        <v>7407</v>
      </c>
      <c r="O1162" s="524"/>
    </row>
    <row r="1163" spans="1:15" ht="87" hidden="1">
      <c r="A1163" s="525">
        <v>1216</v>
      </c>
      <c r="B1163" s="524" t="str">
        <f>VLOOKUP(A1163,'Hours Detail'!$E$17:$H$1048576,4,)</f>
        <v>No</v>
      </c>
      <c r="C1163" s="524" t="s">
        <v>4609</v>
      </c>
      <c r="D1163" s="524" t="s">
        <v>4608</v>
      </c>
      <c r="E1163" s="524" t="s">
        <v>4607</v>
      </c>
      <c r="F1163" s="524" t="s">
        <v>4607</v>
      </c>
      <c r="G1163" s="524" t="s">
        <v>4607</v>
      </c>
      <c r="H1163" s="524" t="s">
        <v>4607</v>
      </c>
      <c r="I1163" s="524" t="s">
        <v>7408</v>
      </c>
      <c r="J1163" s="524" t="s">
        <v>4608</v>
      </c>
      <c r="K1163" s="524"/>
      <c r="L1163" s="524" t="s">
        <v>6590</v>
      </c>
      <c r="M1163" s="524" t="s">
        <v>6592</v>
      </c>
      <c r="N1163" s="524" t="s">
        <v>7409</v>
      </c>
      <c r="O1163" s="524"/>
    </row>
    <row r="1164" spans="1:15" ht="72.5" hidden="1">
      <c r="A1164" s="525">
        <v>1219</v>
      </c>
      <c r="B1164" s="524" t="str">
        <f>VLOOKUP(A1164,'Hours Detail'!$E$17:$H$1048576,4,)</f>
        <v>No</v>
      </c>
      <c r="C1164" s="524" t="s">
        <v>4696</v>
      </c>
      <c r="D1164" s="524" t="s">
        <v>4695</v>
      </c>
      <c r="E1164" s="524" t="s">
        <v>4694</v>
      </c>
      <c r="F1164" s="524" t="s">
        <v>4694</v>
      </c>
      <c r="G1164" s="524" t="s">
        <v>4694</v>
      </c>
      <c r="H1164" s="524" t="s">
        <v>4694</v>
      </c>
      <c r="I1164" s="524" t="s">
        <v>4695</v>
      </c>
      <c r="J1164" s="524" t="s">
        <v>4695</v>
      </c>
      <c r="K1164" s="524"/>
      <c r="L1164" s="524" t="s">
        <v>6590</v>
      </c>
      <c r="M1164" s="524" t="s">
        <v>6592</v>
      </c>
      <c r="N1164" s="524" t="s">
        <v>7410</v>
      </c>
      <c r="O1164" s="524"/>
    </row>
    <row r="1165" spans="1:15" ht="87" hidden="1">
      <c r="A1165" s="525">
        <v>1220</v>
      </c>
      <c r="B1165" s="524" t="str">
        <f>VLOOKUP(A1165,'Hours Detail'!$E$17:$H$1048576,4,)</f>
        <v>No</v>
      </c>
      <c r="C1165" s="524" t="s">
        <v>4612</v>
      </c>
      <c r="D1165" s="524" t="s">
        <v>4611</v>
      </c>
      <c r="E1165" s="524" t="s">
        <v>4610</v>
      </c>
      <c r="F1165" s="524" t="s">
        <v>4610</v>
      </c>
      <c r="G1165" s="524" t="s">
        <v>4610</v>
      </c>
      <c r="H1165" s="524" t="s">
        <v>4610</v>
      </c>
      <c r="I1165" s="524" t="s">
        <v>7411</v>
      </c>
      <c r="J1165" s="524" t="s">
        <v>4611</v>
      </c>
      <c r="K1165" s="524"/>
      <c r="L1165" s="524" t="s">
        <v>6590</v>
      </c>
      <c r="M1165" s="524" t="s">
        <v>6592</v>
      </c>
      <c r="N1165" s="524" t="s">
        <v>7412</v>
      </c>
      <c r="O1165" s="524"/>
    </row>
    <row r="1166" spans="1:15" ht="58" hidden="1">
      <c r="A1166" s="525">
        <v>1221</v>
      </c>
      <c r="B1166" s="524" t="str">
        <f>VLOOKUP(A1166,'Hours Detail'!$E$17:$H$1048576,4,)</f>
        <v>No</v>
      </c>
      <c r="C1166" s="524" t="s">
        <v>4591</v>
      </c>
      <c r="D1166" s="524" t="s">
        <v>4590</v>
      </c>
      <c r="E1166" s="524" t="s">
        <v>4589</v>
      </c>
      <c r="F1166" s="524" t="s">
        <v>4589</v>
      </c>
      <c r="G1166" s="524" t="s">
        <v>4589</v>
      </c>
      <c r="H1166" s="524" t="s">
        <v>4589</v>
      </c>
      <c r="I1166" s="524" t="s">
        <v>4590</v>
      </c>
      <c r="J1166" s="524" t="s">
        <v>4590</v>
      </c>
      <c r="K1166" s="524"/>
      <c r="L1166" s="524" t="s">
        <v>6590</v>
      </c>
      <c r="M1166" s="524" t="s">
        <v>6592</v>
      </c>
      <c r="N1166" s="524" t="s">
        <v>7413</v>
      </c>
      <c r="O1166" s="524"/>
    </row>
    <row r="1167" spans="1:15" ht="58" hidden="1">
      <c r="A1167" s="525">
        <v>1222</v>
      </c>
      <c r="B1167" s="524" t="str">
        <f>VLOOKUP(A1167,'Hours Detail'!$E$17:$H$1048576,4,)</f>
        <v>No</v>
      </c>
      <c r="C1167" s="524" t="s">
        <v>3871</v>
      </c>
      <c r="D1167" s="524" t="s">
        <v>3870</v>
      </c>
      <c r="E1167" s="524" t="s">
        <v>3869</v>
      </c>
      <c r="F1167" s="524" t="s">
        <v>3869</v>
      </c>
      <c r="G1167" s="524" t="s">
        <v>3869</v>
      </c>
      <c r="H1167" s="524" t="s">
        <v>3869</v>
      </c>
      <c r="I1167" s="524" t="s">
        <v>3870</v>
      </c>
      <c r="J1167" s="524" t="s">
        <v>3870</v>
      </c>
      <c r="K1167" s="524"/>
      <c r="L1167" s="524" t="s">
        <v>6590</v>
      </c>
      <c r="M1167" s="524" t="s">
        <v>5878</v>
      </c>
      <c r="N1167" s="524" t="s">
        <v>7414</v>
      </c>
      <c r="O1167" s="524"/>
    </row>
    <row r="1168" spans="1:15" ht="58">
      <c r="A1168" s="525">
        <v>1225</v>
      </c>
      <c r="B1168" s="524" t="str">
        <f>VLOOKUP(A1168,'Hours Detail'!$E$17:$H$1048576,4,)</f>
        <v>No</v>
      </c>
      <c r="C1168" s="524" t="s">
        <v>4690</v>
      </c>
      <c r="D1168" s="524" t="s">
        <v>4689</v>
      </c>
      <c r="E1168" s="524" t="s">
        <v>4688</v>
      </c>
      <c r="F1168" s="524" t="s">
        <v>4688</v>
      </c>
      <c r="G1168" s="524" t="s">
        <v>4688</v>
      </c>
      <c r="H1168" s="524" t="s">
        <v>4688</v>
      </c>
      <c r="I1168" s="524" t="s">
        <v>4689</v>
      </c>
      <c r="J1168" s="524" t="s">
        <v>4689</v>
      </c>
      <c r="K1168" s="524"/>
      <c r="L1168" s="524" t="s">
        <v>6590</v>
      </c>
      <c r="M1168" s="524" t="s">
        <v>5878</v>
      </c>
      <c r="N1168" s="524" t="s">
        <v>7415</v>
      </c>
      <c r="O1168" s="524"/>
    </row>
    <row r="1169" spans="1:15" ht="43.5">
      <c r="A1169" s="525">
        <v>1226</v>
      </c>
      <c r="B1169" s="524" t="str">
        <f>VLOOKUP(A1169,'Hours Detail'!$E$17:$H$1048576,4,)</f>
        <v>No</v>
      </c>
      <c r="C1169" s="524" t="s">
        <v>4606</v>
      </c>
      <c r="D1169" s="524" t="s">
        <v>4605</v>
      </c>
      <c r="E1169" s="524" t="s">
        <v>4604</v>
      </c>
      <c r="F1169" s="524" t="s">
        <v>4604</v>
      </c>
      <c r="G1169" s="524" t="s">
        <v>4604</v>
      </c>
      <c r="H1169" s="524" t="s">
        <v>4604</v>
      </c>
      <c r="I1169" s="524" t="s">
        <v>4605</v>
      </c>
      <c r="J1169" s="524" t="s">
        <v>4605</v>
      </c>
      <c r="K1169" s="524"/>
      <c r="L1169" s="524" t="s">
        <v>6590</v>
      </c>
      <c r="M1169" s="524" t="s">
        <v>6592</v>
      </c>
      <c r="N1169" s="524" t="s">
        <v>7416</v>
      </c>
      <c r="O1169" s="524"/>
    </row>
    <row r="1170" spans="1:15" ht="130.5">
      <c r="A1170" s="525">
        <v>1227</v>
      </c>
      <c r="B1170" s="524" t="str">
        <f>VLOOKUP(A1170,'Hours Detail'!$E$17:$H$1048576,4,)</f>
        <v>No</v>
      </c>
      <c r="C1170" s="524" t="s">
        <v>4483</v>
      </c>
      <c r="D1170" s="524" t="s">
        <v>4482</v>
      </c>
      <c r="E1170" s="524" t="s">
        <v>7417</v>
      </c>
      <c r="F1170" s="524" t="s">
        <v>7417</v>
      </c>
      <c r="G1170" s="524" t="s">
        <v>7417</v>
      </c>
      <c r="H1170" s="524" t="s">
        <v>7417</v>
      </c>
      <c r="I1170" s="524" t="s">
        <v>4482</v>
      </c>
      <c r="J1170" s="524" t="s">
        <v>4482</v>
      </c>
      <c r="K1170" s="524"/>
      <c r="L1170" s="524" t="s">
        <v>6590</v>
      </c>
      <c r="M1170" s="524" t="s">
        <v>6591</v>
      </c>
      <c r="N1170" s="524" t="s">
        <v>7418</v>
      </c>
      <c r="O1170" s="524"/>
    </row>
    <row r="1171" spans="1:15" ht="72.5">
      <c r="A1171" s="525">
        <v>1228</v>
      </c>
      <c r="B1171" s="524" t="str">
        <f>VLOOKUP(A1171,'Hours Detail'!$E$17:$H$1048576,4,)</f>
        <v>No</v>
      </c>
      <c r="C1171" s="524" t="s">
        <v>4603</v>
      </c>
      <c r="D1171" s="524" t="s">
        <v>4602</v>
      </c>
      <c r="E1171" s="524" t="s">
        <v>4601</v>
      </c>
      <c r="F1171" s="524" t="s">
        <v>4601</v>
      </c>
      <c r="G1171" s="524" t="s">
        <v>4601</v>
      </c>
      <c r="H1171" s="524" t="s">
        <v>4601</v>
      </c>
      <c r="I1171" s="524" t="s">
        <v>4602</v>
      </c>
      <c r="J1171" s="524" t="s">
        <v>4602</v>
      </c>
      <c r="K1171" s="524"/>
      <c r="L1171" s="524" t="s">
        <v>6590</v>
      </c>
      <c r="M1171" s="524" t="s">
        <v>6592</v>
      </c>
      <c r="N1171" s="524" t="s">
        <v>7419</v>
      </c>
      <c r="O1171" s="524"/>
    </row>
    <row r="1172" spans="1:15" ht="58" hidden="1">
      <c r="A1172" s="525">
        <v>1229</v>
      </c>
      <c r="B1172" s="524" t="str">
        <f>VLOOKUP(A1172,'Hours Detail'!$E$17:$H$1048576,4,)</f>
        <v>No</v>
      </c>
      <c r="C1172" s="524" t="s">
        <v>4553</v>
      </c>
      <c r="D1172" s="524" t="s">
        <v>4552</v>
      </c>
      <c r="E1172" s="524" t="s">
        <v>4551</v>
      </c>
      <c r="F1172" s="524" t="s">
        <v>4551</v>
      </c>
      <c r="G1172" s="524" t="s">
        <v>4551</v>
      </c>
      <c r="H1172" s="524" t="s">
        <v>4551</v>
      </c>
      <c r="I1172" s="524" t="s">
        <v>4552</v>
      </c>
      <c r="J1172" s="524" t="s">
        <v>4552</v>
      </c>
      <c r="K1172" s="524"/>
      <c r="L1172" s="524" t="s">
        <v>6590</v>
      </c>
      <c r="M1172" s="524" t="s">
        <v>7398</v>
      </c>
      <c r="N1172" s="524" t="s">
        <v>7420</v>
      </c>
      <c r="O1172" s="524"/>
    </row>
    <row r="1173" spans="1:15" ht="72.5">
      <c r="A1173" s="525">
        <v>1230</v>
      </c>
      <c r="B1173" s="524" t="str">
        <f>VLOOKUP(A1173,'Hours Detail'!$E$17:$H$1048576,4,)</f>
        <v>No</v>
      </c>
      <c r="C1173" s="524" t="s">
        <v>3868</v>
      </c>
      <c r="D1173" s="524" t="s">
        <v>3867</v>
      </c>
      <c r="E1173" s="524" t="s">
        <v>7421</v>
      </c>
      <c r="F1173" s="524" t="s">
        <v>7421</v>
      </c>
      <c r="G1173" s="524" t="s">
        <v>7421</v>
      </c>
      <c r="H1173" s="524" t="s">
        <v>7421</v>
      </c>
      <c r="I1173" s="524" t="s">
        <v>3867</v>
      </c>
      <c r="J1173" s="524" t="s">
        <v>3867</v>
      </c>
      <c r="K1173" s="524"/>
      <c r="L1173" s="524" t="s">
        <v>6590</v>
      </c>
      <c r="M1173" s="524" t="s">
        <v>5878</v>
      </c>
      <c r="N1173" s="524" t="s">
        <v>7422</v>
      </c>
      <c r="O1173" s="524"/>
    </row>
    <row r="1174" spans="1:15" ht="58">
      <c r="A1174" s="525">
        <v>1231</v>
      </c>
      <c r="B1174" s="524" t="str">
        <f>VLOOKUP(A1174,'Hours Detail'!$E$17:$H$1048576,4,)</f>
        <v>No</v>
      </c>
      <c r="C1174" s="524" t="s">
        <v>4486</v>
      </c>
      <c r="D1174" s="524" t="s">
        <v>4485</v>
      </c>
      <c r="E1174" s="524" t="s">
        <v>4484</v>
      </c>
      <c r="F1174" s="524" t="s">
        <v>4484</v>
      </c>
      <c r="G1174" s="524" t="s">
        <v>4484</v>
      </c>
      <c r="H1174" s="524" t="s">
        <v>4484</v>
      </c>
      <c r="I1174" s="524" t="s">
        <v>4485</v>
      </c>
      <c r="J1174" s="524" t="s">
        <v>4485</v>
      </c>
      <c r="K1174" s="524"/>
      <c r="L1174" s="524" t="s">
        <v>6590</v>
      </c>
      <c r="M1174" s="524" t="s">
        <v>5878</v>
      </c>
      <c r="N1174" s="524" t="s">
        <v>7423</v>
      </c>
      <c r="O1174" s="524"/>
    </row>
    <row r="1175" spans="1:15" ht="87" hidden="1">
      <c r="A1175" s="525">
        <v>1232</v>
      </c>
      <c r="B1175" s="524" t="str">
        <f>VLOOKUP(A1175,'Hours Detail'!$E$17:$H$1048576,4,)</f>
        <v>No</v>
      </c>
      <c r="C1175" s="524" t="s">
        <v>4666</v>
      </c>
      <c r="D1175" s="524" t="s">
        <v>4665</v>
      </c>
      <c r="E1175" s="524" t="s">
        <v>4664</v>
      </c>
      <c r="F1175" s="524" t="s">
        <v>4664</v>
      </c>
      <c r="G1175" s="524" t="s">
        <v>4664</v>
      </c>
      <c r="H1175" s="524" t="s">
        <v>4664</v>
      </c>
      <c r="I1175" s="524" t="s">
        <v>4665</v>
      </c>
      <c r="J1175" s="524" t="s">
        <v>4665</v>
      </c>
      <c r="K1175" s="524"/>
      <c r="L1175" s="524" t="s">
        <v>6590</v>
      </c>
      <c r="M1175" s="524" t="s">
        <v>6592</v>
      </c>
      <c r="N1175" s="524" t="s">
        <v>7424</v>
      </c>
      <c r="O1175" s="524"/>
    </row>
    <row r="1176" spans="1:15" ht="43.5" hidden="1">
      <c r="A1176" s="525">
        <v>1233</v>
      </c>
      <c r="B1176" s="524" t="str">
        <f>VLOOKUP(A1176,'Hours Detail'!$E$17:$H$1048576,4,)</f>
        <v>No</v>
      </c>
      <c r="C1176" s="524" t="s">
        <v>4663</v>
      </c>
      <c r="D1176" s="524" t="s">
        <v>4662</v>
      </c>
      <c r="E1176" s="524" t="s">
        <v>4661</v>
      </c>
      <c r="F1176" s="524" t="s">
        <v>4661</v>
      </c>
      <c r="G1176" s="524" t="s">
        <v>4661</v>
      </c>
      <c r="H1176" s="524" t="s">
        <v>4661</v>
      </c>
      <c r="I1176" s="524" t="s">
        <v>4662</v>
      </c>
      <c r="J1176" s="524" t="s">
        <v>4662</v>
      </c>
      <c r="K1176" s="524"/>
      <c r="L1176" s="524" t="s">
        <v>6590</v>
      </c>
      <c r="M1176" s="524" t="s">
        <v>6592</v>
      </c>
      <c r="N1176" s="524" t="s">
        <v>7425</v>
      </c>
      <c r="O1176" s="524"/>
    </row>
    <row r="1177" spans="1:15" ht="43.5" hidden="1">
      <c r="A1177" s="525">
        <v>1234</v>
      </c>
      <c r="B1177" s="524" t="str">
        <f>VLOOKUP(A1177,'Hours Detail'!$E$17:$H$1048576,4,)</f>
        <v>No</v>
      </c>
      <c r="C1177" s="524" t="s">
        <v>4669</v>
      </c>
      <c r="D1177" s="524" t="s">
        <v>4668</v>
      </c>
      <c r="E1177" s="524" t="s">
        <v>4667</v>
      </c>
      <c r="F1177" s="524" t="s">
        <v>4667</v>
      </c>
      <c r="G1177" s="524" t="s">
        <v>4667</v>
      </c>
      <c r="H1177" s="524" t="s">
        <v>4667</v>
      </c>
      <c r="I1177" s="524" t="s">
        <v>4668</v>
      </c>
      <c r="J1177" s="524" t="s">
        <v>4668</v>
      </c>
      <c r="K1177" s="524"/>
      <c r="L1177" s="524" t="s">
        <v>6590</v>
      </c>
      <c r="M1177" s="524" t="s">
        <v>6592</v>
      </c>
      <c r="N1177" s="524" t="s">
        <v>7426</v>
      </c>
      <c r="O1177" s="524"/>
    </row>
    <row r="1178" spans="1:15" ht="58" hidden="1">
      <c r="A1178" s="525">
        <v>1235</v>
      </c>
      <c r="B1178" s="524" t="str">
        <f>VLOOKUP(A1178,'Hours Detail'!$E$17:$H$1048576,4,)</f>
        <v>No</v>
      </c>
      <c r="C1178" s="524" t="s">
        <v>4660</v>
      </c>
      <c r="D1178" s="524" t="s">
        <v>4659</v>
      </c>
      <c r="E1178" s="524" t="s">
        <v>4658</v>
      </c>
      <c r="F1178" s="524" t="s">
        <v>4658</v>
      </c>
      <c r="G1178" s="524" t="s">
        <v>4658</v>
      </c>
      <c r="H1178" s="524" t="s">
        <v>4658</v>
      </c>
      <c r="I1178" s="524" t="s">
        <v>4659</v>
      </c>
      <c r="J1178" s="524" t="s">
        <v>4659</v>
      </c>
      <c r="K1178" s="524"/>
      <c r="L1178" s="524" t="s">
        <v>6590</v>
      </c>
      <c r="M1178" s="524" t="s">
        <v>6592</v>
      </c>
      <c r="N1178" s="524" t="s">
        <v>7427</v>
      </c>
      <c r="O1178" s="524"/>
    </row>
    <row r="1179" spans="1:15" ht="101.5" hidden="1">
      <c r="A1179" s="525">
        <v>1236</v>
      </c>
      <c r="B1179" s="524" t="str">
        <f>VLOOKUP(A1179,'Hours Detail'!$E$17:$H$1048576,4,)</f>
        <v>No</v>
      </c>
      <c r="C1179" s="524" t="s">
        <v>4657</v>
      </c>
      <c r="D1179" s="524" t="s">
        <v>7428</v>
      </c>
      <c r="E1179" s="524" t="s">
        <v>4655</v>
      </c>
      <c r="F1179" s="524" t="s">
        <v>4655</v>
      </c>
      <c r="G1179" s="524" t="s">
        <v>4655</v>
      </c>
      <c r="H1179" s="524" t="s">
        <v>4655</v>
      </c>
      <c r="I1179" s="524" t="s">
        <v>7428</v>
      </c>
      <c r="J1179" s="524" t="s">
        <v>7428</v>
      </c>
      <c r="K1179" s="524"/>
      <c r="L1179" s="524" t="s">
        <v>6590</v>
      </c>
      <c r="M1179" s="524" t="s">
        <v>6592</v>
      </c>
      <c r="N1179" s="524" t="s">
        <v>7429</v>
      </c>
      <c r="O1179" s="524"/>
    </row>
    <row r="1180" spans="1:15" ht="87" hidden="1">
      <c r="A1180" s="525">
        <v>1237</v>
      </c>
      <c r="B1180" s="524" t="str">
        <f>VLOOKUP(A1180,'Hours Detail'!$E$17:$H$1048576,4,)</f>
        <v>No</v>
      </c>
      <c r="C1180" s="524" t="s">
        <v>4654</v>
      </c>
      <c r="D1180" s="524" t="s">
        <v>7431</v>
      </c>
      <c r="E1180" s="524" t="s">
        <v>4652</v>
      </c>
      <c r="F1180" s="524" t="s">
        <v>4652</v>
      </c>
      <c r="G1180" s="524" t="s">
        <v>4652</v>
      </c>
      <c r="H1180" s="524" t="s">
        <v>4652</v>
      </c>
      <c r="I1180" s="524" t="s">
        <v>7430</v>
      </c>
      <c r="J1180" s="524" t="s">
        <v>7431</v>
      </c>
      <c r="K1180" s="524"/>
      <c r="L1180" s="524" t="s">
        <v>6590</v>
      </c>
      <c r="M1180" s="524" t="s">
        <v>6592</v>
      </c>
      <c r="N1180" s="524" t="s">
        <v>7432</v>
      </c>
      <c r="O1180" s="524"/>
    </row>
    <row r="1181" spans="1:15" ht="72.5" hidden="1">
      <c r="A1181" s="525">
        <v>1238</v>
      </c>
      <c r="B1181" s="524" t="str">
        <f>VLOOKUP(A1181,'Hours Detail'!$E$17:$H$1048576,4,)</f>
        <v>No</v>
      </c>
      <c r="C1181" s="524" t="s">
        <v>4556</v>
      </c>
      <c r="D1181" s="524" t="s">
        <v>4555</v>
      </c>
      <c r="E1181" s="524" t="s">
        <v>4554</v>
      </c>
      <c r="F1181" s="524" t="s">
        <v>4554</v>
      </c>
      <c r="G1181" s="524" t="s">
        <v>4554</v>
      </c>
      <c r="H1181" s="524" t="s">
        <v>4554</v>
      </c>
      <c r="I1181" s="524" t="s">
        <v>4555</v>
      </c>
      <c r="J1181" s="524" t="s">
        <v>4555</v>
      </c>
      <c r="K1181" s="524"/>
      <c r="L1181" s="524" t="s">
        <v>6590</v>
      </c>
      <c r="M1181" s="524" t="s">
        <v>5878</v>
      </c>
      <c r="N1181" s="524" t="s">
        <v>7433</v>
      </c>
      <c r="O1181" s="524"/>
    </row>
    <row r="1182" spans="1:15" ht="58" hidden="1">
      <c r="A1182" s="525">
        <v>1239</v>
      </c>
      <c r="B1182" s="524" t="str">
        <f>VLOOKUP(A1182,'Hours Detail'!$E$17:$H$1048576,4,)</f>
        <v>No</v>
      </c>
      <c r="C1182" s="524" t="s">
        <v>4480</v>
      </c>
      <c r="D1182" s="524" t="s">
        <v>4479</v>
      </c>
      <c r="E1182" s="524" t="s">
        <v>4478</v>
      </c>
      <c r="F1182" s="524" t="s">
        <v>4478</v>
      </c>
      <c r="G1182" s="524" t="s">
        <v>4478</v>
      </c>
      <c r="H1182" s="524" t="s">
        <v>4478</v>
      </c>
      <c r="I1182" s="524" t="s">
        <v>4479</v>
      </c>
      <c r="J1182" s="524" t="s">
        <v>4479</v>
      </c>
      <c r="K1182" s="524"/>
      <c r="L1182" s="524" t="s">
        <v>6590</v>
      </c>
      <c r="M1182" s="524" t="s">
        <v>5878</v>
      </c>
      <c r="N1182" s="524" t="s">
        <v>7434</v>
      </c>
      <c r="O1182" s="524"/>
    </row>
    <row r="1183" spans="1:15" ht="72.5" hidden="1">
      <c r="A1183" s="525">
        <v>1240</v>
      </c>
      <c r="B1183" s="524" t="str">
        <f>VLOOKUP(A1183,'Hours Detail'!$E$17:$H$1048576,4,)</f>
        <v>No</v>
      </c>
      <c r="C1183" s="524" t="s">
        <v>3811</v>
      </c>
      <c r="D1183" s="524" t="s">
        <v>3810</v>
      </c>
      <c r="E1183" s="524" t="s">
        <v>3809</v>
      </c>
      <c r="F1183" s="524" t="s">
        <v>3809</v>
      </c>
      <c r="G1183" s="524" t="s">
        <v>3809</v>
      </c>
      <c r="H1183" s="524" t="s">
        <v>3809</v>
      </c>
      <c r="I1183" s="524" t="s">
        <v>3810</v>
      </c>
      <c r="J1183" s="524" t="s">
        <v>3810</v>
      </c>
      <c r="K1183" s="524"/>
      <c r="L1183" s="524" t="s">
        <v>6590</v>
      </c>
      <c r="M1183" s="524" t="s">
        <v>6591</v>
      </c>
      <c r="N1183" s="524" t="s">
        <v>7435</v>
      </c>
      <c r="O1183" s="524"/>
    </row>
    <row r="1184" spans="1:15" ht="58" hidden="1">
      <c r="A1184" s="525">
        <v>1241</v>
      </c>
      <c r="B1184" s="524" t="str">
        <f>VLOOKUP(A1184,'Hours Detail'!$E$17:$H$1048576,4,)</f>
        <v>No</v>
      </c>
      <c r="C1184" s="524" t="s">
        <v>4514</v>
      </c>
      <c r="D1184" s="524" t="s">
        <v>4513</v>
      </c>
      <c r="E1184" s="524" t="s">
        <v>4512</v>
      </c>
      <c r="F1184" s="524" t="s">
        <v>4512</v>
      </c>
      <c r="G1184" s="524" t="s">
        <v>4512</v>
      </c>
      <c r="H1184" s="524" t="s">
        <v>4512</v>
      </c>
      <c r="I1184" s="524" t="s">
        <v>4513</v>
      </c>
      <c r="J1184" s="524" t="s">
        <v>4513</v>
      </c>
      <c r="K1184" s="524"/>
      <c r="L1184" s="524" t="s">
        <v>6590</v>
      </c>
      <c r="M1184" s="524" t="s">
        <v>6592</v>
      </c>
      <c r="N1184" s="524" t="s">
        <v>7436</v>
      </c>
      <c r="O1184" s="524"/>
    </row>
    <row r="1185" spans="1:15" ht="58" hidden="1">
      <c r="A1185" s="525">
        <v>1242</v>
      </c>
      <c r="B1185" s="524" t="str">
        <f>VLOOKUP(A1185,'Hours Detail'!$E$17:$H$1048576,4,)</f>
        <v>No</v>
      </c>
      <c r="C1185" s="524" t="s">
        <v>4651</v>
      </c>
      <c r="D1185" s="524" t="s">
        <v>4650</v>
      </c>
      <c r="E1185" s="524" t="s">
        <v>4649</v>
      </c>
      <c r="F1185" s="524" t="s">
        <v>4649</v>
      </c>
      <c r="G1185" s="524" t="s">
        <v>4649</v>
      </c>
      <c r="H1185" s="524" t="s">
        <v>4649</v>
      </c>
      <c r="I1185" s="524" t="s">
        <v>7437</v>
      </c>
      <c r="J1185" s="524" t="s">
        <v>4650</v>
      </c>
      <c r="K1185" s="524"/>
      <c r="L1185" s="524" t="s">
        <v>6590</v>
      </c>
      <c r="M1185" s="524" t="s">
        <v>6592</v>
      </c>
      <c r="N1185" s="524" t="s">
        <v>7438</v>
      </c>
      <c r="O1185" s="524"/>
    </row>
    <row r="1186" spans="1:15" ht="29" hidden="1">
      <c r="A1186" s="525">
        <v>1243</v>
      </c>
      <c r="B1186" s="524" t="str">
        <f>VLOOKUP(A1186,'Hours Detail'!$E$17:$H$1048576,4,)</f>
        <v>No</v>
      </c>
      <c r="C1186" s="524" t="s">
        <v>3864</v>
      </c>
      <c r="D1186" s="524" t="s">
        <v>3865</v>
      </c>
      <c r="E1186" s="524" t="s">
        <v>3864</v>
      </c>
      <c r="F1186" s="524" t="s">
        <v>3864</v>
      </c>
      <c r="G1186" s="524" t="s">
        <v>3864</v>
      </c>
      <c r="H1186" s="524" t="s">
        <v>3864</v>
      </c>
      <c r="I1186" s="524" t="s">
        <v>3865</v>
      </c>
      <c r="J1186" s="524" t="s">
        <v>3865</v>
      </c>
      <c r="K1186" s="524"/>
      <c r="L1186" s="524" t="s">
        <v>6590</v>
      </c>
      <c r="M1186" s="524" t="s">
        <v>5878</v>
      </c>
      <c r="N1186" s="524" t="s">
        <v>6855</v>
      </c>
      <c r="O1186" s="524"/>
    </row>
    <row r="1187" spans="1:15" ht="58" hidden="1">
      <c r="A1187" s="525">
        <v>1244</v>
      </c>
      <c r="B1187" s="524" t="str">
        <f>VLOOKUP(A1187,'Hours Detail'!$E$17:$H$1048576,4,)</f>
        <v>No</v>
      </c>
      <c r="C1187" s="524" t="s">
        <v>3676</v>
      </c>
      <c r="D1187" s="524" t="s">
        <v>3675</v>
      </c>
      <c r="E1187" s="524" t="s">
        <v>3674</v>
      </c>
      <c r="F1187" s="524" t="s">
        <v>3674</v>
      </c>
      <c r="G1187" s="524" t="s">
        <v>3674</v>
      </c>
      <c r="H1187" s="524" t="s">
        <v>3674</v>
      </c>
      <c r="I1187" s="524" t="s">
        <v>3675</v>
      </c>
      <c r="J1187" s="524" t="s">
        <v>3675</v>
      </c>
      <c r="K1187" s="524"/>
      <c r="L1187" s="524" t="s">
        <v>6590</v>
      </c>
      <c r="M1187" s="524" t="s">
        <v>6592</v>
      </c>
      <c r="N1187" s="524" t="s">
        <v>7439</v>
      </c>
      <c r="O1187" s="524"/>
    </row>
    <row r="1188" spans="1:15" ht="43.5" hidden="1">
      <c r="A1188" s="525">
        <v>1245</v>
      </c>
      <c r="B1188" s="524" t="str">
        <f>VLOOKUP(A1188,'Hours Detail'!$E$17:$H$1048576,4,)</f>
        <v>No</v>
      </c>
      <c r="C1188" s="524" t="s">
        <v>4511</v>
      </c>
      <c r="D1188" s="524" t="s">
        <v>4510</v>
      </c>
      <c r="E1188" s="524" t="s">
        <v>4509</v>
      </c>
      <c r="F1188" s="524" t="s">
        <v>4509</v>
      </c>
      <c r="G1188" s="524" t="s">
        <v>4509</v>
      </c>
      <c r="H1188" s="524" t="s">
        <v>4509</v>
      </c>
      <c r="I1188" s="524" t="s">
        <v>4510</v>
      </c>
      <c r="J1188" s="524" t="s">
        <v>4510</v>
      </c>
      <c r="K1188" s="524"/>
      <c r="L1188" s="524" t="s">
        <v>6386</v>
      </c>
      <c r="M1188" s="524" t="s">
        <v>6488</v>
      </c>
      <c r="N1188" s="524" t="s">
        <v>7440</v>
      </c>
      <c r="O1188" s="524"/>
    </row>
    <row r="1189" spans="1:15" ht="43.5" hidden="1">
      <c r="A1189" s="525">
        <v>1246</v>
      </c>
      <c r="B1189" s="524" t="e">
        <f>VLOOKUP(A1189,'Hours Detail'!$E$17:$H$1048576,4,)</f>
        <v>#N/A</v>
      </c>
      <c r="C1189" s="524" t="s">
        <v>4429</v>
      </c>
      <c r="D1189" s="524" t="s">
        <v>4430</v>
      </c>
      <c r="E1189" s="524" t="s">
        <v>4429</v>
      </c>
      <c r="F1189" s="524" t="s">
        <v>4429</v>
      </c>
      <c r="G1189" s="524" t="s">
        <v>4429</v>
      </c>
      <c r="H1189" s="524" t="s">
        <v>4429</v>
      </c>
      <c r="I1189" s="524" t="s">
        <v>4430</v>
      </c>
      <c r="J1189" s="524" t="s">
        <v>4430</v>
      </c>
      <c r="K1189" s="524"/>
      <c r="L1189" s="524" t="s">
        <v>6590</v>
      </c>
      <c r="M1189" s="524" t="s">
        <v>6727</v>
      </c>
      <c r="N1189" s="524" t="s">
        <v>7441</v>
      </c>
      <c r="O1189" s="524"/>
    </row>
    <row r="1190" spans="1:15" ht="43.5" hidden="1">
      <c r="A1190" s="525">
        <v>1247</v>
      </c>
      <c r="B1190" s="524" t="e">
        <f>VLOOKUP(A1190,'Hours Detail'!$E$17:$H$1048576,4,)</f>
        <v>#N/A</v>
      </c>
      <c r="C1190" s="524" t="s">
        <v>4428</v>
      </c>
      <c r="D1190" s="524" t="s">
        <v>4427</v>
      </c>
      <c r="E1190" s="524" t="s">
        <v>4426</v>
      </c>
      <c r="F1190" s="524" t="s">
        <v>4426</v>
      </c>
      <c r="G1190" s="524" t="s">
        <v>4426</v>
      </c>
      <c r="H1190" s="524" t="s">
        <v>4426</v>
      </c>
      <c r="I1190" s="524" t="s">
        <v>4427</v>
      </c>
      <c r="J1190" s="524" t="s">
        <v>4427</v>
      </c>
      <c r="K1190" s="524"/>
      <c r="L1190" s="524" t="s">
        <v>6590</v>
      </c>
      <c r="M1190" s="524" t="s">
        <v>6727</v>
      </c>
      <c r="N1190" s="524"/>
      <c r="O1190" s="524"/>
    </row>
    <row r="1191" spans="1:15" ht="43.5" hidden="1">
      <c r="A1191" s="525">
        <v>1248</v>
      </c>
      <c r="B1191" s="524" t="e">
        <f>VLOOKUP(A1191,'Hours Detail'!$E$17:$H$1048576,4,)</f>
        <v>#N/A</v>
      </c>
      <c r="C1191" s="524" t="s">
        <v>4425</v>
      </c>
      <c r="D1191" s="524" t="s">
        <v>4424</v>
      </c>
      <c r="E1191" s="524" t="s">
        <v>4423</v>
      </c>
      <c r="F1191" s="524" t="s">
        <v>4423</v>
      </c>
      <c r="G1191" s="524" t="s">
        <v>4423</v>
      </c>
      <c r="H1191" s="524" t="s">
        <v>4423</v>
      </c>
      <c r="I1191" s="524" t="s">
        <v>4424</v>
      </c>
      <c r="J1191" s="524" t="s">
        <v>4424</v>
      </c>
      <c r="K1191" s="524"/>
      <c r="L1191" s="524" t="s">
        <v>6590</v>
      </c>
      <c r="M1191" s="524" t="s">
        <v>6727</v>
      </c>
      <c r="N1191" s="524"/>
      <c r="O1191" s="524"/>
    </row>
    <row r="1192" spans="1:15" ht="43.5" hidden="1">
      <c r="A1192" s="525">
        <v>1249</v>
      </c>
      <c r="B1192" s="524" t="e">
        <f>VLOOKUP(A1192,'Hours Detail'!$E$17:$H$1048576,4,)</f>
        <v>#N/A</v>
      </c>
      <c r="C1192" s="524" t="s">
        <v>4422</v>
      </c>
      <c r="D1192" s="524" t="s">
        <v>4421</v>
      </c>
      <c r="E1192" s="524" t="s">
        <v>4420</v>
      </c>
      <c r="F1192" s="524" t="s">
        <v>4420</v>
      </c>
      <c r="G1192" s="524" t="s">
        <v>4420</v>
      </c>
      <c r="H1192" s="524" t="s">
        <v>4420</v>
      </c>
      <c r="I1192" s="524" t="s">
        <v>4421</v>
      </c>
      <c r="J1192" s="524" t="s">
        <v>4421</v>
      </c>
      <c r="K1192" s="524"/>
      <c r="L1192" s="524" t="s">
        <v>6590</v>
      </c>
      <c r="M1192" s="524" t="s">
        <v>6727</v>
      </c>
      <c r="N1192" s="524"/>
      <c r="O1192" s="524"/>
    </row>
    <row r="1193" spans="1:15" ht="87" hidden="1">
      <c r="A1193" s="525">
        <v>1250</v>
      </c>
      <c r="B1193" s="524" t="e">
        <f>VLOOKUP(A1193,'Hours Detail'!$E$17:$H$1048576,4,)</f>
        <v>#N/A</v>
      </c>
      <c r="C1193" s="524" t="s">
        <v>4419</v>
      </c>
      <c r="D1193" s="524" t="s">
        <v>4418</v>
      </c>
      <c r="E1193" s="524" t="s">
        <v>4417</v>
      </c>
      <c r="F1193" s="524" t="s">
        <v>4417</v>
      </c>
      <c r="G1193" s="524" t="s">
        <v>4417</v>
      </c>
      <c r="H1193" s="524" t="s">
        <v>4417</v>
      </c>
      <c r="I1193" s="524" t="s">
        <v>4418</v>
      </c>
      <c r="J1193" s="524" t="s">
        <v>4418</v>
      </c>
      <c r="K1193" s="524"/>
      <c r="L1193" s="524" t="s">
        <v>6590</v>
      </c>
      <c r="M1193" s="524" t="s">
        <v>6727</v>
      </c>
      <c r="N1193" s="524"/>
      <c r="O1193" s="524"/>
    </row>
    <row r="1194" spans="1:15" ht="43.5" hidden="1">
      <c r="A1194" s="525">
        <v>1251</v>
      </c>
      <c r="B1194" s="524" t="e">
        <f>VLOOKUP(A1194,'Hours Detail'!$E$17:$H$1048576,4,)</f>
        <v>#N/A</v>
      </c>
      <c r="C1194" s="524" t="s">
        <v>4416</v>
      </c>
      <c r="D1194" s="524" t="s">
        <v>4415</v>
      </c>
      <c r="E1194" s="524" t="s">
        <v>4414</v>
      </c>
      <c r="F1194" s="524" t="s">
        <v>4414</v>
      </c>
      <c r="G1194" s="524" t="s">
        <v>4414</v>
      </c>
      <c r="H1194" s="524" t="s">
        <v>4414</v>
      </c>
      <c r="I1194" s="524" t="s">
        <v>4415</v>
      </c>
      <c r="J1194" s="524" t="s">
        <v>4415</v>
      </c>
      <c r="K1194" s="524"/>
      <c r="L1194" s="524" t="s">
        <v>6590</v>
      </c>
      <c r="M1194" s="524" t="s">
        <v>6727</v>
      </c>
      <c r="N1194" s="524"/>
      <c r="O1194" s="524"/>
    </row>
    <row r="1195" spans="1:15" ht="43.5" hidden="1">
      <c r="A1195" s="525">
        <v>1252</v>
      </c>
      <c r="B1195" s="524" t="e">
        <f>VLOOKUP(A1195,'Hours Detail'!$E$17:$H$1048576,4,)</f>
        <v>#N/A</v>
      </c>
      <c r="C1195" s="524" t="s">
        <v>4413</v>
      </c>
      <c r="D1195" s="524" t="s">
        <v>4412</v>
      </c>
      <c r="E1195" s="524" t="s">
        <v>4411</v>
      </c>
      <c r="F1195" s="524" t="s">
        <v>4411</v>
      </c>
      <c r="G1195" s="524" t="s">
        <v>4411</v>
      </c>
      <c r="H1195" s="524" t="s">
        <v>4411</v>
      </c>
      <c r="I1195" s="524" t="s">
        <v>4412</v>
      </c>
      <c r="J1195" s="524" t="s">
        <v>4412</v>
      </c>
      <c r="K1195" s="524"/>
      <c r="L1195" s="524" t="s">
        <v>6590</v>
      </c>
      <c r="M1195" s="524" t="s">
        <v>6727</v>
      </c>
      <c r="N1195" s="524"/>
      <c r="O1195" s="524"/>
    </row>
    <row r="1196" spans="1:15" ht="58" hidden="1">
      <c r="A1196" s="525">
        <v>1254</v>
      </c>
      <c r="B1196" s="524" t="e">
        <f>VLOOKUP(A1196,'Hours Detail'!$E$17:$H$1048576,4,)</f>
        <v>#N/A</v>
      </c>
      <c r="C1196" s="524" t="s">
        <v>4407</v>
      </c>
      <c r="D1196" s="524" t="s">
        <v>4406</v>
      </c>
      <c r="E1196" s="524" t="s">
        <v>4405</v>
      </c>
      <c r="F1196" s="524" t="s">
        <v>4405</v>
      </c>
      <c r="G1196" s="524" t="s">
        <v>4405</v>
      </c>
      <c r="H1196" s="524" t="s">
        <v>4405</v>
      </c>
      <c r="I1196" s="524" t="s">
        <v>4406</v>
      </c>
      <c r="J1196" s="524" t="s">
        <v>4406</v>
      </c>
      <c r="K1196" s="524"/>
      <c r="L1196" s="524" t="s">
        <v>6590</v>
      </c>
      <c r="M1196" s="524" t="s">
        <v>6727</v>
      </c>
      <c r="N1196" s="524"/>
      <c r="O1196" s="524"/>
    </row>
    <row r="1197" spans="1:15" ht="43.5" hidden="1">
      <c r="A1197" s="525">
        <v>1256</v>
      </c>
      <c r="B1197" s="524" t="e">
        <f>VLOOKUP(A1197,'Hours Detail'!$E$17:$H$1048576,4,)</f>
        <v>#N/A</v>
      </c>
      <c r="C1197" s="524" t="s">
        <v>4401</v>
      </c>
      <c r="D1197" s="524" t="s">
        <v>4400</v>
      </c>
      <c r="E1197" s="524" t="s">
        <v>4399</v>
      </c>
      <c r="F1197" s="524" t="s">
        <v>4399</v>
      </c>
      <c r="G1197" s="524" t="s">
        <v>4399</v>
      </c>
      <c r="H1197" s="524" t="s">
        <v>4399</v>
      </c>
      <c r="I1197" s="524" t="s">
        <v>4400</v>
      </c>
      <c r="J1197" s="524" t="s">
        <v>4400</v>
      </c>
      <c r="K1197" s="524"/>
      <c r="L1197" s="524" t="s">
        <v>6590</v>
      </c>
      <c r="M1197" s="524" t="s">
        <v>6727</v>
      </c>
      <c r="N1197" s="524"/>
      <c r="O1197" s="524"/>
    </row>
    <row r="1198" spans="1:15" ht="43.5" hidden="1">
      <c r="A1198" s="525">
        <v>1257</v>
      </c>
      <c r="B1198" s="524" t="e">
        <f>VLOOKUP(A1198,'Hours Detail'!$E$17:$H$1048576,4,)</f>
        <v>#N/A</v>
      </c>
      <c r="C1198" s="524" t="s">
        <v>4398</v>
      </c>
      <c r="D1198" s="524" t="s">
        <v>4397</v>
      </c>
      <c r="E1198" s="524" t="s">
        <v>4396</v>
      </c>
      <c r="F1198" s="524" t="s">
        <v>4396</v>
      </c>
      <c r="G1198" s="524" t="s">
        <v>4396</v>
      </c>
      <c r="H1198" s="524" t="s">
        <v>4396</v>
      </c>
      <c r="I1198" s="524" t="s">
        <v>4397</v>
      </c>
      <c r="J1198" s="524" t="s">
        <v>4397</v>
      </c>
      <c r="K1198" s="524"/>
      <c r="L1198" s="524" t="s">
        <v>6590</v>
      </c>
      <c r="M1198" s="524" t="s">
        <v>6727</v>
      </c>
      <c r="N1198" s="524"/>
      <c r="O1198" s="524"/>
    </row>
    <row r="1199" spans="1:15" ht="58" hidden="1">
      <c r="A1199" s="525">
        <v>1258</v>
      </c>
      <c r="B1199" s="524" t="e">
        <f>VLOOKUP(A1199,'Hours Detail'!$E$17:$H$1048576,4,)</f>
        <v>#N/A</v>
      </c>
      <c r="C1199" s="524" t="s">
        <v>4435</v>
      </c>
      <c r="D1199" s="524" t="s">
        <v>4434</v>
      </c>
      <c r="E1199" s="524" t="s">
        <v>4433</v>
      </c>
      <c r="F1199" s="524" t="s">
        <v>4433</v>
      </c>
      <c r="G1199" s="524" t="s">
        <v>4433</v>
      </c>
      <c r="H1199" s="524" t="s">
        <v>4433</v>
      </c>
      <c r="I1199" s="524" t="s">
        <v>4434</v>
      </c>
      <c r="J1199" s="524" t="s">
        <v>4434</v>
      </c>
      <c r="K1199" s="524"/>
      <c r="L1199" s="524" t="s">
        <v>6590</v>
      </c>
      <c r="M1199" s="524" t="s">
        <v>6727</v>
      </c>
      <c r="N1199" s="524"/>
      <c r="O1199" s="524"/>
    </row>
    <row r="1200" spans="1:15" ht="130.5">
      <c r="A1200" s="525">
        <v>1259</v>
      </c>
      <c r="B1200" s="524" t="str">
        <f>VLOOKUP(A1200,'Hours Detail'!$E$17:$H$1048576,4,)</f>
        <v>No</v>
      </c>
      <c r="C1200" s="524" t="s">
        <v>4477</v>
      </c>
      <c r="D1200" s="524" t="s">
        <v>4476</v>
      </c>
      <c r="E1200" s="524" t="s">
        <v>4475</v>
      </c>
      <c r="F1200" s="524" t="s">
        <v>4475</v>
      </c>
      <c r="G1200" s="524" t="s">
        <v>4475</v>
      </c>
      <c r="H1200" s="524" t="s">
        <v>4475</v>
      </c>
      <c r="I1200" s="524" t="s">
        <v>4476</v>
      </c>
      <c r="J1200" s="524" t="s">
        <v>4476</v>
      </c>
      <c r="K1200" s="524"/>
      <c r="L1200" s="524" t="s">
        <v>6590</v>
      </c>
      <c r="M1200" s="524" t="s">
        <v>6591</v>
      </c>
      <c r="N1200" s="524" t="s">
        <v>7442</v>
      </c>
      <c r="O1200" s="524"/>
    </row>
    <row r="1201" spans="1:15" ht="43.5" hidden="1">
      <c r="A1201" s="525">
        <v>1260</v>
      </c>
      <c r="B1201" s="524" t="str">
        <f>VLOOKUP(A1201,'Hours Detail'!$E$17:$H$1048576,4,)</f>
        <v>No</v>
      </c>
      <c r="C1201" s="524" t="s">
        <v>4508</v>
      </c>
      <c r="D1201" s="524" t="s">
        <v>4507</v>
      </c>
      <c r="E1201" s="524" t="s">
        <v>4506</v>
      </c>
      <c r="F1201" s="524" t="s">
        <v>4506</v>
      </c>
      <c r="G1201" s="524" t="s">
        <v>4506</v>
      </c>
      <c r="H1201" s="524" t="s">
        <v>4506</v>
      </c>
      <c r="I1201" s="524" t="s">
        <v>4507</v>
      </c>
      <c r="J1201" s="524" t="s">
        <v>4507</v>
      </c>
      <c r="K1201" s="524"/>
      <c r="L1201" s="524" t="s">
        <v>6590</v>
      </c>
      <c r="M1201" s="524" t="s">
        <v>6592</v>
      </c>
      <c r="N1201" s="524" t="s">
        <v>7443</v>
      </c>
      <c r="O1201" s="524"/>
    </row>
    <row r="1202" spans="1:15" ht="130.5">
      <c r="A1202" s="525">
        <v>1261</v>
      </c>
      <c r="B1202" s="524" t="str">
        <f>VLOOKUP(A1202,'Hours Detail'!$E$17:$H$1048576,4,)</f>
        <v>No</v>
      </c>
      <c r="C1202" s="524" t="s">
        <v>3896</v>
      </c>
      <c r="D1202" s="524" t="s">
        <v>3895</v>
      </c>
      <c r="E1202" s="524" t="s">
        <v>3895</v>
      </c>
      <c r="F1202" s="524" t="s">
        <v>3895</v>
      </c>
      <c r="G1202" s="524" t="s">
        <v>3895</v>
      </c>
      <c r="H1202" s="524" t="s">
        <v>3895</v>
      </c>
      <c r="I1202" s="524" t="s">
        <v>3895</v>
      </c>
      <c r="J1202" s="524" t="s">
        <v>3895</v>
      </c>
      <c r="K1202" s="524"/>
      <c r="L1202" s="524" t="s">
        <v>6590</v>
      </c>
      <c r="M1202" s="524" t="s">
        <v>5878</v>
      </c>
      <c r="N1202" s="524" t="s">
        <v>7444</v>
      </c>
      <c r="O1202" s="524"/>
    </row>
    <row r="1203" spans="1:15" ht="72.5" hidden="1">
      <c r="A1203" s="525">
        <v>1262</v>
      </c>
      <c r="B1203" s="524" t="str">
        <f>VLOOKUP(A1203,'Hours Detail'!$E$17:$H$1048576,4,)</f>
        <v>No</v>
      </c>
      <c r="C1203" s="524" t="s">
        <v>4132</v>
      </c>
      <c r="D1203" s="524" t="s">
        <v>7445</v>
      </c>
      <c r="E1203" s="524" t="s">
        <v>7445</v>
      </c>
      <c r="F1203" s="524" t="s">
        <v>7445</v>
      </c>
      <c r="G1203" s="524" t="s">
        <v>7445</v>
      </c>
      <c r="H1203" s="524" t="s">
        <v>7445</v>
      </c>
      <c r="I1203" s="524" t="s">
        <v>7445</v>
      </c>
      <c r="J1203" s="524" t="s">
        <v>7445</v>
      </c>
      <c r="K1203" s="524"/>
      <c r="L1203" s="524" t="s">
        <v>6590</v>
      </c>
      <c r="M1203" s="524" t="s">
        <v>6592</v>
      </c>
      <c r="N1203" s="524" t="s">
        <v>7446</v>
      </c>
      <c r="O1203" s="524"/>
    </row>
    <row r="1204" spans="1:15" ht="43.5" hidden="1">
      <c r="A1204" s="525">
        <v>1263</v>
      </c>
      <c r="B1204" s="524" t="e">
        <f>VLOOKUP(A1204,'Hours Detail'!$E$17:$H$1048576,4,)</f>
        <v>#N/A</v>
      </c>
      <c r="C1204" s="524" t="s">
        <v>3776</v>
      </c>
      <c r="D1204" s="524" t="s">
        <v>1568</v>
      </c>
      <c r="E1204" s="524" t="s">
        <v>3775</v>
      </c>
      <c r="F1204" s="524" t="s">
        <v>3775</v>
      </c>
      <c r="G1204" s="524" t="s">
        <v>3775</v>
      </c>
      <c r="H1204" s="524" t="s">
        <v>3775</v>
      </c>
      <c r="I1204" s="524" t="s">
        <v>1568</v>
      </c>
      <c r="J1204" s="524" t="s">
        <v>7447</v>
      </c>
      <c r="K1204" s="524"/>
      <c r="L1204" s="524" t="s">
        <v>6590</v>
      </c>
      <c r="M1204" s="524" t="s">
        <v>6591</v>
      </c>
      <c r="N1204" s="524" t="s">
        <v>7448</v>
      </c>
      <c r="O1204" s="524"/>
    </row>
    <row r="1205" spans="1:15" ht="101.5">
      <c r="A1205" s="525">
        <v>1264</v>
      </c>
      <c r="B1205" s="524" t="str">
        <f>VLOOKUP(A1205,'Hours Detail'!$E$17:$H$1048576,4,)</f>
        <v>No</v>
      </c>
      <c r="C1205" s="524" t="s">
        <v>4687</v>
      </c>
      <c r="D1205" s="524" t="s">
        <v>4686</v>
      </c>
      <c r="E1205" s="524" t="s">
        <v>4685</v>
      </c>
      <c r="F1205" s="524" t="s">
        <v>4685</v>
      </c>
      <c r="G1205" s="524" t="s">
        <v>4685</v>
      </c>
      <c r="H1205" s="524" t="s">
        <v>4685</v>
      </c>
      <c r="I1205" s="524" t="s">
        <v>7449</v>
      </c>
      <c r="J1205" s="524" t="s">
        <v>4686</v>
      </c>
      <c r="K1205" s="524"/>
      <c r="L1205" s="524" t="s">
        <v>6590</v>
      </c>
      <c r="M1205" s="524" t="s">
        <v>6592</v>
      </c>
      <c r="N1205" s="524" t="s">
        <v>7450</v>
      </c>
      <c r="O1205" s="524"/>
    </row>
    <row r="1206" spans="1:15" ht="43.5" hidden="1">
      <c r="A1206" s="525">
        <v>1265</v>
      </c>
      <c r="B1206" s="524" t="str">
        <f>VLOOKUP(A1206,'Hours Detail'!$E$17:$H$1048576,4,)</f>
        <v>No</v>
      </c>
      <c r="C1206" s="524" t="s">
        <v>4594</v>
      </c>
      <c r="D1206" s="524" t="s">
        <v>4593</v>
      </c>
      <c r="E1206" s="524" t="s">
        <v>4592</v>
      </c>
      <c r="F1206" s="524" t="s">
        <v>4592</v>
      </c>
      <c r="G1206" s="524" t="s">
        <v>4592</v>
      </c>
      <c r="H1206" s="524" t="s">
        <v>4592</v>
      </c>
      <c r="I1206" s="524" t="s">
        <v>4593</v>
      </c>
      <c r="J1206" s="524" t="s">
        <v>4593</v>
      </c>
      <c r="K1206" s="524"/>
      <c r="L1206" s="524" t="s">
        <v>6590</v>
      </c>
      <c r="M1206" s="524" t="s">
        <v>6592</v>
      </c>
      <c r="N1206" s="524" t="s">
        <v>7451</v>
      </c>
      <c r="O1206" s="524"/>
    </row>
    <row r="1207" spans="1:15" ht="43.5" hidden="1">
      <c r="A1207" s="525">
        <v>1266</v>
      </c>
      <c r="B1207" s="524" t="e">
        <f>VLOOKUP(A1207,'Hours Detail'!$E$17:$H$1048576,4,)</f>
        <v>#N/A</v>
      </c>
      <c r="C1207" s="524" t="s">
        <v>3774</v>
      </c>
      <c r="D1207" s="524" t="s">
        <v>3773</v>
      </c>
      <c r="E1207" s="524" t="s">
        <v>3772</v>
      </c>
      <c r="F1207" s="524" t="s">
        <v>3772</v>
      </c>
      <c r="G1207" s="524" t="s">
        <v>3772</v>
      </c>
      <c r="H1207" s="524" t="s">
        <v>3772</v>
      </c>
      <c r="I1207" s="524" t="s">
        <v>3773</v>
      </c>
      <c r="J1207" s="524" t="s">
        <v>3773</v>
      </c>
      <c r="K1207" s="524"/>
      <c r="L1207" s="524" t="s">
        <v>6590</v>
      </c>
      <c r="M1207" s="524" t="s">
        <v>6591</v>
      </c>
      <c r="N1207" s="524" t="s">
        <v>7452</v>
      </c>
      <c r="O1207" s="524"/>
    </row>
    <row r="1208" spans="1:15" ht="87" hidden="1">
      <c r="A1208" s="525">
        <v>1267</v>
      </c>
      <c r="B1208" s="524" t="e">
        <f>VLOOKUP(A1208,'Hours Detail'!$E$17:$H$1048576,4,)</f>
        <v>#N/A</v>
      </c>
      <c r="C1208" s="524" t="s">
        <v>4537</v>
      </c>
      <c r="D1208" s="524" t="s">
        <v>4536</v>
      </c>
      <c r="E1208" s="524" t="s">
        <v>4535</v>
      </c>
      <c r="F1208" s="524" t="s">
        <v>4535</v>
      </c>
      <c r="G1208" s="524" t="s">
        <v>4535</v>
      </c>
      <c r="H1208" s="524" t="s">
        <v>4535</v>
      </c>
      <c r="I1208" s="524" t="s">
        <v>7453</v>
      </c>
      <c r="J1208" s="524" t="s">
        <v>4536</v>
      </c>
      <c r="K1208" s="524"/>
      <c r="L1208" s="524" t="s">
        <v>6590</v>
      </c>
      <c r="M1208" s="524" t="s">
        <v>6592</v>
      </c>
      <c r="N1208" s="524" t="s">
        <v>7454</v>
      </c>
      <c r="O1208" s="524"/>
    </row>
    <row r="1209" spans="1:15" ht="58" hidden="1">
      <c r="A1209" s="525">
        <v>1268</v>
      </c>
      <c r="B1209" s="524" t="str">
        <f>VLOOKUP(A1209,'Hours Detail'!$E$17:$H$1048576,4,)</f>
        <v>No</v>
      </c>
      <c r="C1209" s="524" t="s">
        <v>4600</v>
      </c>
      <c r="D1209" s="524" t="s">
        <v>4599</v>
      </c>
      <c r="E1209" s="524" t="s">
        <v>4598</v>
      </c>
      <c r="F1209" s="524" t="s">
        <v>4598</v>
      </c>
      <c r="G1209" s="524" t="s">
        <v>4598</v>
      </c>
      <c r="H1209" s="524" t="s">
        <v>4598</v>
      </c>
      <c r="I1209" s="524" t="s">
        <v>4599</v>
      </c>
      <c r="J1209" s="524" t="s">
        <v>4599</v>
      </c>
      <c r="K1209" s="524"/>
      <c r="L1209" s="524" t="s">
        <v>6590</v>
      </c>
      <c r="M1209" s="524" t="s">
        <v>6592</v>
      </c>
      <c r="N1209" s="524" t="s">
        <v>7455</v>
      </c>
      <c r="O1209" s="524"/>
    </row>
    <row r="1210" spans="1:15" ht="58" hidden="1">
      <c r="A1210" s="525">
        <v>1269</v>
      </c>
      <c r="B1210" s="524" t="str">
        <f>VLOOKUP(A1210,'Hours Detail'!$E$17:$H$1048576,4,)</f>
        <v>No</v>
      </c>
      <c r="C1210" s="524" t="s">
        <v>4505</v>
      </c>
      <c r="D1210" s="524" t="s">
        <v>4504</v>
      </c>
      <c r="E1210" s="524" t="s">
        <v>4503</v>
      </c>
      <c r="F1210" s="524" t="s">
        <v>4503</v>
      </c>
      <c r="G1210" s="524" t="s">
        <v>4503</v>
      </c>
      <c r="H1210" s="524" t="s">
        <v>4503</v>
      </c>
      <c r="I1210" s="524" t="s">
        <v>4504</v>
      </c>
      <c r="J1210" s="524" t="s">
        <v>4504</v>
      </c>
      <c r="K1210" s="524"/>
      <c r="L1210" s="524" t="s">
        <v>6590</v>
      </c>
      <c r="M1210" s="524" t="s">
        <v>6592</v>
      </c>
      <c r="N1210" s="524" t="s">
        <v>7456</v>
      </c>
      <c r="O1210" s="524"/>
    </row>
    <row r="1211" spans="1:15" ht="101.5">
      <c r="A1211" s="525">
        <v>1270</v>
      </c>
      <c r="B1211" s="524" t="str">
        <f>VLOOKUP(A1211,'Hours Detail'!$E$17:$H$1048576,4,)</f>
        <v>No</v>
      </c>
      <c r="C1211" s="524" t="s">
        <v>3802</v>
      </c>
      <c r="D1211" s="524" t="s">
        <v>3801</v>
      </c>
      <c r="E1211" s="524" t="s">
        <v>3800</v>
      </c>
      <c r="F1211" s="524" t="s">
        <v>3800</v>
      </c>
      <c r="G1211" s="524" t="s">
        <v>3800</v>
      </c>
      <c r="H1211" s="524" t="s">
        <v>3800</v>
      </c>
      <c r="I1211" s="524" t="s">
        <v>7457</v>
      </c>
      <c r="J1211" s="524" t="s">
        <v>7458</v>
      </c>
      <c r="K1211" s="524"/>
      <c r="L1211" s="524" t="s">
        <v>6590</v>
      </c>
      <c r="M1211" s="524" t="s">
        <v>6591</v>
      </c>
      <c r="N1211" s="524" t="s">
        <v>7459</v>
      </c>
      <c r="O1211" s="524"/>
    </row>
    <row r="1212" spans="1:15" ht="72.5">
      <c r="A1212" s="525">
        <v>1271</v>
      </c>
      <c r="B1212" s="524" t="str">
        <f>VLOOKUP(A1212,'Hours Detail'!$E$17:$H$1048576,4,)</f>
        <v>No</v>
      </c>
      <c r="C1212" s="524" t="s">
        <v>3847</v>
      </c>
      <c r="D1212" s="524" t="s">
        <v>3846</v>
      </c>
      <c r="E1212" s="524" t="s">
        <v>3845</v>
      </c>
      <c r="F1212" s="524" t="s">
        <v>3845</v>
      </c>
      <c r="G1212" s="524" t="s">
        <v>3845</v>
      </c>
      <c r="H1212" s="524" t="s">
        <v>3845</v>
      </c>
      <c r="I1212" s="524" t="s">
        <v>7460</v>
      </c>
      <c r="J1212" s="524" t="s">
        <v>7461</v>
      </c>
      <c r="K1212" s="524"/>
      <c r="L1212" s="524" t="s">
        <v>6590</v>
      </c>
      <c r="M1212" s="524" t="s">
        <v>6591</v>
      </c>
      <c r="N1212" s="524" t="s">
        <v>7462</v>
      </c>
      <c r="O1212" s="524"/>
    </row>
    <row r="1213" spans="1:15" ht="43.5" hidden="1">
      <c r="A1213" s="525">
        <v>1272</v>
      </c>
      <c r="B1213" s="524" t="e">
        <f>VLOOKUP(A1213,'Hours Detail'!$E$17:$H$1048576,4,)</f>
        <v>#N/A</v>
      </c>
      <c r="C1213" s="524" t="s">
        <v>4470</v>
      </c>
      <c r="D1213" s="524" t="s">
        <v>4469</v>
      </c>
      <c r="E1213" s="524" t="s">
        <v>4468</v>
      </c>
      <c r="F1213" s="524" t="s">
        <v>4468</v>
      </c>
      <c r="G1213" s="524" t="s">
        <v>4468</v>
      </c>
      <c r="H1213" s="524" t="s">
        <v>4468</v>
      </c>
      <c r="I1213" s="524" t="s">
        <v>4469</v>
      </c>
      <c r="J1213" s="524" t="s">
        <v>4469</v>
      </c>
      <c r="K1213" s="524"/>
      <c r="L1213" s="524" t="s">
        <v>6590</v>
      </c>
      <c r="M1213" s="524" t="s">
        <v>6727</v>
      </c>
      <c r="N1213" s="524"/>
      <c r="O1213" s="524"/>
    </row>
    <row r="1214" spans="1:15" ht="87" hidden="1">
      <c r="A1214" s="525">
        <v>1273</v>
      </c>
      <c r="B1214" s="524" t="str">
        <f>VLOOKUP(A1214,'Hours Detail'!$E$17:$H$1048576,4,)</f>
        <v>No</v>
      </c>
      <c r="C1214" s="524" t="s">
        <v>4641</v>
      </c>
      <c r="D1214" s="524" t="s">
        <v>4640</v>
      </c>
      <c r="E1214" s="524" t="s">
        <v>7463</v>
      </c>
      <c r="F1214" s="524" t="s">
        <v>7463</v>
      </c>
      <c r="G1214" s="524" t="s">
        <v>7463</v>
      </c>
      <c r="H1214" s="524" t="s">
        <v>7463</v>
      </c>
      <c r="I1214" s="524" t="s">
        <v>7464</v>
      </c>
      <c r="J1214" s="524" t="s">
        <v>4640</v>
      </c>
      <c r="K1214" s="524"/>
      <c r="L1214" s="524" t="s">
        <v>6590</v>
      </c>
      <c r="M1214" s="524" t="s">
        <v>6592</v>
      </c>
      <c r="N1214" s="524" t="s">
        <v>7465</v>
      </c>
      <c r="O1214" s="524"/>
    </row>
    <row r="1215" spans="1:15" ht="58" hidden="1">
      <c r="A1215" s="525">
        <v>1274</v>
      </c>
      <c r="B1215" s="524" t="e">
        <f>VLOOKUP(A1215,'Hours Detail'!$E$17:$H$1048576,4,)</f>
        <v>#N/A</v>
      </c>
      <c r="C1215" s="524" t="s">
        <v>1569</v>
      </c>
      <c r="D1215" s="524" t="s">
        <v>1570</v>
      </c>
      <c r="E1215" s="524" t="s">
        <v>1571</v>
      </c>
      <c r="F1215" s="524" t="s">
        <v>1571</v>
      </c>
      <c r="G1215" s="524" t="s">
        <v>1571</v>
      </c>
      <c r="H1215" s="524" t="s">
        <v>1571</v>
      </c>
      <c r="I1215" s="524" t="s">
        <v>7466</v>
      </c>
      <c r="J1215" s="524" t="s">
        <v>7467</v>
      </c>
      <c r="K1215" s="524" t="s">
        <v>6359</v>
      </c>
      <c r="L1215" s="524" t="s">
        <v>6590</v>
      </c>
      <c r="M1215" s="524" t="s">
        <v>6591</v>
      </c>
      <c r="N1215" s="524" t="s">
        <v>7468</v>
      </c>
      <c r="O1215" s="524"/>
    </row>
    <row r="1216" spans="1:15" ht="87" hidden="1">
      <c r="A1216" s="527">
        <v>1274</v>
      </c>
      <c r="B1216" s="524" t="e">
        <f>VLOOKUP(A1216,'Hours Detail'!$E$17:$H$1048576,4,)</f>
        <v>#N/A</v>
      </c>
      <c r="C1216" s="527" t="s">
        <v>1569</v>
      </c>
      <c r="D1216" s="527" t="s">
        <v>1568</v>
      </c>
      <c r="E1216" s="527" t="s">
        <v>1570</v>
      </c>
      <c r="F1216" s="527" t="s">
        <v>1571</v>
      </c>
      <c r="G1216" s="527">
        <v>693</v>
      </c>
      <c r="H1216" s="527" t="s">
        <v>1568</v>
      </c>
      <c r="I1216" s="527" t="s">
        <v>1568</v>
      </c>
      <c r="J1216" s="527" t="s">
        <v>2890</v>
      </c>
      <c r="K1216" s="527" t="s">
        <v>2889</v>
      </c>
      <c r="L1216" s="527" t="s">
        <v>7469</v>
      </c>
      <c r="M1216" s="524"/>
      <c r="N1216" s="524"/>
      <c r="O1216" s="524"/>
    </row>
    <row r="1217" spans="1:15" ht="145" hidden="1">
      <c r="A1217" s="525">
        <v>1275</v>
      </c>
      <c r="B1217" s="524" t="str">
        <f>VLOOKUP(A1217,'Hours Detail'!$E$17:$H$1048576,4,)</f>
        <v>No</v>
      </c>
      <c r="C1217" s="524" t="s">
        <v>3745</v>
      </c>
      <c r="D1217" s="524" t="s">
        <v>3744</v>
      </c>
      <c r="E1217" s="524" t="s">
        <v>3743</v>
      </c>
      <c r="F1217" s="524" t="s">
        <v>3743</v>
      </c>
      <c r="G1217" s="524" t="s">
        <v>3743</v>
      </c>
      <c r="H1217" s="524" t="s">
        <v>3743</v>
      </c>
      <c r="I1217" s="524" t="s">
        <v>3744</v>
      </c>
      <c r="J1217" s="524" t="s">
        <v>3744</v>
      </c>
      <c r="K1217" s="524"/>
      <c r="L1217" s="524" t="s">
        <v>6590</v>
      </c>
      <c r="M1217" s="524" t="s">
        <v>5878</v>
      </c>
      <c r="N1217" s="524" t="s">
        <v>7470</v>
      </c>
      <c r="O1217" s="524"/>
    </row>
    <row r="1218" spans="1:15" ht="29" hidden="1">
      <c r="A1218" s="525">
        <v>1276</v>
      </c>
      <c r="B1218" s="524" t="e">
        <f>VLOOKUP(A1218,'Hours Detail'!$E$17:$H$1048576,4,)</f>
        <v>#N/A</v>
      </c>
      <c r="C1218" s="524" t="s">
        <v>4455</v>
      </c>
      <c r="D1218" s="524" t="s">
        <v>4455</v>
      </c>
      <c r="E1218" s="524" t="s">
        <v>4455</v>
      </c>
      <c r="F1218" s="524" t="s">
        <v>4455</v>
      </c>
      <c r="G1218" s="524" t="s">
        <v>4455</v>
      </c>
      <c r="H1218" s="524" t="s">
        <v>4455</v>
      </c>
      <c r="I1218" s="524" t="s">
        <v>4455</v>
      </c>
      <c r="J1218" s="524" t="s">
        <v>4455</v>
      </c>
      <c r="K1218" s="524"/>
      <c r="L1218" s="524" t="s">
        <v>6590</v>
      </c>
      <c r="M1218" s="524" t="s">
        <v>6727</v>
      </c>
      <c r="N1218" s="524"/>
      <c r="O1218" s="524"/>
    </row>
    <row r="1219" spans="1:15" ht="43.5">
      <c r="A1219" s="525">
        <v>1277</v>
      </c>
      <c r="B1219" s="524" t="str">
        <f>VLOOKUP(A1219,'Hours Detail'!$E$17:$H$1048576,4,)</f>
        <v>No</v>
      </c>
      <c r="C1219" s="524" t="s">
        <v>3696</v>
      </c>
      <c r="D1219" s="524" t="s">
        <v>3695</v>
      </c>
      <c r="E1219" s="524" t="s">
        <v>3694</v>
      </c>
      <c r="F1219" s="524" t="s">
        <v>3694</v>
      </c>
      <c r="G1219" s="524" t="s">
        <v>3694</v>
      </c>
      <c r="H1219" s="524" t="s">
        <v>3694</v>
      </c>
      <c r="I1219" s="524" t="s">
        <v>3695</v>
      </c>
      <c r="J1219" s="524" t="s">
        <v>3695</v>
      </c>
      <c r="K1219" s="524"/>
      <c r="L1219" s="524" t="s">
        <v>6590</v>
      </c>
      <c r="M1219" s="524" t="s">
        <v>6592</v>
      </c>
      <c r="N1219" s="524" t="s">
        <v>7471</v>
      </c>
      <c r="O1219" s="524"/>
    </row>
    <row r="1220" spans="1:15" ht="116" hidden="1">
      <c r="A1220" s="525">
        <v>1278</v>
      </c>
      <c r="B1220" s="524" t="str">
        <f>VLOOKUP(A1220,'Hours Detail'!$E$17:$H$1048576,4,)</f>
        <v>No</v>
      </c>
      <c r="C1220" s="524" t="s">
        <v>3756</v>
      </c>
      <c r="D1220" s="524" t="s">
        <v>7472</v>
      </c>
      <c r="E1220" s="524" t="s">
        <v>3754</v>
      </c>
      <c r="F1220" s="524" t="s">
        <v>3754</v>
      </c>
      <c r="G1220" s="524" t="s">
        <v>3754</v>
      </c>
      <c r="H1220" s="524" t="s">
        <v>3754</v>
      </c>
      <c r="I1220" s="524" t="s">
        <v>7472</v>
      </c>
      <c r="J1220" s="524" t="s">
        <v>7472</v>
      </c>
      <c r="K1220" s="524"/>
      <c r="L1220" s="524" t="s">
        <v>6590</v>
      </c>
      <c r="M1220" s="524" t="s">
        <v>6592</v>
      </c>
      <c r="N1220" s="524" t="s">
        <v>7473</v>
      </c>
      <c r="O1220" s="524"/>
    </row>
    <row r="1221" spans="1:15" ht="130.5" hidden="1">
      <c r="A1221" s="525">
        <v>1279</v>
      </c>
      <c r="B1221" s="524" t="str">
        <f>VLOOKUP(A1221,'Hours Detail'!$E$17:$H$1048576,4,)</f>
        <v>No</v>
      </c>
      <c r="C1221" s="524" t="s">
        <v>3749</v>
      </c>
      <c r="D1221" s="524" t="s">
        <v>3748</v>
      </c>
      <c r="E1221" s="524" t="s">
        <v>3747</v>
      </c>
      <c r="F1221" s="524" t="s">
        <v>3747</v>
      </c>
      <c r="G1221" s="524" t="s">
        <v>3747</v>
      </c>
      <c r="H1221" s="524" t="s">
        <v>3747</v>
      </c>
      <c r="I1221" s="524" t="s">
        <v>7474</v>
      </c>
      <c r="J1221" s="524" t="s">
        <v>3748</v>
      </c>
      <c r="K1221" s="524"/>
      <c r="L1221" s="524" t="s">
        <v>6590</v>
      </c>
      <c r="M1221" s="524" t="s">
        <v>5878</v>
      </c>
      <c r="N1221" s="524" t="s">
        <v>7475</v>
      </c>
      <c r="O1221" s="524"/>
    </row>
    <row r="1222" spans="1:15" ht="72.5" hidden="1">
      <c r="A1222" s="525">
        <v>1280</v>
      </c>
      <c r="B1222" s="524" t="str">
        <f>VLOOKUP(A1222,'Hours Detail'!$E$17:$H$1048576,4,)</f>
        <v>No</v>
      </c>
      <c r="C1222" s="524" t="s">
        <v>4597</v>
      </c>
      <c r="D1222" s="524" t="s">
        <v>4596</v>
      </c>
      <c r="E1222" s="524" t="s">
        <v>4595</v>
      </c>
      <c r="F1222" s="524" t="s">
        <v>4595</v>
      </c>
      <c r="G1222" s="524" t="s">
        <v>4595</v>
      </c>
      <c r="H1222" s="524" t="s">
        <v>4595</v>
      </c>
      <c r="I1222" s="524" t="s">
        <v>7476</v>
      </c>
      <c r="J1222" s="524" t="s">
        <v>4596</v>
      </c>
      <c r="K1222" s="524"/>
      <c r="L1222" s="524" t="s">
        <v>6590</v>
      </c>
      <c r="M1222" s="524" t="s">
        <v>6592</v>
      </c>
      <c r="N1222" s="524" t="s">
        <v>7477</v>
      </c>
      <c r="O1222" s="524"/>
    </row>
    <row r="1223" spans="1:15" ht="58" hidden="1">
      <c r="A1223" s="525">
        <v>1281</v>
      </c>
      <c r="B1223" s="524" t="str">
        <f>VLOOKUP(A1223,'Hours Detail'!$E$17:$H$1048576,4,)</f>
        <v>No</v>
      </c>
      <c r="C1223" s="524" t="s">
        <v>3783</v>
      </c>
      <c r="D1223" s="524" t="s">
        <v>3782</v>
      </c>
      <c r="E1223" s="524" t="s">
        <v>3781</v>
      </c>
      <c r="F1223" s="524" t="s">
        <v>3781</v>
      </c>
      <c r="G1223" s="524" t="s">
        <v>3781</v>
      </c>
      <c r="H1223" s="524" t="s">
        <v>3781</v>
      </c>
      <c r="I1223" s="524" t="s">
        <v>3782</v>
      </c>
      <c r="J1223" s="524" t="s">
        <v>3782</v>
      </c>
      <c r="K1223" s="524"/>
      <c r="L1223" s="524" t="s">
        <v>6590</v>
      </c>
      <c r="M1223" s="524" t="s">
        <v>6592</v>
      </c>
      <c r="N1223" s="524" t="s">
        <v>7478</v>
      </c>
      <c r="O1223" s="524"/>
    </row>
    <row r="1224" spans="1:15" ht="145" hidden="1">
      <c r="A1224" s="525">
        <v>1282</v>
      </c>
      <c r="B1224" s="524" t="e">
        <f>VLOOKUP(A1224,'Hours Detail'!$E$17:$H$1048576,4,)</f>
        <v>#N/A</v>
      </c>
      <c r="C1224" s="524" t="s">
        <v>4583</v>
      </c>
      <c r="D1224" s="524" t="s">
        <v>4582</v>
      </c>
      <c r="E1224" s="524" t="s">
        <v>4581</v>
      </c>
      <c r="F1224" s="524" t="s">
        <v>4581</v>
      </c>
      <c r="G1224" s="524" t="s">
        <v>4581</v>
      </c>
      <c r="H1224" s="524" t="s">
        <v>4581</v>
      </c>
      <c r="I1224" s="524" t="s">
        <v>7479</v>
      </c>
      <c r="J1224" s="524" t="s">
        <v>4582</v>
      </c>
      <c r="K1224" s="524"/>
      <c r="L1224" s="524" t="s">
        <v>6590</v>
      </c>
      <c r="M1224" s="524" t="s">
        <v>5878</v>
      </c>
      <c r="N1224" s="524" t="s">
        <v>7480</v>
      </c>
      <c r="O1224" s="524"/>
    </row>
    <row r="1225" spans="1:15" ht="145" hidden="1">
      <c r="A1225" s="525">
        <v>1283</v>
      </c>
      <c r="B1225" s="524" t="str">
        <f>VLOOKUP(A1225,'Hours Detail'!$E$17:$H$1048576,4,)</f>
        <v>No</v>
      </c>
      <c r="C1225" s="524" t="s">
        <v>4580</v>
      </c>
      <c r="D1225" s="524" t="s">
        <v>4579</v>
      </c>
      <c r="E1225" s="524" t="s">
        <v>4578</v>
      </c>
      <c r="F1225" s="524" t="s">
        <v>4578</v>
      </c>
      <c r="G1225" s="524" t="s">
        <v>4578</v>
      </c>
      <c r="H1225" s="524" t="s">
        <v>4578</v>
      </c>
      <c r="I1225" s="524" t="s">
        <v>7481</v>
      </c>
      <c r="J1225" s="524" t="s">
        <v>4579</v>
      </c>
      <c r="K1225" s="524"/>
      <c r="L1225" s="524" t="s">
        <v>6590</v>
      </c>
      <c r="M1225" s="524" t="s">
        <v>5878</v>
      </c>
      <c r="N1225" s="524" t="s">
        <v>7482</v>
      </c>
      <c r="O1225" s="524"/>
    </row>
    <row r="1226" spans="1:15" ht="87">
      <c r="A1226" s="525">
        <v>1284</v>
      </c>
      <c r="B1226" s="524" t="str">
        <f>VLOOKUP(A1226,'Hours Detail'!$E$17:$H$1048576,4,)</f>
        <v>No</v>
      </c>
      <c r="C1226" s="524" t="s">
        <v>3768</v>
      </c>
      <c r="D1226" s="524" t="s">
        <v>3767</v>
      </c>
      <c r="E1226" s="524" t="s">
        <v>3766</v>
      </c>
      <c r="F1226" s="524" t="s">
        <v>3766</v>
      </c>
      <c r="G1226" s="524" t="s">
        <v>3766</v>
      </c>
      <c r="H1226" s="524" t="s">
        <v>3766</v>
      </c>
      <c r="I1226" s="524" t="s">
        <v>3767</v>
      </c>
      <c r="J1226" s="524" t="s">
        <v>3767</v>
      </c>
      <c r="K1226" s="524"/>
      <c r="L1226" s="524" t="s">
        <v>6590</v>
      </c>
      <c r="M1226" s="524" t="s">
        <v>7398</v>
      </c>
      <c r="N1226" s="524" t="s">
        <v>7483</v>
      </c>
      <c r="O1226" s="524"/>
    </row>
    <row r="1227" spans="1:15" ht="58" hidden="1">
      <c r="A1227" s="525">
        <v>1285</v>
      </c>
      <c r="B1227" s="524" t="str">
        <f>VLOOKUP(A1227,'Hours Detail'!$E$17:$H$1048576,4,)</f>
        <v>No</v>
      </c>
      <c r="C1227" s="524" t="s">
        <v>4574</v>
      </c>
      <c r="D1227" s="524" t="s">
        <v>4573</v>
      </c>
      <c r="E1227" s="524" t="s">
        <v>4572</v>
      </c>
      <c r="F1227" s="524" t="s">
        <v>4572</v>
      </c>
      <c r="G1227" s="524" t="s">
        <v>4572</v>
      </c>
      <c r="H1227" s="524" t="s">
        <v>4572</v>
      </c>
      <c r="I1227" s="524" t="s">
        <v>4573</v>
      </c>
      <c r="J1227" s="524" t="s">
        <v>4573</v>
      </c>
      <c r="K1227" s="524"/>
      <c r="L1227" s="524" t="s">
        <v>6590</v>
      </c>
      <c r="M1227" s="524" t="s">
        <v>7398</v>
      </c>
      <c r="N1227" s="524" t="s">
        <v>7484</v>
      </c>
      <c r="O1227" s="524"/>
    </row>
    <row r="1228" spans="1:15" ht="87">
      <c r="A1228" s="525">
        <v>1286</v>
      </c>
      <c r="B1228" s="524" t="str">
        <f>VLOOKUP(A1228,'Hours Detail'!$E$17:$H$1048576,4,)</f>
        <v>No</v>
      </c>
      <c r="C1228" s="524" t="s">
        <v>3693</v>
      </c>
      <c r="D1228" s="524" t="s">
        <v>3692</v>
      </c>
      <c r="E1228" s="524" t="s">
        <v>3691</v>
      </c>
      <c r="F1228" s="524" t="s">
        <v>3691</v>
      </c>
      <c r="G1228" s="524" t="s">
        <v>3691</v>
      </c>
      <c r="H1228" s="524" t="s">
        <v>3691</v>
      </c>
      <c r="I1228" s="524" t="s">
        <v>7485</v>
      </c>
      <c r="J1228" s="524" t="s">
        <v>3692</v>
      </c>
      <c r="K1228" s="524"/>
      <c r="L1228" s="524" t="s">
        <v>6590</v>
      </c>
      <c r="M1228" s="524" t="s">
        <v>6592</v>
      </c>
      <c r="N1228" s="524" t="s">
        <v>7486</v>
      </c>
      <c r="O1228" s="524"/>
    </row>
    <row r="1229" spans="1:15" ht="101.5" hidden="1">
      <c r="A1229" s="525">
        <v>1287</v>
      </c>
      <c r="B1229" s="524" t="str">
        <f>VLOOKUP(A1229,'Hours Detail'!$E$17:$H$1048576,4,)</f>
        <v>No</v>
      </c>
      <c r="C1229" s="524" t="s">
        <v>4635</v>
      </c>
      <c r="D1229" s="524" t="s">
        <v>4634</v>
      </c>
      <c r="E1229" s="524" t="s">
        <v>4633</v>
      </c>
      <c r="F1229" s="524" t="s">
        <v>4633</v>
      </c>
      <c r="G1229" s="524" t="s">
        <v>4633</v>
      </c>
      <c r="H1229" s="524" t="s">
        <v>4633</v>
      </c>
      <c r="I1229" s="524" t="s">
        <v>4634</v>
      </c>
      <c r="J1229" s="524" t="s">
        <v>4634</v>
      </c>
      <c r="K1229" s="524"/>
      <c r="L1229" s="524" t="s">
        <v>6590</v>
      </c>
      <c r="M1229" s="524" t="s">
        <v>6592</v>
      </c>
      <c r="N1229" s="524" t="s">
        <v>7487</v>
      </c>
      <c r="O1229" s="524"/>
    </row>
    <row r="1230" spans="1:15" ht="58" hidden="1">
      <c r="A1230" s="525">
        <v>1288</v>
      </c>
      <c r="B1230" s="524" t="str">
        <f>VLOOKUP(A1230,'Hours Detail'!$E$17:$H$1048576,4,)</f>
        <v>No</v>
      </c>
      <c r="C1230" s="524" t="s">
        <v>4632</v>
      </c>
      <c r="D1230" s="524" t="s">
        <v>4631</v>
      </c>
      <c r="E1230" s="524" t="s">
        <v>4630</v>
      </c>
      <c r="F1230" s="524" t="s">
        <v>4630</v>
      </c>
      <c r="G1230" s="524" t="s">
        <v>4630</v>
      </c>
      <c r="H1230" s="524" t="s">
        <v>4630</v>
      </c>
      <c r="I1230" s="524" t="s">
        <v>4631</v>
      </c>
      <c r="J1230" s="524" t="s">
        <v>4631</v>
      </c>
      <c r="K1230" s="524"/>
      <c r="L1230" s="524" t="s">
        <v>6590</v>
      </c>
      <c r="M1230" s="524" t="s">
        <v>6592</v>
      </c>
      <c r="N1230" s="524" t="s">
        <v>7488</v>
      </c>
      <c r="O1230" s="524"/>
    </row>
    <row r="1231" spans="1:15" ht="72.5" hidden="1">
      <c r="A1231" s="525">
        <v>1289</v>
      </c>
      <c r="B1231" s="524" t="e">
        <f>VLOOKUP(A1231,'Hours Detail'!$E$17:$H$1048576,4,)</f>
        <v>#N/A</v>
      </c>
      <c r="C1231" s="524" t="s">
        <v>4464</v>
      </c>
      <c r="D1231" s="524" t="s">
        <v>4463</v>
      </c>
      <c r="E1231" s="524" t="s">
        <v>4462</v>
      </c>
      <c r="F1231" s="524" t="s">
        <v>4462</v>
      </c>
      <c r="G1231" s="524" t="s">
        <v>4462</v>
      </c>
      <c r="H1231" s="524" t="s">
        <v>4462</v>
      </c>
      <c r="I1231" s="524" t="s">
        <v>4463</v>
      </c>
      <c r="J1231" s="524" t="s">
        <v>7489</v>
      </c>
      <c r="K1231" s="524"/>
      <c r="L1231" s="524" t="s">
        <v>6590</v>
      </c>
      <c r="M1231" s="524" t="s">
        <v>6727</v>
      </c>
      <c r="N1231" s="524"/>
      <c r="O1231" s="524"/>
    </row>
    <row r="1232" spans="1:15" ht="101.5" hidden="1">
      <c r="A1232" s="525">
        <v>1290</v>
      </c>
      <c r="B1232" s="524" t="str">
        <f>VLOOKUP(A1232,'Hours Detail'!$E$17:$H$1048576,4,)</f>
        <v>No</v>
      </c>
      <c r="C1232" s="524" t="s">
        <v>254</v>
      </c>
      <c r="D1232" s="524" t="s">
        <v>1014</v>
      </c>
      <c r="E1232" s="524" t="s">
        <v>1015</v>
      </c>
      <c r="F1232" s="524" t="s">
        <v>1015</v>
      </c>
      <c r="G1232" s="524" t="s">
        <v>1015</v>
      </c>
      <c r="H1232" s="524" t="s">
        <v>1015</v>
      </c>
      <c r="I1232" s="524" t="s">
        <v>7490</v>
      </c>
      <c r="J1232" s="524" t="s">
        <v>1014</v>
      </c>
      <c r="K1232" s="524" t="s">
        <v>6359</v>
      </c>
      <c r="L1232" s="524" t="s">
        <v>6365</v>
      </c>
      <c r="M1232" s="524" t="s">
        <v>6366</v>
      </c>
      <c r="N1232" s="524"/>
      <c r="O1232" s="524"/>
    </row>
    <row r="1233" spans="1:15" ht="116" hidden="1">
      <c r="A1233" s="527">
        <v>1290</v>
      </c>
      <c r="B1233" s="524" t="str">
        <f>VLOOKUP(A1233,'Hours Detail'!$E$17:$H$1048576,4,)</f>
        <v>No</v>
      </c>
      <c r="C1233" s="527" t="s">
        <v>254</v>
      </c>
      <c r="D1233" s="527" t="s">
        <v>1011</v>
      </c>
      <c r="E1233" s="527" t="s">
        <v>1014</v>
      </c>
      <c r="F1233" s="527" t="s">
        <v>1015</v>
      </c>
      <c r="G1233" s="527">
        <v>38</v>
      </c>
      <c r="H1233" s="527" t="s">
        <v>42</v>
      </c>
      <c r="I1233" s="527" t="s">
        <v>1009</v>
      </c>
      <c r="J1233" s="527" t="s">
        <v>2889</v>
      </c>
      <c r="K1233" s="527" t="s">
        <v>2889</v>
      </c>
      <c r="L1233" s="527" t="s">
        <v>7491</v>
      </c>
      <c r="M1233" s="524"/>
      <c r="N1233" s="524"/>
      <c r="O1233" s="524"/>
    </row>
    <row r="1234" spans="1:15" ht="87">
      <c r="A1234" s="525">
        <v>1291</v>
      </c>
      <c r="B1234" s="524" t="str">
        <f>VLOOKUP(A1234,'Hours Detail'!$E$17:$H$1048576,4,)</f>
        <v>No</v>
      </c>
      <c r="C1234" s="524" t="s">
        <v>3844</v>
      </c>
      <c r="D1234" s="524" t="s">
        <v>3843</v>
      </c>
      <c r="E1234" s="524" t="s">
        <v>3842</v>
      </c>
      <c r="F1234" s="524" t="s">
        <v>3842</v>
      </c>
      <c r="G1234" s="524" t="s">
        <v>3842</v>
      </c>
      <c r="H1234" s="524" t="s">
        <v>3842</v>
      </c>
      <c r="I1234" s="524" t="s">
        <v>3843</v>
      </c>
      <c r="J1234" s="524" t="s">
        <v>7492</v>
      </c>
      <c r="K1234" s="524"/>
      <c r="L1234" s="524" t="s">
        <v>6590</v>
      </c>
      <c r="M1234" s="524" t="s">
        <v>6591</v>
      </c>
      <c r="N1234" s="524" t="s">
        <v>7493</v>
      </c>
      <c r="O1234" s="524"/>
    </row>
    <row r="1235" spans="1:15" ht="72.5" hidden="1">
      <c r="A1235" s="525">
        <v>1292</v>
      </c>
      <c r="B1235" s="524" t="str">
        <f>VLOOKUP(A1235,'Hours Detail'!$E$17:$H$1048576,4,)</f>
        <v>No</v>
      </c>
      <c r="C1235" s="524" t="s">
        <v>3690</v>
      </c>
      <c r="D1235" s="524" t="s">
        <v>7494</v>
      </c>
      <c r="E1235" s="524" t="s">
        <v>7494</v>
      </c>
      <c r="F1235" s="524" t="s">
        <v>7494</v>
      </c>
      <c r="G1235" s="524" t="s">
        <v>7494</v>
      </c>
      <c r="H1235" s="524" t="s">
        <v>7494</v>
      </c>
      <c r="I1235" s="524" t="s">
        <v>7494</v>
      </c>
      <c r="J1235" s="524" t="s">
        <v>7494</v>
      </c>
      <c r="K1235" s="524"/>
      <c r="L1235" s="524" t="s">
        <v>6590</v>
      </c>
      <c r="M1235" s="524" t="s">
        <v>6592</v>
      </c>
      <c r="N1235" s="524" t="s">
        <v>7495</v>
      </c>
      <c r="O1235" s="524"/>
    </row>
    <row r="1236" spans="1:15" ht="130.5" hidden="1">
      <c r="A1236" s="525">
        <v>1293</v>
      </c>
      <c r="B1236" s="524" t="str">
        <f>VLOOKUP(A1236,'Hours Detail'!$E$17:$H$1048576,4,)</f>
        <v>No</v>
      </c>
      <c r="C1236" s="524" t="s">
        <v>3730</v>
      </c>
      <c r="D1236" s="524" t="s">
        <v>7498</v>
      </c>
      <c r="E1236" s="524" t="s">
        <v>7496</v>
      </c>
      <c r="F1236" s="524" t="s">
        <v>7496</v>
      </c>
      <c r="G1236" s="524" t="s">
        <v>7496</v>
      </c>
      <c r="H1236" s="524" t="s">
        <v>7496</v>
      </c>
      <c r="I1236" s="524" t="s">
        <v>7497</v>
      </c>
      <c r="J1236" s="524" t="s">
        <v>7498</v>
      </c>
      <c r="K1236" s="524"/>
      <c r="L1236" s="524" t="s">
        <v>6590</v>
      </c>
      <c r="M1236" s="524" t="s">
        <v>5878</v>
      </c>
      <c r="N1236" s="524" t="s">
        <v>7499</v>
      </c>
      <c r="O1236" s="524"/>
    </row>
    <row r="1237" spans="1:15" ht="58" hidden="1">
      <c r="A1237" s="525">
        <v>1294</v>
      </c>
      <c r="B1237" s="524" t="e">
        <f>VLOOKUP(A1237,'Hours Detail'!$E$17:$H$1048576,4,)</f>
        <v>#N/A</v>
      </c>
      <c r="C1237" s="524" t="s">
        <v>4461</v>
      </c>
      <c r="D1237" s="524" t="s">
        <v>4460</v>
      </c>
      <c r="E1237" s="524" t="s">
        <v>4459</v>
      </c>
      <c r="F1237" s="524" t="s">
        <v>4459</v>
      </c>
      <c r="G1237" s="524" t="s">
        <v>4459</v>
      </c>
      <c r="H1237" s="524" t="s">
        <v>4459</v>
      </c>
      <c r="I1237" s="524" t="s">
        <v>4460</v>
      </c>
      <c r="J1237" s="524" t="s">
        <v>4460</v>
      </c>
      <c r="K1237" s="524"/>
      <c r="L1237" s="524" t="s">
        <v>6590</v>
      </c>
      <c r="M1237" s="524" t="s">
        <v>6727</v>
      </c>
      <c r="N1237" s="524"/>
      <c r="O1237" s="524"/>
    </row>
    <row r="1238" spans="1:15" ht="43.5" hidden="1">
      <c r="A1238" s="525">
        <v>1295</v>
      </c>
      <c r="B1238" s="524" t="e">
        <f>VLOOKUP(A1238,'Hours Detail'!$E$17:$H$1048576,4,)</f>
        <v>#N/A</v>
      </c>
      <c r="C1238" s="524" t="s">
        <v>4473</v>
      </c>
      <c r="D1238" s="524" t="s">
        <v>4472</v>
      </c>
      <c r="E1238" s="524" t="s">
        <v>4471</v>
      </c>
      <c r="F1238" s="524" t="s">
        <v>4471</v>
      </c>
      <c r="G1238" s="524" t="s">
        <v>4471</v>
      </c>
      <c r="H1238" s="524" t="s">
        <v>4471</v>
      </c>
      <c r="I1238" s="524" t="s">
        <v>4472</v>
      </c>
      <c r="J1238" s="524" t="s">
        <v>4472</v>
      </c>
      <c r="K1238" s="524"/>
      <c r="L1238" s="524" t="s">
        <v>6590</v>
      </c>
      <c r="M1238" s="524" t="s">
        <v>6727</v>
      </c>
      <c r="N1238" s="524"/>
      <c r="O1238" s="524"/>
    </row>
    <row r="1239" spans="1:15" ht="43.5" hidden="1">
      <c r="A1239" s="525">
        <v>1296</v>
      </c>
      <c r="B1239" s="524" t="str">
        <f>VLOOKUP(A1239,'Hours Detail'!$E$17:$H$1048576,4,)</f>
        <v>No</v>
      </c>
      <c r="C1239" s="524" t="s">
        <v>4677</v>
      </c>
      <c r="D1239" s="524" t="s">
        <v>4676</v>
      </c>
      <c r="E1239" s="524" t="s">
        <v>4675</v>
      </c>
      <c r="F1239" s="524" t="s">
        <v>4675</v>
      </c>
      <c r="G1239" s="524" t="s">
        <v>4675</v>
      </c>
      <c r="H1239" s="524" t="s">
        <v>4675</v>
      </c>
      <c r="I1239" s="524" t="s">
        <v>4676</v>
      </c>
      <c r="J1239" s="524" t="s">
        <v>4676</v>
      </c>
      <c r="K1239" s="524"/>
      <c r="L1239" s="524" t="s">
        <v>6590</v>
      </c>
      <c r="M1239" s="524" t="s">
        <v>6592</v>
      </c>
      <c r="N1239" s="524" t="s">
        <v>7500</v>
      </c>
      <c r="O1239" s="524"/>
    </row>
    <row r="1240" spans="1:15" ht="87" hidden="1">
      <c r="A1240" s="525">
        <v>1297</v>
      </c>
      <c r="B1240" s="524" t="str">
        <f>VLOOKUP(A1240,'Hours Detail'!$E$17:$H$1048576,4,)</f>
        <v>No</v>
      </c>
      <c r="C1240" s="524" t="s">
        <v>3729</v>
      </c>
      <c r="D1240" s="524" t="s">
        <v>3728</v>
      </c>
      <c r="E1240" s="524" t="s">
        <v>3727</v>
      </c>
      <c r="F1240" s="524" t="s">
        <v>3727</v>
      </c>
      <c r="G1240" s="524" t="s">
        <v>3727</v>
      </c>
      <c r="H1240" s="524" t="s">
        <v>3727</v>
      </c>
      <c r="I1240" s="524" t="s">
        <v>3728</v>
      </c>
      <c r="J1240" s="524" t="s">
        <v>3728</v>
      </c>
      <c r="K1240" s="524"/>
      <c r="L1240" s="524" t="s">
        <v>6590</v>
      </c>
      <c r="M1240" s="524" t="s">
        <v>5878</v>
      </c>
      <c r="N1240" s="524" t="s">
        <v>7501</v>
      </c>
      <c r="O1240" s="524"/>
    </row>
    <row r="1241" spans="1:15" ht="72.5">
      <c r="A1241" s="525">
        <v>1298</v>
      </c>
      <c r="B1241" s="524" t="str">
        <f>VLOOKUP(A1241,'Hours Detail'!$E$17:$H$1048576,4,)</f>
        <v>No</v>
      </c>
      <c r="C1241" s="524" t="s">
        <v>3682</v>
      </c>
      <c r="D1241" s="524" t="s">
        <v>3681</v>
      </c>
      <c r="E1241" s="524" t="s">
        <v>3680</v>
      </c>
      <c r="F1241" s="524" t="s">
        <v>3680</v>
      </c>
      <c r="G1241" s="524" t="s">
        <v>3680</v>
      </c>
      <c r="H1241" s="524" t="s">
        <v>3680</v>
      </c>
      <c r="I1241" s="524" t="s">
        <v>7502</v>
      </c>
      <c r="J1241" s="524" t="s">
        <v>3681</v>
      </c>
      <c r="K1241" s="524"/>
      <c r="L1241" s="524" t="s">
        <v>6590</v>
      </c>
      <c r="M1241" s="524" t="s">
        <v>7398</v>
      </c>
      <c r="N1241" s="524" t="s">
        <v>7503</v>
      </c>
      <c r="O1241" s="524"/>
    </row>
    <row r="1242" spans="1:15" ht="87" hidden="1">
      <c r="A1242" s="525">
        <v>1299</v>
      </c>
      <c r="B1242" s="524" t="e">
        <f>VLOOKUP(A1242,'Hours Detail'!$E$17:$H$1048576,4,)</f>
        <v>#N/A</v>
      </c>
      <c r="C1242" s="524" t="s">
        <v>4392</v>
      </c>
      <c r="D1242" s="524" t="s">
        <v>4391</v>
      </c>
      <c r="E1242" s="524" t="s">
        <v>4390</v>
      </c>
      <c r="F1242" s="524" t="s">
        <v>4390</v>
      </c>
      <c r="G1242" s="524" t="s">
        <v>4390</v>
      </c>
      <c r="H1242" s="524" t="s">
        <v>4390</v>
      </c>
      <c r="I1242" s="524" t="s">
        <v>4391</v>
      </c>
      <c r="J1242" s="524" t="s">
        <v>7504</v>
      </c>
      <c r="K1242" s="524"/>
      <c r="L1242" s="524" t="s">
        <v>6590</v>
      </c>
      <c r="M1242" s="524" t="s">
        <v>6727</v>
      </c>
      <c r="N1242" s="524"/>
      <c r="O1242" s="524"/>
    </row>
    <row r="1243" spans="1:15" ht="217.5" hidden="1">
      <c r="A1243" s="525">
        <v>1300</v>
      </c>
      <c r="B1243" s="524" t="str">
        <f>VLOOKUP(A1243,'Hours Detail'!$E$17:$H$1048576,4,)</f>
        <v>No</v>
      </c>
      <c r="C1243" s="524" t="s">
        <v>230</v>
      </c>
      <c r="D1243" s="524" t="s">
        <v>820</v>
      </c>
      <c r="E1243" s="524" t="s">
        <v>821</v>
      </c>
      <c r="F1243" s="524" t="s">
        <v>821</v>
      </c>
      <c r="G1243" s="524" t="s">
        <v>821</v>
      </c>
      <c r="H1243" s="524" t="s">
        <v>821</v>
      </c>
      <c r="I1243" s="524" t="s">
        <v>7505</v>
      </c>
      <c r="J1243" s="524" t="s">
        <v>820</v>
      </c>
      <c r="K1243" s="524" t="s">
        <v>6359</v>
      </c>
      <c r="L1243" s="524" t="s">
        <v>6397</v>
      </c>
      <c r="M1243" s="524" t="s">
        <v>2384</v>
      </c>
      <c r="N1243" s="524" t="s">
        <v>7506</v>
      </c>
      <c r="O1243" s="524"/>
    </row>
    <row r="1244" spans="1:15" ht="246.5" hidden="1">
      <c r="A1244" s="527">
        <v>1300</v>
      </c>
      <c r="B1244" s="524" t="str">
        <f>VLOOKUP(A1244,'Hours Detail'!$E$17:$H$1048576,4,)</f>
        <v>No</v>
      </c>
      <c r="C1244" s="527" t="s">
        <v>230</v>
      </c>
      <c r="D1244" s="527" t="s">
        <v>2173</v>
      </c>
      <c r="E1244" s="527" t="s">
        <v>820</v>
      </c>
      <c r="F1244" s="527" t="s">
        <v>821</v>
      </c>
      <c r="G1244" s="527">
        <v>18</v>
      </c>
      <c r="H1244" s="527" t="s">
        <v>13</v>
      </c>
      <c r="I1244" s="527" t="s">
        <v>2319</v>
      </c>
      <c r="J1244" s="527" t="s">
        <v>2889</v>
      </c>
      <c r="K1244" s="527" t="s">
        <v>2889</v>
      </c>
      <c r="L1244" s="527" t="s">
        <v>7507</v>
      </c>
      <c r="M1244" s="524"/>
      <c r="N1244" s="524"/>
      <c r="O1244" s="524"/>
    </row>
    <row r="1245" spans="1:15" hidden="1">
      <c r="A1245" s="524">
        <v>1301</v>
      </c>
      <c r="B1245" s="524" t="str">
        <f>VLOOKUP(A1245,'Hours Detail'!$E$17:$H$1048576,4,)</f>
        <v>No</v>
      </c>
      <c r="C1245" s="524" t="s">
        <v>414</v>
      </c>
      <c r="D1245" s="524" t="s">
        <v>1495</v>
      </c>
      <c r="E1245" s="524" t="s">
        <v>1496</v>
      </c>
      <c r="F1245" s="524" t="s">
        <v>1496</v>
      </c>
      <c r="G1245" s="524" t="s">
        <v>1496</v>
      </c>
      <c r="H1245" s="524" t="s">
        <v>1496</v>
      </c>
      <c r="I1245" s="524" t="s">
        <v>7508</v>
      </c>
      <c r="J1245" s="524" t="s">
        <v>1495</v>
      </c>
      <c r="K1245" s="524" t="s">
        <v>6359</v>
      </c>
      <c r="L1245" s="524" t="s">
        <v>6381</v>
      </c>
      <c r="M1245" s="524" t="s">
        <v>2313</v>
      </c>
      <c r="N1245" s="524"/>
      <c r="O1245" s="524"/>
    </row>
    <row r="1246" spans="1:15" ht="130.5" hidden="1">
      <c r="A1246" s="527">
        <v>1301</v>
      </c>
      <c r="B1246" s="524" t="str">
        <f>VLOOKUP(A1246,'Hours Detail'!$E$17:$H$1048576,4,)</f>
        <v>No</v>
      </c>
      <c r="C1246" s="527" t="s">
        <v>414</v>
      </c>
      <c r="D1246" s="527" t="s">
        <v>1496</v>
      </c>
      <c r="E1246" s="527" t="s">
        <v>1495</v>
      </c>
      <c r="F1246" s="527" t="s">
        <v>1496</v>
      </c>
      <c r="G1246" s="527">
        <v>312</v>
      </c>
      <c r="H1246" s="527" t="s">
        <v>414</v>
      </c>
      <c r="I1246" s="527" t="s">
        <v>1495</v>
      </c>
      <c r="J1246" s="527" t="s">
        <v>2889</v>
      </c>
      <c r="K1246" s="527" t="s">
        <v>2889</v>
      </c>
      <c r="L1246" s="527" t="s">
        <v>7509</v>
      </c>
      <c r="M1246" s="524"/>
      <c r="N1246" s="524"/>
      <c r="O1246" s="524"/>
    </row>
    <row r="1247" spans="1:15" ht="58" hidden="1">
      <c r="A1247" s="524">
        <v>1302</v>
      </c>
      <c r="B1247" s="524" t="str">
        <f>VLOOKUP(A1247,'Hours Detail'!$E$17:$H$1048576,4,)</f>
        <v>No</v>
      </c>
      <c r="C1247" s="524" t="s">
        <v>226</v>
      </c>
      <c r="D1247" s="524" t="s">
        <v>773</v>
      </c>
      <c r="E1247" s="524" t="s">
        <v>774</v>
      </c>
      <c r="F1247" s="524" t="s">
        <v>774</v>
      </c>
      <c r="G1247" s="524" t="s">
        <v>774</v>
      </c>
      <c r="H1247" s="524" t="s">
        <v>774</v>
      </c>
      <c r="I1247" s="524" t="s">
        <v>7510</v>
      </c>
      <c r="J1247" s="524" t="s">
        <v>773</v>
      </c>
      <c r="K1247" s="524" t="s">
        <v>6359</v>
      </c>
      <c r="L1247" s="524" t="s">
        <v>6379</v>
      </c>
      <c r="M1247" s="524" t="s">
        <v>6502</v>
      </c>
      <c r="N1247" s="524"/>
      <c r="O1247" s="524"/>
    </row>
    <row r="1248" spans="1:15" ht="145" hidden="1">
      <c r="A1248" s="527">
        <v>1302</v>
      </c>
      <c r="B1248" s="524" t="str">
        <f>VLOOKUP(A1248,'Hours Detail'!$E$17:$H$1048576,4,)</f>
        <v>No</v>
      </c>
      <c r="C1248" s="527" t="s">
        <v>226</v>
      </c>
      <c r="D1248" s="527" t="s">
        <v>770</v>
      </c>
      <c r="E1248" s="527" t="s">
        <v>773</v>
      </c>
      <c r="F1248" s="527" t="s">
        <v>774</v>
      </c>
      <c r="G1248" s="527">
        <v>15</v>
      </c>
      <c r="H1248" s="527" t="s">
        <v>768</v>
      </c>
      <c r="I1248" s="527" t="s">
        <v>769</v>
      </c>
      <c r="J1248" s="527" t="s">
        <v>2889</v>
      </c>
      <c r="K1248" s="527" t="s">
        <v>2889</v>
      </c>
      <c r="L1248" s="527" t="s">
        <v>7511</v>
      </c>
      <c r="M1248" s="524"/>
      <c r="N1248" s="524"/>
      <c r="O1248" s="524"/>
    </row>
    <row r="1249" spans="1:15" ht="29" hidden="1">
      <c r="A1249" s="525">
        <v>1303</v>
      </c>
      <c r="B1249" s="524" t="e">
        <f>VLOOKUP(A1249,'Hours Detail'!$E$17:$H$1048576,4,)</f>
        <v>#N/A</v>
      </c>
      <c r="C1249" s="524" t="s">
        <v>4431</v>
      </c>
      <c r="D1249" s="524" t="s">
        <v>4432</v>
      </c>
      <c r="E1249" s="524" t="s">
        <v>4431</v>
      </c>
      <c r="F1249" s="524" t="s">
        <v>4431</v>
      </c>
      <c r="G1249" s="524" t="s">
        <v>4431</v>
      </c>
      <c r="H1249" s="524" t="s">
        <v>4431</v>
      </c>
      <c r="I1249" s="524" t="s">
        <v>4432</v>
      </c>
      <c r="J1249" s="524" t="s">
        <v>4432</v>
      </c>
      <c r="K1249" s="524"/>
      <c r="L1249" s="524" t="s">
        <v>6590</v>
      </c>
      <c r="M1249" s="524" t="s">
        <v>6727</v>
      </c>
      <c r="N1249" s="524"/>
      <c r="O1249" s="524"/>
    </row>
    <row r="1250" spans="1:15" ht="58" hidden="1">
      <c r="A1250" s="525">
        <v>1304</v>
      </c>
      <c r="B1250" s="524" t="e">
        <f>VLOOKUP(A1250,'Hours Detail'!$E$17:$H$1048576,4,)</f>
        <v>#N/A</v>
      </c>
      <c r="C1250" s="524" t="s">
        <v>4395</v>
      </c>
      <c r="D1250" s="524" t="s">
        <v>4394</v>
      </c>
      <c r="E1250" s="524" t="s">
        <v>4393</v>
      </c>
      <c r="F1250" s="524" t="s">
        <v>4393</v>
      </c>
      <c r="G1250" s="524" t="s">
        <v>4393</v>
      </c>
      <c r="H1250" s="524" t="s">
        <v>4393</v>
      </c>
      <c r="I1250" s="524" t="s">
        <v>4394</v>
      </c>
      <c r="J1250" s="524" t="s">
        <v>4394</v>
      </c>
      <c r="K1250" s="524"/>
      <c r="L1250" s="524" t="s">
        <v>6590</v>
      </c>
      <c r="M1250" s="524" t="s">
        <v>6727</v>
      </c>
      <c r="N1250" s="524"/>
      <c r="O1250" s="524"/>
    </row>
    <row r="1251" spans="1:15" ht="130.5">
      <c r="A1251" s="525">
        <v>1305</v>
      </c>
      <c r="B1251" s="524" t="str">
        <f>VLOOKUP(A1251,'Hours Detail'!$E$17:$H$1048576,4,)</f>
        <v>No</v>
      </c>
      <c r="C1251" s="524" t="s">
        <v>3689</v>
      </c>
      <c r="D1251" s="524" t="s">
        <v>3688</v>
      </c>
      <c r="E1251" s="524" t="s">
        <v>3687</v>
      </c>
      <c r="F1251" s="524" t="s">
        <v>3687</v>
      </c>
      <c r="G1251" s="524" t="s">
        <v>3687</v>
      </c>
      <c r="H1251" s="524" t="s">
        <v>3687</v>
      </c>
      <c r="I1251" s="524" t="s">
        <v>3688</v>
      </c>
      <c r="J1251" s="524" t="s">
        <v>3688</v>
      </c>
      <c r="K1251" s="524"/>
      <c r="L1251" s="524" t="s">
        <v>6590</v>
      </c>
      <c r="M1251" s="524" t="s">
        <v>5878</v>
      </c>
      <c r="N1251" s="524" t="s">
        <v>7512</v>
      </c>
      <c r="O1251" s="524"/>
    </row>
    <row r="1252" spans="1:15" ht="116">
      <c r="A1252" s="525">
        <v>1306</v>
      </c>
      <c r="B1252" s="524" t="str">
        <f>VLOOKUP(A1252,'Hours Detail'!$E$17:$H$1048576,4,)</f>
        <v>No</v>
      </c>
      <c r="C1252" s="524" t="s">
        <v>3673</v>
      </c>
      <c r="D1252" s="524" t="s">
        <v>3672</v>
      </c>
      <c r="E1252" s="524" t="s">
        <v>3671</v>
      </c>
      <c r="F1252" s="524" t="s">
        <v>3671</v>
      </c>
      <c r="G1252" s="524" t="s">
        <v>3671</v>
      </c>
      <c r="H1252" s="524" t="s">
        <v>3671</v>
      </c>
      <c r="I1252" s="524" t="s">
        <v>7513</v>
      </c>
      <c r="J1252" s="524" t="s">
        <v>3672</v>
      </c>
      <c r="K1252" s="524"/>
      <c r="L1252" s="524" t="s">
        <v>6590</v>
      </c>
      <c r="M1252" s="524" t="s">
        <v>7398</v>
      </c>
      <c r="N1252" s="524" t="s">
        <v>7514</v>
      </c>
      <c r="O1252" s="524"/>
    </row>
    <row r="1253" spans="1:15" ht="87" hidden="1">
      <c r="A1253" s="525">
        <v>1307</v>
      </c>
      <c r="B1253" s="524" t="str">
        <f>VLOOKUP(A1253,'Hours Detail'!$E$17:$H$1048576,4,)</f>
        <v>No</v>
      </c>
      <c r="C1253" s="524" t="s">
        <v>4683</v>
      </c>
      <c r="D1253" s="524" t="s">
        <v>4682</v>
      </c>
      <c r="E1253" s="524" t="s">
        <v>4681</v>
      </c>
      <c r="F1253" s="524" t="s">
        <v>4681</v>
      </c>
      <c r="G1253" s="524" t="s">
        <v>4681</v>
      </c>
      <c r="H1253" s="524" t="s">
        <v>4681</v>
      </c>
      <c r="I1253" s="524" t="s">
        <v>4682</v>
      </c>
      <c r="J1253" s="524" t="s">
        <v>4682</v>
      </c>
      <c r="K1253" s="524"/>
      <c r="L1253" s="524" t="s">
        <v>6590</v>
      </c>
      <c r="M1253" s="524" t="s">
        <v>6592</v>
      </c>
      <c r="N1253" s="524" t="s">
        <v>7515</v>
      </c>
      <c r="O1253" s="524"/>
    </row>
    <row r="1254" spans="1:15" ht="72.5" hidden="1">
      <c r="A1254" s="525">
        <v>1308</v>
      </c>
      <c r="B1254" s="524" t="str">
        <f>VLOOKUP(A1254,'Hours Detail'!$E$17:$H$1048576,4,)</f>
        <v>No</v>
      </c>
      <c r="C1254" s="524" t="s">
        <v>4550</v>
      </c>
      <c r="D1254" s="524" t="s">
        <v>4549</v>
      </c>
      <c r="E1254" s="524" t="s">
        <v>4548</v>
      </c>
      <c r="F1254" s="524" t="s">
        <v>4548</v>
      </c>
      <c r="G1254" s="524" t="s">
        <v>4548</v>
      </c>
      <c r="H1254" s="524" t="s">
        <v>4548</v>
      </c>
      <c r="I1254" s="524" t="s">
        <v>4549</v>
      </c>
      <c r="J1254" s="524" t="s">
        <v>4549</v>
      </c>
      <c r="K1254" s="524"/>
      <c r="L1254" s="524" t="s">
        <v>6590</v>
      </c>
      <c r="M1254" s="524" t="s">
        <v>7398</v>
      </c>
      <c r="N1254" s="524" t="s">
        <v>7516</v>
      </c>
      <c r="O1254" s="524"/>
    </row>
    <row r="1255" spans="1:15" ht="58" hidden="1">
      <c r="A1255" s="525">
        <v>1309</v>
      </c>
      <c r="B1255" s="524" t="str">
        <f>VLOOKUP(A1255,'Hours Detail'!$E$17:$H$1048576,4,)</f>
        <v>No</v>
      </c>
      <c r="C1255" s="524" t="s">
        <v>4547</v>
      </c>
      <c r="D1255" s="524" t="s">
        <v>4546</v>
      </c>
      <c r="E1255" s="524" t="s">
        <v>4545</v>
      </c>
      <c r="F1255" s="524" t="s">
        <v>4545</v>
      </c>
      <c r="G1255" s="524" t="s">
        <v>4545</v>
      </c>
      <c r="H1255" s="524" t="s">
        <v>4545</v>
      </c>
      <c r="I1255" s="524" t="s">
        <v>4546</v>
      </c>
      <c r="J1255" s="524" t="s">
        <v>4546</v>
      </c>
      <c r="K1255" s="524"/>
      <c r="L1255" s="524" t="s">
        <v>6590</v>
      </c>
      <c r="M1255" s="524" t="s">
        <v>7398</v>
      </c>
      <c r="N1255" s="524" t="s">
        <v>7517</v>
      </c>
      <c r="O1255" s="524"/>
    </row>
    <row r="1256" spans="1:15" ht="72.5" hidden="1">
      <c r="A1256" s="525">
        <v>1310</v>
      </c>
      <c r="B1256" s="524" t="str">
        <f>VLOOKUP(A1256,'Hours Detail'!$E$17:$H$1048576,4,)</f>
        <v>No</v>
      </c>
      <c r="C1256" s="524" t="s">
        <v>4544</v>
      </c>
      <c r="D1256" s="524" t="s">
        <v>4543</v>
      </c>
      <c r="E1256" s="524" t="s">
        <v>4542</v>
      </c>
      <c r="F1256" s="524" t="s">
        <v>4542</v>
      </c>
      <c r="G1256" s="524" t="s">
        <v>4542</v>
      </c>
      <c r="H1256" s="524" t="s">
        <v>4542</v>
      </c>
      <c r="I1256" s="524" t="s">
        <v>4543</v>
      </c>
      <c r="J1256" s="524" t="s">
        <v>4543</v>
      </c>
      <c r="K1256" s="524"/>
      <c r="L1256" s="524" t="s">
        <v>6590</v>
      </c>
      <c r="M1256" s="524" t="s">
        <v>7398</v>
      </c>
      <c r="N1256" s="524" t="s">
        <v>7518</v>
      </c>
      <c r="O1256" s="524"/>
    </row>
    <row r="1257" spans="1:15" ht="101.5" hidden="1">
      <c r="A1257" s="525">
        <v>1311</v>
      </c>
      <c r="B1257" s="524" t="str">
        <f>VLOOKUP(A1257,'Hours Detail'!$E$17:$H$1048576,4,)</f>
        <v>No</v>
      </c>
      <c r="C1257" s="524" t="s">
        <v>3718</v>
      </c>
      <c r="D1257" s="524" t="s">
        <v>7519</v>
      </c>
      <c r="E1257" s="524" t="s">
        <v>7519</v>
      </c>
      <c r="F1257" s="524" t="s">
        <v>7519</v>
      </c>
      <c r="G1257" s="524" t="s">
        <v>7519</v>
      </c>
      <c r="H1257" s="524" t="s">
        <v>7519</v>
      </c>
      <c r="I1257" s="524" t="s">
        <v>7519</v>
      </c>
      <c r="J1257" s="524" t="s">
        <v>7519</v>
      </c>
      <c r="K1257" s="524"/>
      <c r="L1257" s="524" t="s">
        <v>6590</v>
      </c>
      <c r="M1257" s="524" t="s">
        <v>5878</v>
      </c>
      <c r="N1257" s="524" t="s">
        <v>7520</v>
      </c>
      <c r="O1257" s="524"/>
    </row>
    <row r="1258" spans="1:15" ht="87" hidden="1">
      <c r="A1258" s="525">
        <v>1312</v>
      </c>
      <c r="B1258" s="524" t="str">
        <f>VLOOKUP(A1258,'Hours Detail'!$E$17:$H$1048576,4,)</f>
        <v>No</v>
      </c>
      <c r="C1258" s="524" t="s">
        <v>3717</v>
      </c>
      <c r="D1258" s="524" t="s">
        <v>3716</v>
      </c>
      <c r="E1258" s="524" t="s">
        <v>3715</v>
      </c>
      <c r="F1258" s="524" t="s">
        <v>3715</v>
      </c>
      <c r="G1258" s="524" t="s">
        <v>3715</v>
      </c>
      <c r="H1258" s="524" t="s">
        <v>3715</v>
      </c>
      <c r="I1258" s="524" t="s">
        <v>3716</v>
      </c>
      <c r="J1258" s="524" t="s">
        <v>3716</v>
      </c>
      <c r="K1258" s="524"/>
      <c r="L1258" s="524" t="s">
        <v>6590</v>
      </c>
      <c r="M1258" s="524" t="s">
        <v>6592</v>
      </c>
      <c r="N1258" s="524" t="s">
        <v>7521</v>
      </c>
      <c r="O1258" s="524"/>
    </row>
    <row r="1259" spans="1:15" ht="72.5" hidden="1">
      <c r="A1259" s="525">
        <v>1313</v>
      </c>
      <c r="B1259" s="524" t="str">
        <f>VLOOKUP(A1259,'Hours Detail'!$E$17:$H$1048576,4,)</f>
        <v>No</v>
      </c>
      <c r="C1259" s="524" t="s">
        <v>4136</v>
      </c>
      <c r="D1259" s="524" t="s">
        <v>7522</v>
      </c>
      <c r="E1259" s="524" t="s">
        <v>4134</v>
      </c>
      <c r="F1259" s="524" t="s">
        <v>4134</v>
      </c>
      <c r="G1259" s="524" t="s">
        <v>4134</v>
      </c>
      <c r="H1259" s="524" t="s">
        <v>4134</v>
      </c>
      <c r="I1259" s="524" t="s">
        <v>7522</v>
      </c>
      <c r="J1259" s="524" t="s">
        <v>7522</v>
      </c>
      <c r="K1259" s="524"/>
      <c r="L1259" s="524" t="s">
        <v>6590</v>
      </c>
      <c r="M1259" s="524" t="s">
        <v>6591</v>
      </c>
      <c r="N1259" s="524" t="s">
        <v>7523</v>
      </c>
      <c r="O1259" s="524"/>
    </row>
    <row r="1260" spans="1:15" ht="72.5" hidden="1">
      <c r="A1260" s="525">
        <v>1314</v>
      </c>
      <c r="B1260" s="524" t="str">
        <f>VLOOKUP(A1260,'Hours Detail'!$E$17:$H$1048576,4,)</f>
        <v>No</v>
      </c>
      <c r="C1260" s="524" t="s">
        <v>4587</v>
      </c>
      <c r="D1260" s="524" t="s">
        <v>4586</v>
      </c>
      <c r="E1260" s="524" t="s">
        <v>4585</v>
      </c>
      <c r="F1260" s="524" t="s">
        <v>4585</v>
      </c>
      <c r="G1260" s="524" t="s">
        <v>4585</v>
      </c>
      <c r="H1260" s="524" t="s">
        <v>4585</v>
      </c>
      <c r="I1260" s="524" t="s">
        <v>4586</v>
      </c>
      <c r="J1260" s="524" t="s">
        <v>4586</v>
      </c>
      <c r="K1260" s="524"/>
      <c r="L1260" s="524" t="s">
        <v>6590</v>
      </c>
      <c r="M1260" s="524" t="s">
        <v>7398</v>
      </c>
      <c r="N1260" s="524" t="s">
        <v>7524</v>
      </c>
      <c r="O1260" s="524"/>
    </row>
    <row r="1261" spans="1:15" ht="58" hidden="1">
      <c r="A1261" s="525">
        <v>1315</v>
      </c>
      <c r="B1261" s="524" t="str">
        <f>VLOOKUP(A1261,'Hours Detail'!$E$17:$H$1048576,4,)</f>
        <v>No</v>
      </c>
      <c r="C1261" s="524" t="s">
        <v>4699</v>
      </c>
      <c r="D1261" s="524" t="s">
        <v>4698</v>
      </c>
      <c r="E1261" s="524" t="s">
        <v>4697</v>
      </c>
      <c r="F1261" s="524" t="s">
        <v>4697</v>
      </c>
      <c r="G1261" s="524" t="s">
        <v>4697</v>
      </c>
      <c r="H1261" s="524" t="s">
        <v>4697</v>
      </c>
      <c r="I1261" s="524" t="s">
        <v>4698</v>
      </c>
      <c r="J1261" s="524" t="s">
        <v>4698</v>
      </c>
      <c r="K1261" s="524"/>
      <c r="L1261" s="524" t="s">
        <v>6590</v>
      </c>
      <c r="M1261" s="524" t="s">
        <v>6592</v>
      </c>
      <c r="N1261" s="524" t="s">
        <v>7525</v>
      </c>
      <c r="O1261" s="524"/>
    </row>
    <row r="1262" spans="1:15" ht="87" hidden="1">
      <c r="A1262" s="525">
        <v>1316</v>
      </c>
      <c r="B1262" s="524" t="str">
        <f>VLOOKUP(A1262,'Hours Detail'!$E$17:$H$1048576,4,)</f>
        <v>No</v>
      </c>
      <c r="C1262" s="524" t="s">
        <v>3792</v>
      </c>
      <c r="D1262" s="524" t="s">
        <v>3791</v>
      </c>
      <c r="E1262" s="524" t="s">
        <v>3790</v>
      </c>
      <c r="F1262" s="524" t="s">
        <v>3790</v>
      </c>
      <c r="G1262" s="524" t="s">
        <v>3790</v>
      </c>
      <c r="H1262" s="524" t="s">
        <v>3790</v>
      </c>
      <c r="I1262" s="524" t="s">
        <v>3791</v>
      </c>
      <c r="J1262" s="524" t="s">
        <v>3791</v>
      </c>
      <c r="K1262" s="524"/>
      <c r="L1262" s="524" t="s">
        <v>6590</v>
      </c>
      <c r="M1262" s="524" t="s">
        <v>6591</v>
      </c>
      <c r="N1262" s="524" t="s">
        <v>7526</v>
      </c>
      <c r="O1262" s="524"/>
    </row>
    <row r="1263" spans="1:15" ht="58" hidden="1">
      <c r="A1263" s="525">
        <v>1317</v>
      </c>
      <c r="B1263" s="524" t="str">
        <f>VLOOKUP(A1263,'Hours Detail'!$E$17:$H$1048576,4,)</f>
        <v>No</v>
      </c>
      <c r="C1263" s="524" t="s">
        <v>4584</v>
      </c>
      <c r="D1263" s="524" t="s">
        <v>3758</v>
      </c>
      <c r="E1263" s="524" t="s">
        <v>3757</v>
      </c>
      <c r="F1263" s="524" t="s">
        <v>3757</v>
      </c>
      <c r="G1263" s="524" t="s">
        <v>3757</v>
      </c>
      <c r="H1263" s="524" t="s">
        <v>3757</v>
      </c>
      <c r="I1263" s="524" t="s">
        <v>3758</v>
      </c>
      <c r="J1263" s="524" t="s">
        <v>3758</v>
      </c>
      <c r="K1263" s="524"/>
      <c r="L1263" s="524" t="s">
        <v>6590</v>
      </c>
      <c r="M1263" s="524" t="s">
        <v>7398</v>
      </c>
      <c r="N1263" s="524" t="s">
        <v>7527</v>
      </c>
      <c r="O1263" s="524"/>
    </row>
    <row r="1264" spans="1:15" ht="87" hidden="1">
      <c r="A1264" s="525">
        <v>1318</v>
      </c>
      <c r="B1264" s="524" t="str">
        <f>VLOOKUP(A1264,'Hours Detail'!$E$17:$H$1048576,4,)</f>
        <v>No</v>
      </c>
      <c r="C1264" s="524" t="s">
        <v>3699</v>
      </c>
      <c r="D1264" s="524" t="s">
        <v>3698</v>
      </c>
      <c r="E1264" s="524" t="s">
        <v>3697</v>
      </c>
      <c r="F1264" s="524" t="s">
        <v>3697</v>
      </c>
      <c r="G1264" s="524" t="s">
        <v>3697</v>
      </c>
      <c r="H1264" s="524" t="s">
        <v>3697</v>
      </c>
      <c r="I1264" s="524" t="s">
        <v>3698</v>
      </c>
      <c r="J1264" s="524" t="s">
        <v>3698</v>
      </c>
      <c r="K1264" s="524"/>
      <c r="L1264" s="524" t="s">
        <v>6590</v>
      </c>
      <c r="M1264" s="524" t="s">
        <v>6591</v>
      </c>
      <c r="N1264" s="524" t="s">
        <v>7528</v>
      </c>
      <c r="O1264" s="524"/>
    </row>
    <row r="1265" spans="1:15" ht="87" hidden="1">
      <c r="A1265" s="525">
        <v>1319</v>
      </c>
      <c r="B1265" s="524" t="str">
        <f>VLOOKUP(A1265,'Hours Detail'!$E$17:$H$1048576,4,)</f>
        <v>No</v>
      </c>
      <c r="C1265" s="524" t="s">
        <v>3736</v>
      </c>
      <c r="D1265" s="524" t="s">
        <v>3735</v>
      </c>
      <c r="E1265" s="524" t="s">
        <v>3734</v>
      </c>
      <c r="F1265" s="524" t="s">
        <v>3734</v>
      </c>
      <c r="G1265" s="524" t="s">
        <v>3734</v>
      </c>
      <c r="H1265" s="524" t="s">
        <v>3734</v>
      </c>
      <c r="I1265" s="524" t="s">
        <v>3735</v>
      </c>
      <c r="J1265" s="524" t="s">
        <v>3735</v>
      </c>
      <c r="K1265" s="524"/>
      <c r="L1265" s="524" t="s">
        <v>6590</v>
      </c>
      <c r="M1265" s="524" t="s">
        <v>6591</v>
      </c>
      <c r="N1265" s="524" t="s">
        <v>7529</v>
      </c>
      <c r="O1265" s="524"/>
    </row>
    <row r="1266" spans="1:15" ht="72.5" hidden="1">
      <c r="A1266" s="525">
        <v>1320</v>
      </c>
      <c r="B1266" s="524" t="str">
        <f>VLOOKUP(A1266,'Hours Detail'!$E$17:$H$1048576,4,)</f>
        <v>No</v>
      </c>
      <c r="C1266" s="524" t="s">
        <v>4639</v>
      </c>
      <c r="D1266" s="524" t="s">
        <v>7530</v>
      </c>
      <c r="E1266" s="524" t="s">
        <v>4637</v>
      </c>
      <c r="F1266" s="524" t="s">
        <v>4637</v>
      </c>
      <c r="G1266" s="524" t="s">
        <v>4637</v>
      </c>
      <c r="H1266" s="524" t="s">
        <v>4637</v>
      </c>
      <c r="I1266" s="524" t="s">
        <v>7530</v>
      </c>
      <c r="J1266" s="524" t="s">
        <v>7530</v>
      </c>
      <c r="K1266" s="524"/>
      <c r="L1266" s="524" t="s">
        <v>6590</v>
      </c>
      <c r="M1266" s="524" t="s">
        <v>6592</v>
      </c>
      <c r="N1266" s="524" t="s">
        <v>7531</v>
      </c>
      <c r="O1266" s="524"/>
    </row>
    <row r="1267" spans="1:15" ht="58">
      <c r="A1267" s="525">
        <v>1321</v>
      </c>
      <c r="B1267" s="524" t="str">
        <f>VLOOKUP(A1267,'Hours Detail'!$E$17:$H$1048576,4,)</f>
        <v>No</v>
      </c>
      <c r="C1267" s="524" t="s">
        <v>3891</v>
      </c>
      <c r="D1267" s="524" t="s">
        <v>3890</v>
      </c>
      <c r="E1267" s="524" t="s">
        <v>3889</v>
      </c>
      <c r="F1267" s="524" t="s">
        <v>3889</v>
      </c>
      <c r="G1267" s="524" t="s">
        <v>3889</v>
      </c>
      <c r="H1267" s="524" t="s">
        <v>3889</v>
      </c>
      <c r="I1267" s="524" t="s">
        <v>7532</v>
      </c>
      <c r="J1267" s="524" t="s">
        <v>3890</v>
      </c>
      <c r="K1267" s="524"/>
      <c r="L1267" s="524" t="s">
        <v>6590</v>
      </c>
      <c r="M1267" s="524" t="s">
        <v>7398</v>
      </c>
      <c r="N1267" s="524" t="s">
        <v>7533</v>
      </c>
      <c r="O1267" s="524"/>
    </row>
    <row r="1268" spans="1:15" ht="72.5" hidden="1">
      <c r="A1268" s="525">
        <v>1322</v>
      </c>
      <c r="B1268" s="524" t="str">
        <f>VLOOKUP(A1268,'Hours Detail'!$E$17:$H$1048576,4,)</f>
        <v>No</v>
      </c>
      <c r="C1268" s="524" t="s">
        <v>4577</v>
      </c>
      <c r="D1268" s="524" t="s">
        <v>4576</v>
      </c>
      <c r="E1268" s="524" t="s">
        <v>4575</v>
      </c>
      <c r="F1268" s="524" t="s">
        <v>4575</v>
      </c>
      <c r="G1268" s="524" t="s">
        <v>4575</v>
      </c>
      <c r="H1268" s="524" t="s">
        <v>4575</v>
      </c>
      <c r="I1268" s="524" t="s">
        <v>4576</v>
      </c>
      <c r="J1268" s="524" t="s">
        <v>4576</v>
      </c>
      <c r="K1268" s="524"/>
      <c r="L1268" s="524" t="s">
        <v>6590</v>
      </c>
      <c r="M1268" s="524" t="s">
        <v>7398</v>
      </c>
      <c r="N1268" s="524" t="s">
        <v>7534</v>
      </c>
      <c r="O1268" s="524"/>
    </row>
    <row r="1269" spans="1:15" ht="72.5">
      <c r="A1269" s="525">
        <v>1323</v>
      </c>
      <c r="B1269" s="524" t="str">
        <f>VLOOKUP(A1269,'Hours Detail'!$E$17:$H$1048576,4,)</f>
        <v>No</v>
      </c>
      <c r="C1269" s="524" t="s">
        <v>3863</v>
      </c>
      <c r="D1269" s="524" t="s">
        <v>3862</v>
      </c>
      <c r="E1269" s="524" t="s">
        <v>3861</v>
      </c>
      <c r="F1269" s="524" t="s">
        <v>3861</v>
      </c>
      <c r="G1269" s="524" t="s">
        <v>3861</v>
      </c>
      <c r="H1269" s="524" t="s">
        <v>3861</v>
      </c>
      <c r="I1269" s="524" t="s">
        <v>3862</v>
      </c>
      <c r="J1269" s="524" t="s">
        <v>3862</v>
      </c>
      <c r="K1269" s="524"/>
      <c r="L1269" s="524" t="s">
        <v>6590</v>
      </c>
      <c r="M1269" s="524" t="s">
        <v>5878</v>
      </c>
      <c r="N1269" s="524" t="s">
        <v>7535</v>
      </c>
      <c r="O1269" s="524"/>
    </row>
    <row r="1270" spans="1:15" ht="58" hidden="1">
      <c r="A1270" s="525">
        <v>1324</v>
      </c>
      <c r="B1270" s="524" t="e">
        <f>VLOOKUP(A1270,'Hours Detail'!$E$17:$H$1048576,4,)</f>
        <v>#N/A</v>
      </c>
      <c r="C1270" s="524" t="s">
        <v>4000</v>
      </c>
      <c r="D1270" s="524" t="s">
        <v>3999</v>
      </c>
      <c r="E1270" s="524" t="s">
        <v>3998</v>
      </c>
      <c r="F1270" s="524" t="s">
        <v>3998</v>
      </c>
      <c r="G1270" s="524" t="s">
        <v>3998</v>
      </c>
      <c r="H1270" s="524" t="s">
        <v>3998</v>
      </c>
      <c r="I1270" s="524" t="s">
        <v>3999</v>
      </c>
      <c r="J1270" s="524" t="s">
        <v>3999</v>
      </c>
      <c r="K1270" s="524"/>
      <c r="L1270" s="524" t="s">
        <v>6590</v>
      </c>
      <c r="M1270" s="524" t="s">
        <v>6592</v>
      </c>
      <c r="N1270" s="524" t="s">
        <v>7536</v>
      </c>
      <c r="O1270" s="524"/>
    </row>
    <row r="1271" spans="1:15" ht="58" hidden="1">
      <c r="A1271" s="525">
        <v>1325</v>
      </c>
      <c r="B1271" s="524" t="e">
        <f>VLOOKUP(A1271,'Hours Detail'!$E$17:$H$1048576,4,)</f>
        <v>#N/A</v>
      </c>
      <c r="C1271" s="524" t="s">
        <v>4458</v>
      </c>
      <c r="D1271" s="524" t="s">
        <v>4457</v>
      </c>
      <c r="E1271" s="524" t="s">
        <v>4456</v>
      </c>
      <c r="F1271" s="524" t="s">
        <v>4456</v>
      </c>
      <c r="G1271" s="524" t="s">
        <v>4456</v>
      </c>
      <c r="H1271" s="524" t="s">
        <v>4456</v>
      </c>
      <c r="I1271" s="524" t="s">
        <v>4457</v>
      </c>
      <c r="J1271" s="524" t="s">
        <v>4457</v>
      </c>
      <c r="K1271" s="524"/>
      <c r="L1271" s="524" t="s">
        <v>6590</v>
      </c>
      <c r="M1271" s="524" t="s">
        <v>6727</v>
      </c>
      <c r="N1271" s="524"/>
      <c r="O1271" s="524"/>
    </row>
    <row r="1272" spans="1:15" ht="58">
      <c r="A1272" s="525">
        <v>1326</v>
      </c>
      <c r="B1272" s="524" t="str">
        <f>VLOOKUP(A1272,'Hours Detail'!$E$17:$H$1048576,4,)</f>
        <v>No</v>
      </c>
      <c r="C1272" s="524" t="s">
        <v>3765</v>
      </c>
      <c r="D1272" s="524" t="s">
        <v>3764</v>
      </c>
      <c r="E1272" s="524" t="s">
        <v>3763</v>
      </c>
      <c r="F1272" s="524" t="s">
        <v>3763</v>
      </c>
      <c r="G1272" s="524" t="s">
        <v>3763</v>
      </c>
      <c r="H1272" s="524" t="s">
        <v>3763</v>
      </c>
      <c r="I1272" s="524" t="s">
        <v>3764</v>
      </c>
      <c r="J1272" s="524" t="s">
        <v>3764</v>
      </c>
      <c r="K1272" s="524"/>
      <c r="L1272" s="524" t="s">
        <v>6590</v>
      </c>
      <c r="M1272" s="524" t="s">
        <v>6591</v>
      </c>
      <c r="N1272" s="524" t="s">
        <v>7537</v>
      </c>
      <c r="O1272" s="524"/>
    </row>
    <row r="1273" spans="1:15" ht="43.5" hidden="1">
      <c r="A1273" s="525">
        <v>1327</v>
      </c>
      <c r="B1273" s="524" t="str">
        <f>VLOOKUP(A1273,'Hours Detail'!$E$17:$H$1048576,4,)</f>
        <v>No</v>
      </c>
      <c r="C1273" s="524" t="s">
        <v>3798</v>
      </c>
      <c r="D1273" s="524" t="s">
        <v>3797</v>
      </c>
      <c r="E1273" s="524" t="s">
        <v>3796</v>
      </c>
      <c r="F1273" s="524" t="s">
        <v>3796</v>
      </c>
      <c r="G1273" s="524" t="s">
        <v>3796</v>
      </c>
      <c r="H1273" s="524" t="s">
        <v>3796</v>
      </c>
      <c r="I1273" s="524" t="s">
        <v>3797</v>
      </c>
      <c r="J1273" s="524" t="s">
        <v>3797</v>
      </c>
      <c r="K1273" s="524"/>
      <c r="L1273" s="524" t="s">
        <v>6590</v>
      </c>
      <c r="M1273" s="524" t="s">
        <v>6591</v>
      </c>
      <c r="N1273" s="524"/>
      <c r="O1273" s="524"/>
    </row>
    <row r="1274" spans="1:15" ht="72.5" hidden="1">
      <c r="A1274" s="525">
        <v>1328</v>
      </c>
      <c r="B1274" s="524" t="str">
        <f>VLOOKUP(A1274,'Hours Detail'!$E$17:$H$1048576,4,)</f>
        <v>No</v>
      </c>
      <c r="C1274" s="524" t="s">
        <v>3516</v>
      </c>
      <c r="D1274" s="524" t="s">
        <v>3515</v>
      </c>
      <c r="E1274" s="524" t="s">
        <v>3514</v>
      </c>
      <c r="F1274" s="524" t="s">
        <v>3514</v>
      </c>
      <c r="G1274" s="524" t="s">
        <v>3514</v>
      </c>
      <c r="H1274" s="524" t="s">
        <v>3514</v>
      </c>
      <c r="I1274" s="524" t="s">
        <v>3515</v>
      </c>
      <c r="J1274" s="524" t="s">
        <v>3515</v>
      </c>
      <c r="K1274" s="524"/>
      <c r="L1274" s="524" t="s">
        <v>6590</v>
      </c>
      <c r="M1274" s="524" t="s">
        <v>6591</v>
      </c>
      <c r="N1274" s="524" t="s">
        <v>7538</v>
      </c>
      <c r="O1274" s="524"/>
    </row>
    <row r="1275" spans="1:15" ht="58" hidden="1">
      <c r="A1275" s="525">
        <v>1329</v>
      </c>
      <c r="B1275" s="524" t="e">
        <f>VLOOKUP(A1275,'Hours Detail'!$E$17:$H$1048576,4,)</f>
        <v>#N/A</v>
      </c>
      <c r="C1275" s="524" t="s">
        <v>4386</v>
      </c>
      <c r="D1275" s="524" t="s">
        <v>4385</v>
      </c>
      <c r="E1275" s="524" t="s">
        <v>4384</v>
      </c>
      <c r="F1275" s="524" t="s">
        <v>4384</v>
      </c>
      <c r="G1275" s="524" t="s">
        <v>4384</v>
      </c>
      <c r="H1275" s="524" t="s">
        <v>4384</v>
      </c>
      <c r="I1275" s="524" t="s">
        <v>4385</v>
      </c>
      <c r="J1275" s="524" t="s">
        <v>4385</v>
      </c>
      <c r="K1275" s="524"/>
      <c r="L1275" s="524" t="s">
        <v>6590</v>
      </c>
      <c r="M1275" s="524" t="s">
        <v>6727</v>
      </c>
      <c r="N1275" s="524"/>
      <c r="O1275" s="524"/>
    </row>
    <row r="1276" spans="1:15" ht="72.5" hidden="1">
      <c r="A1276" s="525">
        <v>1330</v>
      </c>
      <c r="B1276" s="524" t="str">
        <f>VLOOKUP(A1276,'Hours Detail'!$E$17:$H$1048576,4,)</f>
        <v>No</v>
      </c>
      <c r="C1276" s="524" t="s">
        <v>3808</v>
      </c>
      <c r="D1276" s="524" t="s">
        <v>3807</v>
      </c>
      <c r="E1276" s="524" t="s">
        <v>3806</v>
      </c>
      <c r="F1276" s="524" t="s">
        <v>3806</v>
      </c>
      <c r="G1276" s="524" t="s">
        <v>3806</v>
      </c>
      <c r="H1276" s="524" t="s">
        <v>3806</v>
      </c>
      <c r="I1276" s="524" t="s">
        <v>3807</v>
      </c>
      <c r="J1276" s="524" t="s">
        <v>3807</v>
      </c>
      <c r="K1276" s="524"/>
      <c r="L1276" s="524" t="s">
        <v>6590</v>
      </c>
      <c r="M1276" s="524" t="s">
        <v>6591</v>
      </c>
      <c r="N1276" s="524" t="s">
        <v>7539</v>
      </c>
      <c r="O1276" s="524"/>
    </row>
    <row r="1277" spans="1:15" ht="72.5" hidden="1">
      <c r="A1277" s="525">
        <v>1331</v>
      </c>
      <c r="B1277" s="524" t="e">
        <f>VLOOKUP(A1277,'Hours Detail'!$E$17:$H$1048576,4,)</f>
        <v>#N/A</v>
      </c>
      <c r="C1277" s="524" t="s">
        <v>4389</v>
      </c>
      <c r="D1277" s="524" t="s">
        <v>4388</v>
      </c>
      <c r="E1277" s="524" t="s">
        <v>4387</v>
      </c>
      <c r="F1277" s="524" t="s">
        <v>4387</v>
      </c>
      <c r="G1277" s="524" t="s">
        <v>4387</v>
      </c>
      <c r="H1277" s="524" t="s">
        <v>4387</v>
      </c>
      <c r="I1277" s="524" t="s">
        <v>4388</v>
      </c>
      <c r="J1277" s="524" t="s">
        <v>4388</v>
      </c>
      <c r="K1277" s="524"/>
      <c r="L1277" s="524" t="s">
        <v>6590</v>
      </c>
      <c r="M1277" s="524" t="s">
        <v>6727</v>
      </c>
      <c r="N1277" s="524"/>
      <c r="O1277" s="524"/>
    </row>
    <row r="1278" spans="1:15" ht="29" hidden="1">
      <c r="A1278" s="525">
        <v>1332</v>
      </c>
      <c r="B1278" s="524" t="e">
        <f>VLOOKUP(A1278,'Hours Detail'!$E$17:$H$1048576,4,)</f>
        <v>#N/A</v>
      </c>
      <c r="C1278" s="524" t="s">
        <v>4383</v>
      </c>
      <c r="D1278" s="524" t="s">
        <v>4382</v>
      </c>
      <c r="E1278" s="524" t="s">
        <v>4381</v>
      </c>
      <c r="F1278" s="524" t="s">
        <v>4381</v>
      </c>
      <c r="G1278" s="524" t="s">
        <v>4381</v>
      </c>
      <c r="H1278" s="524" t="s">
        <v>4381</v>
      </c>
      <c r="I1278" s="524" t="s">
        <v>4382</v>
      </c>
      <c r="J1278" s="524" t="s">
        <v>4382</v>
      </c>
      <c r="K1278" s="524"/>
      <c r="L1278" s="524" t="s">
        <v>6590</v>
      </c>
      <c r="M1278" s="524" t="s">
        <v>6727</v>
      </c>
      <c r="N1278" s="524"/>
      <c r="O1278" s="524"/>
    </row>
    <row r="1279" spans="1:15" ht="58" hidden="1">
      <c r="A1279" s="525">
        <v>1333</v>
      </c>
      <c r="B1279" s="524" t="str">
        <f>VLOOKUP(A1279,'Hours Detail'!$E$17:$H$1048576,4,)</f>
        <v>No</v>
      </c>
      <c r="C1279" s="524" t="s">
        <v>3805</v>
      </c>
      <c r="D1279" s="524" t="s">
        <v>3804</v>
      </c>
      <c r="E1279" s="524" t="s">
        <v>3803</v>
      </c>
      <c r="F1279" s="524" t="s">
        <v>3803</v>
      </c>
      <c r="G1279" s="524" t="s">
        <v>3803</v>
      </c>
      <c r="H1279" s="524" t="s">
        <v>3803</v>
      </c>
      <c r="I1279" s="524" t="s">
        <v>3804</v>
      </c>
      <c r="J1279" s="524" t="s">
        <v>3804</v>
      </c>
      <c r="K1279" s="524"/>
      <c r="L1279" s="524" t="s">
        <v>6590</v>
      </c>
      <c r="M1279" s="524" t="s">
        <v>6591</v>
      </c>
      <c r="N1279" s="524" t="s">
        <v>7540</v>
      </c>
      <c r="O1279" s="524"/>
    </row>
    <row r="1280" spans="1:15" ht="101.5" hidden="1">
      <c r="A1280" s="525">
        <v>1334</v>
      </c>
      <c r="B1280" s="524" t="str">
        <f>VLOOKUP(A1280,'Hours Detail'!$E$17:$H$1048576,4,)</f>
        <v>No</v>
      </c>
      <c r="C1280" s="524" t="s">
        <v>3733</v>
      </c>
      <c r="D1280" s="524" t="s">
        <v>3732</v>
      </c>
      <c r="E1280" s="524" t="s">
        <v>3731</v>
      </c>
      <c r="F1280" s="524" t="s">
        <v>3731</v>
      </c>
      <c r="G1280" s="524" t="s">
        <v>3731</v>
      </c>
      <c r="H1280" s="524" t="s">
        <v>3731</v>
      </c>
      <c r="I1280" s="524" t="s">
        <v>7541</v>
      </c>
      <c r="J1280" s="524" t="s">
        <v>3732</v>
      </c>
      <c r="K1280" s="524"/>
      <c r="L1280" s="524" t="s">
        <v>6590</v>
      </c>
      <c r="M1280" s="524" t="s">
        <v>5878</v>
      </c>
      <c r="N1280" s="524" t="s">
        <v>7542</v>
      </c>
      <c r="O1280" s="524"/>
    </row>
    <row r="1281" spans="1:15" ht="43.5" hidden="1">
      <c r="A1281" s="525">
        <v>1335</v>
      </c>
      <c r="B1281" s="524" t="e">
        <f>VLOOKUP(A1281,'Hours Detail'!$E$17:$H$1048576,4,)</f>
        <v>#N/A</v>
      </c>
      <c r="C1281" s="524" t="s">
        <v>4380</v>
      </c>
      <c r="D1281" s="524" t="s">
        <v>4379</v>
      </c>
      <c r="E1281" s="524" t="s">
        <v>4378</v>
      </c>
      <c r="F1281" s="524" t="s">
        <v>4378</v>
      </c>
      <c r="G1281" s="524" t="s">
        <v>4378</v>
      </c>
      <c r="H1281" s="524" t="s">
        <v>4378</v>
      </c>
      <c r="I1281" s="524" t="s">
        <v>4379</v>
      </c>
      <c r="J1281" s="524" t="s">
        <v>4379</v>
      </c>
      <c r="K1281" s="524"/>
      <c r="L1281" s="524" t="s">
        <v>6590</v>
      </c>
      <c r="M1281" s="524" t="s">
        <v>6727</v>
      </c>
      <c r="N1281" s="524"/>
      <c r="O1281" s="524"/>
    </row>
    <row r="1282" spans="1:15" ht="72.5" hidden="1">
      <c r="A1282" s="525">
        <v>1336</v>
      </c>
      <c r="B1282" s="524" t="str">
        <f>VLOOKUP(A1282,'Hours Detail'!$E$17:$H$1048576,4,)</f>
        <v>No</v>
      </c>
      <c r="C1282" s="524" t="s">
        <v>3860</v>
      </c>
      <c r="D1282" s="524" t="s">
        <v>3859</v>
      </c>
      <c r="E1282" s="524" t="s">
        <v>3858</v>
      </c>
      <c r="F1282" s="524" t="s">
        <v>3858</v>
      </c>
      <c r="G1282" s="524" t="s">
        <v>3858</v>
      </c>
      <c r="H1282" s="524" t="s">
        <v>3858</v>
      </c>
      <c r="I1282" s="524" t="s">
        <v>3859</v>
      </c>
      <c r="J1282" s="524" t="s">
        <v>3859</v>
      </c>
      <c r="K1282" s="524"/>
      <c r="L1282" s="524" t="s">
        <v>6590</v>
      </c>
      <c r="M1282" s="524" t="s">
        <v>7398</v>
      </c>
      <c r="N1282" s="524" t="s">
        <v>7543</v>
      </c>
      <c r="O1282" s="524"/>
    </row>
    <row r="1283" spans="1:15" ht="58">
      <c r="A1283" s="525">
        <v>1337</v>
      </c>
      <c r="B1283" s="524" t="str">
        <f>VLOOKUP(A1283,'Hours Detail'!$E$17:$H$1048576,4,)</f>
        <v>No</v>
      </c>
      <c r="C1283" s="524" t="s">
        <v>3853</v>
      </c>
      <c r="D1283" s="524" t="s">
        <v>3852</v>
      </c>
      <c r="E1283" s="524" t="s">
        <v>3851</v>
      </c>
      <c r="F1283" s="524" t="s">
        <v>3851</v>
      </c>
      <c r="G1283" s="524" t="s">
        <v>3851</v>
      </c>
      <c r="H1283" s="524" t="s">
        <v>3851</v>
      </c>
      <c r="I1283" s="524" t="s">
        <v>7544</v>
      </c>
      <c r="J1283" s="524" t="s">
        <v>3852</v>
      </c>
      <c r="K1283" s="524"/>
      <c r="L1283" s="524" t="s">
        <v>6590</v>
      </c>
      <c r="M1283" s="524" t="s">
        <v>6591</v>
      </c>
      <c r="N1283" s="524" t="s">
        <v>7545</v>
      </c>
      <c r="O1283" s="524"/>
    </row>
    <row r="1284" spans="1:15" ht="87" hidden="1">
      <c r="A1284" s="525">
        <v>1338</v>
      </c>
      <c r="B1284" s="524" t="str">
        <f>VLOOKUP(A1284,'Hours Detail'!$E$17:$H$1048576,4,)</f>
        <v>No</v>
      </c>
      <c r="C1284" s="524" t="s">
        <v>4636</v>
      </c>
      <c r="D1284" s="524" t="s">
        <v>7546</v>
      </c>
      <c r="E1284" s="524" t="s">
        <v>7546</v>
      </c>
      <c r="F1284" s="524" t="s">
        <v>7546</v>
      </c>
      <c r="G1284" s="524" t="s">
        <v>7546</v>
      </c>
      <c r="H1284" s="524" t="s">
        <v>7546</v>
      </c>
      <c r="I1284" s="524" t="s">
        <v>7546</v>
      </c>
      <c r="J1284" s="524" t="s">
        <v>7546</v>
      </c>
      <c r="K1284" s="524"/>
      <c r="L1284" s="524" t="s">
        <v>6590</v>
      </c>
      <c r="M1284" s="524" t="s">
        <v>6592</v>
      </c>
      <c r="N1284" s="524" t="s">
        <v>7547</v>
      </c>
      <c r="O1284" s="524"/>
    </row>
    <row r="1285" spans="1:15" ht="58" hidden="1">
      <c r="A1285" s="525">
        <v>1339</v>
      </c>
      <c r="B1285" s="524" t="str">
        <f>VLOOKUP(A1285,'Hours Detail'!$E$17:$H$1048576,4,)</f>
        <v>No</v>
      </c>
      <c r="C1285" s="524" t="s">
        <v>4680</v>
      </c>
      <c r="D1285" s="524" t="s">
        <v>4679</v>
      </c>
      <c r="E1285" s="524" t="s">
        <v>4678</v>
      </c>
      <c r="F1285" s="524" t="s">
        <v>4678</v>
      </c>
      <c r="G1285" s="524" t="s">
        <v>4678</v>
      </c>
      <c r="H1285" s="524" t="s">
        <v>4678</v>
      </c>
      <c r="I1285" s="524" t="s">
        <v>4679</v>
      </c>
      <c r="J1285" s="524" t="s">
        <v>4679</v>
      </c>
      <c r="K1285" s="524"/>
      <c r="L1285" s="524" t="s">
        <v>6590</v>
      </c>
      <c r="M1285" s="524" t="s">
        <v>6592</v>
      </c>
      <c r="N1285" s="524" t="s">
        <v>7548</v>
      </c>
      <c r="O1285" s="524"/>
    </row>
    <row r="1286" spans="1:15" ht="58" hidden="1">
      <c r="A1286" s="525">
        <v>1340</v>
      </c>
      <c r="B1286" s="524" t="str">
        <f>VLOOKUP(A1286,'Hours Detail'!$E$17:$H$1048576,4,)</f>
        <v>No</v>
      </c>
      <c r="C1286" s="524" t="s">
        <v>3742</v>
      </c>
      <c r="D1286" s="524" t="s">
        <v>3741</v>
      </c>
      <c r="E1286" s="524" t="s">
        <v>3740</v>
      </c>
      <c r="F1286" s="524" t="s">
        <v>3740</v>
      </c>
      <c r="G1286" s="524" t="s">
        <v>3740</v>
      </c>
      <c r="H1286" s="524" t="s">
        <v>3740</v>
      </c>
      <c r="I1286" s="524" t="s">
        <v>3741</v>
      </c>
      <c r="J1286" s="524" t="s">
        <v>3741</v>
      </c>
      <c r="K1286" s="524"/>
      <c r="L1286" s="524" t="s">
        <v>6590</v>
      </c>
      <c r="M1286" s="524" t="s">
        <v>5878</v>
      </c>
      <c r="N1286" s="524" t="s">
        <v>7549</v>
      </c>
      <c r="O1286" s="524"/>
    </row>
    <row r="1287" spans="1:15" ht="72.5" hidden="1">
      <c r="A1287" s="525">
        <v>1341</v>
      </c>
      <c r="B1287" s="524" t="str">
        <f>VLOOKUP(A1287,'Hours Detail'!$E$17:$H$1048576,4,)</f>
        <v>No</v>
      </c>
      <c r="C1287" s="524" t="s">
        <v>3894</v>
      </c>
      <c r="D1287" s="524" t="s">
        <v>3893</v>
      </c>
      <c r="E1287" s="524" t="s">
        <v>3892</v>
      </c>
      <c r="F1287" s="524" t="s">
        <v>3892</v>
      </c>
      <c r="G1287" s="524" t="s">
        <v>3892</v>
      </c>
      <c r="H1287" s="524" t="s">
        <v>3892</v>
      </c>
      <c r="I1287" s="524" t="s">
        <v>7550</v>
      </c>
      <c r="J1287" s="524" t="s">
        <v>3893</v>
      </c>
      <c r="K1287" s="524"/>
      <c r="L1287" s="524" t="s">
        <v>6590</v>
      </c>
      <c r="M1287" s="524" t="s">
        <v>5878</v>
      </c>
      <c r="N1287" s="524" t="s">
        <v>7551</v>
      </c>
      <c r="O1287" s="524"/>
    </row>
    <row r="1288" spans="1:15" ht="58" hidden="1">
      <c r="A1288" s="525">
        <v>1342</v>
      </c>
      <c r="B1288" s="524" t="e">
        <f>VLOOKUP(A1288,'Hours Detail'!$E$17:$H$1048576,4,)</f>
        <v>#N/A</v>
      </c>
      <c r="C1288" s="524" t="s">
        <v>4467</v>
      </c>
      <c r="D1288" s="524" t="s">
        <v>4466</v>
      </c>
      <c r="E1288" s="524" t="s">
        <v>4465</v>
      </c>
      <c r="F1288" s="524" t="s">
        <v>4465</v>
      </c>
      <c r="G1288" s="524" t="s">
        <v>4465</v>
      </c>
      <c r="H1288" s="524" t="s">
        <v>4465</v>
      </c>
      <c r="I1288" s="524" t="s">
        <v>4466</v>
      </c>
      <c r="J1288" s="524" t="s">
        <v>4466</v>
      </c>
      <c r="K1288" s="524"/>
      <c r="L1288" s="524" t="s">
        <v>6590</v>
      </c>
      <c r="M1288" s="524" t="s">
        <v>6727</v>
      </c>
      <c r="N1288" s="524"/>
      <c r="O1288" s="524"/>
    </row>
    <row r="1289" spans="1:15" ht="58" hidden="1">
      <c r="A1289" s="525">
        <v>1343</v>
      </c>
      <c r="B1289" s="524" t="str">
        <f>VLOOKUP(A1289,'Hours Detail'!$E$17:$H$1048576,4,)</f>
        <v>No</v>
      </c>
      <c r="C1289" s="524" t="s">
        <v>3795</v>
      </c>
      <c r="D1289" s="524" t="s">
        <v>3794</v>
      </c>
      <c r="E1289" s="524" t="s">
        <v>3793</v>
      </c>
      <c r="F1289" s="524" t="s">
        <v>3793</v>
      </c>
      <c r="G1289" s="524" t="s">
        <v>3793</v>
      </c>
      <c r="H1289" s="524" t="s">
        <v>3793</v>
      </c>
      <c r="I1289" s="524" t="s">
        <v>3794</v>
      </c>
      <c r="J1289" s="524" t="s">
        <v>3794</v>
      </c>
      <c r="K1289" s="524"/>
      <c r="L1289" s="524" t="s">
        <v>6590</v>
      </c>
      <c r="M1289" s="524" t="s">
        <v>6591</v>
      </c>
      <c r="N1289" s="524"/>
      <c r="O1289" s="524"/>
    </row>
    <row r="1290" spans="1:15" ht="72.5" hidden="1">
      <c r="A1290" s="525">
        <v>1344</v>
      </c>
      <c r="B1290" s="524" t="str">
        <f>VLOOKUP(A1290,'Hours Detail'!$E$17:$H$1048576,4,)</f>
        <v>No</v>
      </c>
      <c r="C1290" s="524" t="s">
        <v>4702</v>
      </c>
      <c r="D1290" s="524" t="s">
        <v>4701</v>
      </c>
      <c r="E1290" s="524" t="s">
        <v>4700</v>
      </c>
      <c r="F1290" s="524" t="s">
        <v>4700</v>
      </c>
      <c r="G1290" s="524" t="s">
        <v>4700</v>
      </c>
      <c r="H1290" s="524" t="s">
        <v>4700</v>
      </c>
      <c r="I1290" s="524" t="s">
        <v>4701</v>
      </c>
      <c r="J1290" s="524" t="s">
        <v>4701</v>
      </c>
      <c r="K1290" s="524"/>
      <c r="L1290" s="524" t="s">
        <v>6590</v>
      </c>
      <c r="M1290" s="524" t="s">
        <v>6592</v>
      </c>
      <c r="N1290" s="524" t="s">
        <v>7552</v>
      </c>
      <c r="O1290" s="524"/>
    </row>
    <row r="1291" spans="1:15" ht="72.5" hidden="1">
      <c r="A1291" s="525">
        <v>1345</v>
      </c>
      <c r="B1291" s="524" t="str">
        <f>VLOOKUP(A1291,'Hours Detail'!$E$17:$H$1048576,4,)</f>
        <v>No</v>
      </c>
      <c r="C1291" s="524" t="s">
        <v>4647</v>
      </c>
      <c r="D1291" s="524" t="s">
        <v>4646</v>
      </c>
      <c r="E1291" s="524" t="s">
        <v>4645</v>
      </c>
      <c r="F1291" s="524" t="s">
        <v>4645</v>
      </c>
      <c r="G1291" s="524" t="s">
        <v>4645</v>
      </c>
      <c r="H1291" s="524" t="s">
        <v>4645</v>
      </c>
      <c r="I1291" s="524" t="s">
        <v>4646</v>
      </c>
      <c r="J1291" s="524" t="s">
        <v>4646</v>
      </c>
      <c r="K1291" s="524"/>
      <c r="L1291" s="524" t="s">
        <v>6590</v>
      </c>
      <c r="M1291" s="524" t="s">
        <v>6592</v>
      </c>
      <c r="N1291" s="524" t="s">
        <v>7553</v>
      </c>
      <c r="O1291" s="524"/>
    </row>
    <row r="1292" spans="1:15" ht="72.5" hidden="1">
      <c r="A1292" s="525">
        <v>1346</v>
      </c>
      <c r="B1292" s="524" t="str">
        <f>VLOOKUP(A1292,'Hours Detail'!$E$17:$H$1048576,4,)</f>
        <v>No</v>
      </c>
      <c r="C1292" s="524" t="s">
        <v>3899</v>
      </c>
      <c r="D1292" s="524" t="s">
        <v>3898</v>
      </c>
      <c r="E1292" s="524" t="s">
        <v>3897</v>
      </c>
      <c r="F1292" s="524" t="s">
        <v>3897</v>
      </c>
      <c r="G1292" s="524" t="s">
        <v>3897</v>
      </c>
      <c r="H1292" s="524" t="s">
        <v>3897</v>
      </c>
      <c r="I1292" s="524" t="s">
        <v>3898</v>
      </c>
      <c r="J1292" s="524" t="s">
        <v>3898</v>
      </c>
      <c r="K1292" s="524"/>
      <c r="L1292" s="524" t="s">
        <v>6590</v>
      </c>
      <c r="M1292" s="524" t="s">
        <v>5878</v>
      </c>
      <c r="N1292" s="524" t="s">
        <v>7414</v>
      </c>
      <c r="O1292" s="524"/>
    </row>
    <row r="1293" spans="1:15" ht="72.5" hidden="1">
      <c r="A1293" s="525">
        <v>1347</v>
      </c>
      <c r="B1293" s="524" t="str">
        <f>VLOOKUP(A1293,'Hours Detail'!$E$17:$H$1048576,4,)</f>
        <v>No</v>
      </c>
      <c r="C1293" s="524" t="s">
        <v>4644</v>
      </c>
      <c r="D1293" s="524" t="s">
        <v>4643</v>
      </c>
      <c r="E1293" s="524" t="s">
        <v>4642</v>
      </c>
      <c r="F1293" s="524" t="s">
        <v>4642</v>
      </c>
      <c r="G1293" s="524" t="s">
        <v>4642</v>
      </c>
      <c r="H1293" s="524" t="s">
        <v>4642</v>
      </c>
      <c r="I1293" s="524" t="s">
        <v>4643</v>
      </c>
      <c r="J1293" s="524" t="s">
        <v>4643</v>
      </c>
      <c r="K1293" s="524"/>
      <c r="L1293" s="524" t="s">
        <v>6590</v>
      </c>
      <c r="M1293" s="524" t="s">
        <v>6592</v>
      </c>
      <c r="N1293" s="524" t="s">
        <v>7554</v>
      </c>
      <c r="O1293" s="524"/>
    </row>
    <row r="1294" spans="1:15" ht="72.5" hidden="1">
      <c r="A1294" s="525">
        <v>1348</v>
      </c>
      <c r="B1294" s="524" t="str">
        <f>VLOOKUP(A1294,'Hours Detail'!$E$17:$H$1048576,4,)</f>
        <v>No</v>
      </c>
      <c r="C1294" s="524" t="s">
        <v>5886</v>
      </c>
      <c r="D1294" s="524" t="s">
        <v>3770</v>
      </c>
      <c r="E1294" s="524" t="s">
        <v>3769</v>
      </c>
      <c r="F1294" s="524" t="s">
        <v>3769</v>
      </c>
      <c r="G1294" s="524" t="s">
        <v>3769</v>
      </c>
      <c r="H1294" s="524" t="s">
        <v>3769</v>
      </c>
      <c r="I1294" s="524" t="s">
        <v>3770</v>
      </c>
      <c r="J1294" s="524" t="s">
        <v>3770</v>
      </c>
      <c r="K1294" s="524"/>
      <c r="L1294" s="524" t="s">
        <v>6590</v>
      </c>
      <c r="M1294" s="524" t="s">
        <v>5878</v>
      </c>
      <c r="N1294" s="524" t="s">
        <v>7555</v>
      </c>
      <c r="O1294" s="524"/>
    </row>
    <row r="1295" spans="1:15" ht="116" hidden="1">
      <c r="A1295" s="525">
        <v>1349</v>
      </c>
      <c r="B1295" s="524" t="str">
        <f>VLOOKUP(A1295,'Hours Detail'!$E$17:$H$1048576,4,)</f>
        <v>No</v>
      </c>
      <c r="C1295" s="524" t="s">
        <v>3739</v>
      </c>
      <c r="D1295" s="524" t="s">
        <v>3738</v>
      </c>
      <c r="E1295" s="524" t="s">
        <v>3737</v>
      </c>
      <c r="F1295" s="524" t="s">
        <v>3737</v>
      </c>
      <c r="G1295" s="524" t="s">
        <v>3737</v>
      </c>
      <c r="H1295" s="524" t="s">
        <v>3737</v>
      </c>
      <c r="I1295" s="524" t="s">
        <v>3738</v>
      </c>
      <c r="J1295" s="524" t="s">
        <v>3738</v>
      </c>
      <c r="K1295" s="524"/>
      <c r="L1295" s="524" t="s">
        <v>6590</v>
      </c>
      <c r="M1295" s="524" t="s">
        <v>5878</v>
      </c>
      <c r="N1295" s="524" t="s">
        <v>7556</v>
      </c>
      <c r="O1295" s="524"/>
    </row>
    <row r="1296" spans="1:15" ht="130.5" hidden="1">
      <c r="A1296" s="525">
        <v>1350</v>
      </c>
      <c r="B1296" s="524" t="str">
        <f>VLOOKUP(A1296,'Hours Detail'!$E$17:$H$1048576,4,)</f>
        <v>No</v>
      </c>
      <c r="C1296" s="524" t="s">
        <v>295</v>
      </c>
      <c r="D1296" s="524" t="s">
        <v>1111</v>
      </c>
      <c r="E1296" s="524" t="s">
        <v>1112</v>
      </c>
      <c r="F1296" s="524" t="s">
        <v>1112</v>
      </c>
      <c r="G1296" s="524" t="s">
        <v>1112</v>
      </c>
      <c r="H1296" s="524" t="s">
        <v>1112</v>
      </c>
      <c r="I1296" s="524" t="s">
        <v>7557</v>
      </c>
      <c r="J1296" s="524" t="s">
        <v>1111</v>
      </c>
      <c r="K1296" s="524" t="s">
        <v>6359</v>
      </c>
      <c r="L1296" s="524" t="s">
        <v>6381</v>
      </c>
      <c r="M1296" s="524" t="s">
        <v>442</v>
      </c>
      <c r="N1296" s="524" t="s">
        <v>7558</v>
      </c>
      <c r="O1296" s="524"/>
    </row>
    <row r="1297" spans="1:15" ht="116" hidden="1">
      <c r="A1297" s="527">
        <v>1350</v>
      </c>
      <c r="B1297" s="524" t="str">
        <f>VLOOKUP(A1297,'Hours Detail'!$E$17:$H$1048576,4,)</f>
        <v>No</v>
      </c>
      <c r="C1297" s="527" t="s">
        <v>295</v>
      </c>
      <c r="D1297" s="527" t="s">
        <v>2164</v>
      </c>
      <c r="E1297" s="527" t="s">
        <v>1111</v>
      </c>
      <c r="F1297" s="527" t="s">
        <v>1112</v>
      </c>
      <c r="G1297" s="527">
        <v>93</v>
      </c>
      <c r="H1297" s="527" t="s">
        <v>294</v>
      </c>
      <c r="I1297" s="527" t="s">
        <v>2301</v>
      </c>
      <c r="J1297" s="527" t="s">
        <v>2889</v>
      </c>
      <c r="K1297" s="527" t="s">
        <v>2889</v>
      </c>
      <c r="L1297" s="527" t="s">
        <v>7559</v>
      </c>
      <c r="M1297" s="524"/>
      <c r="N1297" s="524"/>
      <c r="O1297" s="524"/>
    </row>
    <row r="1298" spans="1:15" ht="72.5" hidden="1">
      <c r="A1298" s="525">
        <v>1351</v>
      </c>
      <c r="B1298" s="524" t="e">
        <f>VLOOKUP(A1298,'Hours Detail'!$E$17:$H$1048576,4,)</f>
        <v>#N/A</v>
      </c>
      <c r="C1298" s="524" t="s">
        <v>343</v>
      </c>
      <c r="D1298" s="524" t="s">
        <v>1473</v>
      </c>
      <c r="E1298" s="524" t="s">
        <v>1474</v>
      </c>
      <c r="F1298" s="524" t="s">
        <v>1474</v>
      </c>
      <c r="G1298" s="524" t="s">
        <v>1474</v>
      </c>
      <c r="H1298" s="524" t="s">
        <v>1474</v>
      </c>
      <c r="I1298" s="524" t="s">
        <v>7560</v>
      </c>
      <c r="J1298" s="524" t="s">
        <v>1473</v>
      </c>
      <c r="K1298" s="524" t="s">
        <v>6359</v>
      </c>
      <c r="L1298" s="524" t="s">
        <v>6381</v>
      </c>
      <c r="M1298" s="524" t="s">
        <v>442</v>
      </c>
      <c r="N1298" s="524"/>
      <c r="O1298" s="524"/>
    </row>
    <row r="1299" spans="1:15" ht="101.5" hidden="1">
      <c r="A1299" s="527">
        <v>1351</v>
      </c>
      <c r="B1299" s="524" t="e">
        <f>VLOOKUP(A1299,'Hours Detail'!$E$17:$H$1048576,4,)</f>
        <v>#N/A</v>
      </c>
      <c r="C1299" s="527" t="s">
        <v>343</v>
      </c>
      <c r="D1299" s="527" t="s">
        <v>1469</v>
      </c>
      <c r="E1299" s="527" t="s">
        <v>1473</v>
      </c>
      <c r="F1299" s="527" t="s">
        <v>1474</v>
      </c>
      <c r="G1299" s="527">
        <v>302</v>
      </c>
      <c r="H1299" s="527" t="s">
        <v>409</v>
      </c>
      <c r="I1299" s="527" t="s">
        <v>1467</v>
      </c>
      <c r="J1299" s="527" t="s">
        <v>2890</v>
      </c>
      <c r="K1299" s="527" t="s">
        <v>2890</v>
      </c>
      <c r="L1299" s="527" t="s">
        <v>7561</v>
      </c>
      <c r="M1299" s="524"/>
      <c r="N1299" s="524"/>
      <c r="O1299" s="524"/>
    </row>
    <row r="1300" spans="1:15" ht="43.5" hidden="1">
      <c r="A1300" s="525">
        <v>1352</v>
      </c>
      <c r="B1300" s="524" t="str">
        <f>VLOOKUP(A1300,'Hours Detail'!$E$17:$H$1048576,4,)</f>
        <v>No</v>
      </c>
      <c r="C1300" s="524" t="s">
        <v>3850</v>
      </c>
      <c r="D1300" s="524" t="s">
        <v>3849</v>
      </c>
      <c r="E1300" s="524" t="s">
        <v>3848</v>
      </c>
      <c r="F1300" s="524" t="s">
        <v>3848</v>
      </c>
      <c r="G1300" s="524" t="s">
        <v>3848</v>
      </c>
      <c r="H1300" s="524" t="s">
        <v>3848</v>
      </c>
      <c r="I1300" s="524" t="s">
        <v>3849</v>
      </c>
      <c r="J1300" s="524" t="s">
        <v>3849</v>
      </c>
      <c r="K1300" s="524"/>
      <c r="L1300" s="524" t="s">
        <v>6590</v>
      </c>
      <c r="M1300" s="524" t="s">
        <v>6591</v>
      </c>
      <c r="N1300" s="524" t="s">
        <v>7562</v>
      </c>
      <c r="O1300" s="524"/>
    </row>
    <row r="1301" spans="1:15" ht="43.5" hidden="1">
      <c r="A1301" s="525">
        <v>1353</v>
      </c>
      <c r="B1301" s="524" t="str">
        <f>VLOOKUP(A1301,'Hours Detail'!$E$17:$H$1048576,4,)</f>
        <v>No</v>
      </c>
      <c r="C1301" s="524" t="s">
        <v>4145</v>
      </c>
      <c r="D1301" s="524" t="s">
        <v>4144</v>
      </c>
      <c r="E1301" s="524" t="s">
        <v>4143</v>
      </c>
      <c r="F1301" s="524" t="s">
        <v>4143</v>
      </c>
      <c r="G1301" s="524" t="s">
        <v>4143</v>
      </c>
      <c r="H1301" s="524" t="s">
        <v>4143</v>
      </c>
      <c r="I1301" s="524" t="s">
        <v>4144</v>
      </c>
      <c r="J1301" s="524" t="s">
        <v>4144</v>
      </c>
      <c r="K1301" s="524"/>
      <c r="L1301" s="524" t="s">
        <v>6590</v>
      </c>
      <c r="M1301" s="524" t="s">
        <v>6591</v>
      </c>
      <c r="N1301" s="524" t="s">
        <v>7563</v>
      </c>
      <c r="O1301" s="524"/>
    </row>
    <row r="1302" spans="1:15" ht="72.5" hidden="1">
      <c r="A1302" s="525">
        <v>1354</v>
      </c>
      <c r="B1302" s="524" t="str">
        <f>VLOOKUP(A1302,'Hours Detail'!$E$17:$H$1048576,4,)</f>
        <v>No</v>
      </c>
      <c r="C1302" s="524" t="s">
        <v>4534</v>
      </c>
      <c r="D1302" s="524" t="s">
        <v>4533</v>
      </c>
      <c r="E1302" s="524" t="s">
        <v>4532</v>
      </c>
      <c r="F1302" s="524" t="s">
        <v>4532</v>
      </c>
      <c r="G1302" s="524" t="s">
        <v>4532</v>
      </c>
      <c r="H1302" s="524" t="s">
        <v>4532</v>
      </c>
      <c r="I1302" s="524" t="s">
        <v>4533</v>
      </c>
      <c r="J1302" s="524" t="s">
        <v>4533</v>
      </c>
      <c r="K1302" s="524"/>
      <c r="L1302" s="524" t="s">
        <v>6590</v>
      </c>
      <c r="M1302" s="524" t="s">
        <v>6592</v>
      </c>
      <c r="N1302" s="524" t="s">
        <v>7564</v>
      </c>
      <c r="O1302" s="524"/>
    </row>
    <row r="1303" spans="1:15" ht="87" hidden="1">
      <c r="A1303" s="525">
        <v>1355</v>
      </c>
      <c r="B1303" s="524" t="str">
        <f>VLOOKUP(A1303,'Hours Detail'!$E$17:$H$1048576,4,)</f>
        <v>No</v>
      </c>
      <c r="C1303" s="524" t="s">
        <v>1076</v>
      </c>
      <c r="D1303" s="524" t="s">
        <v>1077</v>
      </c>
      <c r="E1303" s="524" t="s">
        <v>1078</v>
      </c>
      <c r="F1303" s="524" t="s">
        <v>1078</v>
      </c>
      <c r="G1303" s="524" t="s">
        <v>1078</v>
      </c>
      <c r="H1303" s="524" t="s">
        <v>1078</v>
      </c>
      <c r="I1303" s="524" t="s">
        <v>7565</v>
      </c>
      <c r="J1303" s="524" t="s">
        <v>1077</v>
      </c>
      <c r="K1303" s="524" t="s">
        <v>6359</v>
      </c>
      <c r="L1303" s="524" t="s">
        <v>6414</v>
      </c>
      <c r="M1303" s="524" t="s">
        <v>6450</v>
      </c>
      <c r="N1303" s="524" t="s">
        <v>7566</v>
      </c>
      <c r="O1303" s="524"/>
    </row>
    <row r="1304" spans="1:15" ht="72.5" hidden="1">
      <c r="A1304" s="527">
        <v>1355</v>
      </c>
      <c r="B1304" s="524" t="str">
        <f>VLOOKUP(A1304,'Hours Detail'!$E$17:$H$1048576,4,)</f>
        <v>No</v>
      </c>
      <c r="C1304" s="527" t="s">
        <v>1076</v>
      </c>
      <c r="D1304" s="527" t="s">
        <v>1068</v>
      </c>
      <c r="E1304" s="527" t="s">
        <v>1077</v>
      </c>
      <c r="F1304" s="527" t="s">
        <v>1078</v>
      </c>
      <c r="G1304" s="527">
        <v>88</v>
      </c>
      <c r="H1304" s="527" t="s">
        <v>16</v>
      </c>
      <c r="I1304" s="527" t="s">
        <v>1066</v>
      </c>
      <c r="J1304" s="527" t="s">
        <v>2889</v>
      </c>
      <c r="K1304" s="527" t="s">
        <v>2889</v>
      </c>
      <c r="L1304" s="527" t="s">
        <v>7567</v>
      </c>
      <c r="M1304" s="524"/>
      <c r="N1304" s="524"/>
      <c r="O1304" s="524"/>
    </row>
    <row r="1305" spans="1:15" ht="72.5">
      <c r="A1305" s="525">
        <v>1356</v>
      </c>
      <c r="B1305" s="524" t="str">
        <f>VLOOKUP(A1305,'Hours Detail'!$E$17:$H$1048576,4,)</f>
        <v>No</v>
      </c>
      <c r="C1305" s="524" t="s">
        <v>3710</v>
      </c>
      <c r="D1305" s="524" t="s">
        <v>3709</v>
      </c>
      <c r="E1305" s="524" t="s">
        <v>3708</v>
      </c>
      <c r="F1305" s="524" t="s">
        <v>3708</v>
      </c>
      <c r="G1305" s="524" t="s">
        <v>3708</v>
      </c>
      <c r="H1305" s="524" t="s">
        <v>3708</v>
      </c>
      <c r="I1305" s="524" t="s">
        <v>7568</v>
      </c>
      <c r="J1305" s="524" t="s">
        <v>3709</v>
      </c>
      <c r="K1305" s="524"/>
      <c r="L1305" s="524" t="s">
        <v>6590</v>
      </c>
      <c r="M1305" s="524" t="s">
        <v>5878</v>
      </c>
      <c r="N1305" s="524" t="s">
        <v>7569</v>
      </c>
      <c r="O1305" s="524"/>
    </row>
    <row r="1306" spans="1:15" ht="72.5" hidden="1">
      <c r="A1306" s="525">
        <v>1357</v>
      </c>
      <c r="B1306" s="524" t="str">
        <f>VLOOKUP(A1306,'Hours Detail'!$E$17:$H$1048576,4,)</f>
        <v>No</v>
      </c>
      <c r="C1306" s="524" t="s">
        <v>3835</v>
      </c>
      <c r="D1306" s="524" t="s">
        <v>3834</v>
      </c>
      <c r="E1306" s="524" t="s">
        <v>3833</v>
      </c>
      <c r="F1306" s="524" t="s">
        <v>3833</v>
      </c>
      <c r="G1306" s="524" t="s">
        <v>3833</v>
      </c>
      <c r="H1306" s="524" t="s">
        <v>3833</v>
      </c>
      <c r="I1306" s="524" t="s">
        <v>3834</v>
      </c>
      <c r="J1306" s="524" t="s">
        <v>3834</v>
      </c>
      <c r="K1306" s="524"/>
      <c r="L1306" s="524" t="s">
        <v>6590</v>
      </c>
      <c r="M1306" s="524" t="s">
        <v>6591</v>
      </c>
      <c r="N1306" s="524" t="s">
        <v>7570</v>
      </c>
      <c r="O1306" s="524"/>
    </row>
    <row r="1307" spans="1:15" ht="29" hidden="1">
      <c r="A1307" s="525">
        <v>1358</v>
      </c>
      <c r="B1307" s="524" t="e">
        <f>VLOOKUP(A1307,'Hours Detail'!$E$17:$H$1048576,4,)</f>
        <v>#N/A</v>
      </c>
      <c r="C1307" s="524" t="s">
        <v>4453</v>
      </c>
      <c r="D1307" s="524" t="s">
        <v>4454</v>
      </c>
      <c r="E1307" s="524" t="s">
        <v>4453</v>
      </c>
      <c r="F1307" s="524" t="s">
        <v>4453</v>
      </c>
      <c r="G1307" s="524" t="s">
        <v>4453</v>
      </c>
      <c r="H1307" s="524" t="s">
        <v>4453</v>
      </c>
      <c r="I1307" s="524" t="s">
        <v>4454</v>
      </c>
      <c r="J1307" s="524" t="s">
        <v>4454</v>
      </c>
      <c r="K1307" s="524"/>
      <c r="L1307" s="524" t="s">
        <v>6590</v>
      </c>
      <c r="M1307" s="524" t="s">
        <v>6727</v>
      </c>
      <c r="N1307" s="524"/>
      <c r="O1307" s="524"/>
    </row>
    <row r="1308" spans="1:15" ht="72.5" hidden="1">
      <c r="A1308" s="525">
        <v>1359</v>
      </c>
      <c r="B1308" s="524" t="str">
        <f>VLOOKUP(A1308,'Hours Detail'!$E$17:$H$1048576,4,)</f>
        <v>No</v>
      </c>
      <c r="C1308" s="524" t="s">
        <v>3838</v>
      </c>
      <c r="D1308" s="524" t="s">
        <v>3837</v>
      </c>
      <c r="E1308" s="524" t="s">
        <v>3836</v>
      </c>
      <c r="F1308" s="524" t="s">
        <v>3836</v>
      </c>
      <c r="G1308" s="524" t="s">
        <v>3836</v>
      </c>
      <c r="H1308" s="524" t="s">
        <v>3836</v>
      </c>
      <c r="I1308" s="524" t="s">
        <v>3837</v>
      </c>
      <c r="J1308" s="524" t="s">
        <v>3837</v>
      </c>
      <c r="K1308" s="524"/>
      <c r="L1308" s="524" t="s">
        <v>6590</v>
      </c>
      <c r="M1308" s="524" t="s">
        <v>6591</v>
      </c>
      <c r="N1308" s="524" t="s">
        <v>7571</v>
      </c>
      <c r="O1308" s="524"/>
    </row>
    <row r="1309" spans="1:15" ht="58" hidden="1">
      <c r="A1309" s="525">
        <v>1360</v>
      </c>
      <c r="B1309" s="524" t="str">
        <f>VLOOKUP(A1309,'Hours Detail'!$E$17:$H$1048576,4,)</f>
        <v>No</v>
      </c>
      <c r="C1309" s="524" t="s">
        <v>3888</v>
      </c>
      <c r="D1309" s="524" t="s">
        <v>3887</v>
      </c>
      <c r="E1309" s="524" t="s">
        <v>3886</v>
      </c>
      <c r="F1309" s="524" t="s">
        <v>3886</v>
      </c>
      <c r="G1309" s="524" t="s">
        <v>3886</v>
      </c>
      <c r="H1309" s="524" t="s">
        <v>3886</v>
      </c>
      <c r="I1309" s="524" t="s">
        <v>3887</v>
      </c>
      <c r="J1309" s="524" t="s">
        <v>3887</v>
      </c>
      <c r="K1309" s="524"/>
      <c r="L1309" s="524" t="s">
        <v>6590</v>
      </c>
      <c r="M1309" s="524" t="s">
        <v>5878</v>
      </c>
      <c r="N1309" s="524" t="s">
        <v>7572</v>
      </c>
      <c r="O1309" s="524"/>
    </row>
    <row r="1310" spans="1:15" ht="58" hidden="1">
      <c r="A1310" s="525">
        <v>1361</v>
      </c>
      <c r="B1310" s="524" t="e">
        <f>VLOOKUP(A1310,'Hours Detail'!$E$17:$H$1048576,4,)</f>
        <v>#N/A</v>
      </c>
      <c r="C1310" s="524" t="s">
        <v>3841</v>
      </c>
      <c r="D1310" s="524" t="s">
        <v>3840</v>
      </c>
      <c r="E1310" s="524" t="s">
        <v>3839</v>
      </c>
      <c r="F1310" s="524" t="s">
        <v>3839</v>
      </c>
      <c r="G1310" s="524" t="s">
        <v>3839</v>
      </c>
      <c r="H1310" s="524" t="s">
        <v>3839</v>
      </c>
      <c r="I1310" s="524" t="s">
        <v>3840</v>
      </c>
      <c r="J1310" s="524" t="s">
        <v>7573</v>
      </c>
      <c r="K1310" s="524"/>
      <c r="L1310" s="524" t="s">
        <v>6590</v>
      </c>
      <c r="M1310" s="524" t="s">
        <v>6591</v>
      </c>
      <c r="N1310" s="524" t="s">
        <v>7574</v>
      </c>
      <c r="O1310" s="524"/>
    </row>
    <row r="1311" spans="1:15" ht="72.5" hidden="1">
      <c r="A1311" s="525">
        <v>1362</v>
      </c>
      <c r="B1311" s="524" t="str">
        <f>VLOOKUP(A1311,'Hours Detail'!$E$17:$H$1048576,4,)</f>
        <v>No</v>
      </c>
      <c r="C1311" s="524" t="s">
        <v>3832</v>
      </c>
      <c r="D1311" s="524" t="s">
        <v>3831</v>
      </c>
      <c r="E1311" s="524" t="s">
        <v>3830</v>
      </c>
      <c r="F1311" s="524" t="s">
        <v>3830</v>
      </c>
      <c r="G1311" s="524" t="s">
        <v>3830</v>
      </c>
      <c r="H1311" s="524" t="s">
        <v>3830</v>
      </c>
      <c r="I1311" s="524" t="s">
        <v>3831</v>
      </c>
      <c r="J1311" s="524" t="s">
        <v>3831</v>
      </c>
      <c r="K1311" s="524"/>
      <c r="L1311" s="524" t="s">
        <v>6590</v>
      </c>
      <c r="M1311" s="524" t="s">
        <v>6591</v>
      </c>
      <c r="N1311" s="524" t="s">
        <v>7575</v>
      </c>
      <c r="O1311" s="524"/>
    </row>
    <row r="1312" spans="1:15" ht="72.5" hidden="1">
      <c r="A1312" s="525">
        <v>1363</v>
      </c>
      <c r="B1312" s="524" t="str">
        <f>VLOOKUP(A1312,'Hours Detail'!$E$17:$H$1048576,4,)</f>
        <v>No</v>
      </c>
      <c r="C1312" s="524" t="s">
        <v>3885</v>
      </c>
      <c r="D1312" s="524" t="s">
        <v>3884</v>
      </c>
      <c r="E1312" s="524" t="s">
        <v>3883</v>
      </c>
      <c r="F1312" s="524" t="s">
        <v>3883</v>
      </c>
      <c r="G1312" s="524" t="s">
        <v>3883</v>
      </c>
      <c r="H1312" s="524" t="s">
        <v>3883</v>
      </c>
      <c r="I1312" s="524" t="s">
        <v>3884</v>
      </c>
      <c r="J1312" s="524" t="s">
        <v>3884</v>
      </c>
      <c r="K1312" s="524"/>
      <c r="L1312" s="524" t="s">
        <v>6590</v>
      </c>
      <c r="M1312" s="524" t="s">
        <v>5878</v>
      </c>
      <c r="N1312" s="524" t="s">
        <v>7576</v>
      </c>
      <c r="O1312" s="524"/>
    </row>
    <row r="1313" spans="1:15" ht="101.5" hidden="1">
      <c r="A1313" s="525">
        <v>1364</v>
      </c>
      <c r="B1313" s="524" t="str">
        <f>VLOOKUP(A1313,'Hours Detail'!$E$17:$H$1048576,4,)</f>
        <v>No</v>
      </c>
      <c r="C1313" s="524" t="s">
        <v>3789</v>
      </c>
      <c r="D1313" s="524" t="s">
        <v>3788</v>
      </c>
      <c r="E1313" s="524" t="s">
        <v>3787</v>
      </c>
      <c r="F1313" s="524" t="s">
        <v>3787</v>
      </c>
      <c r="G1313" s="524" t="s">
        <v>3787</v>
      </c>
      <c r="H1313" s="524" t="s">
        <v>3787</v>
      </c>
      <c r="I1313" s="524" t="s">
        <v>3788</v>
      </c>
      <c r="J1313" s="524" t="s">
        <v>7577</v>
      </c>
      <c r="K1313" s="524"/>
      <c r="L1313" s="524" t="s">
        <v>6590</v>
      </c>
      <c r="M1313" s="524" t="s">
        <v>6591</v>
      </c>
      <c r="N1313" s="524" t="s">
        <v>7578</v>
      </c>
      <c r="O1313" s="524"/>
    </row>
    <row r="1314" spans="1:15" ht="87" hidden="1">
      <c r="A1314" s="525">
        <v>1365</v>
      </c>
      <c r="B1314" s="524" t="str">
        <f>VLOOKUP(A1314,'Hours Detail'!$E$17:$H$1048576,4,)</f>
        <v>No</v>
      </c>
      <c r="C1314" s="524" t="s">
        <v>3762</v>
      </c>
      <c r="D1314" s="524" t="s">
        <v>3761</v>
      </c>
      <c r="E1314" s="524" t="s">
        <v>3760</v>
      </c>
      <c r="F1314" s="524" t="s">
        <v>3760</v>
      </c>
      <c r="G1314" s="524" t="s">
        <v>3760</v>
      </c>
      <c r="H1314" s="524" t="s">
        <v>3760</v>
      </c>
      <c r="I1314" s="524" t="s">
        <v>7579</v>
      </c>
      <c r="J1314" s="524" t="s">
        <v>3761</v>
      </c>
      <c r="K1314" s="524"/>
      <c r="L1314" s="524" t="s">
        <v>6590</v>
      </c>
      <c r="M1314" s="524" t="s">
        <v>7398</v>
      </c>
      <c r="N1314" s="524" t="s">
        <v>7580</v>
      </c>
      <c r="O1314" s="524"/>
    </row>
    <row r="1315" spans="1:15" ht="58" hidden="1">
      <c r="A1315" s="525">
        <v>1366</v>
      </c>
      <c r="B1315" s="524" t="str">
        <f>VLOOKUP(A1315,'Hours Detail'!$E$17:$H$1048576,4,)</f>
        <v>No</v>
      </c>
      <c r="C1315" s="524" t="s">
        <v>3726</v>
      </c>
      <c r="D1315" s="524" t="s">
        <v>3725</v>
      </c>
      <c r="E1315" s="524" t="s">
        <v>3724</v>
      </c>
      <c r="F1315" s="524" t="s">
        <v>3724</v>
      </c>
      <c r="G1315" s="524" t="s">
        <v>3724</v>
      </c>
      <c r="H1315" s="524" t="s">
        <v>3724</v>
      </c>
      <c r="I1315" s="524" t="s">
        <v>3725</v>
      </c>
      <c r="J1315" s="524" t="s">
        <v>3725</v>
      </c>
      <c r="K1315" s="524"/>
      <c r="L1315" s="524" t="s">
        <v>6590</v>
      </c>
      <c r="M1315" s="524" t="s">
        <v>5878</v>
      </c>
      <c r="N1315" s="524" t="s">
        <v>7581</v>
      </c>
      <c r="O1315" s="524"/>
    </row>
    <row r="1316" spans="1:15" ht="145" hidden="1">
      <c r="A1316" s="525">
        <v>1367</v>
      </c>
      <c r="B1316" s="524" t="str">
        <f>VLOOKUP(A1316,'Hours Detail'!$E$17:$H$1048576,4,)</f>
        <v>No</v>
      </c>
      <c r="C1316" s="524" t="s">
        <v>4142</v>
      </c>
      <c r="D1316" s="524" t="s">
        <v>4141</v>
      </c>
      <c r="E1316" s="524" t="s">
        <v>4140</v>
      </c>
      <c r="F1316" s="524" t="s">
        <v>4140</v>
      </c>
      <c r="G1316" s="524" t="s">
        <v>4140</v>
      </c>
      <c r="H1316" s="524" t="s">
        <v>4140</v>
      </c>
      <c r="I1316" s="524" t="s">
        <v>4141</v>
      </c>
      <c r="J1316" s="524" t="s">
        <v>4141</v>
      </c>
      <c r="K1316" s="524"/>
      <c r="L1316" s="524" t="s">
        <v>6590</v>
      </c>
      <c r="M1316" s="524" t="s">
        <v>6591</v>
      </c>
      <c r="N1316" s="524" t="s">
        <v>7582</v>
      </c>
      <c r="O1316" s="524"/>
    </row>
    <row r="1317" spans="1:15" ht="58" hidden="1">
      <c r="A1317" s="525">
        <v>1368</v>
      </c>
      <c r="B1317" s="524" t="e">
        <f>VLOOKUP(A1317,'Hours Detail'!$E$17:$H$1048576,4,)</f>
        <v>#N/A</v>
      </c>
      <c r="C1317" s="524" t="s">
        <v>4531</v>
      </c>
      <c r="D1317" s="524" t="s">
        <v>4530</v>
      </c>
      <c r="E1317" s="524" t="s">
        <v>4529</v>
      </c>
      <c r="F1317" s="524" t="s">
        <v>4529</v>
      </c>
      <c r="G1317" s="524" t="s">
        <v>4529</v>
      </c>
      <c r="H1317" s="524" t="s">
        <v>4529</v>
      </c>
      <c r="I1317" s="524" t="s">
        <v>4530</v>
      </c>
      <c r="J1317" s="524" t="s">
        <v>7583</v>
      </c>
      <c r="K1317" s="524"/>
      <c r="L1317" s="524" t="s">
        <v>6590</v>
      </c>
      <c r="M1317" s="524" t="s">
        <v>5878</v>
      </c>
      <c r="N1317" s="524"/>
      <c r="O1317" s="524"/>
    </row>
    <row r="1318" spans="1:15" ht="58">
      <c r="A1318" s="525">
        <v>1369</v>
      </c>
      <c r="B1318" s="524" t="str">
        <f>VLOOKUP(A1318,'Hours Detail'!$E$17:$H$1048576,4,)</f>
        <v>No</v>
      </c>
      <c r="C1318" s="524" t="s">
        <v>3713</v>
      </c>
      <c r="D1318" s="524" t="s">
        <v>3712</v>
      </c>
      <c r="E1318" s="524" t="s">
        <v>3711</v>
      </c>
      <c r="F1318" s="524" t="s">
        <v>3711</v>
      </c>
      <c r="G1318" s="524" t="s">
        <v>3711</v>
      </c>
      <c r="H1318" s="524" t="s">
        <v>3711</v>
      </c>
      <c r="I1318" s="524" t="s">
        <v>3712</v>
      </c>
      <c r="J1318" s="524" t="s">
        <v>3712</v>
      </c>
      <c r="K1318" s="524"/>
      <c r="L1318" s="524" t="s">
        <v>6590</v>
      </c>
      <c r="M1318" s="524" t="s">
        <v>5878</v>
      </c>
      <c r="N1318" s="524" t="s">
        <v>7584</v>
      </c>
      <c r="O1318" s="524"/>
    </row>
    <row r="1319" spans="1:15" ht="116" hidden="1">
      <c r="A1319" s="525">
        <v>1370</v>
      </c>
      <c r="B1319" s="524" t="str">
        <f>VLOOKUP(A1319,'Hours Detail'!$E$17:$H$1048576,4,)</f>
        <v>No</v>
      </c>
      <c r="C1319" s="524" t="s">
        <v>4501</v>
      </c>
      <c r="D1319" s="524" t="s">
        <v>4500</v>
      </c>
      <c r="E1319" s="524" t="s">
        <v>4499</v>
      </c>
      <c r="F1319" s="524" t="s">
        <v>4499</v>
      </c>
      <c r="G1319" s="524" t="s">
        <v>4499</v>
      </c>
      <c r="H1319" s="524" t="s">
        <v>4499</v>
      </c>
      <c r="I1319" s="524" t="s">
        <v>4500</v>
      </c>
      <c r="J1319" s="524" t="s">
        <v>4500</v>
      </c>
      <c r="K1319" s="524"/>
      <c r="L1319" s="524" t="s">
        <v>6590</v>
      </c>
      <c r="M1319" s="524" t="s">
        <v>5878</v>
      </c>
      <c r="N1319" s="524" t="s">
        <v>7585</v>
      </c>
      <c r="O1319" s="524"/>
    </row>
    <row r="1320" spans="1:15" ht="116" hidden="1">
      <c r="A1320" s="525">
        <v>1371</v>
      </c>
      <c r="B1320" s="524" t="str">
        <f>VLOOKUP(A1320,'Hours Detail'!$E$17:$H$1048576,4,)</f>
        <v>No</v>
      </c>
      <c r="C1320" s="524" t="s">
        <v>3829</v>
      </c>
      <c r="D1320" s="524" t="s">
        <v>3828</v>
      </c>
      <c r="E1320" s="524" t="s">
        <v>3827</v>
      </c>
      <c r="F1320" s="524" t="s">
        <v>3827</v>
      </c>
      <c r="G1320" s="524" t="s">
        <v>7586</v>
      </c>
      <c r="H1320" s="524" t="s">
        <v>3827</v>
      </c>
      <c r="I1320" s="524" t="s">
        <v>3828</v>
      </c>
      <c r="J1320" s="524" t="s">
        <v>3828</v>
      </c>
      <c r="K1320" s="524"/>
      <c r="L1320" s="524" t="s">
        <v>6590</v>
      </c>
      <c r="M1320" s="524" t="s">
        <v>6591</v>
      </c>
      <c r="N1320" s="524" t="s">
        <v>7587</v>
      </c>
      <c r="O1320" s="524"/>
    </row>
    <row r="1321" spans="1:15" ht="58" hidden="1">
      <c r="A1321" s="525">
        <v>1372</v>
      </c>
      <c r="B1321" s="524" t="e">
        <f>VLOOKUP(A1321,'Hours Detail'!$E$17:$H$1048576,4,)</f>
        <v>#N/A</v>
      </c>
      <c r="C1321" s="524" t="s">
        <v>4571</v>
      </c>
      <c r="D1321" s="524" t="s">
        <v>4570</v>
      </c>
      <c r="E1321" s="524" t="s">
        <v>4569</v>
      </c>
      <c r="F1321" s="524" t="s">
        <v>4569</v>
      </c>
      <c r="G1321" s="524" t="s">
        <v>4569</v>
      </c>
      <c r="H1321" s="524" t="s">
        <v>4569</v>
      </c>
      <c r="I1321" s="524" t="s">
        <v>4570</v>
      </c>
      <c r="J1321" s="524" t="s">
        <v>4570</v>
      </c>
      <c r="K1321" s="524"/>
      <c r="L1321" s="524" t="s">
        <v>6590</v>
      </c>
      <c r="M1321" s="524" t="s">
        <v>5878</v>
      </c>
      <c r="N1321" s="524" t="s">
        <v>7588</v>
      </c>
      <c r="O1321" s="524"/>
    </row>
    <row r="1322" spans="1:15" ht="116" hidden="1">
      <c r="A1322" s="525">
        <v>1373</v>
      </c>
      <c r="B1322" s="524" t="e">
        <f>VLOOKUP(A1322,'Hours Detail'!$E$17:$H$1048576,4,)</f>
        <v>#N/A</v>
      </c>
      <c r="C1322" s="524" t="s">
        <v>4452</v>
      </c>
      <c r="D1322" s="524" t="s">
        <v>4451</v>
      </c>
      <c r="E1322" s="524" t="s">
        <v>4450</v>
      </c>
      <c r="F1322" s="524" t="s">
        <v>4450</v>
      </c>
      <c r="G1322" s="524" t="s">
        <v>7589</v>
      </c>
      <c r="H1322" s="524" t="s">
        <v>4450</v>
      </c>
      <c r="I1322" s="524" t="s">
        <v>4451</v>
      </c>
      <c r="J1322" s="524" t="s">
        <v>4451</v>
      </c>
      <c r="K1322" s="524"/>
      <c r="L1322" s="524" t="s">
        <v>6590</v>
      </c>
      <c r="M1322" s="524" t="s">
        <v>6727</v>
      </c>
      <c r="N1322" s="524"/>
      <c r="O1322" s="524"/>
    </row>
    <row r="1323" spans="1:15" ht="87" hidden="1">
      <c r="A1323" s="525">
        <v>1374</v>
      </c>
      <c r="B1323" s="524" t="str">
        <f>VLOOKUP(A1323,'Hours Detail'!$E$17:$H$1048576,4,)</f>
        <v>No</v>
      </c>
      <c r="C1323" s="524" t="s">
        <v>3826</v>
      </c>
      <c r="D1323" s="524" t="s">
        <v>7590</v>
      </c>
      <c r="E1323" s="524" t="s">
        <v>3824</v>
      </c>
      <c r="F1323" s="524" t="s">
        <v>3824</v>
      </c>
      <c r="G1323" s="524" t="s">
        <v>3824</v>
      </c>
      <c r="H1323" s="524" t="s">
        <v>3824</v>
      </c>
      <c r="I1323" s="524" t="s">
        <v>7590</v>
      </c>
      <c r="J1323" s="524" t="s">
        <v>7591</v>
      </c>
      <c r="K1323" s="524"/>
      <c r="L1323" s="524" t="s">
        <v>6590</v>
      </c>
      <c r="M1323" s="524" t="s">
        <v>6591</v>
      </c>
      <c r="N1323" s="524" t="s">
        <v>7592</v>
      </c>
      <c r="O1323" s="524"/>
    </row>
    <row r="1324" spans="1:15" ht="58" hidden="1">
      <c r="A1324" s="525">
        <v>1375</v>
      </c>
      <c r="B1324" s="524" t="str">
        <f>VLOOKUP(A1324,'Hours Detail'!$E$17:$H$1048576,4,)</f>
        <v>No</v>
      </c>
      <c r="C1324" s="524" t="s">
        <v>4498</v>
      </c>
      <c r="D1324" s="524" t="s">
        <v>7593</v>
      </c>
      <c r="E1324" s="524" t="s">
        <v>4496</v>
      </c>
      <c r="F1324" s="524" t="s">
        <v>4496</v>
      </c>
      <c r="G1324" s="524" t="s">
        <v>4496</v>
      </c>
      <c r="H1324" s="524" t="s">
        <v>4496</v>
      </c>
      <c r="I1324" s="524" t="s">
        <v>7593</v>
      </c>
      <c r="J1324" s="524" t="s">
        <v>7593</v>
      </c>
      <c r="K1324" s="524"/>
      <c r="L1324" s="524" t="s">
        <v>6590</v>
      </c>
      <c r="M1324" s="524" t="s">
        <v>5878</v>
      </c>
      <c r="N1324" s="524" t="s">
        <v>7594</v>
      </c>
      <c r="O1324" s="524"/>
    </row>
    <row r="1325" spans="1:15" ht="72.5" hidden="1">
      <c r="A1325" s="525">
        <v>1376</v>
      </c>
      <c r="B1325" s="524" t="e">
        <f>VLOOKUP(A1325,'Hours Detail'!$E$17:$H$1048576,4,)</f>
        <v>#N/A</v>
      </c>
      <c r="C1325" s="524" t="s">
        <v>4449</v>
      </c>
      <c r="D1325" s="524" t="s">
        <v>4448</v>
      </c>
      <c r="E1325" s="524" t="s">
        <v>4447</v>
      </c>
      <c r="F1325" s="524" t="s">
        <v>4447</v>
      </c>
      <c r="G1325" s="524" t="s">
        <v>4447</v>
      </c>
      <c r="H1325" s="524" t="s">
        <v>4447</v>
      </c>
      <c r="I1325" s="524" t="s">
        <v>4448</v>
      </c>
      <c r="J1325" s="524" t="s">
        <v>4448</v>
      </c>
      <c r="K1325" s="524"/>
      <c r="L1325" s="524" t="s">
        <v>6590</v>
      </c>
      <c r="M1325" s="524" t="s">
        <v>6727</v>
      </c>
      <c r="N1325" s="524"/>
      <c r="O1325" s="524"/>
    </row>
    <row r="1326" spans="1:15" ht="87">
      <c r="A1326" s="525">
        <v>1378</v>
      </c>
      <c r="B1326" s="524" t="str">
        <f>VLOOKUP(A1326,'Hours Detail'!$E$17:$H$1048576,4,)</f>
        <v>No</v>
      </c>
      <c r="C1326" s="524" t="s">
        <v>4568</v>
      </c>
      <c r="D1326" s="524" t="s">
        <v>7596</v>
      </c>
      <c r="E1326" s="524" t="s">
        <v>4566</v>
      </c>
      <c r="F1326" s="524" t="s">
        <v>4566</v>
      </c>
      <c r="G1326" s="524" t="s">
        <v>4566</v>
      </c>
      <c r="H1326" s="524" t="s">
        <v>4566</v>
      </c>
      <c r="I1326" s="524" t="s">
        <v>7595</v>
      </c>
      <c r="J1326" s="524" t="s">
        <v>7596</v>
      </c>
      <c r="K1326" s="524"/>
      <c r="L1326" s="524" t="s">
        <v>6590</v>
      </c>
      <c r="M1326" s="524" t="s">
        <v>7398</v>
      </c>
      <c r="N1326" s="524" t="s">
        <v>7597</v>
      </c>
      <c r="O1326" s="524"/>
    </row>
    <row r="1327" spans="1:15" ht="43.5" hidden="1">
      <c r="A1327" s="525">
        <v>1379</v>
      </c>
      <c r="B1327" s="524" t="e">
        <f>VLOOKUP(A1327,'Hours Detail'!$E$17:$H$1048576,4,)</f>
        <v>#N/A</v>
      </c>
      <c r="C1327" s="524" t="s">
        <v>3684</v>
      </c>
      <c r="D1327" s="524" t="s">
        <v>3685</v>
      </c>
      <c r="E1327" s="524" t="s">
        <v>3684</v>
      </c>
      <c r="F1327" s="524" t="s">
        <v>3684</v>
      </c>
      <c r="G1327" s="524" t="s">
        <v>3684</v>
      </c>
      <c r="H1327" s="524" t="s">
        <v>3684</v>
      </c>
      <c r="I1327" s="524" t="s">
        <v>3685</v>
      </c>
      <c r="J1327" s="524" t="s">
        <v>3685</v>
      </c>
      <c r="K1327" s="524"/>
      <c r="L1327" s="524" t="s">
        <v>6379</v>
      </c>
      <c r="M1327" s="524" t="s">
        <v>6380</v>
      </c>
      <c r="N1327" s="524"/>
      <c r="O1327" s="524"/>
    </row>
    <row r="1328" spans="1:15" ht="29" hidden="1">
      <c r="A1328" s="525">
        <v>1380</v>
      </c>
      <c r="B1328" s="524" t="str">
        <f>VLOOKUP(A1328,'Hours Detail'!$E$17:$H$1048576,4,)</f>
        <v>No</v>
      </c>
      <c r="C1328" s="524" t="s">
        <v>4494</v>
      </c>
      <c r="D1328" s="524" t="s">
        <v>4495</v>
      </c>
      <c r="E1328" s="524" t="s">
        <v>4494</v>
      </c>
      <c r="F1328" s="524" t="s">
        <v>4494</v>
      </c>
      <c r="G1328" s="524" t="s">
        <v>4494</v>
      </c>
      <c r="H1328" s="524" t="s">
        <v>4494</v>
      </c>
      <c r="I1328" s="524" t="s">
        <v>4495</v>
      </c>
      <c r="J1328" s="524" t="s">
        <v>4495</v>
      </c>
      <c r="K1328" s="524"/>
      <c r="L1328" s="524" t="s">
        <v>6590</v>
      </c>
      <c r="M1328" s="524" t="s">
        <v>5878</v>
      </c>
      <c r="N1328" s="524" t="s">
        <v>7598</v>
      </c>
      <c r="O1328" s="524"/>
    </row>
    <row r="1329" spans="1:15" ht="43.5" hidden="1">
      <c r="A1329" s="525">
        <v>1381</v>
      </c>
      <c r="B1329" s="524" t="e">
        <f>VLOOKUP(A1329,'Hours Detail'!$E$17:$H$1048576,4,)</f>
        <v>#N/A</v>
      </c>
      <c r="C1329" s="524" t="s">
        <v>4443</v>
      </c>
      <c r="D1329" s="524" t="s">
        <v>4442</v>
      </c>
      <c r="E1329" s="524" t="s">
        <v>4441</v>
      </c>
      <c r="F1329" s="524" t="s">
        <v>4441</v>
      </c>
      <c r="G1329" s="524" t="s">
        <v>4441</v>
      </c>
      <c r="H1329" s="524" t="s">
        <v>4441</v>
      </c>
      <c r="I1329" s="524" t="s">
        <v>4442</v>
      </c>
      <c r="J1329" s="524" t="s">
        <v>4442</v>
      </c>
      <c r="K1329" s="524"/>
      <c r="L1329" s="524" t="s">
        <v>6590</v>
      </c>
      <c r="M1329" s="524" t="s">
        <v>6727</v>
      </c>
      <c r="N1329" s="524"/>
      <c r="O1329" s="524"/>
    </row>
    <row r="1330" spans="1:15" ht="116">
      <c r="A1330" s="525">
        <v>1382</v>
      </c>
      <c r="B1330" s="524" t="str">
        <f>VLOOKUP(A1330,'Hours Detail'!$E$17:$H$1048576,4,)</f>
        <v>No</v>
      </c>
      <c r="C1330" s="524" t="s">
        <v>3707</v>
      </c>
      <c r="D1330" s="524" t="s">
        <v>3706</v>
      </c>
      <c r="E1330" s="524" t="s">
        <v>3705</v>
      </c>
      <c r="F1330" s="524" t="s">
        <v>3705</v>
      </c>
      <c r="G1330" s="524" t="s">
        <v>3705</v>
      </c>
      <c r="H1330" s="524" t="s">
        <v>3705</v>
      </c>
      <c r="I1330" s="524" t="s">
        <v>3706</v>
      </c>
      <c r="J1330" s="524" t="s">
        <v>3706</v>
      </c>
      <c r="K1330" s="524"/>
      <c r="L1330" s="524" t="s">
        <v>6590</v>
      </c>
      <c r="M1330" s="524" t="s">
        <v>7398</v>
      </c>
      <c r="N1330" s="524" t="s">
        <v>7599</v>
      </c>
      <c r="O1330" s="524"/>
    </row>
    <row r="1331" spans="1:15" ht="145" hidden="1">
      <c r="A1331" s="525">
        <v>1383</v>
      </c>
      <c r="B1331" s="524" t="str">
        <f>VLOOKUP(A1331,'Hours Detail'!$E$17:$H$1048576,4,)</f>
        <v>No</v>
      </c>
      <c r="C1331" s="524" t="s">
        <v>4560</v>
      </c>
      <c r="D1331" s="524" t="s">
        <v>4559</v>
      </c>
      <c r="E1331" s="524" t="s">
        <v>4559</v>
      </c>
      <c r="F1331" s="524" t="s">
        <v>4559</v>
      </c>
      <c r="G1331" s="524" t="s">
        <v>4559</v>
      </c>
      <c r="H1331" s="524" t="s">
        <v>4559</v>
      </c>
      <c r="I1331" s="524" t="s">
        <v>7600</v>
      </c>
      <c r="J1331" s="524" t="s">
        <v>4559</v>
      </c>
      <c r="K1331" s="524"/>
      <c r="L1331" s="524" t="s">
        <v>6590</v>
      </c>
      <c r="M1331" s="524" t="s">
        <v>7398</v>
      </c>
      <c r="N1331" s="524" t="s">
        <v>7601</v>
      </c>
      <c r="O1331" s="524"/>
    </row>
    <row r="1332" spans="1:15" ht="58" hidden="1">
      <c r="A1332" s="525">
        <v>1384</v>
      </c>
      <c r="B1332" s="524" t="str">
        <f>VLOOKUP(A1332,'Hours Detail'!$E$17:$H$1048576,4,)</f>
        <v>No</v>
      </c>
      <c r="C1332" s="524" t="s">
        <v>4528</v>
      </c>
      <c r="D1332" s="524" t="s">
        <v>4527</v>
      </c>
      <c r="E1332" s="524" t="s">
        <v>4526</v>
      </c>
      <c r="F1332" s="524" t="s">
        <v>4526</v>
      </c>
      <c r="G1332" s="524" t="s">
        <v>4526</v>
      </c>
      <c r="H1332" s="524" t="s">
        <v>4526</v>
      </c>
      <c r="I1332" s="524" t="s">
        <v>4527</v>
      </c>
      <c r="J1332" s="524" t="s">
        <v>4527</v>
      </c>
      <c r="K1332" s="524"/>
      <c r="L1332" s="524" t="s">
        <v>6590</v>
      </c>
      <c r="M1332" s="524" t="s">
        <v>6592</v>
      </c>
      <c r="N1332" s="524" t="s">
        <v>7602</v>
      </c>
      <c r="O1332" s="524"/>
    </row>
    <row r="1333" spans="1:15" ht="72.5" hidden="1">
      <c r="A1333" s="525">
        <v>1385</v>
      </c>
      <c r="B1333" s="524" t="str">
        <f>VLOOKUP(A1333,'Hours Detail'!$E$17:$H$1048576,4,)</f>
        <v>No</v>
      </c>
      <c r="C1333" s="524" t="s">
        <v>3823</v>
      </c>
      <c r="D1333" s="524" t="s">
        <v>3822</v>
      </c>
      <c r="E1333" s="524" t="s">
        <v>3821</v>
      </c>
      <c r="F1333" s="524" t="s">
        <v>3821</v>
      </c>
      <c r="G1333" s="524" t="s">
        <v>3821</v>
      </c>
      <c r="H1333" s="524" t="s">
        <v>3821</v>
      </c>
      <c r="I1333" s="524" t="s">
        <v>3822</v>
      </c>
      <c r="J1333" s="524" t="s">
        <v>3822</v>
      </c>
      <c r="K1333" s="524"/>
      <c r="L1333" s="524" t="s">
        <v>6590</v>
      </c>
      <c r="M1333" s="524" t="s">
        <v>6591</v>
      </c>
      <c r="N1333" s="524" t="s">
        <v>7603</v>
      </c>
      <c r="O1333" s="524"/>
    </row>
    <row r="1334" spans="1:15" ht="87">
      <c r="A1334" s="525">
        <v>1386</v>
      </c>
      <c r="B1334" s="524" t="str">
        <f>VLOOKUP(A1334,'Hours Detail'!$E$17:$H$1048576,4,)</f>
        <v>No</v>
      </c>
      <c r="C1334" s="524" t="s">
        <v>4493</v>
      </c>
      <c r="D1334" s="524" t="s">
        <v>7604</v>
      </c>
      <c r="E1334" s="524" t="s">
        <v>4491</v>
      </c>
      <c r="F1334" s="524" t="s">
        <v>4491</v>
      </c>
      <c r="G1334" s="524" t="s">
        <v>4491</v>
      </c>
      <c r="H1334" s="524" t="s">
        <v>4491</v>
      </c>
      <c r="I1334" s="524" t="s">
        <v>7604</v>
      </c>
      <c r="J1334" s="524" t="s">
        <v>7604</v>
      </c>
      <c r="K1334" s="524"/>
      <c r="L1334" s="524" t="s">
        <v>6590</v>
      </c>
      <c r="M1334" s="524" t="s">
        <v>7398</v>
      </c>
      <c r="N1334" s="524" t="s">
        <v>7605</v>
      </c>
      <c r="O1334" s="524"/>
    </row>
    <row r="1335" spans="1:15" ht="116" hidden="1">
      <c r="A1335" s="525">
        <v>1387</v>
      </c>
      <c r="B1335" s="524" t="str">
        <f>VLOOKUP(A1335,'Hours Detail'!$E$17:$H$1048576,4,)</f>
        <v>No</v>
      </c>
      <c r="C1335" s="524" t="s">
        <v>3752</v>
      </c>
      <c r="D1335" s="524" t="s">
        <v>3751</v>
      </c>
      <c r="E1335" s="524" t="s">
        <v>3750</v>
      </c>
      <c r="F1335" s="524" t="s">
        <v>3750</v>
      </c>
      <c r="G1335" s="524" t="s">
        <v>3750</v>
      </c>
      <c r="H1335" s="524" t="s">
        <v>3750</v>
      </c>
      <c r="I1335" s="524" t="s">
        <v>7606</v>
      </c>
      <c r="J1335" s="524" t="s">
        <v>3751</v>
      </c>
      <c r="K1335" s="524"/>
      <c r="L1335" s="524" t="s">
        <v>6590</v>
      </c>
      <c r="M1335" s="524" t="s">
        <v>5878</v>
      </c>
      <c r="N1335" s="524" t="s">
        <v>7607</v>
      </c>
      <c r="O1335" s="524"/>
    </row>
    <row r="1336" spans="1:15" ht="58" hidden="1">
      <c r="A1336" s="525">
        <v>1388</v>
      </c>
      <c r="B1336" s="524" t="e">
        <f>VLOOKUP(A1336,'Hours Detail'!$E$17:$H$1048576,4,)</f>
        <v>#N/A</v>
      </c>
      <c r="C1336" s="524" t="s">
        <v>4563</v>
      </c>
      <c r="D1336" s="524" t="s">
        <v>7608</v>
      </c>
      <c r="E1336" s="524" t="s">
        <v>4561</v>
      </c>
      <c r="F1336" s="524" t="s">
        <v>4561</v>
      </c>
      <c r="G1336" s="524" t="s">
        <v>4561</v>
      </c>
      <c r="H1336" s="524" t="s">
        <v>4561</v>
      </c>
      <c r="I1336" s="524" t="s">
        <v>7608</v>
      </c>
      <c r="J1336" s="524" t="s">
        <v>7608</v>
      </c>
      <c r="K1336" s="524"/>
      <c r="L1336" s="524" t="s">
        <v>6590</v>
      </c>
      <c r="M1336" s="524" t="s">
        <v>5878</v>
      </c>
      <c r="N1336" s="524" t="s">
        <v>7609</v>
      </c>
      <c r="O1336" s="524"/>
    </row>
    <row r="1337" spans="1:15" ht="87" hidden="1">
      <c r="A1337" s="525">
        <v>1389</v>
      </c>
      <c r="B1337" s="524" t="str">
        <f>VLOOKUP(A1337,'Hours Detail'!$E$17:$H$1048576,4,)</f>
        <v>No</v>
      </c>
      <c r="C1337" s="524" t="s">
        <v>4525</v>
      </c>
      <c r="D1337" s="524" t="s">
        <v>4524</v>
      </c>
      <c r="E1337" s="524" t="s">
        <v>4523</v>
      </c>
      <c r="F1337" s="524" t="s">
        <v>4523</v>
      </c>
      <c r="G1337" s="524" t="s">
        <v>4523</v>
      </c>
      <c r="H1337" s="524" t="s">
        <v>4523</v>
      </c>
      <c r="I1337" s="524" t="s">
        <v>7610</v>
      </c>
      <c r="J1337" s="524" t="s">
        <v>4524</v>
      </c>
      <c r="K1337" s="524"/>
      <c r="L1337" s="524" t="s">
        <v>6590</v>
      </c>
      <c r="M1337" s="524" t="s">
        <v>6592</v>
      </c>
      <c r="N1337" s="524" t="s">
        <v>7611</v>
      </c>
      <c r="O1337" s="524"/>
    </row>
    <row r="1338" spans="1:15" ht="72.5" hidden="1">
      <c r="A1338" s="525">
        <v>1390</v>
      </c>
      <c r="B1338" s="524" t="str">
        <f>VLOOKUP(A1338,'Hours Detail'!$E$17:$H$1048576,4,)</f>
        <v>No</v>
      </c>
      <c r="C1338" s="524" t="s">
        <v>3723</v>
      </c>
      <c r="D1338" s="524" t="s">
        <v>3722</v>
      </c>
      <c r="E1338" s="524" t="s">
        <v>3721</v>
      </c>
      <c r="F1338" s="524" t="s">
        <v>3721</v>
      </c>
      <c r="G1338" s="524" t="s">
        <v>3721</v>
      </c>
      <c r="H1338" s="524" t="s">
        <v>3721</v>
      </c>
      <c r="I1338" s="524" t="s">
        <v>7612</v>
      </c>
      <c r="J1338" s="524" t="s">
        <v>3722</v>
      </c>
      <c r="K1338" s="524"/>
      <c r="L1338" s="524" t="s">
        <v>6590</v>
      </c>
      <c r="M1338" s="524" t="s">
        <v>5878</v>
      </c>
      <c r="N1338" s="524" t="s">
        <v>7613</v>
      </c>
      <c r="O1338" s="524"/>
    </row>
    <row r="1339" spans="1:15" ht="43.5" hidden="1">
      <c r="A1339" s="525">
        <v>1391</v>
      </c>
      <c r="B1339" s="524" t="str">
        <f>VLOOKUP(A1339,'Hours Detail'!$E$17:$H$1048576,4,)</f>
        <v>No</v>
      </c>
      <c r="C1339" s="524" t="s">
        <v>4564</v>
      </c>
      <c r="D1339" s="524" t="s">
        <v>4565</v>
      </c>
      <c r="E1339" s="524" t="s">
        <v>4564</v>
      </c>
      <c r="F1339" s="524" t="s">
        <v>4564</v>
      </c>
      <c r="G1339" s="524" t="s">
        <v>4564</v>
      </c>
      <c r="H1339" s="524" t="s">
        <v>4564</v>
      </c>
      <c r="I1339" s="524" t="s">
        <v>4565</v>
      </c>
      <c r="J1339" s="524" t="s">
        <v>4565</v>
      </c>
      <c r="K1339" s="524"/>
      <c r="L1339" s="524" t="s">
        <v>6590</v>
      </c>
      <c r="M1339" s="524" t="s">
        <v>7398</v>
      </c>
      <c r="N1339" s="524" t="s">
        <v>7614</v>
      </c>
      <c r="O1339" s="524"/>
    </row>
    <row r="1340" spans="1:15" ht="58" hidden="1">
      <c r="A1340" s="525">
        <v>1393</v>
      </c>
      <c r="B1340" s="524" t="str">
        <f>VLOOKUP(A1340,'Hours Detail'!$E$17:$H$1048576,4,)</f>
        <v>No</v>
      </c>
      <c r="C1340" s="524" t="s">
        <v>3786</v>
      </c>
      <c r="D1340" s="524" t="s">
        <v>3785</v>
      </c>
      <c r="E1340" s="524" t="s">
        <v>3784</v>
      </c>
      <c r="F1340" s="524" t="s">
        <v>3784</v>
      </c>
      <c r="G1340" s="524" t="s">
        <v>3784</v>
      </c>
      <c r="H1340" s="524" t="s">
        <v>3784</v>
      </c>
      <c r="I1340" s="524" t="s">
        <v>3785</v>
      </c>
      <c r="J1340" s="524" t="s">
        <v>3785</v>
      </c>
      <c r="K1340" s="524"/>
      <c r="L1340" s="524" t="s">
        <v>6590</v>
      </c>
      <c r="M1340" s="524" t="s">
        <v>6591</v>
      </c>
      <c r="N1340" s="524" t="s">
        <v>7615</v>
      </c>
      <c r="O1340" s="524"/>
    </row>
    <row r="1341" spans="1:15" ht="72.5" hidden="1">
      <c r="A1341" s="525">
        <v>1394</v>
      </c>
      <c r="B1341" s="524" t="e">
        <f>VLOOKUP(A1341,'Hours Detail'!$E$17:$H$1048576,4,)</f>
        <v>#N/A</v>
      </c>
      <c r="C1341" s="524" t="s">
        <v>4446</v>
      </c>
      <c r="D1341" s="524" t="s">
        <v>4445</v>
      </c>
      <c r="E1341" s="524" t="s">
        <v>4444</v>
      </c>
      <c r="F1341" s="524" t="s">
        <v>4444</v>
      </c>
      <c r="G1341" s="524" t="s">
        <v>4444</v>
      </c>
      <c r="H1341" s="524" t="s">
        <v>4444</v>
      </c>
      <c r="I1341" s="524" t="s">
        <v>4445</v>
      </c>
      <c r="J1341" s="524" t="s">
        <v>4445</v>
      </c>
      <c r="K1341" s="524"/>
      <c r="L1341" s="524" t="s">
        <v>6590</v>
      </c>
      <c r="M1341" s="524" t="s">
        <v>6727</v>
      </c>
      <c r="N1341" s="524"/>
      <c r="O1341" s="524"/>
    </row>
    <row r="1342" spans="1:15" ht="87">
      <c r="A1342" s="525">
        <v>1395</v>
      </c>
      <c r="B1342" s="524" t="str">
        <f>VLOOKUP(A1342,'Hours Detail'!$E$17:$H$1048576,4,)</f>
        <v>No</v>
      </c>
      <c r="C1342" s="524" t="s">
        <v>4674</v>
      </c>
      <c r="D1342" s="524" t="s">
        <v>4673</v>
      </c>
      <c r="E1342" s="524" t="s">
        <v>4673</v>
      </c>
      <c r="F1342" s="524" t="s">
        <v>4673</v>
      </c>
      <c r="G1342" s="524" t="s">
        <v>4673</v>
      </c>
      <c r="H1342" s="524" t="s">
        <v>4673</v>
      </c>
      <c r="I1342" s="524" t="s">
        <v>7616</v>
      </c>
      <c r="J1342" s="524" t="s">
        <v>4673</v>
      </c>
      <c r="K1342" s="524"/>
      <c r="L1342" s="524" t="s">
        <v>6590</v>
      </c>
      <c r="M1342" s="524" t="s">
        <v>6592</v>
      </c>
      <c r="N1342" s="524"/>
      <c r="O1342" s="524"/>
    </row>
    <row r="1343" spans="1:15" ht="87" hidden="1">
      <c r="A1343" s="525">
        <v>1398</v>
      </c>
      <c r="B1343" s="524" t="e">
        <f>VLOOKUP(A1343,'Hours Detail'!$E$17:$H$1048576,4,)</f>
        <v>#N/A</v>
      </c>
      <c r="C1343" s="524" t="s">
        <v>6245</v>
      </c>
      <c r="D1343" s="524" t="s">
        <v>7619</v>
      </c>
      <c r="E1343" s="524" t="s">
        <v>7617</v>
      </c>
      <c r="F1343" s="524" t="s">
        <v>7617</v>
      </c>
      <c r="G1343" s="524" t="s">
        <v>7617</v>
      </c>
      <c r="H1343" s="524" t="s">
        <v>7617</v>
      </c>
      <c r="I1343" s="524" t="s">
        <v>7618</v>
      </c>
      <c r="J1343" s="524" t="s">
        <v>7619</v>
      </c>
      <c r="K1343" s="524"/>
      <c r="L1343" s="524" t="s">
        <v>6590</v>
      </c>
      <c r="M1343" s="524" t="s">
        <v>6591</v>
      </c>
      <c r="N1343" s="524"/>
      <c r="O1343" s="524"/>
    </row>
    <row r="1344" spans="1:15" ht="58" hidden="1">
      <c r="A1344" s="525">
        <v>1410</v>
      </c>
      <c r="B1344" s="524" t="e">
        <f>VLOOKUP(A1344,'Hours Detail'!$E$17:$H$1048576,4,)</f>
        <v>#N/A</v>
      </c>
      <c r="C1344" s="524" t="s">
        <v>5784</v>
      </c>
      <c r="D1344" s="524" t="s">
        <v>5783</v>
      </c>
      <c r="E1344" s="524" t="s">
        <v>5782</v>
      </c>
      <c r="F1344" s="524" t="s">
        <v>5782</v>
      </c>
      <c r="G1344" s="524" t="s">
        <v>5782</v>
      </c>
      <c r="H1344" s="524" t="s">
        <v>5782</v>
      </c>
      <c r="I1344" s="524" t="s">
        <v>5783</v>
      </c>
      <c r="J1344" s="524" t="s">
        <v>5783</v>
      </c>
      <c r="K1344" s="524"/>
      <c r="L1344" s="524" t="s">
        <v>6402</v>
      </c>
      <c r="M1344" s="524" t="s">
        <v>6403</v>
      </c>
      <c r="N1344" s="524"/>
      <c r="O1344" s="524"/>
    </row>
    <row r="1345" spans="1:15" ht="72.5" hidden="1">
      <c r="A1345" s="525">
        <v>1420</v>
      </c>
      <c r="B1345" s="524" t="e">
        <f>VLOOKUP(A1345,'Hours Detail'!$E$17:$H$1048576,4,)</f>
        <v>#N/A</v>
      </c>
      <c r="C1345" s="524" t="s">
        <v>4819</v>
      </c>
      <c r="D1345" s="524" t="s">
        <v>4818</v>
      </c>
      <c r="E1345" s="524" t="s">
        <v>4817</v>
      </c>
      <c r="F1345" s="524" t="s">
        <v>4817</v>
      </c>
      <c r="G1345" s="524" t="s">
        <v>4817</v>
      </c>
      <c r="H1345" s="524" t="s">
        <v>4817</v>
      </c>
      <c r="I1345" s="524" t="s">
        <v>4818</v>
      </c>
      <c r="J1345" s="524" t="s">
        <v>4818</v>
      </c>
      <c r="K1345" s="524"/>
      <c r="L1345" s="524" t="s">
        <v>6402</v>
      </c>
      <c r="M1345" s="524" t="s">
        <v>6403</v>
      </c>
      <c r="N1345" s="524"/>
      <c r="O1345" s="524"/>
    </row>
    <row r="1346" spans="1:15" ht="58" hidden="1">
      <c r="A1346" s="525">
        <v>1450</v>
      </c>
      <c r="B1346" s="524" t="e">
        <f>VLOOKUP(A1346,'Hours Detail'!$E$17:$H$1048576,4,)</f>
        <v>#N/A</v>
      </c>
      <c r="C1346" s="524" t="s">
        <v>4810</v>
      </c>
      <c r="D1346" s="524" t="s">
        <v>4809</v>
      </c>
      <c r="E1346" s="524" t="s">
        <v>4808</v>
      </c>
      <c r="F1346" s="524" t="s">
        <v>4808</v>
      </c>
      <c r="G1346" s="524" t="s">
        <v>4808</v>
      </c>
      <c r="H1346" s="524" t="s">
        <v>4808</v>
      </c>
      <c r="I1346" s="524" t="s">
        <v>4809</v>
      </c>
      <c r="J1346" s="524" t="s">
        <v>4809</v>
      </c>
      <c r="K1346" s="524"/>
      <c r="L1346" s="524" t="s">
        <v>6402</v>
      </c>
      <c r="M1346" s="524" t="s">
        <v>6403</v>
      </c>
      <c r="N1346" s="524"/>
      <c r="O1346" s="524"/>
    </row>
    <row r="1347" spans="1:15" ht="72.5" hidden="1">
      <c r="A1347" s="525">
        <v>1510</v>
      </c>
      <c r="B1347" s="524" t="e">
        <f>VLOOKUP(A1347,'Hours Detail'!$E$17:$H$1048576,4,)</f>
        <v>#N/A</v>
      </c>
      <c r="C1347" s="524" t="s">
        <v>4987</v>
      </c>
      <c r="D1347" s="524" t="s">
        <v>4987</v>
      </c>
      <c r="E1347" s="524" t="s">
        <v>4987</v>
      </c>
      <c r="F1347" s="524" t="s">
        <v>4987</v>
      </c>
      <c r="G1347" s="524" t="s">
        <v>4987</v>
      </c>
      <c r="H1347" s="524" t="s">
        <v>4987</v>
      </c>
      <c r="I1347" s="524" t="s">
        <v>4987</v>
      </c>
      <c r="J1347" s="524" t="s">
        <v>4987</v>
      </c>
      <c r="K1347" s="524"/>
      <c r="L1347" s="524" t="s">
        <v>6987</v>
      </c>
      <c r="M1347" s="524" t="s">
        <v>7000</v>
      </c>
      <c r="N1347" s="524"/>
      <c r="O1347" s="524"/>
    </row>
    <row r="1348" spans="1:15" ht="43.5" hidden="1">
      <c r="A1348" s="525">
        <v>1580</v>
      </c>
      <c r="B1348" s="524" t="e">
        <f>VLOOKUP(A1348,'Hours Detail'!$E$17:$H$1048576,4,)</f>
        <v>#N/A</v>
      </c>
      <c r="C1348" s="524" t="s">
        <v>204</v>
      </c>
      <c r="D1348" s="524" t="s">
        <v>664</v>
      </c>
      <c r="E1348" s="524" t="s">
        <v>204</v>
      </c>
      <c r="F1348" s="524" t="s">
        <v>204</v>
      </c>
      <c r="G1348" s="524" t="s">
        <v>204</v>
      </c>
      <c r="H1348" s="524" t="s">
        <v>204</v>
      </c>
      <c r="I1348" s="524" t="s">
        <v>7053</v>
      </c>
      <c r="J1348" s="524" t="s">
        <v>664</v>
      </c>
      <c r="K1348" s="524"/>
      <c r="L1348" s="524" t="s">
        <v>6365</v>
      </c>
      <c r="M1348" s="524" t="s">
        <v>6366</v>
      </c>
      <c r="N1348" s="524"/>
      <c r="O1348" s="524"/>
    </row>
    <row r="1349" spans="1:15" ht="116" hidden="1">
      <c r="A1349" s="527">
        <v>1580</v>
      </c>
      <c r="B1349" s="524" t="e">
        <f>VLOOKUP(A1349,'Hours Detail'!$E$17:$H$1048576,4,)</f>
        <v>#N/A</v>
      </c>
      <c r="C1349" s="527" t="s">
        <v>204</v>
      </c>
      <c r="D1349" s="527" t="s">
        <v>2171</v>
      </c>
      <c r="E1349" s="527" t="s">
        <v>664</v>
      </c>
      <c r="F1349" s="527" t="s">
        <v>204</v>
      </c>
      <c r="G1349" s="527">
        <v>8</v>
      </c>
      <c r="H1349" s="527" t="s">
        <v>188</v>
      </c>
      <c r="I1349" s="527" t="s">
        <v>2314</v>
      </c>
      <c r="J1349" s="527" t="s">
        <v>2890</v>
      </c>
      <c r="K1349" s="527" t="s">
        <v>2889</v>
      </c>
      <c r="L1349" s="527" t="s">
        <v>7620</v>
      </c>
      <c r="M1349" s="524"/>
      <c r="N1349" s="524"/>
      <c r="O1349" s="524"/>
    </row>
    <row r="1350" spans="1:15" ht="58" hidden="1">
      <c r="A1350" s="525">
        <v>1608</v>
      </c>
      <c r="B1350" s="524" t="e">
        <f>VLOOKUP(A1350,'Hours Detail'!$E$17:$H$1048576,4,)</f>
        <v>#N/A</v>
      </c>
      <c r="C1350" s="524" t="s">
        <v>5339</v>
      </c>
      <c r="D1350" s="524" t="s">
        <v>5338</v>
      </c>
      <c r="E1350" s="524" t="s">
        <v>5337</v>
      </c>
      <c r="F1350" s="524" t="s">
        <v>5337</v>
      </c>
      <c r="G1350" s="524" t="s">
        <v>5337</v>
      </c>
      <c r="H1350" s="524" t="s">
        <v>5337</v>
      </c>
      <c r="I1350" s="524" t="s">
        <v>7621</v>
      </c>
      <c r="J1350" s="524" t="s">
        <v>5338</v>
      </c>
      <c r="K1350" s="524"/>
      <c r="L1350" s="524" t="s">
        <v>6381</v>
      </c>
      <c r="M1350" s="524" t="s">
        <v>522</v>
      </c>
      <c r="N1350" s="524"/>
      <c r="O1350" s="524"/>
    </row>
    <row r="1351" spans="1:15" ht="58" hidden="1">
      <c r="A1351" s="525">
        <v>1700</v>
      </c>
      <c r="B1351" s="524" t="e">
        <f>VLOOKUP(A1351,'Hours Detail'!$E$17:$H$1048576,4,)</f>
        <v>#N/A</v>
      </c>
      <c r="C1351" s="524" t="s">
        <v>202</v>
      </c>
      <c r="D1351" s="524" t="s">
        <v>640</v>
      </c>
      <c r="E1351" s="524" t="s">
        <v>641</v>
      </c>
      <c r="F1351" s="524" t="s">
        <v>641</v>
      </c>
      <c r="G1351" s="524" t="s">
        <v>641</v>
      </c>
      <c r="H1351" s="524" t="s">
        <v>641</v>
      </c>
      <c r="I1351" s="524" t="s">
        <v>7622</v>
      </c>
      <c r="J1351" s="524" t="s">
        <v>640</v>
      </c>
      <c r="K1351" s="524" t="s">
        <v>6359</v>
      </c>
      <c r="L1351" s="524" t="s">
        <v>6365</v>
      </c>
      <c r="M1351" s="524" t="s">
        <v>6366</v>
      </c>
      <c r="N1351" s="524"/>
      <c r="O1351" s="524"/>
    </row>
    <row r="1352" spans="1:15" ht="130.5" hidden="1">
      <c r="A1352" s="527">
        <v>1700</v>
      </c>
      <c r="B1352" s="524" t="e">
        <f>VLOOKUP(A1352,'Hours Detail'!$E$17:$H$1048576,4,)</f>
        <v>#N/A</v>
      </c>
      <c r="C1352" s="527" t="s">
        <v>202</v>
      </c>
      <c r="D1352" s="527" t="s">
        <v>2171</v>
      </c>
      <c r="E1352" s="527" t="s">
        <v>640</v>
      </c>
      <c r="F1352" s="527" t="s">
        <v>641</v>
      </c>
      <c r="G1352" s="527">
        <v>8</v>
      </c>
      <c r="H1352" s="527" t="s">
        <v>188</v>
      </c>
      <c r="I1352" s="527" t="s">
        <v>2314</v>
      </c>
      <c r="J1352" s="527" t="s">
        <v>2890</v>
      </c>
      <c r="K1352" s="527" t="s">
        <v>2889</v>
      </c>
      <c r="L1352" s="527" t="s">
        <v>7623</v>
      </c>
      <c r="M1352" s="524"/>
      <c r="N1352" s="524"/>
      <c r="O1352" s="524"/>
    </row>
    <row r="1353" spans="1:15" ht="159.5" hidden="1">
      <c r="A1353" s="525">
        <v>1750</v>
      </c>
      <c r="B1353" s="524" t="e">
        <f>VLOOKUP(A1353,'Hours Detail'!$E$17:$H$1048576,4,)</f>
        <v>#N/A</v>
      </c>
      <c r="C1353" s="524" t="s">
        <v>187</v>
      </c>
      <c r="D1353" s="524" t="s">
        <v>7625</v>
      </c>
      <c r="E1353" s="524" t="s">
        <v>605</v>
      </c>
      <c r="F1353" s="524" t="s">
        <v>605</v>
      </c>
      <c r="G1353" s="524" t="s">
        <v>605</v>
      </c>
      <c r="H1353" s="524" t="s">
        <v>605</v>
      </c>
      <c r="I1353" s="524" t="s">
        <v>7624</v>
      </c>
      <c r="J1353" s="524" t="s">
        <v>7626</v>
      </c>
      <c r="K1353" s="524" t="s">
        <v>6359</v>
      </c>
      <c r="L1353" s="524" t="s">
        <v>6381</v>
      </c>
      <c r="M1353" s="524" t="s">
        <v>2313</v>
      </c>
      <c r="N1353" s="524" t="s">
        <v>7627</v>
      </c>
      <c r="O1353" s="524"/>
    </row>
    <row r="1354" spans="1:15" ht="174" hidden="1">
      <c r="A1354" s="527">
        <v>1750</v>
      </c>
      <c r="B1354" s="524" t="e">
        <f>VLOOKUP(A1354,'Hours Detail'!$E$17:$H$1048576,4,)</f>
        <v>#N/A</v>
      </c>
      <c r="C1354" s="527" t="s">
        <v>187</v>
      </c>
      <c r="D1354" s="527" t="s">
        <v>15</v>
      </c>
      <c r="E1354" s="527" t="s">
        <v>604</v>
      </c>
      <c r="F1354" s="527" t="s">
        <v>605</v>
      </c>
      <c r="G1354" s="527">
        <v>7</v>
      </c>
      <c r="H1354" s="527" t="s">
        <v>15</v>
      </c>
      <c r="I1354" s="527" t="s">
        <v>2313</v>
      </c>
      <c r="J1354" s="527" t="s">
        <v>2890</v>
      </c>
      <c r="K1354" s="527" t="s">
        <v>2890</v>
      </c>
      <c r="L1354" s="527" t="s">
        <v>7628</v>
      </c>
      <c r="M1354" s="524"/>
      <c r="N1354" s="524"/>
      <c r="O1354" s="524"/>
    </row>
    <row r="1355" spans="1:15" ht="43.5" hidden="1">
      <c r="A1355" s="525">
        <v>1751</v>
      </c>
      <c r="B1355" s="524" t="e">
        <f>VLOOKUP(A1355,'Hours Detail'!$E$17:$H$1048576,4,)</f>
        <v>#N/A</v>
      </c>
      <c r="C1355" s="524" t="s">
        <v>5601</v>
      </c>
      <c r="D1355" s="524" t="s">
        <v>5600</v>
      </c>
      <c r="E1355" s="524" t="s">
        <v>5599</v>
      </c>
      <c r="F1355" s="524" t="s">
        <v>5599</v>
      </c>
      <c r="G1355" s="524" t="s">
        <v>5599</v>
      </c>
      <c r="H1355" s="524" t="s">
        <v>5599</v>
      </c>
      <c r="I1355" s="524" t="s">
        <v>7629</v>
      </c>
      <c r="J1355" s="524" t="s">
        <v>5600</v>
      </c>
      <c r="K1355" s="524" t="s">
        <v>6359</v>
      </c>
      <c r="L1355" s="524" t="s">
        <v>6381</v>
      </c>
      <c r="M1355" s="524" t="s">
        <v>442</v>
      </c>
      <c r="N1355" s="524" t="s">
        <v>7630</v>
      </c>
      <c r="O1355" s="524"/>
    </row>
    <row r="1356" spans="1:15" ht="101.5" hidden="1">
      <c r="A1356" s="527">
        <v>1751</v>
      </c>
      <c r="B1356" s="524" t="e">
        <f>VLOOKUP(A1356,'Hours Detail'!$E$17:$H$1048576,4,)</f>
        <v>#N/A</v>
      </c>
      <c r="C1356" s="527" t="s">
        <v>1259</v>
      </c>
      <c r="D1356" s="527" t="s">
        <v>4703</v>
      </c>
      <c r="E1356" s="527" t="s">
        <v>1260</v>
      </c>
      <c r="F1356" s="527" t="s">
        <v>1261</v>
      </c>
      <c r="G1356" s="527">
        <v>283</v>
      </c>
      <c r="H1356" s="527" t="s">
        <v>4705</v>
      </c>
      <c r="I1356" s="527" t="s">
        <v>4704</v>
      </c>
      <c r="J1356" s="527" t="s">
        <v>2890</v>
      </c>
      <c r="K1356" s="527" t="s">
        <v>2890</v>
      </c>
      <c r="L1356" s="527" t="s">
        <v>7631</v>
      </c>
      <c r="M1356" s="524"/>
      <c r="N1356" s="524"/>
      <c r="O1356" s="524"/>
    </row>
    <row r="1357" spans="1:15" ht="58" hidden="1">
      <c r="A1357" s="525">
        <v>1752</v>
      </c>
      <c r="B1357" s="524" t="e">
        <f>VLOOKUP(A1357,'Hours Detail'!$E$17:$H$1048576,4,)</f>
        <v>#N/A</v>
      </c>
      <c r="C1357" s="524" t="s">
        <v>359</v>
      </c>
      <c r="D1357" s="524" t="s">
        <v>1297</v>
      </c>
      <c r="E1357" s="524" t="s">
        <v>1298</v>
      </c>
      <c r="F1357" s="524" t="s">
        <v>1298</v>
      </c>
      <c r="G1357" s="524" t="s">
        <v>1298</v>
      </c>
      <c r="H1357" s="524" t="s">
        <v>1298</v>
      </c>
      <c r="I1357" s="524" t="s">
        <v>1297</v>
      </c>
      <c r="J1357" s="524" t="s">
        <v>1297</v>
      </c>
      <c r="K1357" s="524"/>
      <c r="L1357" s="524" t="s">
        <v>6381</v>
      </c>
      <c r="M1357" s="524" t="s">
        <v>2313</v>
      </c>
      <c r="N1357" s="524" t="s">
        <v>7632</v>
      </c>
      <c r="O1357" s="524"/>
    </row>
    <row r="1358" spans="1:15" ht="58" hidden="1">
      <c r="A1358" s="527">
        <v>1752</v>
      </c>
      <c r="B1358" s="524" t="e">
        <f>VLOOKUP(A1358,'Hours Detail'!$E$17:$H$1048576,4,)</f>
        <v>#N/A</v>
      </c>
      <c r="C1358" s="527" t="s">
        <v>359</v>
      </c>
      <c r="D1358" s="527" t="s">
        <v>4703</v>
      </c>
      <c r="E1358" s="527" t="s">
        <v>1297</v>
      </c>
      <c r="F1358" s="527" t="s">
        <v>1298</v>
      </c>
      <c r="G1358" s="527">
        <v>283</v>
      </c>
      <c r="H1358" s="527" t="s">
        <v>4705</v>
      </c>
      <c r="I1358" s="527" t="s">
        <v>4704</v>
      </c>
      <c r="J1358" s="527" t="s">
        <v>2890</v>
      </c>
      <c r="K1358" s="527" t="s">
        <v>2890</v>
      </c>
      <c r="L1358" s="527" t="s">
        <v>6371</v>
      </c>
      <c r="M1358" s="524"/>
      <c r="N1358" s="524"/>
      <c r="O1358" s="524"/>
    </row>
    <row r="1359" spans="1:15" ht="159.5" hidden="1">
      <c r="A1359" s="525">
        <v>1770</v>
      </c>
      <c r="B1359" s="524" t="e">
        <f>VLOOKUP(A1359,'Hours Detail'!$E$17:$H$1048576,4,)</f>
        <v>#N/A</v>
      </c>
      <c r="C1359" s="524" t="s">
        <v>7633</v>
      </c>
      <c r="D1359" s="524" t="s">
        <v>1268</v>
      </c>
      <c r="E1359" s="524" t="s">
        <v>1736</v>
      </c>
      <c r="F1359" s="524" t="s">
        <v>1736</v>
      </c>
      <c r="G1359" s="524" t="s">
        <v>1736</v>
      </c>
      <c r="H1359" s="524" t="s">
        <v>1736</v>
      </c>
      <c r="I1359" s="524" t="s">
        <v>7634</v>
      </c>
      <c r="J1359" s="524" t="s">
        <v>1268</v>
      </c>
      <c r="K1359" s="524" t="s">
        <v>6359</v>
      </c>
      <c r="L1359" s="524" t="s">
        <v>6381</v>
      </c>
      <c r="M1359" s="524" t="s">
        <v>522</v>
      </c>
      <c r="N1359" s="524" t="s">
        <v>7635</v>
      </c>
      <c r="O1359" s="524"/>
    </row>
    <row r="1360" spans="1:15" ht="130.5" hidden="1">
      <c r="A1360" s="527">
        <v>1770</v>
      </c>
      <c r="B1360" s="524" t="e">
        <f>VLOOKUP(A1360,'Hours Detail'!$E$17:$H$1048576,4,)</f>
        <v>#N/A</v>
      </c>
      <c r="C1360" s="527" t="s">
        <v>357</v>
      </c>
      <c r="D1360" s="527" t="s">
        <v>4703</v>
      </c>
      <c r="E1360" s="527" t="s">
        <v>1268</v>
      </c>
      <c r="F1360" s="527" t="s">
        <v>1736</v>
      </c>
      <c r="G1360" s="527">
        <v>283</v>
      </c>
      <c r="H1360" s="527" t="s">
        <v>4705</v>
      </c>
      <c r="I1360" s="527" t="s">
        <v>4704</v>
      </c>
      <c r="J1360" s="527" t="s">
        <v>2890</v>
      </c>
      <c r="K1360" s="527" t="s">
        <v>2889</v>
      </c>
      <c r="L1360" s="527" t="s">
        <v>7636</v>
      </c>
      <c r="M1360" s="524"/>
      <c r="N1360" s="524"/>
      <c r="O1360" s="524"/>
    </row>
    <row r="1361" spans="1:15" ht="87" hidden="1">
      <c r="A1361" s="525">
        <v>1771</v>
      </c>
      <c r="B1361" s="524" t="e">
        <f>VLOOKUP(A1361,'Hours Detail'!$E$17:$H$1048576,4,)</f>
        <v>#N/A</v>
      </c>
      <c r="C1361" s="524" t="s">
        <v>366</v>
      </c>
      <c r="D1361" s="524" t="s">
        <v>1257</v>
      </c>
      <c r="E1361" s="524" t="s">
        <v>1258</v>
      </c>
      <c r="F1361" s="524" t="s">
        <v>1258</v>
      </c>
      <c r="G1361" s="524" t="s">
        <v>1258</v>
      </c>
      <c r="H1361" s="524" t="s">
        <v>1258</v>
      </c>
      <c r="I1361" s="524" t="s">
        <v>7637</v>
      </c>
      <c r="J1361" s="524" t="s">
        <v>1257</v>
      </c>
      <c r="K1361" s="524" t="s">
        <v>6359</v>
      </c>
      <c r="L1361" s="524" t="s">
        <v>6381</v>
      </c>
      <c r="M1361" s="524" t="s">
        <v>2313</v>
      </c>
      <c r="N1361" s="524" t="s">
        <v>7638</v>
      </c>
      <c r="O1361" s="524"/>
    </row>
    <row r="1362" spans="1:15" ht="145" hidden="1">
      <c r="A1362" s="527">
        <v>1771</v>
      </c>
      <c r="B1362" s="524" t="e">
        <f>VLOOKUP(A1362,'Hours Detail'!$E$17:$H$1048576,4,)</f>
        <v>#N/A</v>
      </c>
      <c r="C1362" s="527" t="s">
        <v>366</v>
      </c>
      <c r="D1362" s="527" t="s">
        <v>4703</v>
      </c>
      <c r="E1362" s="527" t="s">
        <v>1257</v>
      </c>
      <c r="F1362" s="527" t="s">
        <v>1258</v>
      </c>
      <c r="G1362" s="527">
        <v>283</v>
      </c>
      <c r="H1362" s="527" t="s">
        <v>4705</v>
      </c>
      <c r="I1362" s="527" t="s">
        <v>4704</v>
      </c>
      <c r="J1362" s="527" t="s">
        <v>2890</v>
      </c>
      <c r="K1362" s="527" t="s">
        <v>2890</v>
      </c>
      <c r="L1362" s="527" t="s">
        <v>7639</v>
      </c>
      <c r="M1362" s="524"/>
      <c r="N1362" s="524"/>
      <c r="O1362" s="524"/>
    </row>
    <row r="1363" spans="1:15" ht="72.5" hidden="1">
      <c r="A1363" s="524">
        <v>1800</v>
      </c>
      <c r="B1363" s="524" t="str">
        <f>VLOOKUP(A1363,'Hours Detail'!$E$17:$H$1048576,4,)</f>
        <v>No</v>
      </c>
      <c r="C1363" s="524" t="s">
        <v>2955</v>
      </c>
      <c r="D1363" s="524" t="s">
        <v>4058</v>
      </c>
      <c r="E1363" s="524" t="s">
        <v>2956</v>
      </c>
      <c r="F1363" s="524" t="s">
        <v>7640</v>
      </c>
      <c r="G1363" s="524" t="s">
        <v>2956</v>
      </c>
      <c r="H1363" s="524" t="s">
        <v>7641</v>
      </c>
      <c r="I1363" s="524" t="s">
        <v>7642</v>
      </c>
      <c r="J1363" s="524" t="s">
        <v>4058</v>
      </c>
      <c r="K1363" s="524"/>
      <c r="L1363" s="524" t="s">
        <v>6399</v>
      </c>
      <c r="M1363" s="524" t="s">
        <v>6437</v>
      </c>
      <c r="N1363" s="524"/>
      <c r="O1363" s="524"/>
    </row>
    <row r="1364" spans="1:15" ht="145" hidden="1">
      <c r="A1364" s="527">
        <v>1800</v>
      </c>
      <c r="B1364" s="524" t="str">
        <f>VLOOKUP(A1364,'Hours Detail'!$E$17:$H$1048576,4,)</f>
        <v>No</v>
      </c>
      <c r="C1364" s="527" t="s">
        <v>2955</v>
      </c>
      <c r="D1364" s="527" t="s">
        <v>797</v>
      </c>
      <c r="E1364" s="527" t="s">
        <v>2895</v>
      </c>
      <c r="F1364" s="527" t="s">
        <v>2956</v>
      </c>
      <c r="G1364" s="527">
        <v>16</v>
      </c>
      <c r="H1364" s="527" t="s">
        <v>3</v>
      </c>
      <c r="I1364" s="527" t="s">
        <v>795</v>
      </c>
      <c r="J1364" s="527" t="s">
        <v>2889</v>
      </c>
      <c r="K1364" s="527" t="s">
        <v>2889</v>
      </c>
      <c r="L1364" s="527" t="s">
        <v>7643</v>
      </c>
      <c r="M1364" s="524"/>
      <c r="N1364" s="524"/>
      <c r="O1364" s="524"/>
    </row>
    <row r="1365" spans="1:15" ht="43.5" hidden="1">
      <c r="A1365" s="525">
        <v>1801</v>
      </c>
      <c r="B1365" s="524" t="e">
        <f>VLOOKUP(A1365,'Hours Detail'!$E$17:$H$1048576,4,)</f>
        <v>#N/A</v>
      </c>
      <c r="C1365" s="524" t="s">
        <v>1064</v>
      </c>
      <c r="D1365" s="524" t="s">
        <v>1065</v>
      </c>
      <c r="E1365" s="524" t="s">
        <v>1067</v>
      </c>
      <c r="F1365" s="524" t="s">
        <v>1067</v>
      </c>
      <c r="G1365" s="524" t="s">
        <v>1067</v>
      </c>
      <c r="H1365" s="524" t="s">
        <v>1067</v>
      </c>
      <c r="I1365" s="524" t="s">
        <v>7644</v>
      </c>
      <c r="J1365" s="524" t="s">
        <v>1065</v>
      </c>
      <c r="K1365" s="524" t="s">
        <v>6359</v>
      </c>
      <c r="L1365" s="524" t="s">
        <v>6365</v>
      </c>
      <c r="M1365" s="524" t="s">
        <v>6366</v>
      </c>
      <c r="N1365" s="524"/>
      <c r="O1365" s="524"/>
    </row>
    <row r="1366" spans="1:15" ht="116" hidden="1">
      <c r="A1366" s="527">
        <v>1801</v>
      </c>
      <c r="B1366" s="524" t="e">
        <f>VLOOKUP(A1366,'Hours Detail'!$E$17:$H$1048576,4,)</f>
        <v>#N/A</v>
      </c>
      <c r="C1366" s="527" t="s">
        <v>1064</v>
      </c>
      <c r="D1366" s="527" t="s">
        <v>1068</v>
      </c>
      <c r="E1366" s="527" t="s">
        <v>1065</v>
      </c>
      <c r="F1366" s="527" t="s">
        <v>1067</v>
      </c>
      <c r="G1366" s="527">
        <v>88</v>
      </c>
      <c r="H1366" s="527" t="s">
        <v>16</v>
      </c>
      <c r="I1366" s="527" t="s">
        <v>1066</v>
      </c>
      <c r="J1366" s="527" t="s">
        <v>2890</v>
      </c>
      <c r="K1366" s="527" t="s">
        <v>2889</v>
      </c>
      <c r="L1366" s="527" t="s">
        <v>7645</v>
      </c>
      <c r="M1366" s="524"/>
      <c r="N1366" s="524"/>
      <c r="O1366" s="524"/>
    </row>
    <row r="1367" spans="1:15" ht="43.5" hidden="1">
      <c r="A1367" s="524">
        <v>1899</v>
      </c>
      <c r="B1367" s="524" t="e">
        <f>VLOOKUP(A1367,'Hours Detail'!$E$17:$H$1048576,4,)</f>
        <v>#N/A</v>
      </c>
      <c r="C1367" s="524" t="s">
        <v>4251</v>
      </c>
      <c r="D1367" s="524" t="s">
        <v>4250</v>
      </c>
      <c r="E1367" s="524" t="s">
        <v>4249</v>
      </c>
      <c r="F1367" s="524" t="s">
        <v>4249</v>
      </c>
      <c r="G1367" s="524" t="s">
        <v>4249</v>
      </c>
      <c r="H1367" s="524" t="s">
        <v>4249</v>
      </c>
      <c r="I1367" s="524" t="s">
        <v>4250</v>
      </c>
      <c r="J1367" s="524" t="s">
        <v>4250</v>
      </c>
      <c r="K1367" s="524"/>
      <c r="L1367" s="524" t="s">
        <v>6399</v>
      </c>
      <c r="M1367" s="524" t="s">
        <v>6509</v>
      </c>
      <c r="N1367" s="524"/>
      <c r="O1367" s="524"/>
    </row>
    <row r="1368" spans="1:15" ht="101.5" hidden="1">
      <c r="A1368" s="525">
        <v>1901</v>
      </c>
      <c r="B1368" s="524" t="e">
        <f>VLOOKUP(A1368,'Hours Detail'!$E$17:$H$1048576,4,)</f>
        <v>#N/A</v>
      </c>
      <c r="C1368" s="524" t="s">
        <v>70</v>
      </c>
      <c r="D1368" s="524" t="s">
        <v>1778</v>
      </c>
      <c r="E1368" s="524" t="s">
        <v>1778</v>
      </c>
      <c r="F1368" s="524" t="s">
        <v>1778</v>
      </c>
      <c r="G1368" s="524" t="s">
        <v>1778</v>
      </c>
      <c r="H1368" s="524" t="s">
        <v>1778</v>
      </c>
      <c r="I1368" s="524" t="s">
        <v>1778</v>
      </c>
      <c r="J1368" s="524" t="s">
        <v>1778</v>
      </c>
      <c r="K1368" s="524"/>
      <c r="L1368" s="524" t="s">
        <v>6399</v>
      </c>
      <c r="M1368" s="524" t="s">
        <v>6509</v>
      </c>
      <c r="N1368" s="524" t="s">
        <v>7646</v>
      </c>
      <c r="O1368" s="524"/>
    </row>
    <row r="1369" spans="1:15" ht="72.5" hidden="1">
      <c r="A1369" s="527">
        <v>1901</v>
      </c>
      <c r="B1369" s="524" t="e">
        <f>VLOOKUP(A1369,'Hours Detail'!$E$17:$H$1048576,4,)</f>
        <v>#N/A</v>
      </c>
      <c r="C1369" s="527" t="s">
        <v>70</v>
      </c>
      <c r="D1369" s="527" t="s">
        <v>2312</v>
      </c>
      <c r="E1369" s="527" t="s">
        <v>1778</v>
      </c>
      <c r="F1369" s="527" t="s">
        <v>2866</v>
      </c>
      <c r="G1369" s="527">
        <v>6</v>
      </c>
      <c r="H1369" s="527" t="s">
        <v>58</v>
      </c>
      <c r="I1369" s="527" t="s">
        <v>2311</v>
      </c>
      <c r="J1369" s="527" t="s">
        <v>2890</v>
      </c>
      <c r="K1369" s="527" t="s">
        <v>2890</v>
      </c>
      <c r="L1369" s="527" t="s">
        <v>6371</v>
      </c>
      <c r="M1369" s="524"/>
      <c r="N1369" s="524"/>
      <c r="O1369" s="524"/>
    </row>
    <row r="1370" spans="1:15" ht="101.5" hidden="1">
      <c r="A1370" s="525">
        <v>1902</v>
      </c>
      <c r="B1370" s="524" t="e">
        <f>VLOOKUP(A1370,'Hours Detail'!$E$17:$H$1048576,4,)</f>
        <v>#N/A</v>
      </c>
      <c r="C1370" s="524" t="s">
        <v>69</v>
      </c>
      <c r="D1370" s="524" t="s">
        <v>567</v>
      </c>
      <c r="E1370" s="524" t="s">
        <v>568</v>
      </c>
      <c r="F1370" s="524" t="s">
        <v>568</v>
      </c>
      <c r="G1370" s="524" t="s">
        <v>568</v>
      </c>
      <c r="H1370" s="524" t="s">
        <v>568</v>
      </c>
      <c r="I1370" s="524" t="s">
        <v>567</v>
      </c>
      <c r="J1370" s="524" t="s">
        <v>567</v>
      </c>
      <c r="K1370" s="524"/>
      <c r="L1370" s="524" t="s">
        <v>6399</v>
      </c>
      <c r="M1370" s="524" t="s">
        <v>6509</v>
      </c>
      <c r="N1370" s="524" t="s">
        <v>7647</v>
      </c>
      <c r="O1370" s="524"/>
    </row>
    <row r="1371" spans="1:15" ht="72.5" hidden="1">
      <c r="A1371" s="527">
        <v>1902</v>
      </c>
      <c r="B1371" s="524" t="e">
        <f>VLOOKUP(A1371,'Hours Detail'!$E$17:$H$1048576,4,)</f>
        <v>#N/A</v>
      </c>
      <c r="C1371" s="527" t="s">
        <v>69</v>
      </c>
      <c r="D1371" s="527" t="s">
        <v>2312</v>
      </c>
      <c r="E1371" s="527" t="s">
        <v>567</v>
      </c>
      <c r="F1371" s="527" t="s">
        <v>568</v>
      </c>
      <c r="G1371" s="527">
        <v>6</v>
      </c>
      <c r="H1371" s="527" t="s">
        <v>58</v>
      </c>
      <c r="I1371" s="527" t="s">
        <v>2311</v>
      </c>
      <c r="J1371" s="527" t="s">
        <v>2890</v>
      </c>
      <c r="K1371" s="527" t="s">
        <v>2890</v>
      </c>
      <c r="L1371" s="527" t="s">
        <v>6371</v>
      </c>
      <c r="M1371" s="524"/>
      <c r="N1371" s="524"/>
      <c r="O1371" s="524"/>
    </row>
    <row r="1372" spans="1:15" ht="58" hidden="1">
      <c r="A1372" s="525">
        <v>1903</v>
      </c>
      <c r="B1372" s="524" t="e">
        <f>VLOOKUP(A1372,'Hours Detail'!$E$17:$H$1048576,4,)</f>
        <v>#N/A</v>
      </c>
      <c r="C1372" s="524" t="s">
        <v>4957</v>
      </c>
      <c r="D1372" s="524" t="s">
        <v>4956</v>
      </c>
      <c r="E1372" s="524" t="s">
        <v>7648</v>
      </c>
      <c r="F1372" s="524" t="s">
        <v>7648</v>
      </c>
      <c r="G1372" s="524" t="s">
        <v>7648</v>
      </c>
      <c r="H1372" s="524" t="s">
        <v>7648</v>
      </c>
      <c r="I1372" s="524" t="s">
        <v>7649</v>
      </c>
      <c r="J1372" s="524" t="s">
        <v>4956</v>
      </c>
      <c r="K1372" s="524"/>
      <c r="L1372" s="524" t="s">
        <v>6365</v>
      </c>
      <c r="M1372" s="524" t="s">
        <v>6366</v>
      </c>
      <c r="N1372" s="524"/>
      <c r="O1372" s="524"/>
    </row>
    <row r="1373" spans="1:15" hidden="1">
      <c r="A1373" s="525">
        <v>1905</v>
      </c>
      <c r="B1373" s="524" t="e">
        <f>VLOOKUP(A1373,'Hours Detail'!$E$17:$H$1048576,4,)</f>
        <v>#N/A</v>
      </c>
      <c r="C1373" s="524" t="s">
        <v>1486</v>
      </c>
      <c r="D1373" s="524" t="s">
        <v>1488</v>
      </c>
      <c r="E1373" s="524" t="s">
        <v>1490</v>
      </c>
      <c r="F1373" s="524" t="s">
        <v>1490</v>
      </c>
      <c r="G1373" s="524" t="s">
        <v>1490</v>
      </c>
      <c r="H1373" s="524" t="s">
        <v>1490</v>
      </c>
      <c r="I1373" s="524" t="s">
        <v>1488</v>
      </c>
      <c r="J1373" s="524" t="s">
        <v>1488</v>
      </c>
      <c r="K1373" s="524"/>
      <c r="L1373" s="524" t="s">
        <v>6381</v>
      </c>
      <c r="M1373" s="524" t="s">
        <v>442</v>
      </c>
      <c r="N1373" s="524"/>
      <c r="O1373" s="524"/>
    </row>
    <row r="1374" spans="1:15" ht="58" hidden="1">
      <c r="A1374" s="527">
        <v>1905</v>
      </c>
      <c r="B1374" s="524" t="e">
        <f>VLOOKUP(A1374,'Hours Detail'!$E$17:$H$1048576,4,)</f>
        <v>#N/A</v>
      </c>
      <c r="C1374" s="527" t="s">
        <v>1486</v>
      </c>
      <c r="D1374" s="527" t="s">
        <v>1491</v>
      </c>
      <c r="E1374" s="527" t="s">
        <v>1488</v>
      </c>
      <c r="F1374" s="527" t="s">
        <v>1490</v>
      </c>
      <c r="G1374" s="527">
        <v>305</v>
      </c>
      <c r="H1374" s="527" t="s">
        <v>1487</v>
      </c>
      <c r="I1374" s="527" t="s">
        <v>1489</v>
      </c>
      <c r="J1374" s="527" t="s">
        <v>2890</v>
      </c>
      <c r="K1374" s="527" t="s">
        <v>2890</v>
      </c>
      <c r="L1374" s="527" t="s">
        <v>7650</v>
      </c>
      <c r="M1374" s="524"/>
      <c r="N1374" s="524"/>
      <c r="O1374" s="524"/>
    </row>
    <row r="1375" spans="1:15" ht="43.5" hidden="1">
      <c r="A1375" s="524">
        <v>1908</v>
      </c>
      <c r="B1375" s="524" t="e">
        <f>VLOOKUP(A1375,'Hours Detail'!$E$17:$H$1048576,4,)</f>
        <v>#N/A</v>
      </c>
      <c r="C1375" s="524" t="s">
        <v>7651</v>
      </c>
      <c r="D1375" s="524" t="s">
        <v>5383</v>
      </c>
      <c r="E1375" s="524" t="s">
        <v>5382</v>
      </c>
      <c r="F1375" s="524" t="s">
        <v>5382</v>
      </c>
      <c r="G1375" s="524" t="s">
        <v>5382</v>
      </c>
      <c r="H1375" s="524" t="s">
        <v>5382</v>
      </c>
      <c r="I1375" s="524" t="s">
        <v>7652</v>
      </c>
      <c r="J1375" s="524" t="s">
        <v>5383</v>
      </c>
      <c r="K1375" s="524" t="s">
        <v>6359</v>
      </c>
      <c r="L1375" s="524" t="s">
        <v>6376</v>
      </c>
      <c r="M1375" s="524" t="s">
        <v>6377</v>
      </c>
      <c r="N1375" s="524"/>
      <c r="O1375" s="524"/>
    </row>
    <row r="1376" spans="1:15" ht="43.5" hidden="1">
      <c r="A1376" s="525">
        <v>1950</v>
      </c>
      <c r="B1376" s="524" t="str">
        <f>VLOOKUP(A1376,'Hours Detail'!$E$17:$H$1048576,4,)</f>
        <v>No</v>
      </c>
      <c r="C1376" s="524" t="s">
        <v>30</v>
      </c>
      <c r="D1376" s="524" t="s">
        <v>910</v>
      </c>
      <c r="E1376" s="524" t="s">
        <v>911</v>
      </c>
      <c r="F1376" s="524" t="s">
        <v>911</v>
      </c>
      <c r="G1376" s="524" t="s">
        <v>911</v>
      </c>
      <c r="H1376" s="524" t="s">
        <v>911</v>
      </c>
      <c r="I1376" s="524" t="s">
        <v>7653</v>
      </c>
      <c r="J1376" s="524" t="s">
        <v>910</v>
      </c>
      <c r="K1376" s="524" t="s">
        <v>6359</v>
      </c>
      <c r="L1376" s="524" t="s">
        <v>6368</v>
      </c>
      <c r="M1376" s="524" t="s">
        <v>2573</v>
      </c>
      <c r="N1376" s="524"/>
      <c r="O1376" s="524"/>
    </row>
    <row r="1377" spans="1:15" ht="58" hidden="1">
      <c r="A1377" s="527">
        <v>1950</v>
      </c>
      <c r="B1377" s="524" t="str">
        <f>VLOOKUP(A1377,'Hours Detail'!$E$17:$H$1048576,4,)</f>
        <v>No</v>
      </c>
      <c r="C1377" s="527" t="s">
        <v>30</v>
      </c>
      <c r="D1377" s="527" t="s">
        <v>891</v>
      </c>
      <c r="E1377" s="527" t="s">
        <v>910</v>
      </c>
      <c r="F1377" s="527" t="s">
        <v>911</v>
      </c>
      <c r="G1377" s="527">
        <v>23</v>
      </c>
      <c r="H1377" s="527" t="s">
        <v>7</v>
      </c>
      <c r="I1377" s="527" t="s">
        <v>890</v>
      </c>
      <c r="J1377" s="527" t="s">
        <v>2889</v>
      </c>
      <c r="K1377" s="527" t="s">
        <v>2889</v>
      </c>
      <c r="L1377" s="527" t="s">
        <v>7654</v>
      </c>
      <c r="M1377" s="524"/>
      <c r="N1377" s="524"/>
      <c r="O1377" s="524"/>
    </row>
    <row r="1378" spans="1:15" ht="58" hidden="1">
      <c r="A1378" s="525">
        <v>1990</v>
      </c>
      <c r="B1378" s="524" t="e">
        <f>VLOOKUP(A1378,'Hours Detail'!$E$17:$H$1048576,4,)</f>
        <v>#N/A</v>
      </c>
      <c r="C1378" s="524" t="s">
        <v>4855</v>
      </c>
      <c r="D1378" s="524" t="s">
        <v>4854</v>
      </c>
      <c r="E1378" s="524" t="s">
        <v>4853</v>
      </c>
      <c r="F1378" s="524" t="s">
        <v>4853</v>
      </c>
      <c r="G1378" s="524" t="s">
        <v>4853</v>
      </c>
      <c r="H1378" s="524" t="s">
        <v>4853</v>
      </c>
      <c r="I1378" s="524" t="s">
        <v>7655</v>
      </c>
      <c r="J1378" s="524" t="s">
        <v>4854</v>
      </c>
      <c r="K1378" s="524"/>
      <c r="L1378" s="524" t="s">
        <v>6402</v>
      </c>
      <c r="M1378" s="524" t="s">
        <v>6403</v>
      </c>
      <c r="N1378" s="524"/>
      <c r="O1378" s="524"/>
    </row>
    <row r="1379" spans="1:15" ht="116" hidden="1">
      <c r="A1379" s="525">
        <v>2000</v>
      </c>
      <c r="B1379" s="524" t="str">
        <f>VLOOKUP(A1379,'Hours Detail'!$E$17:$H$1048576,4,)</f>
        <v>No</v>
      </c>
      <c r="C1379" s="524" t="s">
        <v>49</v>
      </c>
      <c r="D1379" s="524" t="s">
        <v>823</v>
      </c>
      <c r="E1379" s="524" t="s">
        <v>7656</v>
      </c>
      <c r="F1379" s="524" t="s">
        <v>7656</v>
      </c>
      <c r="G1379" s="524" t="s">
        <v>7656</v>
      </c>
      <c r="H1379" s="524" t="s">
        <v>7656</v>
      </c>
      <c r="I1379" s="524" t="s">
        <v>7657</v>
      </c>
      <c r="J1379" s="524" t="s">
        <v>823</v>
      </c>
      <c r="K1379" s="524" t="s">
        <v>6359</v>
      </c>
      <c r="L1379" s="524" t="s">
        <v>6381</v>
      </c>
      <c r="M1379" s="524" t="s">
        <v>6699</v>
      </c>
      <c r="N1379" s="524" t="s">
        <v>7658</v>
      </c>
      <c r="O1379" s="524"/>
    </row>
    <row r="1380" spans="1:15" ht="174" hidden="1">
      <c r="A1380" s="527">
        <v>2000</v>
      </c>
      <c r="B1380" s="524" t="str">
        <f>VLOOKUP(A1380,'Hours Detail'!$E$17:$H$1048576,4,)</f>
        <v>No</v>
      </c>
      <c r="C1380" s="527" t="s">
        <v>49</v>
      </c>
      <c r="D1380" s="527" t="s">
        <v>8</v>
      </c>
      <c r="E1380" s="527" t="s">
        <v>823</v>
      </c>
      <c r="F1380" s="527" t="s">
        <v>824</v>
      </c>
      <c r="G1380" s="527">
        <v>20</v>
      </c>
      <c r="H1380" s="527" t="s">
        <v>8</v>
      </c>
      <c r="I1380" s="527" t="s">
        <v>2320</v>
      </c>
      <c r="J1380" s="527" t="s">
        <v>2889</v>
      </c>
      <c r="K1380" s="527" t="s">
        <v>2889</v>
      </c>
      <c r="L1380" s="527" t="s">
        <v>7659</v>
      </c>
      <c r="M1380" s="524"/>
      <c r="N1380" s="524"/>
      <c r="O1380" s="524"/>
    </row>
    <row r="1381" spans="1:15" ht="58" hidden="1">
      <c r="A1381" s="524">
        <v>2020</v>
      </c>
      <c r="B1381" s="524" t="e">
        <f>VLOOKUP(A1381,'Hours Detail'!$E$17:$H$1048576,4,)</f>
        <v>#N/A</v>
      </c>
      <c r="C1381" s="524" t="s">
        <v>4873</v>
      </c>
      <c r="D1381" s="524" t="s">
        <v>7660</v>
      </c>
      <c r="E1381" s="524" t="s">
        <v>4871</v>
      </c>
      <c r="F1381" s="524" t="s">
        <v>4871</v>
      </c>
      <c r="G1381" s="524" t="s">
        <v>4871</v>
      </c>
      <c r="H1381" s="524" t="s">
        <v>4871</v>
      </c>
      <c r="I1381" s="524" t="s">
        <v>7660</v>
      </c>
      <c r="J1381" s="524" t="s">
        <v>7660</v>
      </c>
      <c r="K1381" s="524"/>
      <c r="L1381" s="524" t="s">
        <v>6376</v>
      </c>
      <c r="M1381" s="524" t="s">
        <v>6377</v>
      </c>
      <c r="N1381" s="524"/>
      <c r="O1381" s="524"/>
    </row>
    <row r="1382" spans="1:15" hidden="1">
      <c r="A1382" s="525">
        <v>2101</v>
      </c>
      <c r="B1382" s="524" t="e">
        <f>VLOOKUP(A1382,'Hours Detail'!$E$17:$H$1048576,4,)</f>
        <v>#N/A</v>
      </c>
      <c r="C1382" s="524" t="s">
        <v>5319</v>
      </c>
      <c r="D1382" s="524" t="s">
        <v>5320</v>
      </c>
      <c r="E1382" s="524" t="s">
        <v>5319</v>
      </c>
      <c r="F1382" s="524" t="s">
        <v>5319</v>
      </c>
      <c r="G1382" s="524" t="s">
        <v>5319</v>
      </c>
      <c r="H1382" s="524" t="s">
        <v>5319</v>
      </c>
      <c r="I1382" s="524" t="s">
        <v>5320</v>
      </c>
      <c r="J1382" s="524" t="s">
        <v>5320</v>
      </c>
      <c r="K1382" s="524"/>
      <c r="L1382" s="524" t="s">
        <v>6379</v>
      </c>
      <c r="M1382" s="524" t="s">
        <v>6380</v>
      </c>
      <c r="N1382" s="524"/>
      <c r="O1382" s="524"/>
    </row>
    <row r="1383" spans="1:15" ht="29" hidden="1">
      <c r="A1383" s="524">
        <v>2105</v>
      </c>
      <c r="B1383" s="524" t="e">
        <f>VLOOKUP(A1383,'Hours Detail'!$E$17:$H$1048576,4,)</f>
        <v>#N/A</v>
      </c>
      <c r="C1383" s="524" t="s">
        <v>397</v>
      </c>
      <c r="D1383" s="524" t="s">
        <v>397</v>
      </c>
      <c r="E1383" s="524" t="s">
        <v>397</v>
      </c>
      <c r="F1383" s="524" t="s">
        <v>397</v>
      </c>
      <c r="G1383" s="524" t="s">
        <v>397</v>
      </c>
      <c r="H1383" s="524" t="s">
        <v>397</v>
      </c>
      <c r="I1383" s="524" t="s">
        <v>397</v>
      </c>
      <c r="J1383" s="524" t="s">
        <v>397</v>
      </c>
      <c r="K1383" s="524"/>
      <c r="L1383" s="524" t="s">
        <v>6386</v>
      </c>
      <c r="M1383" s="524" t="s">
        <v>6387</v>
      </c>
      <c r="N1383" s="524"/>
      <c r="O1383" s="524"/>
    </row>
    <row r="1384" spans="1:15" ht="58" hidden="1">
      <c r="A1384" s="527">
        <v>2105</v>
      </c>
      <c r="B1384" s="524" t="e">
        <f>VLOOKUP(A1384,'Hours Detail'!$E$17:$H$1048576,4,)</f>
        <v>#N/A</v>
      </c>
      <c r="C1384" s="527" t="s">
        <v>397</v>
      </c>
      <c r="D1384" s="527" t="s">
        <v>4703</v>
      </c>
      <c r="E1384" s="527" t="s">
        <v>397</v>
      </c>
      <c r="F1384" s="527" t="s">
        <v>397</v>
      </c>
      <c r="G1384" s="527">
        <v>283</v>
      </c>
      <c r="H1384" s="527" t="s">
        <v>4705</v>
      </c>
      <c r="I1384" s="527" t="s">
        <v>4704</v>
      </c>
      <c r="J1384" s="527" t="s">
        <v>2890</v>
      </c>
      <c r="K1384" s="527" t="s">
        <v>2890</v>
      </c>
      <c r="L1384" s="527" t="s">
        <v>6371</v>
      </c>
      <c r="M1384" s="524"/>
      <c r="N1384" s="524"/>
      <c r="O1384" s="524"/>
    </row>
    <row r="1385" spans="1:15" hidden="1">
      <c r="A1385" s="525">
        <v>2223</v>
      </c>
      <c r="B1385" s="524" t="e">
        <f>VLOOKUP(A1385,'Hours Detail'!$E$17:$H$1048576,4,)</f>
        <v>#N/A</v>
      </c>
      <c r="C1385" s="524" t="s">
        <v>5680</v>
      </c>
      <c r="D1385" s="524" t="s">
        <v>5679</v>
      </c>
      <c r="E1385" s="524" t="s">
        <v>5678</v>
      </c>
      <c r="F1385" s="524" t="s">
        <v>5678</v>
      </c>
      <c r="G1385" s="524" t="s">
        <v>5678</v>
      </c>
      <c r="H1385" s="524" t="s">
        <v>5678</v>
      </c>
      <c r="I1385" s="524" t="s">
        <v>7661</v>
      </c>
      <c r="J1385" s="524" t="s">
        <v>5679</v>
      </c>
      <c r="K1385" s="524" t="s">
        <v>6359</v>
      </c>
      <c r="L1385" s="524" t="s">
        <v>6379</v>
      </c>
      <c r="M1385" s="524" t="s">
        <v>6380</v>
      </c>
      <c r="N1385" s="524"/>
      <c r="O1385" s="524"/>
    </row>
    <row r="1386" spans="1:15" ht="43.5" hidden="1">
      <c r="A1386" s="525">
        <v>2300</v>
      </c>
      <c r="B1386" s="524" t="e">
        <f>VLOOKUP(A1386,'Hours Detail'!$E$17:$H$1048576,4,)</f>
        <v>#N/A</v>
      </c>
      <c r="C1386" s="524" t="s">
        <v>5258</v>
      </c>
      <c r="D1386" s="524" t="s">
        <v>5257</v>
      </c>
      <c r="E1386" s="524" t="s">
        <v>5256</v>
      </c>
      <c r="F1386" s="524" t="s">
        <v>5256</v>
      </c>
      <c r="G1386" s="524" t="s">
        <v>5256</v>
      </c>
      <c r="H1386" s="524" t="s">
        <v>5256</v>
      </c>
      <c r="I1386" s="524" t="s">
        <v>7662</v>
      </c>
      <c r="J1386" s="524" t="s">
        <v>5257</v>
      </c>
      <c r="K1386" s="524"/>
      <c r="L1386" s="524" t="s">
        <v>6400</v>
      </c>
      <c r="M1386" s="524" t="s">
        <v>7663</v>
      </c>
      <c r="N1386" s="524" t="s">
        <v>7664</v>
      </c>
      <c r="O1386" s="524"/>
    </row>
    <row r="1387" spans="1:15" hidden="1">
      <c r="A1387" s="525">
        <v>2314</v>
      </c>
      <c r="B1387" s="524" t="str">
        <f>VLOOKUP(A1387,'Hours Detail'!$E$17:$H$1048576,4,)</f>
        <v>No</v>
      </c>
      <c r="C1387" s="524" t="s">
        <v>216</v>
      </c>
      <c r="D1387" s="524" t="s">
        <v>216</v>
      </c>
      <c r="E1387" s="524" t="s">
        <v>216</v>
      </c>
      <c r="F1387" s="524" t="s">
        <v>216</v>
      </c>
      <c r="G1387" s="524" t="s">
        <v>216</v>
      </c>
      <c r="H1387" s="524" t="s">
        <v>216</v>
      </c>
      <c r="I1387" s="524" t="s">
        <v>216</v>
      </c>
      <c r="J1387" s="524" t="s">
        <v>216</v>
      </c>
      <c r="K1387" s="524" t="s">
        <v>6359</v>
      </c>
      <c r="L1387" s="524" t="s">
        <v>6365</v>
      </c>
      <c r="M1387" s="524" t="s">
        <v>216</v>
      </c>
      <c r="N1387" s="524"/>
      <c r="O1387" s="524"/>
    </row>
    <row r="1388" spans="1:15" ht="188.5" hidden="1">
      <c r="A1388" s="527">
        <v>2314</v>
      </c>
      <c r="B1388" s="524" t="str">
        <f>VLOOKUP(A1388,'Hours Detail'!$E$17:$H$1048576,4,)</f>
        <v>No</v>
      </c>
      <c r="C1388" s="527" t="s">
        <v>216</v>
      </c>
      <c r="D1388" s="527" t="s">
        <v>2316</v>
      </c>
      <c r="E1388" s="527" t="s">
        <v>216</v>
      </c>
      <c r="F1388" s="527" t="s">
        <v>216</v>
      </c>
      <c r="G1388" s="527">
        <v>10</v>
      </c>
      <c r="H1388" s="527" t="s">
        <v>213</v>
      </c>
      <c r="I1388" s="527" t="s">
        <v>2315</v>
      </c>
      <c r="J1388" s="527" t="s">
        <v>2889</v>
      </c>
      <c r="K1388" s="527" t="s">
        <v>2889</v>
      </c>
      <c r="L1388" s="527" t="s">
        <v>7234</v>
      </c>
      <c r="M1388" s="524"/>
      <c r="N1388" s="524"/>
      <c r="O1388" s="524"/>
    </row>
    <row r="1389" spans="1:15" ht="58" hidden="1">
      <c r="A1389" s="525">
        <v>2424</v>
      </c>
      <c r="B1389" s="524" t="e">
        <f>VLOOKUP(A1389,'Hours Detail'!$E$17:$H$1048576,4,)</f>
        <v>#N/A</v>
      </c>
      <c r="C1389" s="524" t="s">
        <v>5378</v>
      </c>
      <c r="D1389" s="524" t="s">
        <v>5377</v>
      </c>
      <c r="E1389" s="524" t="s">
        <v>5376</v>
      </c>
      <c r="F1389" s="524" t="s">
        <v>5376</v>
      </c>
      <c r="G1389" s="524" t="s">
        <v>5376</v>
      </c>
      <c r="H1389" s="524" t="s">
        <v>5376</v>
      </c>
      <c r="I1389" s="524" t="s">
        <v>5377</v>
      </c>
      <c r="J1389" s="524" t="s">
        <v>5377</v>
      </c>
      <c r="K1389" s="524"/>
      <c r="L1389" s="524" t="s">
        <v>6402</v>
      </c>
      <c r="M1389" s="524" t="s">
        <v>6403</v>
      </c>
      <c r="N1389" s="524"/>
      <c r="O1389" s="524"/>
    </row>
    <row r="1390" spans="1:15" ht="58" hidden="1">
      <c r="A1390" s="525">
        <v>2468</v>
      </c>
      <c r="B1390" s="524" t="e">
        <f>VLOOKUP(A1390,'Hours Detail'!$E$17:$H$1048576,4,)</f>
        <v>#N/A</v>
      </c>
      <c r="C1390" s="524" t="s">
        <v>5698</v>
      </c>
      <c r="D1390" s="524" t="s">
        <v>5699</v>
      </c>
      <c r="E1390" s="524" t="s">
        <v>5698</v>
      </c>
      <c r="F1390" s="524" t="s">
        <v>5698</v>
      </c>
      <c r="G1390" s="524" t="s">
        <v>5698</v>
      </c>
      <c r="H1390" s="524" t="s">
        <v>5698</v>
      </c>
      <c r="I1390" s="524" t="s">
        <v>7665</v>
      </c>
      <c r="J1390" s="524" t="s">
        <v>5699</v>
      </c>
      <c r="K1390" s="524"/>
      <c r="L1390" s="524" t="s">
        <v>6376</v>
      </c>
      <c r="M1390" s="524" t="s">
        <v>6377</v>
      </c>
      <c r="N1390" s="524"/>
      <c r="O1390" s="524"/>
    </row>
    <row r="1391" spans="1:15" ht="188.5" hidden="1">
      <c r="A1391" s="525">
        <v>2500</v>
      </c>
      <c r="B1391" s="524" t="str">
        <f>VLOOKUP(A1391,'Hours Detail'!$E$17:$H$1048576,4,)</f>
        <v>No</v>
      </c>
      <c r="C1391" s="524" t="s">
        <v>50</v>
      </c>
      <c r="D1391" s="524" t="s">
        <v>825</v>
      </c>
      <c r="E1391" s="524" t="s">
        <v>826</v>
      </c>
      <c r="F1391" s="524" t="s">
        <v>826</v>
      </c>
      <c r="G1391" s="524" t="s">
        <v>826</v>
      </c>
      <c r="H1391" s="524" t="s">
        <v>826</v>
      </c>
      <c r="I1391" s="524" t="s">
        <v>7666</v>
      </c>
      <c r="J1391" s="524" t="s">
        <v>825</v>
      </c>
      <c r="K1391" s="524" t="s">
        <v>6359</v>
      </c>
      <c r="L1391" s="524" t="s">
        <v>6381</v>
      </c>
      <c r="M1391" s="524" t="s">
        <v>442</v>
      </c>
      <c r="N1391" s="524" t="s">
        <v>7667</v>
      </c>
      <c r="O1391" s="524"/>
    </row>
    <row r="1392" spans="1:15" ht="188.5" hidden="1">
      <c r="A1392" s="527">
        <v>2500</v>
      </c>
      <c r="B1392" s="524" t="str">
        <f>VLOOKUP(A1392,'Hours Detail'!$E$17:$H$1048576,4,)</f>
        <v>No</v>
      </c>
      <c r="C1392" s="527" t="s">
        <v>50</v>
      </c>
      <c r="D1392" s="527" t="s">
        <v>8</v>
      </c>
      <c r="E1392" s="527" t="s">
        <v>825</v>
      </c>
      <c r="F1392" s="527" t="s">
        <v>826</v>
      </c>
      <c r="G1392" s="527">
        <v>20</v>
      </c>
      <c r="H1392" s="527" t="s">
        <v>8</v>
      </c>
      <c r="I1392" s="527" t="s">
        <v>2320</v>
      </c>
      <c r="J1392" s="527" t="s">
        <v>2889</v>
      </c>
      <c r="K1392" s="527" t="s">
        <v>2889</v>
      </c>
      <c r="L1392" s="527" t="s">
        <v>7668</v>
      </c>
      <c r="M1392" s="524"/>
      <c r="N1392" s="524"/>
      <c r="O1392" s="524"/>
    </row>
    <row r="1393" spans="1:15" ht="58" hidden="1">
      <c r="A1393" s="525">
        <v>2681</v>
      </c>
      <c r="B1393" s="524" t="str">
        <f>VLOOKUP(A1393,'Hours Detail'!$E$17:$H$1048576,4,)</f>
        <v>No</v>
      </c>
      <c r="C1393" s="524" t="s">
        <v>1318</v>
      </c>
      <c r="D1393" s="524" t="s">
        <v>1319</v>
      </c>
      <c r="E1393" s="524" t="s">
        <v>1320</v>
      </c>
      <c r="F1393" s="524" t="s">
        <v>1320</v>
      </c>
      <c r="G1393" s="524" t="s">
        <v>1320</v>
      </c>
      <c r="H1393" s="524" t="s">
        <v>1320</v>
      </c>
      <c r="I1393" s="524" t="s">
        <v>1319</v>
      </c>
      <c r="J1393" s="524" t="s">
        <v>1319</v>
      </c>
      <c r="K1393" s="524"/>
      <c r="L1393" s="524" t="s">
        <v>6376</v>
      </c>
      <c r="M1393" s="524" t="s">
        <v>6377</v>
      </c>
      <c r="N1393" s="524"/>
      <c r="O1393" s="524"/>
    </row>
    <row r="1394" spans="1:15" ht="43.5" hidden="1">
      <c r="A1394" s="527">
        <v>2681</v>
      </c>
      <c r="B1394" s="524" t="str">
        <f>VLOOKUP(A1394,'Hours Detail'!$E$17:$H$1048576,4,)</f>
        <v>No</v>
      </c>
      <c r="C1394" s="527" t="s">
        <v>1318</v>
      </c>
      <c r="D1394" s="527" t="s">
        <v>3092</v>
      </c>
      <c r="E1394" s="527" t="s">
        <v>1319</v>
      </c>
      <c r="F1394" s="527" t="s">
        <v>1320</v>
      </c>
      <c r="G1394" s="527">
        <v>944</v>
      </c>
      <c r="H1394" s="527" t="s">
        <v>3086</v>
      </c>
      <c r="I1394" s="527" t="s">
        <v>3089</v>
      </c>
      <c r="J1394" s="527" t="s">
        <v>2889</v>
      </c>
      <c r="K1394" s="527" t="s">
        <v>2890</v>
      </c>
      <c r="L1394" s="527" t="s">
        <v>6371</v>
      </c>
      <c r="M1394" s="524"/>
      <c r="N1394" s="524"/>
      <c r="O1394" s="524"/>
    </row>
    <row r="1395" spans="1:15" ht="29" hidden="1">
      <c r="A1395" s="525">
        <v>2682</v>
      </c>
      <c r="B1395" s="524" t="str">
        <f>VLOOKUP(A1395,'Hours Detail'!$E$17:$H$1048576,4,)</f>
        <v>No</v>
      </c>
      <c r="C1395" s="524" t="s">
        <v>1335</v>
      </c>
      <c r="D1395" s="524" t="s">
        <v>1336</v>
      </c>
      <c r="E1395" s="524" t="s">
        <v>1335</v>
      </c>
      <c r="F1395" s="524" t="s">
        <v>1335</v>
      </c>
      <c r="G1395" s="524" t="s">
        <v>1335</v>
      </c>
      <c r="H1395" s="524" t="s">
        <v>1335</v>
      </c>
      <c r="I1395" s="524" t="s">
        <v>1336</v>
      </c>
      <c r="J1395" s="524" t="s">
        <v>1336</v>
      </c>
      <c r="K1395" s="524"/>
      <c r="L1395" s="524" t="s">
        <v>6376</v>
      </c>
      <c r="M1395" s="524" t="s">
        <v>6377</v>
      </c>
      <c r="N1395" s="524"/>
      <c r="O1395" s="524"/>
    </row>
    <row r="1396" spans="1:15" ht="29" hidden="1">
      <c r="A1396" s="527">
        <v>2682</v>
      </c>
      <c r="B1396" s="524" t="str">
        <f>VLOOKUP(A1396,'Hours Detail'!$E$17:$H$1048576,4,)</f>
        <v>No</v>
      </c>
      <c r="C1396" s="527" t="s">
        <v>1335</v>
      </c>
      <c r="D1396" s="527" t="s">
        <v>3092</v>
      </c>
      <c r="E1396" s="527" t="s">
        <v>1336</v>
      </c>
      <c r="F1396" s="527" t="s">
        <v>1335</v>
      </c>
      <c r="G1396" s="527">
        <v>944</v>
      </c>
      <c r="H1396" s="527" t="s">
        <v>3086</v>
      </c>
      <c r="I1396" s="527" t="s">
        <v>3089</v>
      </c>
      <c r="J1396" s="527" t="s">
        <v>2889</v>
      </c>
      <c r="K1396" s="527" t="s">
        <v>2890</v>
      </c>
      <c r="L1396" s="527" t="s">
        <v>6371</v>
      </c>
      <c r="M1396" s="524"/>
      <c r="N1396" s="524"/>
      <c r="O1396" s="524"/>
    </row>
    <row r="1397" spans="1:15" ht="58" hidden="1">
      <c r="A1397" s="525">
        <v>2685</v>
      </c>
      <c r="B1397" s="524" t="str">
        <f>VLOOKUP(A1397,'Hours Detail'!$E$17:$H$1048576,4,)</f>
        <v>No</v>
      </c>
      <c r="C1397" s="524" t="s">
        <v>1341</v>
      </c>
      <c r="D1397" s="524" t="s">
        <v>1342</v>
      </c>
      <c r="E1397" s="524" t="s">
        <v>1343</v>
      </c>
      <c r="F1397" s="524" t="s">
        <v>1343</v>
      </c>
      <c r="G1397" s="524" t="s">
        <v>1343</v>
      </c>
      <c r="H1397" s="524" t="s">
        <v>1343</v>
      </c>
      <c r="I1397" s="524" t="s">
        <v>1342</v>
      </c>
      <c r="J1397" s="524" t="s">
        <v>1342</v>
      </c>
      <c r="K1397" s="524"/>
      <c r="L1397" s="524" t="s">
        <v>6376</v>
      </c>
      <c r="M1397" s="524" t="s">
        <v>6377</v>
      </c>
      <c r="N1397" s="524"/>
      <c r="O1397" s="524"/>
    </row>
    <row r="1398" spans="1:15" ht="43.5" hidden="1">
      <c r="A1398" s="527">
        <v>2685</v>
      </c>
      <c r="B1398" s="524" t="str">
        <f>VLOOKUP(A1398,'Hours Detail'!$E$17:$H$1048576,4,)</f>
        <v>No</v>
      </c>
      <c r="C1398" s="527" t="s">
        <v>1341</v>
      </c>
      <c r="D1398" s="527" t="s">
        <v>3092</v>
      </c>
      <c r="E1398" s="527" t="s">
        <v>1342</v>
      </c>
      <c r="F1398" s="527" t="s">
        <v>1343</v>
      </c>
      <c r="G1398" s="527">
        <v>944</v>
      </c>
      <c r="H1398" s="527" t="s">
        <v>3086</v>
      </c>
      <c r="I1398" s="527" t="s">
        <v>3089</v>
      </c>
      <c r="J1398" s="527" t="s">
        <v>2889</v>
      </c>
      <c r="K1398" s="527" t="s">
        <v>2890</v>
      </c>
      <c r="L1398" s="527" t="s">
        <v>6371</v>
      </c>
      <c r="M1398" s="524"/>
      <c r="N1398" s="524"/>
      <c r="O1398" s="524"/>
    </row>
    <row r="1399" spans="1:15" ht="43.5" hidden="1">
      <c r="A1399" s="527">
        <v>2687</v>
      </c>
      <c r="B1399" s="524" t="str">
        <f>VLOOKUP(A1399,'Hours Detail'!$E$17:$H$1048576,4,)</f>
        <v>No</v>
      </c>
      <c r="C1399" s="527" t="s">
        <v>1321</v>
      </c>
      <c r="D1399" s="527" t="s">
        <v>3092</v>
      </c>
      <c r="E1399" s="527" t="s">
        <v>1322</v>
      </c>
      <c r="F1399" s="527" t="s">
        <v>1323</v>
      </c>
      <c r="G1399" s="527">
        <v>944</v>
      </c>
      <c r="H1399" s="527" t="s">
        <v>3086</v>
      </c>
      <c r="I1399" s="527" t="s">
        <v>3089</v>
      </c>
      <c r="J1399" s="527" t="s">
        <v>2889</v>
      </c>
      <c r="K1399" s="527" t="s">
        <v>2890</v>
      </c>
      <c r="L1399" s="527" t="s">
        <v>6371</v>
      </c>
      <c r="M1399" s="524"/>
      <c r="N1399" s="524"/>
      <c r="O1399" s="524"/>
    </row>
    <row r="1400" spans="1:15" ht="43.5" hidden="1">
      <c r="A1400" s="527">
        <v>2689</v>
      </c>
      <c r="B1400" s="524" t="str">
        <f>VLOOKUP(A1400,'Hours Detail'!$E$17:$H$1048576,4,)</f>
        <v>No</v>
      </c>
      <c r="C1400" s="527" t="s">
        <v>2896</v>
      </c>
      <c r="D1400" s="527" t="s">
        <v>3092</v>
      </c>
      <c r="E1400" s="527" t="s">
        <v>1350</v>
      </c>
      <c r="F1400" s="527" t="s">
        <v>1351</v>
      </c>
      <c r="G1400" s="527">
        <v>944</v>
      </c>
      <c r="H1400" s="527" t="s">
        <v>3086</v>
      </c>
      <c r="I1400" s="527" t="s">
        <v>3089</v>
      </c>
      <c r="J1400" s="527" t="s">
        <v>2889</v>
      </c>
      <c r="K1400" s="527" t="s">
        <v>2890</v>
      </c>
      <c r="L1400" s="527" t="s">
        <v>6371</v>
      </c>
      <c r="M1400" s="524"/>
      <c r="N1400" s="524"/>
      <c r="O1400" s="524"/>
    </row>
    <row r="1401" spans="1:15" ht="43.5" hidden="1">
      <c r="A1401" s="525">
        <v>2703</v>
      </c>
      <c r="B1401" s="524" t="str">
        <f>VLOOKUP(A1401,'Hours Detail'!$E$17:$H$1048576,4,)</f>
        <v>No</v>
      </c>
      <c r="C1401" s="524" t="s">
        <v>1309</v>
      </c>
      <c r="D1401" s="524" t="s">
        <v>1310</v>
      </c>
      <c r="E1401" s="524" t="s">
        <v>1311</v>
      </c>
      <c r="F1401" s="524" t="s">
        <v>1311</v>
      </c>
      <c r="G1401" s="524" t="s">
        <v>1311</v>
      </c>
      <c r="H1401" s="524" t="s">
        <v>1311</v>
      </c>
      <c r="I1401" s="524" t="s">
        <v>1310</v>
      </c>
      <c r="J1401" s="524" t="s">
        <v>1310</v>
      </c>
      <c r="K1401" s="524"/>
      <c r="L1401" s="524" t="s">
        <v>6376</v>
      </c>
      <c r="M1401" s="524" t="s">
        <v>6377</v>
      </c>
      <c r="N1401" s="524"/>
      <c r="O1401" s="524"/>
    </row>
    <row r="1402" spans="1:15" ht="29" hidden="1">
      <c r="A1402" s="527">
        <v>2703</v>
      </c>
      <c r="B1402" s="524" t="str">
        <f>VLOOKUP(A1402,'Hours Detail'!$E$17:$H$1048576,4,)</f>
        <v>No</v>
      </c>
      <c r="C1402" s="527" t="s">
        <v>1309</v>
      </c>
      <c r="D1402" s="527" t="s">
        <v>3092</v>
      </c>
      <c r="E1402" s="527" t="s">
        <v>1310</v>
      </c>
      <c r="F1402" s="527" t="s">
        <v>1311</v>
      </c>
      <c r="G1402" s="527">
        <v>944</v>
      </c>
      <c r="H1402" s="527" t="s">
        <v>3086</v>
      </c>
      <c r="I1402" s="527" t="s">
        <v>3089</v>
      </c>
      <c r="J1402" s="527" t="s">
        <v>2889</v>
      </c>
      <c r="K1402" s="527" t="s">
        <v>2890</v>
      </c>
      <c r="L1402" s="527" t="s">
        <v>6371</v>
      </c>
      <c r="M1402" s="524"/>
      <c r="N1402" s="524"/>
      <c r="O1402" s="524"/>
    </row>
    <row r="1403" spans="1:15" ht="29" hidden="1">
      <c r="A1403" s="525">
        <v>2705</v>
      </c>
      <c r="B1403" s="524" t="e">
        <f>VLOOKUP(A1403,'Hours Detail'!$E$17:$H$1048576,4,)</f>
        <v>#N/A</v>
      </c>
      <c r="C1403" s="524" t="s">
        <v>3500</v>
      </c>
      <c r="D1403" s="524" t="s">
        <v>3501</v>
      </c>
      <c r="E1403" s="524" t="s">
        <v>3500</v>
      </c>
      <c r="F1403" s="524" t="s">
        <v>3500</v>
      </c>
      <c r="G1403" s="524" t="s">
        <v>3500</v>
      </c>
      <c r="H1403" s="524" t="s">
        <v>3500</v>
      </c>
      <c r="I1403" s="524" t="s">
        <v>3501</v>
      </c>
      <c r="J1403" s="524" t="s">
        <v>3501</v>
      </c>
      <c r="K1403" s="524"/>
      <c r="L1403" s="524" t="s">
        <v>6365</v>
      </c>
      <c r="M1403" s="524" t="s">
        <v>216</v>
      </c>
      <c r="N1403" s="524"/>
      <c r="O1403" s="524"/>
    </row>
    <row r="1404" spans="1:15" ht="43.5" hidden="1">
      <c r="A1404" s="524">
        <v>2707</v>
      </c>
      <c r="B1404" s="524" t="e">
        <f>VLOOKUP(A1404,'Hours Detail'!$E$17:$H$1048576,4,)</f>
        <v>#N/A</v>
      </c>
      <c r="C1404" s="524" t="s">
        <v>390</v>
      </c>
      <c r="D1404" s="524" t="s">
        <v>1307</v>
      </c>
      <c r="E1404" s="524" t="s">
        <v>1308</v>
      </c>
      <c r="F1404" s="524" t="s">
        <v>1308</v>
      </c>
      <c r="G1404" s="524" t="s">
        <v>7669</v>
      </c>
      <c r="H1404" s="524" t="s">
        <v>1308</v>
      </c>
      <c r="I1404" s="524" t="s">
        <v>1307</v>
      </c>
      <c r="J1404" s="524" t="s">
        <v>1307</v>
      </c>
      <c r="K1404" s="524"/>
      <c r="L1404" s="524" t="s">
        <v>6376</v>
      </c>
      <c r="M1404" s="524" t="s">
        <v>6377</v>
      </c>
      <c r="N1404" s="524"/>
      <c r="O1404" s="524"/>
    </row>
    <row r="1405" spans="1:15" ht="58" hidden="1">
      <c r="A1405" s="527">
        <v>2707</v>
      </c>
      <c r="B1405" s="524" t="e">
        <f>VLOOKUP(A1405,'Hours Detail'!$E$17:$H$1048576,4,)</f>
        <v>#N/A</v>
      </c>
      <c r="C1405" s="527" t="s">
        <v>390</v>
      </c>
      <c r="D1405" s="527" t="s">
        <v>4703</v>
      </c>
      <c r="E1405" s="527" t="s">
        <v>1307</v>
      </c>
      <c r="F1405" s="527" t="s">
        <v>1308</v>
      </c>
      <c r="G1405" s="527">
        <v>283</v>
      </c>
      <c r="H1405" s="527" t="s">
        <v>4705</v>
      </c>
      <c r="I1405" s="527" t="s">
        <v>4704</v>
      </c>
      <c r="J1405" s="527" t="s">
        <v>2890</v>
      </c>
      <c r="K1405" s="527" t="s">
        <v>2890</v>
      </c>
      <c r="L1405" s="527" t="s">
        <v>6371</v>
      </c>
      <c r="M1405" s="524"/>
      <c r="N1405" s="524"/>
      <c r="O1405" s="524"/>
    </row>
    <row r="1406" spans="1:15" ht="29" hidden="1">
      <c r="A1406" s="525">
        <v>2708</v>
      </c>
      <c r="B1406" s="524" t="e">
        <f>VLOOKUP(A1406,'Hours Detail'!$E$17:$H$1048576,4,)</f>
        <v>#N/A</v>
      </c>
      <c r="C1406" s="524" t="s">
        <v>3499</v>
      </c>
      <c r="D1406" s="524" t="s">
        <v>3498</v>
      </c>
      <c r="E1406" s="524" t="s">
        <v>3497</v>
      </c>
      <c r="F1406" s="524" t="s">
        <v>3497</v>
      </c>
      <c r="G1406" s="524" t="s">
        <v>3497</v>
      </c>
      <c r="H1406" s="524" t="s">
        <v>3497</v>
      </c>
      <c r="I1406" s="524" t="s">
        <v>3498</v>
      </c>
      <c r="J1406" s="524" t="s">
        <v>3498</v>
      </c>
      <c r="K1406" s="524"/>
      <c r="L1406" s="524" t="s">
        <v>6365</v>
      </c>
      <c r="M1406" s="524" t="s">
        <v>216</v>
      </c>
      <c r="N1406" s="524"/>
      <c r="O1406" s="524"/>
    </row>
    <row r="1407" spans="1:15" ht="43.5" hidden="1">
      <c r="A1407" s="525">
        <v>2709</v>
      </c>
      <c r="B1407" s="524" t="e">
        <f>VLOOKUP(A1407,'Hours Detail'!$E$17:$H$1048576,4,)</f>
        <v>#N/A</v>
      </c>
      <c r="C1407" s="524" t="s">
        <v>3495</v>
      </c>
      <c r="D1407" s="524" t="s">
        <v>3496</v>
      </c>
      <c r="E1407" s="524" t="s">
        <v>3495</v>
      </c>
      <c r="F1407" s="524" t="s">
        <v>3495</v>
      </c>
      <c r="G1407" s="524" t="s">
        <v>3495</v>
      </c>
      <c r="H1407" s="524" t="s">
        <v>3495</v>
      </c>
      <c r="I1407" s="524" t="s">
        <v>3496</v>
      </c>
      <c r="J1407" s="524" t="s">
        <v>3496</v>
      </c>
      <c r="K1407" s="524"/>
      <c r="L1407" s="524" t="s">
        <v>6365</v>
      </c>
      <c r="M1407" s="524" t="s">
        <v>216</v>
      </c>
      <c r="N1407" s="524"/>
      <c r="O1407" s="524"/>
    </row>
    <row r="1408" spans="1:15" ht="43.5" hidden="1">
      <c r="A1408" s="525">
        <v>2711</v>
      </c>
      <c r="B1408" s="524" t="e">
        <f>VLOOKUP(A1408,'Hours Detail'!$E$17:$H$1048576,4,)</f>
        <v>#N/A</v>
      </c>
      <c r="C1408" s="524" t="s">
        <v>3494</v>
      </c>
      <c r="D1408" s="524" t="s">
        <v>3493</v>
      </c>
      <c r="E1408" s="524" t="s">
        <v>3492</v>
      </c>
      <c r="F1408" s="524" t="s">
        <v>3492</v>
      </c>
      <c r="G1408" s="524" t="s">
        <v>3492</v>
      </c>
      <c r="H1408" s="524" t="s">
        <v>3492</v>
      </c>
      <c r="I1408" s="524" t="s">
        <v>3493</v>
      </c>
      <c r="J1408" s="524" t="s">
        <v>3493</v>
      </c>
      <c r="K1408" s="524"/>
      <c r="L1408" s="524" t="s">
        <v>6365</v>
      </c>
      <c r="M1408" s="524" t="s">
        <v>216</v>
      </c>
      <c r="N1408" s="524"/>
      <c r="O1408" s="524"/>
    </row>
    <row r="1409" spans="1:15" ht="43.5" hidden="1">
      <c r="A1409" s="525">
        <v>2713</v>
      </c>
      <c r="B1409" s="524" t="e">
        <f>VLOOKUP(A1409,'Hours Detail'!$E$17:$H$1048576,4,)</f>
        <v>#N/A</v>
      </c>
      <c r="C1409" s="524" t="s">
        <v>3491</v>
      </c>
      <c r="D1409" s="524" t="s">
        <v>3490</v>
      </c>
      <c r="E1409" s="524" t="s">
        <v>3489</v>
      </c>
      <c r="F1409" s="524" t="s">
        <v>3489</v>
      </c>
      <c r="G1409" s="524" t="s">
        <v>3489</v>
      </c>
      <c r="H1409" s="524" t="s">
        <v>3489</v>
      </c>
      <c r="I1409" s="524" t="s">
        <v>3490</v>
      </c>
      <c r="J1409" s="524" t="s">
        <v>3490</v>
      </c>
      <c r="K1409" s="524"/>
      <c r="L1409" s="524" t="s">
        <v>6365</v>
      </c>
      <c r="M1409" s="524" t="s">
        <v>216</v>
      </c>
      <c r="N1409" s="524"/>
      <c r="O1409" s="524"/>
    </row>
    <row r="1410" spans="1:15" ht="43.5" hidden="1">
      <c r="A1410" s="524">
        <v>2811</v>
      </c>
      <c r="B1410" s="524" t="str">
        <f>VLOOKUP(A1410,'Hours Detail'!$E$17:$H$1048576,4,)</f>
        <v>No</v>
      </c>
      <c r="C1410" s="524" t="s">
        <v>5292</v>
      </c>
      <c r="D1410" s="524" t="s">
        <v>5291</v>
      </c>
      <c r="E1410" s="524" t="s">
        <v>5290</v>
      </c>
      <c r="F1410" s="524" t="s">
        <v>5290</v>
      </c>
      <c r="G1410" s="524" t="s">
        <v>5290</v>
      </c>
      <c r="H1410" s="524" t="s">
        <v>5290</v>
      </c>
      <c r="I1410" s="524" t="s">
        <v>7670</v>
      </c>
      <c r="J1410" s="524" t="s">
        <v>5291</v>
      </c>
      <c r="K1410" s="524" t="s">
        <v>6359</v>
      </c>
      <c r="L1410" s="524" t="s">
        <v>6376</v>
      </c>
      <c r="M1410" s="524" t="s">
        <v>6377</v>
      </c>
      <c r="N1410" s="524"/>
      <c r="O1410" s="524"/>
    </row>
    <row r="1411" spans="1:15" ht="188.5" hidden="1">
      <c r="A1411" s="527">
        <v>2811</v>
      </c>
      <c r="B1411" s="524" t="str">
        <f>VLOOKUP(A1411,'Hours Detail'!$E$17:$H$1048576,4,)</f>
        <v>No</v>
      </c>
      <c r="C1411" s="527" t="s">
        <v>5292</v>
      </c>
      <c r="D1411" s="527" t="s">
        <v>1068</v>
      </c>
      <c r="E1411" s="527" t="s">
        <v>5291</v>
      </c>
      <c r="F1411" s="527" t="s">
        <v>5290</v>
      </c>
      <c r="G1411" s="527">
        <v>88</v>
      </c>
      <c r="H1411" s="527" t="s">
        <v>16</v>
      </c>
      <c r="I1411" s="527" t="s">
        <v>1066</v>
      </c>
      <c r="J1411" s="527" t="s">
        <v>2889</v>
      </c>
      <c r="K1411" s="527" t="s">
        <v>2889</v>
      </c>
      <c r="L1411" s="527" t="s">
        <v>7671</v>
      </c>
      <c r="M1411" s="524"/>
      <c r="N1411" s="524"/>
      <c r="O1411" s="524"/>
    </row>
    <row r="1412" spans="1:15" ht="29" hidden="1">
      <c r="A1412" s="525">
        <v>2812</v>
      </c>
      <c r="B1412" s="524" t="e">
        <f>VLOOKUP(A1412,'Hours Detail'!$E$17:$H$1048576,4,)</f>
        <v>#N/A</v>
      </c>
      <c r="C1412" s="524" t="s">
        <v>338</v>
      </c>
      <c r="D1412" s="524" t="s">
        <v>1083</v>
      </c>
      <c r="E1412" s="524" t="s">
        <v>1084</v>
      </c>
      <c r="F1412" s="524" t="s">
        <v>1084</v>
      </c>
      <c r="G1412" s="524" t="s">
        <v>1084</v>
      </c>
      <c r="H1412" s="524" t="s">
        <v>1084</v>
      </c>
      <c r="I1412" s="524" t="s">
        <v>7672</v>
      </c>
      <c r="J1412" s="524" t="s">
        <v>1083</v>
      </c>
      <c r="K1412" s="524"/>
      <c r="L1412" s="524" t="s">
        <v>6376</v>
      </c>
      <c r="M1412" s="524" t="s">
        <v>6377</v>
      </c>
      <c r="N1412" s="524"/>
      <c r="O1412" s="524"/>
    </row>
    <row r="1413" spans="1:15" ht="43.5" hidden="1">
      <c r="A1413" s="527">
        <v>2812</v>
      </c>
      <c r="B1413" s="524" t="e">
        <f>VLOOKUP(A1413,'Hours Detail'!$E$17:$H$1048576,4,)</f>
        <v>#N/A</v>
      </c>
      <c r="C1413" s="527" t="s">
        <v>338</v>
      </c>
      <c r="D1413" s="527" t="s">
        <v>1068</v>
      </c>
      <c r="E1413" s="527" t="s">
        <v>1083</v>
      </c>
      <c r="F1413" s="527" t="s">
        <v>1084</v>
      </c>
      <c r="G1413" s="527">
        <v>88</v>
      </c>
      <c r="H1413" s="527" t="s">
        <v>16</v>
      </c>
      <c r="I1413" s="527" t="s">
        <v>1066</v>
      </c>
      <c r="J1413" s="527" t="s">
        <v>2890</v>
      </c>
      <c r="K1413" s="527" t="s">
        <v>2889</v>
      </c>
      <c r="L1413" s="527" t="s">
        <v>6371</v>
      </c>
      <c r="M1413" s="524"/>
      <c r="N1413" s="524"/>
      <c r="O1413" s="524"/>
    </row>
    <row r="1414" spans="1:15" ht="58" hidden="1">
      <c r="A1414" s="525">
        <v>2815</v>
      </c>
      <c r="B1414" s="524" t="str">
        <f>VLOOKUP(A1414,'Hours Detail'!$E$17:$H$1048576,4,)</f>
        <v>No</v>
      </c>
      <c r="C1414" s="524" t="s">
        <v>2029</v>
      </c>
      <c r="D1414" s="524" t="s">
        <v>4331</v>
      </c>
      <c r="E1414" s="524" t="s">
        <v>4330</v>
      </c>
      <c r="F1414" s="524" t="s">
        <v>4330</v>
      </c>
      <c r="G1414" s="524" t="s">
        <v>4330</v>
      </c>
      <c r="H1414" s="524" t="s">
        <v>4330</v>
      </c>
      <c r="I1414" s="524" t="s">
        <v>7673</v>
      </c>
      <c r="J1414" s="524" t="s">
        <v>4331</v>
      </c>
      <c r="K1414" s="524"/>
      <c r="L1414" s="524" t="s">
        <v>6376</v>
      </c>
      <c r="M1414" s="524" t="s">
        <v>6416</v>
      </c>
      <c r="N1414" s="524"/>
      <c r="O1414" s="524"/>
    </row>
    <row r="1415" spans="1:15" ht="116" hidden="1">
      <c r="A1415" s="527">
        <v>2815</v>
      </c>
      <c r="B1415" s="524" t="str">
        <f>VLOOKUP(A1415,'Hours Detail'!$E$17:$H$1048576,4,)</f>
        <v>No</v>
      </c>
      <c r="C1415" s="527" t="s">
        <v>2029</v>
      </c>
      <c r="D1415" s="527" t="s">
        <v>1096</v>
      </c>
      <c r="E1415" s="527" t="s">
        <v>2877</v>
      </c>
      <c r="F1415" s="527" t="s">
        <v>2882</v>
      </c>
      <c r="G1415" s="527">
        <v>89</v>
      </c>
      <c r="H1415" s="527" t="s">
        <v>282</v>
      </c>
      <c r="I1415" s="527" t="s">
        <v>1094</v>
      </c>
      <c r="J1415" s="527" t="s">
        <v>2889</v>
      </c>
      <c r="K1415" s="527" t="s">
        <v>2889</v>
      </c>
      <c r="L1415" s="527" t="s">
        <v>7674</v>
      </c>
      <c r="M1415" s="524"/>
      <c r="N1415" s="524"/>
      <c r="O1415" s="524"/>
    </row>
    <row r="1416" spans="1:15" ht="58" hidden="1">
      <c r="A1416" s="525">
        <v>3001</v>
      </c>
      <c r="B1416" s="524" t="e">
        <f>VLOOKUP(A1416,'Hours Detail'!$E$17:$H$1048576,4,)</f>
        <v>#N/A</v>
      </c>
      <c r="C1416" s="524" t="s">
        <v>1205</v>
      </c>
      <c r="D1416" s="524" t="s">
        <v>1206</v>
      </c>
      <c r="E1416" s="524" t="s">
        <v>1207</v>
      </c>
      <c r="F1416" s="524" t="s">
        <v>1207</v>
      </c>
      <c r="G1416" s="524" t="s">
        <v>1207</v>
      </c>
      <c r="H1416" s="524" t="s">
        <v>1207</v>
      </c>
      <c r="I1416" s="524" t="s">
        <v>7675</v>
      </c>
      <c r="J1416" s="524" t="s">
        <v>1206</v>
      </c>
      <c r="K1416" s="524" t="s">
        <v>6359</v>
      </c>
      <c r="L1416" s="524" t="s">
        <v>6386</v>
      </c>
      <c r="M1416" s="524" t="s">
        <v>6387</v>
      </c>
      <c r="N1416" s="524"/>
      <c r="O1416" s="524"/>
    </row>
    <row r="1417" spans="1:15" ht="159.5" hidden="1">
      <c r="A1417" s="527">
        <v>3001</v>
      </c>
      <c r="B1417" s="524" t="e">
        <f>VLOOKUP(A1417,'Hours Detail'!$E$17:$H$1048576,4,)</f>
        <v>#N/A</v>
      </c>
      <c r="C1417" s="527" t="s">
        <v>1205</v>
      </c>
      <c r="D1417" s="527" t="s">
        <v>4703</v>
      </c>
      <c r="E1417" s="527" t="s">
        <v>1206</v>
      </c>
      <c r="F1417" s="527" t="s">
        <v>1207</v>
      </c>
      <c r="G1417" s="527">
        <v>283</v>
      </c>
      <c r="H1417" s="527" t="s">
        <v>4705</v>
      </c>
      <c r="I1417" s="527" t="s">
        <v>4704</v>
      </c>
      <c r="J1417" s="527" t="s">
        <v>2890</v>
      </c>
      <c r="K1417" s="527" t="s">
        <v>2889</v>
      </c>
      <c r="L1417" s="527" t="s">
        <v>7676</v>
      </c>
      <c r="M1417" s="524"/>
      <c r="N1417" s="524"/>
      <c r="O1417" s="524"/>
    </row>
    <row r="1418" spans="1:15" ht="29" hidden="1">
      <c r="A1418" s="525">
        <v>3002</v>
      </c>
      <c r="B1418" s="524" t="e">
        <f>VLOOKUP(A1418,'Hours Detail'!$E$17:$H$1048576,4,)</f>
        <v>#N/A</v>
      </c>
      <c r="C1418" s="524" t="s">
        <v>3948</v>
      </c>
      <c r="D1418" s="524" t="s">
        <v>3947</v>
      </c>
      <c r="E1418" s="524" t="s">
        <v>3946</v>
      </c>
      <c r="F1418" s="524" t="s">
        <v>3946</v>
      </c>
      <c r="G1418" s="524" t="s">
        <v>3946</v>
      </c>
      <c r="H1418" s="524" t="s">
        <v>3946</v>
      </c>
      <c r="I1418" s="524" t="s">
        <v>7677</v>
      </c>
      <c r="J1418" s="524" t="s">
        <v>3947</v>
      </c>
      <c r="K1418" s="524"/>
      <c r="L1418" s="524" t="s">
        <v>6386</v>
      </c>
      <c r="M1418" s="524" t="s">
        <v>6387</v>
      </c>
      <c r="N1418" s="524"/>
      <c r="O1418" s="524"/>
    </row>
    <row r="1419" spans="1:15" ht="43.5" hidden="1">
      <c r="A1419" s="525">
        <v>3003</v>
      </c>
      <c r="B1419" s="524" t="e">
        <f>VLOOKUP(A1419,'Hours Detail'!$E$17:$H$1048576,4,)</f>
        <v>#N/A</v>
      </c>
      <c r="C1419" s="524" t="s">
        <v>838</v>
      </c>
      <c r="D1419" s="524" t="s">
        <v>839</v>
      </c>
      <c r="E1419" s="524" t="s">
        <v>840</v>
      </c>
      <c r="F1419" s="524" t="s">
        <v>840</v>
      </c>
      <c r="G1419" s="524" t="s">
        <v>840</v>
      </c>
      <c r="H1419" s="524" t="s">
        <v>840</v>
      </c>
      <c r="I1419" s="524" t="s">
        <v>7678</v>
      </c>
      <c r="J1419" s="524" t="s">
        <v>839</v>
      </c>
      <c r="K1419" s="524" t="s">
        <v>6359</v>
      </c>
      <c r="L1419" s="524" t="s">
        <v>6400</v>
      </c>
      <c r="M1419" s="524" t="s">
        <v>6401</v>
      </c>
      <c r="N1419" s="524"/>
      <c r="O1419" s="524"/>
    </row>
    <row r="1420" spans="1:15" ht="87" hidden="1">
      <c r="A1420" s="527">
        <v>3003</v>
      </c>
      <c r="B1420" s="524" t="e">
        <f>VLOOKUP(A1420,'Hours Detail'!$E$17:$H$1048576,4,)</f>
        <v>#N/A</v>
      </c>
      <c r="C1420" s="527" t="s">
        <v>838</v>
      </c>
      <c r="D1420" s="527" t="s">
        <v>2785</v>
      </c>
      <c r="E1420" s="527" t="s">
        <v>839</v>
      </c>
      <c r="F1420" s="527" t="s">
        <v>840</v>
      </c>
      <c r="G1420" s="527">
        <v>22</v>
      </c>
      <c r="H1420" s="527" t="s">
        <v>2783</v>
      </c>
      <c r="I1420" s="527" t="s">
        <v>2784</v>
      </c>
      <c r="J1420" s="527" t="s">
        <v>2890</v>
      </c>
      <c r="K1420" s="527" t="s">
        <v>2890</v>
      </c>
      <c r="L1420" s="527" t="s">
        <v>7679</v>
      </c>
      <c r="M1420" s="524"/>
      <c r="N1420" s="524"/>
      <c r="O1420" s="524"/>
    </row>
    <row r="1421" spans="1:15" ht="58" hidden="1">
      <c r="A1421" s="525">
        <v>3004</v>
      </c>
      <c r="B1421" s="524" t="str">
        <f>VLOOKUP(A1421,'Hours Detail'!$E$17:$H$1048576,4,)</f>
        <v>No</v>
      </c>
      <c r="C1421" s="524" t="s">
        <v>76</v>
      </c>
      <c r="D1421" s="524" t="s">
        <v>1148</v>
      </c>
      <c r="E1421" s="524" t="s">
        <v>1149</v>
      </c>
      <c r="F1421" s="524" t="s">
        <v>7680</v>
      </c>
      <c r="G1421" s="524" t="s">
        <v>7681</v>
      </c>
      <c r="H1421" s="524" t="s">
        <v>7682</v>
      </c>
      <c r="I1421" s="524" t="s">
        <v>7683</v>
      </c>
      <c r="J1421" s="524" t="s">
        <v>7684</v>
      </c>
      <c r="K1421" s="524"/>
      <c r="L1421" s="524" t="s">
        <v>6399</v>
      </c>
      <c r="M1421" s="524" t="s">
        <v>6509</v>
      </c>
      <c r="N1421" s="524" t="s">
        <v>7685</v>
      </c>
      <c r="O1421" s="524"/>
    </row>
    <row r="1422" spans="1:15" ht="174" hidden="1">
      <c r="A1422" s="527">
        <v>3004</v>
      </c>
      <c r="B1422" s="524" t="str">
        <f>VLOOKUP(A1422,'Hours Detail'!$E$17:$H$1048576,4,)</f>
        <v>No</v>
      </c>
      <c r="C1422" s="527" t="s">
        <v>76</v>
      </c>
      <c r="D1422" s="527" t="s">
        <v>2307</v>
      </c>
      <c r="E1422" s="527" t="s">
        <v>1148</v>
      </c>
      <c r="F1422" s="527" t="s">
        <v>1149</v>
      </c>
      <c r="G1422" s="527">
        <v>102</v>
      </c>
      <c r="H1422" s="527" t="s">
        <v>21</v>
      </c>
      <c r="I1422" s="527" t="s">
        <v>1145</v>
      </c>
      <c r="J1422" s="527" t="s">
        <v>2889</v>
      </c>
      <c r="K1422" s="527" t="s">
        <v>2889</v>
      </c>
      <c r="L1422" s="527" t="s">
        <v>7686</v>
      </c>
      <c r="M1422" s="524"/>
      <c r="N1422" s="524"/>
      <c r="O1422" s="524"/>
    </row>
    <row r="1423" spans="1:15" ht="29" hidden="1">
      <c r="A1423" s="524">
        <v>3005</v>
      </c>
      <c r="B1423" s="524" t="e">
        <f>VLOOKUP(A1423,'Hours Detail'!$E$17:$H$1048576,4,)</f>
        <v>#N/A</v>
      </c>
      <c r="C1423" s="524" t="s">
        <v>4863</v>
      </c>
      <c r="D1423" s="524" t="s">
        <v>4862</v>
      </c>
      <c r="E1423" s="524" t="s">
        <v>4861</v>
      </c>
      <c r="F1423" s="524" t="s">
        <v>4861</v>
      </c>
      <c r="G1423" s="524" t="s">
        <v>4861</v>
      </c>
      <c r="H1423" s="524" t="s">
        <v>4861</v>
      </c>
      <c r="I1423" s="524" t="s">
        <v>7687</v>
      </c>
      <c r="J1423" s="524" t="s">
        <v>4862</v>
      </c>
      <c r="K1423" s="524"/>
      <c r="L1423" s="524" t="s">
        <v>6400</v>
      </c>
      <c r="M1423" s="524" t="s">
        <v>6401</v>
      </c>
      <c r="N1423" s="524"/>
      <c r="O1423" s="524"/>
    </row>
    <row r="1424" spans="1:15" ht="72.5" hidden="1">
      <c r="A1424" s="525">
        <v>3006</v>
      </c>
      <c r="B1424" s="524" t="str">
        <f>VLOOKUP(A1424,'Hours Detail'!$E$17:$H$1048576,4,)</f>
        <v>No</v>
      </c>
      <c r="C1424" s="524" t="s">
        <v>4312</v>
      </c>
      <c r="D1424" s="524" t="s">
        <v>1150</v>
      </c>
      <c r="E1424" s="524" t="s">
        <v>4311</v>
      </c>
      <c r="F1424" s="524" t="s">
        <v>4311</v>
      </c>
      <c r="G1424" s="524" t="s">
        <v>4311</v>
      </c>
      <c r="H1424" s="524" t="s">
        <v>4311</v>
      </c>
      <c r="I1424" s="524" t="s">
        <v>7688</v>
      </c>
      <c r="J1424" s="524" t="s">
        <v>7689</v>
      </c>
      <c r="K1424" s="524" t="s">
        <v>6359</v>
      </c>
      <c r="L1424" s="524" t="s">
        <v>6399</v>
      </c>
      <c r="M1424" s="524" t="s">
        <v>6509</v>
      </c>
      <c r="N1424" s="524" t="s">
        <v>7690</v>
      </c>
      <c r="O1424" s="524"/>
    </row>
    <row r="1425" spans="1:15" ht="159.5" hidden="1">
      <c r="A1425" s="527">
        <v>3006</v>
      </c>
      <c r="B1425" s="524" t="str">
        <f>VLOOKUP(A1425,'Hours Detail'!$E$17:$H$1048576,4,)</f>
        <v>No</v>
      </c>
      <c r="C1425" s="527" t="s">
        <v>311</v>
      </c>
      <c r="D1425" s="527" t="s">
        <v>2307</v>
      </c>
      <c r="E1425" s="527" t="s">
        <v>1150</v>
      </c>
      <c r="F1425" s="527" t="s">
        <v>1151</v>
      </c>
      <c r="G1425" s="527">
        <v>102</v>
      </c>
      <c r="H1425" s="527" t="s">
        <v>21</v>
      </c>
      <c r="I1425" s="527" t="s">
        <v>1145</v>
      </c>
      <c r="J1425" s="527" t="s">
        <v>2889</v>
      </c>
      <c r="K1425" s="527" t="s">
        <v>2889</v>
      </c>
      <c r="L1425" s="527" t="s">
        <v>7691</v>
      </c>
      <c r="M1425" s="524"/>
      <c r="N1425" s="524"/>
      <c r="O1425" s="524"/>
    </row>
    <row r="1426" spans="1:15" hidden="1">
      <c r="A1426" s="525">
        <v>3007</v>
      </c>
      <c r="B1426" s="524" t="e">
        <f>VLOOKUP(A1426,'Hours Detail'!$E$17:$H$1048576,4,)</f>
        <v>#N/A</v>
      </c>
      <c r="C1426" s="524" t="s">
        <v>4326</v>
      </c>
      <c r="D1426" s="524" t="s">
        <v>4325</v>
      </c>
      <c r="E1426" s="524" t="s">
        <v>4324</v>
      </c>
      <c r="F1426" s="524" t="s">
        <v>4324</v>
      </c>
      <c r="G1426" s="524" t="s">
        <v>4324</v>
      </c>
      <c r="H1426" s="524" t="s">
        <v>4324</v>
      </c>
      <c r="I1426" s="524" t="s">
        <v>7692</v>
      </c>
      <c r="J1426" s="524" t="s">
        <v>4325</v>
      </c>
      <c r="K1426" s="524"/>
      <c r="L1426" s="524" t="s">
        <v>6400</v>
      </c>
      <c r="M1426" s="524" t="s">
        <v>6401</v>
      </c>
      <c r="N1426" s="524"/>
      <c r="O1426" s="524"/>
    </row>
    <row r="1427" spans="1:15" ht="72.5" hidden="1">
      <c r="A1427" s="525">
        <v>3008</v>
      </c>
      <c r="B1427" s="524" t="e">
        <f>VLOOKUP(A1427,'Hours Detail'!$E$17:$H$1048576,4,)</f>
        <v>#N/A</v>
      </c>
      <c r="C1427" s="524" t="s">
        <v>4245</v>
      </c>
      <c r="D1427" s="524" t="s">
        <v>4244</v>
      </c>
      <c r="E1427" s="524" t="s">
        <v>7693</v>
      </c>
      <c r="F1427" s="524" t="s">
        <v>7694</v>
      </c>
      <c r="G1427" s="524" t="s">
        <v>7695</v>
      </c>
      <c r="H1427" s="524" t="s">
        <v>7696</v>
      </c>
      <c r="I1427" s="524" t="s">
        <v>7697</v>
      </c>
      <c r="J1427" s="524" t="s">
        <v>4244</v>
      </c>
      <c r="K1427" s="524" t="s">
        <v>6359</v>
      </c>
      <c r="L1427" s="524" t="s">
        <v>6399</v>
      </c>
      <c r="M1427" s="524" t="s">
        <v>6509</v>
      </c>
      <c r="N1427" s="524"/>
      <c r="O1427" s="524"/>
    </row>
    <row r="1428" spans="1:15" ht="217.5" hidden="1">
      <c r="A1428" s="525">
        <v>3009</v>
      </c>
      <c r="B1428" s="524" t="str">
        <f>VLOOKUP(A1428,'Hours Detail'!$E$17:$H$1048576,4,)</f>
        <v>No</v>
      </c>
      <c r="C1428" s="524" t="s">
        <v>179</v>
      </c>
      <c r="D1428" s="524" t="s">
        <v>7699</v>
      </c>
      <c r="E1428" s="524" t="s">
        <v>538</v>
      </c>
      <c r="F1428" s="524" t="s">
        <v>538</v>
      </c>
      <c r="G1428" s="524" t="s">
        <v>538</v>
      </c>
      <c r="H1428" s="524" t="s">
        <v>538</v>
      </c>
      <c r="I1428" s="524" t="s">
        <v>7698</v>
      </c>
      <c r="J1428" s="524" t="s">
        <v>7699</v>
      </c>
      <c r="K1428" s="524" t="s">
        <v>6359</v>
      </c>
      <c r="L1428" s="524" t="s">
        <v>6381</v>
      </c>
      <c r="M1428" s="524" t="s">
        <v>442</v>
      </c>
      <c r="N1428" s="524" t="s">
        <v>7700</v>
      </c>
      <c r="O1428" s="524"/>
    </row>
    <row r="1429" spans="1:15" ht="188.5" hidden="1">
      <c r="A1429" s="527">
        <v>3009</v>
      </c>
      <c r="B1429" s="524" t="str">
        <f>VLOOKUP(A1429,'Hours Detail'!$E$17:$H$1048576,4,)</f>
        <v>No</v>
      </c>
      <c r="C1429" s="527" t="s">
        <v>179</v>
      </c>
      <c r="D1429" s="527" t="s">
        <v>2170</v>
      </c>
      <c r="E1429" s="527" t="s">
        <v>537</v>
      </c>
      <c r="F1429" s="527" t="s">
        <v>538</v>
      </c>
      <c r="G1429" s="527">
        <v>5</v>
      </c>
      <c r="H1429" s="527" t="s">
        <v>177</v>
      </c>
      <c r="I1429" s="527" t="s">
        <v>2310</v>
      </c>
      <c r="J1429" s="527" t="s">
        <v>2889</v>
      </c>
      <c r="K1429" s="527" t="s">
        <v>2889</v>
      </c>
      <c r="L1429" s="527" t="s">
        <v>7701</v>
      </c>
      <c r="M1429" s="524"/>
      <c r="N1429" s="524"/>
      <c r="O1429" s="524"/>
    </row>
    <row r="1430" spans="1:15" ht="29" hidden="1">
      <c r="A1430" s="525">
        <v>3010</v>
      </c>
      <c r="B1430" s="524" t="str">
        <f>VLOOKUP(A1430,'Hours Detail'!$E$17:$H$1048576,4,)</f>
        <v>No</v>
      </c>
      <c r="C1430" s="524" t="s">
        <v>279</v>
      </c>
      <c r="D1430" s="524" t="s">
        <v>1079</v>
      </c>
      <c r="E1430" s="524" t="s">
        <v>1080</v>
      </c>
      <c r="F1430" s="524" t="s">
        <v>1080</v>
      </c>
      <c r="G1430" s="524" t="s">
        <v>1080</v>
      </c>
      <c r="H1430" s="524" t="s">
        <v>1080</v>
      </c>
      <c r="I1430" s="524" t="s">
        <v>7702</v>
      </c>
      <c r="J1430" s="524" t="s">
        <v>1079</v>
      </c>
      <c r="K1430" s="524" t="s">
        <v>6359</v>
      </c>
      <c r="L1430" s="524" t="s">
        <v>6414</v>
      </c>
      <c r="M1430" s="524" t="s">
        <v>6415</v>
      </c>
      <c r="N1430" s="524"/>
      <c r="O1430" s="524"/>
    </row>
    <row r="1431" spans="1:15" ht="101.5" hidden="1">
      <c r="A1431" s="527">
        <v>3010</v>
      </c>
      <c r="B1431" s="524" t="str">
        <f>VLOOKUP(A1431,'Hours Detail'!$E$17:$H$1048576,4,)</f>
        <v>No</v>
      </c>
      <c r="C1431" s="527" t="s">
        <v>279</v>
      </c>
      <c r="D1431" s="527" t="s">
        <v>1068</v>
      </c>
      <c r="E1431" s="527" t="s">
        <v>1079</v>
      </c>
      <c r="F1431" s="527" t="s">
        <v>1080</v>
      </c>
      <c r="G1431" s="527">
        <v>88</v>
      </c>
      <c r="H1431" s="527" t="s">
        <v>16</v>
      </c>
      <c r="I1431" s="527" t="s">
        <v>1066</v>
      </c>
      <c r="J1431" s="527" t="s">
        <v>2889</v>
      </c>
      <c r="K1431" s="527" t="s">
        <v>2889</v>
      </c>
      <c r="L1431" s="527" t="s">
        <v>7703</v>
      </c>
      <c r="M1431" s="524"/>
      <c r="N1431" s="524"/>
      <c r="O1431" s="524"/>
    </row>
    <row r="1432" spans="1:15" ht="130.5" hidden="1">
      <c r="A1432" s="525">
        <v>3011</v>
      </c>
      <c r="B1432" s="524" t="e">
        <f>VLOOKUP(A1432,'Hours Detail'!$E$17:$H$1048576,4,)</f>
        <v>#N/A</v>
      </c>
      <c r="C1432" s="524" t="s">
        <v>989</v>
      </c>
      <c r="D1432" s="524" t="s">
        <v>3988</v>
      </c>
      <c r="E1432" s="524" t="s">
        <v>991</v>
      </c>
      <c r="F1432" s="524" t="s">
        <v>991</v>
      </c>
      <c r="G1432" s="524" t="s">
        <v>991</v>
      </c>
      <c r="H1432" s="524" t="s">
        <v>991</v>
      </c>
      <c r="I1432" s="524" t="s">
        <v>7704</v>
      </c>
      <c r="J1432" s="524" t="s">
        <v>7705</v>
      </c>
      <c r="K1432" s="524"/>
      <c r="L1432" s="524" t="s">
        <v>6399</v>
      </c>
      <c r="M1432" s="524" t="s">
        <v>6613</v>
      </c>
      <c r="N1432" s="524" t="s">
        <v>7706</v>
      </c>
      <c r="O1432" s="524"/>
    </row>
    <row r="1433" spans="1:15" ht="130.5" hidden="1">
      <c r="A1433" s="527">
        <v>3011</v>
      </c>
      <c r="B1433" s="524" t="e">
        <f>VLOOKUP(A1433,'Hours Detail'!$E$17:$H$1048576,4,)</f>
        <v>#N/A</v>
      </c>
      <c r="C1433" s="527" t="s">
        <v>989</v>
      </c>
      <c r="D1433" s="527" t="s">
        <v>245</v>
      </c>
      <c r="E1433" s="527" t="s">
        <v>1870</v>
      </c>
      <c r="F1433" s="527" t="s">
        <v>991</v>
      </c>
      <c r="G1433" s="527">
        <v>31</v>
      </c>
      <c r="H1433" s="527" t="s">
        <v>245</v>
      </c>
      <c r="I1433" s="527" t="s">
        <v>990</v>
      </c>
      <c r="J1433" s="527" t="s">
        <v>2890</v>
      </c>
      <c r="K1433" s="527" t="s">
        <v>2890</v>
      </c>
      <c r="L1433" s="527" t="s">
        <v>7707</v>
      </c>
      <c r="M1433" s="524"/>
      <c r="N1433" s="524"/>
      <c r="O1433" s="524"/>
    </row>
    <row r="1434" spans="1:15" ht="29" hidden="1">
      <c r="A1434" s="525">
        <v>3013</v>
      </c>
      <c r="B1434" s="524" t="str">
        <f>VLOOKUP(A1434,'Hours Detail'!$E$17:$H$1048576,4,)</f>
        <v>No</v>
      </c>
      <c r="C1434" s="524" t="s">
        <v>74</v>
      </c>
      <c r="D1434" s="524" t="s">
        <v>581</v>
      </c>
      <c r="E1434" s="524" t="s">
        <v>582</v>
      </c>
      <c r="F1434" s="524" t="s">
        <v>582</v>
      </c>
      <c r="G1434" s="524" t="s">
        <v>582</v>
      </c>
      <c r="H1434" s="524" t="s">
        <v>582</v>
      </c>
      <c r="I1434" s="524" t="s">
        <v>7708</v>
      </c>
      <c r="J1434" s="524" t="s">
        <v>7709</v>
      </c>
      <c r="K1434" s="524"/>
      <c r="L1434" s="524" t="s">
        <v>6399</v>
      </c>
      <c r="M1434" s="524" t="s">
        <v>6437</v>
      </c>
      <c r="N1434" s="524"/>
      <c r="O1434" s="524"/>
    </row>
    <row r="1435" spans="1:15" ht="72.5" hidden="1">
      <c r="A1435" s="527">
        <v>3013</v>
      </c>
      <c r="B1435" s="524" t="str">
        <f>VLOOKUP(A1435,'Hours Detail'!$E$17:$H$1048576,4,)</f>
        <v>No</v>
      </c>
      <c r="C1435" s="527" t="s">
        <v>74</v>
      </c>
      <c r="D1435" s="527" t="s">
        <v>2312</v>
      </c>
      <c r="E1435" s="527" t="s">
        <v>581</v>
      </c>
      <c r="F1435" s="527" t="s">
        <v>582</v>
      </c>
      <c r="G1435" s="527">
        <v>6</v>
      </c>
      <c r="H1435" s="527" t="s">
        <v>58</v>
      </c>
      <c r="I1435" s="527" t="s">
        <v>2311</v>
      </c>
      <c r="J1435" s="527" t="s">
        <v>2889</v>
      </c>
      <c r="K1435" s="527" t="s">
        <v>2890</v>
      </c>
      <c r="L1435" s="527" t="s">
        <v>7710</v>
      </c>
      <c r="M1435" s="524"/>
      <c r="N1435" s="524"/>
      <c r="O1435" s="524"/>
    </row>
    <row r="1436" spans="1:15" ht="43.5" hidden="1">
      <c r="A1436" s="525">
        <v>3014</v>
      </c>
      <c r="B1436" s="524" t="e">
        <f>VLOOKUP(A1436,'Hours Detail'!$E$17:$H$1048576,4,)</f>
        <v>#N/A</v>
      </c>
      <c r="C1436" s="524" t="s">
        <v>1380</v>
      </c>
      <c r="D1436" s="524" t="s">
        <v>1381</v>
      </c>
      <c r="E1436" s="524" t="s">
        <v>1382</v>
      </c>
      <c r="F1436" s="524" t="s">
        <v>1382</v>
      </c>
      <c r="G1436" s="524" t="s">
        <v>1382</v>
      </c>
      <c r="H1436" s="524" t="s">
        <v>1382</v>
      </c>
      <c r="I1436" s="524" t="s">
        <v>7711</v>
      </c>
      <c r="J1436" s="524" t="s">
        <v>1381</v>
      </c>
      <c r="K1436" s="524"/>
      <c r="L1436" s="524" t="s">
        <v>6399</v>
      </c>
      <c r="M1436" s="524" t="s">
        <v>6437</v>
      </c>
      <c r="N1436" s="524"/>
      <c r="O1436" s="524"/>
    </row>
    <row r="1437" spans="1:15" ht="87" hidden="1">
      <c r="A1437" s="527">
        <v>3014</v>
      </c>
      <c r="B1437" s="524" t="e">
        <f>VLOOKUP(A1437,'Hours Detail'!$E$17:$H$1048576,4,)</f>
        <v>#N/A</v>
      </c>
      <c r="C1437" s="527" t="s">
        <v>1380</v>
      </c>
      <c r="D1437" s="527" t="s">
        <v>4703</v>
      </c>
      <c r="E1437" s="527" t="s">
        <v>1381</v>
      </c>
      <c r="F1437" s="527" t="s">
        <v>1382</v>
      </c>
      <c r="G1437" s="527">
        <v>283</v>
      </c>
      <c r="H1437" s="527" t="s">
        <v>4705</v>
      </c>
      <c r="I1437" s="527" t="s">
        <v>4704</v>
      </c>
      <c r="J1437" s="527" t="s">
        <v>2890</v>
      </c>
      <c r="K1437" s="527" t="s">
        <v>2890</v>
      </c>
      <c r="L1437" s="527" t="s">
        <v>7712</v>
      </c>
      <c r="M1437" s="524"/>
      <c r="N1437" s="524"/>
      <c r="O1437" s="524"/>
    </row>
    <row r="1438" spans="1:15" ht="29" hidden="1">
      <c r="A1438" s="525">
        <v>3015</v>
      </c>
      <c r="B1438" s="524" t="e">
        <f>VLOOKUP(A1438,'Hours Detail'!$E$17:$H$1048576,4,)</f>
        <v>#N/A</v>
      </c>
      <c r="C1438" s="524" t="s">
        <v>4304</v>
      </c>
      <c r="D1438" s="524" t="s">
        <v>4303</v>
      </c>
      <c r="E1438" s="524" t="s">
        <v>4302</v>
      </c>
      <c r="F1438" s="524" t="s">
        <v>4302</v>
      </c>
      <c r="G1438" s="524" t="s">
        <v>4302</v>
      </c>
      <c r="H1438" s="524" t="s">
        <v>4302</v>
      </c>
      <c r="I1438" s="524" t="s">
        <v>7713</v>
      </c>
      <c r="J1438" s="524" t="s">
        <v>4303</v>
      </c>
      <c r="K1438" s="524"/>
      <c r="L1438" s="524" t="s">
        <v>6397</v>
      </c>
      <c r="M1438" s="524" t="s">
        <v>6421</v>
      </c>
      <c r="N1438" s="524"/>
      <c r="O1438" s="524"/>
    </row>
    <row r="1439" spans="1:15" ht="58" hidden="1">
      <c r="A1439" s="525">
        <v>3016</v>
      </c>
      <c r="B1439" s="524" t="e">
        <f>VLOOKUP(A1439,'Hours Detail'!$E$17:$H$1048576,4,)</f>
        <v>#N/A</v>
      </c>
      <c r="C1439" s="524" t="s">
        <v>229</v>
      </c>
      <c r="D1439" s="524" t="s">
        <v>805</v>
      </c>
      <c r="E1439" s="524" t="s">
        <v>806</v>
      </c>
      <c r="F1439" s="524" t="s">
        <v>7714</v>
      </c>
      <c r="G1439" s="524" t="s">
        <v>806</v>
      </c>
      <c r="H1439" s="524" t="s">
        <v>806</v>
      </c>
      <c r="I1439" s="524" t="s">
        <v>7715</v>
      </c>
      <c r="J1439" s="524" t="s">
        <v>805</v>
      </c>
      <c r="K1439" s="524" t="s">
        <v>6359</v>
      </c>
      <c r="L1439" s="524" t="s">
        <v>6399</v>
      </c>
      <c r="M1439" s="524" t="s">
        <v>6437</v>
      </c>
      <c r="N1439" s="524"/>
      <c r="O1439" s="524"/>
    </row>
    <row r="1440" spans="1:15" ht="87" hidden="1">
      <c r="A1440" s="527">
        <v>3016</v>
      </c>
      <c r="B1440" s="524" t="e">
        <f>VLOOKUP(A1440,'Hours Detail'!$E$17:$H$1048576,4,)</f>
        <v>#N/A</v>
      </c>
      <c r="C1440" s="527" t="s">
        <v>229</v>
      </c>
      <c r="D1440" s="527" t="s">
        <v>797</v>
      </c>
      <c r="E1440" s="527" t="s">
        <v>805</v>
      </c>
      <c r="F1440" s="527" t="s">
        <v>806</v>
      </c>
      <c r="G1440" s="527">
        <v>16</v>
      </c>
      <c r="H1440" s="527" t="s">
        <v>3</v>
      </c>
      <c r="I1440" s="527" t="s">
        <v>795</v>
      </c>
      <c r="J1440" s="527" t="s">
        <v>2890</v>
      </c>
      <c r="K1440" s="527" t="s">
        <v>2889</v>
      </c>
      <c r="L1440" s="527" t="s">
        <v>7716</v>
      </c>
      <c r="M1440" s="524"/>
      <c r="N1440" s="524"/>
      <c r="O1440" s="524"/>
    </row>
    <row r="1441" spans="1:15" ht="43.5" hidden="1">
      <c r="A1441" s="525">
        <v>3020</v>
      </c>
      <c r="B1441" s="524" t="str">
        <f>VLOOKUP(A1441,'Hours Detail'!$E$17:$H$1048576,4,)</f>
        <v>No</v>
      </c>
      <c r="C1441" s="524" t="s">
        <v>107</v>
      </c>
      <c r="D1441" s="524" t="s">
        <v>983</v>
      </c>
      <c r="E1441" s="524" t="s">
        <v>985</v>
      </c>
      <c r="F1441" s="524" t="s">
        <v>985</v>
      </c>
      <c r="G1441" s="524" t="s">
        <v>985</v>
      </c>
      <c r="H1441" s="524" t="s">
        <v>985</v>
      </c>
      <c r="I1441" s="524" t="s">
        <v>7717</v>
      </c>
      <c r="J1441" s="524" t="s">
        <v>983</v>
      </c>
      <c r="K1441" s="524"/>
      <c r="L1441" s="524" t="s">
        <v>6386</v>
      </c>
      <c r="M1441" s="524" t="s">
        <v>6488</v>
      </c>
      <c r="N1441" s="524" t="s">
        <v>7718</v>
      </c>
      <c r="O1441" s="524"/>
    </row>
    <row r="1442" spans="1:15" ht="72.5" hidden="1">
      <c r="A1442" s="527">
        <v>3020</v>
      </c>
      <c r="B1442" s="524" t="str">
        <f>VLOOKUP(A1442,'Hours Detail'!$E$17:$H$1048576,4,)</f>
        <v>No</v>
      </c>
      <c r="C1442" s="527" t="s">
        <v>107</v>
      </c>
      <c r="D1442" s="527" t="s">
        <v>986</v>
      </c>
      <c r="E1442" s="527" t="s">
        <v>983</v>
      </c>
      <c r="F1442" s="527" t="s">
        <v>985</v>
      </c>
      <c r="G1442" s="527">
        <v>29</v>
      </c>
      <c r="H1442" s="527" t="s">
        <v>14</v>
      </c>
      <c r="I1442" s="527" t="s">
        <v>984</v>
      </c>
      <c r="J1442" s="527" t="s">
        <v>2889</v>
      </c>
      <c r="K1442" s="527" t="s">
        <v>2890</v>
      </c>
      <c r="L1442" s="527" t="s">
        <v>7719</v>
      </c>
      <c r="M1442" s="524"/>
      <c r="N1442" s="524"/>
      <c r="O1442" s="524"/>
    </row>
    <row r="1443" spans="1:15" ht="58" hidden="1">
      <c r="A1443" s="525">
        <v>3030</v>
      </c>
      <c r="B1443" s="524" t="str">
        <f>VLOOKUP(A1443,'Hours Detail'!$E$17:$H$1048576,4,)</f>
        <v>No</v>
      </c>
      <c r="C1443" s="524" t="s">
        <v>422</v>
      </c>
      <c r="D1443" s="524" t="s">
        <v>1515</v>
      </c>
      <c r="E1443" s="524" t="s">
        <v>1516</v>
      </c>
      <c r="F1443" s="524" t="s">
        <v>1516</v>
      </c>
      <c r="G1443" s="524" t="s">
        <v>1516</v>
      </c>
      <c r="H1443" s="524" t="s">
        <v>1516</v>
      </c>
      <c r="I1443" s="524" t="s">
        <v>7720</v>
      </c>
      <c r="J1443" s="524" t="s">
        <v>1515</v>
      </c>
      <c r="K1443" s="524" t="s">
        <v>6359</v>
      </c>
      <c r="L1443" s="524" t="s">
        <v>6379</v>
      </c>
      <c r="M1443" s="524" t="s">
        <v>6979</v>
      </c>
      <c r="N1443" s="524" t="s">
        <v>7721</v>
      </c>
      <c r="O1443" s="524"/>
    </row>
    <row r="1444" spans="1:15" ht="159.5" hidden="1">
      <c r="A1444" s="527">
        <v>3030</v>
      </c>
      <c r="B1444" s="524" t="str">
        <f>VLOOKUP(A1444,'Hours Detail'!$E$17:$H$1048576,4,)</f>
        <v>No</v>
      </c>
      <c r="C1444" s="527" t="s">
        <v>422</v>
      </c>
      <c r="D1444" s="527" t="s">
        <v>387</v>
      </c>
      <c r="E1444" s="527" t="s">
        <v>1515</v>
      </c>
      <c r="F1444" s="527" t="s">
        <v>1516</v>
      </c>
      <c r="G1444" s="527">
        <v>451</v>
      </c>
      <c r="H1444" s="527" t="s">
        <v>387</v>
      </c>
      <c r="I1444" s="527" t="s">
        <v>2324</v>
      </c>
      <c r="J1444" s="527" t="s">
        <v>2889</v>
      </c>
      <c r="K1444" s="527" t="s">
        <v>2889</v>
      </c>
      <c r="L1444" s="527" t="s">
        <v>7722</v>
      </c>
      <c r="M1444" s="524"/>
      <c r="N1444" s="524"/>
      <c r="O1444" s="524"/>
    </row>
    <row r="1445" spans="1:15" ht="72.5" hidden="1">
      <c r="A1445" s="525">
        <v>3031</v>
      </c>
      <c r="B1445" s="524" t="e">
        <f>VLOOKUP(A1445,'Hours Detail'!$E$17:$H$1048576,4,)</f>
        <v>#N/A</v>
      </c>
      <c r="C1445" s="524" t="s">
        <v>3645</v>
      </c>
      <c r="D1445" s="524" t="s">
        <v>3644</v>
      </c>
      <c r="E1445" s="524" t="s">
        <v>3643</v>
      </c>
      <c r="F1445" s="524" t="s">
        <v>3643</v>
      </c>
      <c r="G1445" s="524" t="s">
        <v>3643</v>
      </c>
      <c r="H1445" s="524" t="s">
        <v>3643</v>
      </c>
      <c r="I1445" s="524" t="s">
        <v>7723</v>
      </c>
      <c r="J1445" s="524" t="s">
        <v>3644</v>
      </c>
      <c r="K1445" s="524" t="s">
        <v>6359</v>
      </c>
      <c r="L1445" s="524" t="s">
        <v>6379</v>
      </c>
      <c r="M1445" s="524" t="s">
        <v>6979</v>
      </c>
      <c r="N1445" s="524"/>
      <c r="O1445" s="524"/>
    </row>
    <row r="1446" spans="1:15" ht="58" hidden="1">
      <c r="A1446" s="524">
        <v>3033</v>
      </c>
      <c r="B1446" s="524" t="e">
        <f>VLOOKUP(A1446,'Hours Detail'!$E$17:$H$1048576,4,)</f>
        <v>#N/A</v>
      </c>
      <c r="C1446" s="524" t="s">
        <v>3639</v>
      </c>
      <c r="D1446" s="524" t="s">
        <v>3638</v>
      </c>
      <c r="E1446" s="524" t="s">
        <v>3637</v>
      </c>
      <c r="F1446" s="524" t="s">
        <v>3637</v>
      </c>
      <c r="G1446" s="524" t="s">
        <v>3637</v>
      </c>
      <c r="H1446" s="524" t="s">
        <v>3637</v>
      </c>
      <c r="I1446" s="524" t="s">
        <v>7724</v>
      </c>
      <c r="J1446" s="524" t="s">
        <v>3638</v>
      </c>
      <c r="K1446" s="524" t="s">
        <v>6359</v>
      </c>
      <c r="L1446" s="524" t="s">
        <v>6379</v>
      </c>
      <c r="M1446" s="524" t="s">
        <v>6979</v>
      </c>
      <c r="N1446" s="524"/>
      <c r="O1446" s="524"/>
    </row>
    <row r="1447" spans="1:15" ht="43.5" hidden="1">
      <c r="A1447" s="525">
        <v>3050</v>
      </c>
      <c r="B1447" s="524" t="str">
        <f>VLOOKUP(A1447,'Hours Detail'!$E$17:$H$1048576,4,)</f>
        <v>No</v>
      </c>
      <c r="C1447" s="524" t="s">
        <v>123</v>
      </c>
      <c r="D1447" s="524" t="s">
        <v>1562</v>
      </c>
      <c r="E1447" s="524" t="s">
        <v>1563</v>
      </c>
      <c r="F1447" s="524" t="s">
        <v>1563</v>
      </c>
      <c r="G1447" s="524" t="s">
        <v>1563</v>
      </c>
      <c r="H1447" s="524" t="s">
        <v>1563</v>
      </c>
      <c r="I1447" s="524" t="s">
        <v>7725</v>
      </c>
      <c r="J1447" s="524" t="s">
        <v>1562</v>
      </c>
      <c r="K1447" s="524" t="s">
        <v>6359</v>
      </c>
      <c r="L1447" s="524" t="s">
        <v>6381</v>
      </c>
      <c r="M1447" s="524" t="s">
        <v>442</v>
      </c>
      <c r="N1447" s="524" t="s">
        <v>7726</v>
      </c>
      <c r="O1447" s="524"/>
    </row>
    <row r="1448" spans="1:15" ht="101.5" hidden="1">
      <c r="A1448" s="527">
        <v>3050</v>
      </c>
      <c r="B1448" s="524" t="str">
        <f>VLOOKUP(A1448,'Hours Detail'!$E$17:$H$1048576,4,)</f>
        <v>No</v>
      </c>
      <c r="C1448" s="527" t="s">
        <v>123</v>
      </c>
      <c r="D1448" s="527" t="s">
        <v>442</v>
      </c>
      <c r="E1448" s="527" t="s">
        <v>1562</v>
      </c>
      <c r="F1448" s="527" t="s">
        <v>1563</v>
      </c>
      <c r="G1448" s="527">
        <v>685</v>
      </c>
      <c r="H1448" s="527" t="s">
        <v>442</v>
      </c>
      <c r="I1448" s="527" t="s">
        <v>1138</v>
      </c>
      <c r="J1448" s="527" t="s">
        <v>2889</v>
      </c>
      <c r="K1448" s="527" t="s">
        <v>2890</v>
      </c>
      <c r="L1448" s="527" t="s">
        <v>7727</v>
      </c>
      <c r="M1448" s="524"/>
      <c r="N1448" s="524"/>
      <c r="O1448" s="524"/>
    </row>
    <row r="1449" spans="1:15" ht="43.5" hidden="1">
      <c r="A1449" s="524">
        <v>3100</v>
      </c>
      <c r="B1449" s="524" t="e">
        <f>VLOOKUP(A1449,'Hours Detail'!$E$17:$H$1048576,4,)</f>
        <v>#N/A</v>
      </c>
      <c r="C1449" s="524" t="s">
        <v>5534</v>
      </c>
      <c r="D1449" s="524" t="s">
        <v>5533</v>
      </c>
      <c r="E1449" s="524" t="s">
        <v>5532</v>
      </c>
      <c r="F1449" s="524" t="s">
        <v>5532</v>
      </c>
      <c r="G1449" s="524" t="s">
        <v>5532</v>
      </c>
      <c r="H1449" s="524" t="s">
        <v>5532</v>
      </c>
      <c r="I1449" s="524" t="s">
        <v>6526</v>
      </c>
      <c r="J1449" s="524" t="s">
        <v>5533</v>
      </c>
      <c r="K1449" s="524"/>
      <c r="L1449" s="524" t="s">
        <v>6400</v>
      </c>
      <c r="M1449" s="524" t="s">
        <v>6401</v>
      </c>
      <c r="N1449" s="524"/>
      <c r="O1449" s="524"/>
    </row>
    <row r="1450" spans="1:15" ht="58" hidden="1">
      <c r="A1450" s="525">
        <v>3102</v>
      </c>
      <c r="B1450" s="524" t="e">
        <f>VLOOKUP(A1450,'Hours Detail'!$E$17:$H$1048576,4,)</f>
        <v>#N/A</v>
      </c>
      <c r="C1450" s="524" t="s">
        <v>169</v>
      </c>
      <c r="D1450" s="524" t="s">
        <v>513</v>
      </c>
      <c r="E1450" s="524" t="s">
        <v>169</v>
      </c>
      <c r="F1450" s="524" t="s">
        <v>169</v>
      </c>
      <c r="G1450" s="524" t="s">
        <v>169</v>
      </c>
      <c r="H1450" s="524" t="s">
        <v>169</v>
      </c>
      <c r="I1450" s="524" t="s">
        <v>513</v>
      </c>
      <c r="J1450" s="524" t="s">
        <v>513</v>
      </c>
      <c r="K1450" s="524"/>
      <c r="L1450" s="524" t="s">
        <v>6400</v>
      </c>
      <c r="M1450" s="524" t="s">
        <v>6401</v>
      </c>
      <c r="N1450" s="524"/>
      <c r="O1450" s="524"/>
    </row>
    <row r="1451" spans="1:15" ht="58" hidden="1">
      <c r="A1451" s="527">
        <v>3102</v>
      </c>
      <c r="B1451" s="524" t="e">
        <f>VLOOKUP(A1451,'Hours Detail'!$E$17:$H$1048576,4,)</f>
        <v>#N/A</v>
      </c>
      <c r="C1451" s="527" t="s">
        <v>169</v>
      </c>
      <c r="D1451" s="527" t="s">
        <v>470</v>
      </c>
      <c r="E1451" s="527" t="s">
        <v>513</v>
      </c>
      <c r="F1451" s="527" t="s">
        <v>169</v>
      </c>
      <c r="G1451" s="527">
        <v>3</v>
      </c>
      <c r="H1451" s="527" t="s">
        <v>149</v>
      </c>
      <c r="I1451" s="527" t="s">
        <v>468</v>
      </c>
      <c r="J1451" s="527" t="s">
        <v>2890</v>
      </c>
      <c r="K1451" s="527" t="s">
        <v>2890</v>
      </c>
      <c r="L1451" s="527" t="s">
        <v>6371</v>
      </c>
      <c r="M1451" s="524"/>
      <c r="N1451" s="524"/>
      <c r="O1451" s="524"/>
    </row>
    <row r="1452" spans="1:15" ht="29">
      <c r="A1452" s="524">
        <v>3110</v>
      </c>
      <c r="B1452" s="524" t="str">
        <f>VLOOKUP(A1452,'Hours Detail'!$E$17:$H$1048576,4,)</f>
        <v>No</v>
      </c>
      <c r="C1452" s="524" t="s">
        <v>57</v>
      </c>
      <c r="D1452" s="524" t="s">
        <v>4057</v>
      </c>
      <c r="E1452" s="524" t="s">
        <v>811</v>
      </c>
      <c r="F1452" s="524" t="s">
        <v>811</v>
      </c>
      <c r="G1452" s="524" t="s">
        <v>811</v>
      </c>
      <c r="H1452" s="524" t="s">
        <v>811</v>
      </c>
      <c r="I1452" s="524" t="s">
        <v>7728</v>
      </c>
      <c r="J1452" s="524" t="s">
        <v>4057</v>
      </c>
      <c r="K1452" s="524" t="s">
        <v>6359</v>
      </c>
      <c r="L1452" s="524" t="s">
        <v>6399</v>
      </c>
      <c r="M1452" s="524" t="s">
        <v>6437</v>
      </c>
      <c r="N1452" s="524"/>
      <c r="O1452" s="524"/>
    </row>
    <row r="1453" spans="1:15" ht="203">
      <c r="A1453" s="524">
        <v>3110</v>
      </c>
      <c r="B1453" s="524" t="str">
        <f>VLOOKUP(A1453,'Hours Detail'!$E$17:$H$1048576,4,)</f>
        <v>No</v>
      </c>
      <c r="C1453" s="524" t="s">
        <v>57</v>
      </c>
      <c r="D1453" s="527" t="s">
        <v>797</v>
      </c>
      <c r="E1453" s="527" t="s">
        <v>810</v>
      </c>
      <c r="F1453" s="527" t="s">
        <v>811</v>
      </c>
      <c r="G1453" s="527">
        <v>16</v>
      </c>
      <c r="H1453" s="527" t="s">
        <v>3</v>
      </c>
      <c r="I1453" s="527" t="s">
        <v>795</v>
      </c>
      <c r="J1453" s="527" t="s">
        <v>2889</v>
      </c>
      <c r="K1453" s="527" t="s">
        <v>2889</v>
      </c>
      <c r="L1453" s="527" t="s">
        <v>7729</v>
      </c>
      <c r="M1453" s="524"/>
      <c r="N1453" s="524"/>
      <c r="O1453" s="524"/>
    </row>
    <row r="1454" spans="1:15" ht="43.5">
      <c r="A1454" s="525">
        <v>3111</v>
      </c>
      <c r="B1454" s="524" t="str">
        <f>VLOOKUP(A1454,'Hours Detail'!$E$17:$H$1048576,4,)</f>
        <v>No</v>
      </c>
      <c r="C1454" s="524" t="s">
        <v>182</v>
      </c>
      <c r="D1454" s="524" t="s">
        <v>554</v>
      </c>
      <c r="E1454" s="524" t="s">
        <v>555</v>
      </c>
      <c r="F1454" s="524" t="s">
        <v>555</v>
      </c>
      <c r="G1454" s="524" t="s">
        <v>555</v>
      </c>
      <c r="H1454" s="524" t="s">
        <v>555</v>
      </c>
      <c r="I1454" s="524" t="s">
        <v>7730</v>
      </c>
      <c r="J1454" s="524" t="s">
        <v>554</v>
      </c>
      <c r="K1454" s="524" t="s">
        <v>6359</v>
      </c>
      <c r="L1454" s="524" t="s">
        <v>6397</v>
      </c>
      <c r="M1454" s="524" t="s">
        <v>2384</v>
      </c>
      <c r="N1454" s="524" t="s">
        <v>7731</v>
      </c>
      <c r="O1454" s="524"/>
    </row>
    <row r="1455" spans="1:15" ht="87">
      <c r="A1455" s="524">
        <v>3111</v>
      </c>
      <c r="B1455" s="524" t="str">
        <f>VLOOKUP(A1455,'Hours Detail'!$E$17:$H$1048576,4,)</f>
        <v>No</v>
      </c>
      <c r="C1455" s="524" t="s">
        <v>182</v>
      </c>
      <c r="D1455" s="527" t="s">
        <v>2170</v>
      </c>
      <c r="E1455" s="527" t="s">
        <v>554</v>
      </c>
      <c r="F1455" s="527" t="s">
        <v>555</v>
      </c>
      <c r="G1455" s="527">
        <v>5</v>
      </c>
      <c r="H1455" s="527" t="s">
        <v>177</v>
      </c>
      <c r="I1455" s="527" t="s">
        <v>2310</v>
      </c>
      <c r="J1455" s="527" t="s">
        <v>2889</v>
      </c>
      <c r="K1455" s="527" t="s">
        <v>2889</v>
      </c>
      <c r="L1455" s="527" t="s">
        <v>7732</v>
      </c>
      <c r="M1455" s="524"/>
      <c r="N1455" s="524"/>
      <c r="O1455" s="524"/>
    </row>
    <row r="1456" spans="1:15" ht="159.5" hidden="1">
      <c r="A1456" s="525">
        <v>3112</v>
      </c>
      <c r="B1456" s="524" t="str">
        <f>VLOOKUP(A1456,'Hours Detail'!$E$17:$H$1048576,4,)</f>
        <v>No</v>
      </c>
      <c r="C1456" s="524" t="s">
        <v>653</v>
      </c>
      <c r="D1456" s="524" t="s">
        <v>4200</v>
      </c>
      <c r="E1456" s="524" t="s">
        <v>655</v>
      </c>
      <c r="F1456" s="524" t="s">
        <v>655</v>
      </c>
      <c r="G1456" s="524" t="s">
        <v>655</v>
      </c>
      <c r="H1456" s="524" t="s">
        <v>655</v>
      </c>
      <c r="I1456" s="524" t="s">
        <v>7733</v>
      </c>
      <c r="J1456" s="524" t="s">
        <v>4200</v>
      </c>
      <c r="K1456" s="524" t="s">
        <v>6359</v>
      </c>
      <c r="L1456" s="524" t="s">
        <v>6365</v>
      </c>
      <c r="M1456" s="524" t="s">
        <v>6366</v>
      </c>
      <c r="N1456" s="524" t="s">
        <v>7734</v>
      </c>
      <c r="O1456" s="524"/>
    </row>
    <row r="1457" spans="1:15" ht="261" hidden="1">
      <c r="A1457" s="527">
        <v>3112</v>
      </c>
      <c r="B1457" s="524" t="str">
        <f>VLOOKUP(A1457,'Hours Detail'!$E$17:$H$1048576,4,)</f>
        <v>No</v>
      </c>
      <c r="C1457" s="527" t="s">
        <v>653</v>
      </c>
      <c r="D1457" s="527" t="s">
        <v>2171</v>
      </c>
      <c r="E1457" s="527" t="s">
        <v>654</v>
      </c>
      <c r="F1457" s="527" t="s">
        <v>655</v>
      </c>
      <c r="G1457" s="527">
        <v>8</v>
      </c>
      <c r="H1457" s="527" t="s">
        <v>188</v>
      </c>
      <c r="I1457" s="527" t="s">
        <v>2314</v>
      </c>
      <c r="J1457" s="527" t="s">
        <v>2889</v>
      </c>
      <c r="K1457" s="527" t="s">
        <v>2889</v>
      </c>
      <c r="L1457" s="527" t="s">
        <v>7735</v>
      </c>
      <c r="M1457" s="524"/>
      <c r="N1457" s="524"/>
      <c r="O1457" s="524"/>
    </row>
    <row r="1458" spans="1:15" ht="29" hidden="1">
      <c r="A1458" s="524">
        <v>3113</v>
      </c>
      <c r="B1458" s="524" t="e">
        <f>VLOOKUP(A1458,'Hours Detail'!$E$17:$H$1048576,4,)</f>
        <v>#N/A</v>
      </c>
      <c r="C1458" s="524" t="s">
        <v>4746</v>
      </c>
      <c r="D1458" s="524" t="s">
        <v>4745</v>
      </c>
      <c r="E1458" s="524" t="s">
        <v>4744</v>
      </c>
      <c r="F1458" s="524" t="s">
        <v>4744</v>
      </c>
      <c r="G1458" s="524" t="s">
        <v>4744</v>
      </c>
      <c r="H1458" s="524" t="s">
        <v>4744</v>
      </c>
      <c r="I1458" s="524" t="s">
        <v>7736</v>
      </c>
      <c r="J1458" s="524" t="s">
        <v>4745</v>
      </c>
      <c r="K1458" s="524"/>
      <c r="L1458" s="524" t="s">
        <v>6397</v>
      </c>
      <c r="M1458" s="524" t="s">
        <v>2384</v>
      </c>
      <c r="N1458" s="524"/>
      <c r="O1458" s="524"/>
    </row>
    <row r="1459" spans="1:15" ht="43.5" hidden="1">
      <c r="A1459" s="525">
        <v>3120</v>
      </c>
      <c r="B1459" s="524" t="e">
        <f>VLOOKUP(A1459,'Hours Detail'!$E$17:$H$1048576,4,)</f>
        <v>#N/A</v>
      </c>
      <c r="C1459" s="524" t="s">
        <v>411</v>
      </c>
      <c r="D1459" s="524" t="s">
        <v>1466</v>
      </c>
      <c r="E1459" s="524" t="s">
        <v>1468</v>
      </c>
      <c r="F1459" s="524" t="s">
        <v>1468</v>
      </c>
      <c r="G1459" s="524" t="s">
        <v>1468</v>
      </c>
      <c r="H1459" s="524" t="s">
        <v>1468</v>
      </c>
      <c r="I1459" s="524" t="s">
        <v>7737</v>
      </c>
      <c r="J1459" s="524" t="s">
        <v>1466</v>
      </c>
      <c r="K1459" s="524"/>
      <c r="L1459" s="524" t="s">
        <v>6399</v>
      </c>
      <c r="M1459" s="524" t="s">
        <v>6613</v>
      </c>
      <c r="N1459" s="524"/>
      <c r="O1459" s="524"/>
    </row>
    <row r="1460" spans="1:15" ht="58" hidden="1">
      <c r="A1460" s="527">
        <v>3120</v>
      </c>
      <c r="B1460" s="524" t="e">
        <f>VLOOKUP(A1460,'Hours Detail'!$E$17:$H$1048576,4,)</f>
        <v>#N/A</v>
      </c>
      <c r="C1460" s="527" t="s">
        <v>411</v>
      </c>
      <c r="D1460" s="527" t="s">
        <v>1469</v>
      </c>
      <c r="E1460" s="527" t="s">
        <v>1466</v>
      </c>
      <c r="F1460" s="527" t="s">
        <v>1468</v>
      </c>
      <c r="G1460" s="527">
        <v>302</v>
      </c>
      <c r="H1460" s="527" t="s">
        <v>409</v>
      </c>
      <c r="I1460" s="527" t="s">
        <v>1467</v>
      </c>
      <c r="J1460" s="527" t="s">
        <v>2890</v>
      </c>
      <c r="K1460" s="527" t="s">
        <v>2890</v>
      </c>
      <c r="L1460" s="527" t="s">
        <v>6371</v>
      </c>
      <c r="M1460" s="524"/>
      <c r="N1460" s="524"/>
      <c r="O1460" s="524"/>
    </row>
    <row r="1461" spans="1:15" ht="29" hidden="1">
      <c r="A1461" s="524">
        <v>3130</v>
      </c>
      <c r="B1461" s="524" t="str">
        <f>VLOOKUP(A1461,'Hours Detail'!$E$17:$H$1048576,4,)</f>
        <v>No</v>
      </c>
      <c r="C1461" s="524" t="s">
        <v>287</v>
      </c>
      <c r="D1461" s="524" t="s">
        <v>1102</v>
      </c>
      <c r="E1461" s="524" t="s">
        <v>287</v>
      </c>
      <c r="F1461" s="524" t="s">
        <v>287</v>
      </c>
      <c r="G1461" s="524" t="s">
        <v>287</v>
      </c>
      <c r="H1461" s="524" t="s">
        <v>287</v>
      </c>
      <c r="I1461" s="524" t="s">
        <v>7738</v>
      </c>
      <c r="J1461" s="524" t="s">
        <v>1102</v>
      </c>
      <c r="K1461" s="524" t="s">
        <v>6359</v>
      </c>
      <c r="L1461" s="524" t="s">
        <v>6379</v>
      </c>
      <c r="M1461" s="524" t="s">
        <v>6502</v>
      </c>
      <c r="N1461" s="524"/>
      <c r="O1461" s="524"/>
    </row>
    <row r="1462" spans="1:15" ht="377" hidden="1">
      <c r="A1462" s="527">
        <v>3130</v>
      </c>
      <c r="B1462" s="524" t="str">
        <f>VLOOKUP(A1462,'Hours Detail'!$E$17:$H$1048576,4,)</f>
        <v>No</v>
      </c>
      <c r="C1462" s="527" t="s">
        <v>287</v>
      </c>
      <c r="D1462" s="527" t="s">
        <v>287</v>
      </c>
      <c r="E1462" s="527" t="s">
        <v>1102</v>
      </c>
      <c r="F1462" s="527" t="s">
        <v>287</v>
      </c>
      <c r="G1462" s="527">
        <v>90</v>
      </c>
      <c r="H1462" s="527" t="s">
        <v>287</v>
      </c>
      <c r="I1462" s="527" t="s">
        <v>1102</v>
      </c>
      <c r="J1462" s="527" t="s">
        <v>2889</v>
      </c>
      <c r="K1462" s="527" t="s">
        <v>2889</v>
      </c>
      <c r="L1462" s="527" t="s">
        <v>7739</v>
      </c>
      <c r="M1462" s="524"/>
      <c r="N1462" s="524"/>
      <c r="O1462" s="524"/>
    </row>
    <row r="1463" spans="1:15" ht="43.5" hidden="1">
      <c r="A1463" s="524">
        <v>3131</v>
      </c>
      <c r="B1463" s="524" t="str">
        <f>VLOOKUP(A1463,'Hours Detail'!$E$17:$H$1048576,4,)</f>
        <v>No</v>
      </c>
      <c r="C1463" s="524" t="s">
        <v>289</v>
      </c>
      <c r="D1463" s="524" t="s">
        <v>1103</v>
      </c>
      <c r="E1463" s="524" t="s">
        <v>7740</v>
      </c>
      <c r="F1463" s="524" t="s">
        <v>7740</v>
      </c>
      <c r="G1463" s="524" t="s">
        <v>7740</v>
      </c>
      <c r="H1463" s="524" t="s">
        <v>7740</v>
      </c>
      <c r="I1463" s="524" t="s">
        <v>7741</v>
      </c>
      <c r="J1463" s="524" t="s">
        <v>1103</v>
      </c>
      <c r="K1463" s="524" t="s">
        <v>6359</v>
      </c>
      <c r="L1463" s="524" t="s">
        <v>6379</v>
      </c>
      <c r="M1463" s="524" t="s">
        <v>6979</v>
      </c>
      <c r="N1463" s="524"/>
      <c r="O1463" s="524"/>
    </row>
    <row r="1464" spans="1:15" ht="43.5" hidden="1">
      <c r="A1464" s="527">
        <v>3131</v>
      </c>
      <c r="B1464" s="524" t="str">
        <f>VLOOKUP(A1464,'Hours Detail'!$E$17:$H$1048576,4,)</f>
        <v>No</v>
      </c>
      <c r="C1464" s="527" t="s">
        <v>289</v>
      </c>
      <c r="D1464" s="527" t="s">
        <v>287</v>
      </c>
      <c r="E1464" s="527" t="s">
        <v>1103</v>
      </c>
      <c r="F1464" s="527" t="s">
        <v>1104</v>
      </c>
      <c r="G1464" s="527">
        <v>90</v>
      </c>
      <c r="H1464" s="527" t="s">
        <v>287</v>
      </c>
      <c r="I1464" s="527" t="s">
        <v>1102</v>
      </c>
      <c r="J1464" s="527" t="s">
        <v>2889</v>
      </c>
      <c r="K1464" s="527" t="s">
        <v>2889</v>
      </c>
      <c r="L1464" s="527" t="s">
        <v>7742</v>
      </c>
      <c r="M1464" s="524"/>
      <c r="N1464" s="524"/>
      <c r="O1464" s="524"/>
    </row>
    <row r="1465" spans="1:15" ht="43.5" hidden="1">
      <c r="A1465" s="525">
        <v>3135</v>
      </c>
      <c r="B1465" s="524" t="e">
        <f>VLOOKUP(A1465,'Hours Detail'!$E$17:$H$1048576,4,)</f>
        <v>#N/A</v>
      </c>
      <c r="C1465" s="524" t="s">
        <v>4909</v>
      </c>
      <c r="D1465" s="524" t="s">
        <v>4908</v>
      </c>
      <c r="E1465" s="524" t="s">
        <v>4907</v>
      </c>
      <c r="F1465" s="524" t="s">
        <v>4907</v>
      </c>
      <c r="G1465" s="524" t="s">
        <v>4907</v>
      </c>
      <c r="H1465" s="524" t="s">
        <v>4907</v>
      </c>
      <c r="I1465" s="524" t="s">
        <v>4908</v>
      </c>
      <c r="J1465" s="524" t="s">
        <v>4908</v>
      </c>
      <c r="K1465" s="524"/>
      <c r="L1465" s="524" t="s">
        <v>6381</v>
      </c>
      <c r="M1465" s="524" t="s">
        <v>6699</v>
      </c>
      <c r="N1465" s="524"/>
      <c r="O1465" s="524"/>
    </row>
    <row r="1466" spans="1:15" ht="58" hidden="1">
      <c r="A1466" s="525">
        <v>3140</v>
      </c>
      <c r="B1466" s="524" t="e">
        <f>VLOOKUP(A1466,'Hours Detail'!$E$17:$H$1048576,4,)</f>
        <v>#N/A</v>
      </c>
      <c r="C1466" s="524" t="s">
        <v>4954</v>
      </c>
      <c r="D1466" s="524" t="s">
        <v>4953</v>
      </c>
      <c r="E1466" s="524" t="s">
        <v>4952</v>
      </c>
      <c r="F1466" s="524" t="s">
        <v>4952</v>
      </c>
      <c r="G1466" s="524" t="s">
        <v>4952</v>
      </c>
      <c r="H1466" s="524" t="s">
        <v>4952</v>
      </c>
      <c r="I1466" s="524" t="s">
        <v>7743</v>
      </c>
      <c r="J1466" s="524" t="s">
        <v>4953</v>
      </c>
      <c r="K1466" s="524"/>
      <c r="L1466" s="524" t="s">
        <v>6402</v>
      </c>
      <c r="M1466" s="524" t="s">
        <v>6403</v>
      </c>
      <c r="N1466" s="524"/>
      <c r="O1466" s="524"/>
    </row>
    <row r="1467" spans="1:15" ht="43.5" hidden="1">
      <c r="A1467" s="525">
        <v>3200</v>
      </c>
      <c r="B1467" s="524" t="e">
        <f>VLOOKUP(A1467,'Hours Detail'!$E$17:$H$1048576,4,)</f>
        <v>#N/A</v>
      </c>
      <c r="C1467" s="524" t="s">
        <v>5656</v>
      </c>
      <c r="D1467" s="524" t="s">
        <v>5655</v>
      </c>
      <c r="E1467" s="524" t="s">
        <v>5654</v>
      </c>
      <c r="F1467" s="524" t="s">
        <v>5654</v>
      </c>
      <c r="G1467" s="524" t="s">
        <v>5654</v>
      </c>
      <c r="H1467" s="524" t="s">
        <v>5654</v>
      </c>
      <c r="I1467" s="524" t="s">
        <v>7744</v>
      </c>
      <c r="J1467" s="524" t="s">
        <v>5655</v>
      </c>
      <c r="K1467" s="524"/>
      <c r="L1467" s="524" t="s">
        <v>6400</v>
      </c>
      <c r="M1467" s="524" t="s">
        <v>6401</v>
      </c>
      <c r="N1467" s="524"/>
      <c r="O1467" s="524"/>
    </row>
    <row r="1468" spans="1:15" ht="29" hidden="1">
      <c r="A1468" s="525">
        <v>3250</v>
      </c>
      <c r="B1468" s="524" t="e">
        <f>VLOOKUP(A1468,'Hours Detail'!$E$17:$H$1048576,4,)</f>
        <v>#N/A</v>
      </c>
      <c r="C1468" s="524" t="s">
        <v>4341</v>
      </c>
      <c r="D1468" s="524" t="s">
        <v>4342</v>
      </c>
      <c r="E1468" s="524" t="s">
        <v>4341</v>
      </c>
      <c r="F1468" s="524" t="s">
        <v>4341</v>
      </c>
      <c r="G1468" s="524" t="s">
        <v>4341</v>
      </c>
      <c r="H1468" s="524" t="s">
        <v>4341</v>
      </c>
      <c r="I1468" s="524" t="s">
        <v>7745</v>
      </c>
      <c r="J1468" s="524" t="s">
        <v>4342</v>
      </c>
      <c r="K1468" s="524"/>
      <c r="L1468" s="524" t="s">
        <v>6376</v>
      </c>
      <c r="M1468" s="524" t="s">
        <v>6377</v>
      </c>
      <c r="N1468" s="524"/>
      <c r="O1468" s="524"/>
    </row>
    <row r="1469" spans="1:15" ht="43.5" hidden="1">
      <c r="A1469" s="527">
        <v>3291</v>
      </c>
      <c r="B1469" s="524" t="str">
        <f>VLOOKUP(A1469,'Hours Detail'!$E$17:$H$1048576,4,)</f>
        <v>No</v>
      </c>
      <c r="C1469" s="527" t="s">
        <v>2041</v>
      </c>
      <c r="D1469" s="527" t="s">
        <v>999</v>
      </c>
      <c r="E1469" s="527" t="s">
        <v>2041</v>
      </c>
      <c r="F1469" s="527" t="s">
        <v>2041</v>
      </c>
      <c r="G1469" s="527">
        <v>36</v>
      </c>
      <c r="H1469" s="527" t="s">
        <v>250</v>
      </c>
      <c r="I1469" s="527" t="s">
        <v>997</v>
      </c>
      <c r="J1469" s="527" t="s">
        <v>2889</v>
      </c>
      <c r="K1469" s="527" t="s">
        <v>2889</v>
      </c>
      <c r="L1469" s="527" t="s">
        <v>6371</v>
      </c>
      <c r="M1469" s="524"/>
      <c r="N1469" s="524"/>
      <c r="O1469" s="524"/>
    </row>
    <row r="1470" spans="1:15" ht="29" hidden="1">
      <c r="A1470" s="525">
        <v>3333</v>
      </c>
      <c r="B1470" s="524" t="e">
        <f>VLOOKUP(A1470,'Hours Detail'!$E$17:$H$1048576,4,)</f>
        <v>#N/A</v>
      </c>
      <c r="C1470" s="524" t="s">
        <v>6057</v>
      </c>
      <c r="D1470" s="524" t="s">
        <v>7748</v>
      </c>
      <c r="E1470" s="524" t="s">
        <v>7746</v>
      </c>
      <c r="F1470" s="524" t="s">
        <v>7746</v>
      </c>
      <c r="G1470" s="524" t="s">
        <v>7746</v>
      </c>
      <c r="H1470" s="524" t="s">
        <v>7746</v>
      </c>
      <c r="I1470" s="524" t="s">
        <v>7747</v>
      </c>
      <c r="J1470" s="524" t="s">
        <v>7748</v>
      </c>
      <c r="K1470" s="524"/>
      <c r="L1470" s="524" t="s">
        <v>6400</v>
      </c>
      <c r="M1470" s="524" t="s">
        <v>6401</v>
      </c>
      <c r="N1470" s="524"/>
      <c r="O1470" s="524"/>
    </row>
    <row r="1471" spans="1:15" ht="58">
      <c r="A1471" s="524">
        <v>3400</v>
      </c>
      <c r="B1471" s="524" t="str">
        <f>VLOOKUP(A1471,'Hours Detail'!$E$17:$H$1048576,4,)</f>
        <v>No</v>
      </c>
      <c r="C1471" s="524" t="s">
        <v>72</v>
      </c>
      <c r="D1471" s="524" t="s">
        <v>4242</v>
      </c>
      <c r="E1471" s="524" t="s">
        <v>4242</v>
      </c>
      <c r="F1471" s="524" t="s">
        <v>4242</v>
      </c>
      <c r="G1471" s="524" t="s">
        <v>4242</v>
      </c>
      <c r="H1471" s="524" t="s">
        <v>4242</v>
      </c>
      <c r="I1471" s="524" t="s">
        <v>4242</v>
      </c>
      <c r="J1471" s="524" t="s">
        <v>4242</v>
      </c>
      <c r="K1471" s="524"/>
      <c r="L1471" s="524" t="s">
        <v>6399</v>
      </c>
      <c r="M1471" s="524" t="s">
        <v>6509</v>
      </c>
      <c r="N1471" s="524"/>
      <c r="O1471" s="524"/>
    </row>
    <row r="1472" spans="1:15" ht="72.5">
      <c r="A1472" s="524">
        <v>3400</v>
      </c>
      <c r="B1472" s="524" t="str">
        <f>VLOOKUP(A1472,'Hours Detail'!$E$17:$H$1048576,4,)</f>
        <v>No</v>
      </c>
      <c r="C1472" s="524" t="s">
        <v>72</v>
      </c>
      <c r="D1472" s="527" t="s">
        <v>2312</v>
      </c>
      <c r="E1472" s="527" t="s">
        <v>2868</v>
      </c>
      <c r="F1472" s="527" t="s">
        <v>2867</v>
      </c>
      <c r="G1472" s="527">
        <v>6</v>
      </c>
      <c r="H1472" s="527" t="s">
        <v>58</v>
      </c>
      <c r="I1472" s="527" t="s">
        <v>2311</v>
      </c>
      <c r="J1472" s="527" t="s">
        <v>2889</v>
      </c>
      <c r="K1472" s="527" t="s">
        <v>2890</v>
      </c>
      <c r="L1472" s="527" t="s">
        <v>6371</v>
      </c>
      <c r="M1472" s="524"/>
      <c r="N1472" s="524"/>
      <c r="O1472" s="524"/>
    </row>
    <row r="1473" spans="1:15" ht="58" hidden="1">
      <c r="A1473" s="524">
        <v>3401</v>
      </c>
      <c r="B1473" s="524" t="e">
        <f>VLOOKUP(A1473,'Hours Detail'!$E$17:$H$1048576,4,)</f>
        <v>#N/A</v>
      </c>
      <c r="C1473" s="524" t="s">
        <v>406</v>
      </c>
      <c r="D1473" s="524" t="s">
        <v>7749</v>
      </c>
      <c r="E1473" s="524" t="s">
        <v>7749</v>
      </c>
      <c r="F1473" s="524" t="s">
        <v>7749</v>
      </c>
      <c r="G1473" s="524" t="s">
        <v>7749</v>
      </c>
      <c r="H1473" s="524" t="s">
        <v>7749</v>
      </c>
      <c r="I1473" s="524" t="s">
        <v>7749</v>
      </c>
      <c r="J1473" s="524" t="s">
        <v>7749</v>
      </c>
      <c r="K1473" s="524"/>
      <c r="L1473" s="524" t="s">
        <v>6399</v>
      </c>
      <c r="M1473" s="524" t="s">
        <v>6509</v>
      </c>
      <c r="N1473" s="524"/>
      <c r="O1473" s="524"/>
    </row>
    <row r="1474" spans="1:15" ht="72.5" hidden="1">
      <c r="A1474" s="527">
        <v>3401</v>
      </c>
      <c r="B1474" s="524" t="e">
        <f>VLOOKUP(A1474,'Hours Detail'!$E$17:$H$1048576,4,)</f>
        <v>#N/A</v>
      </c>
      <c r="C1474" s="527" t="s">
        <v>406</v>
      </c>
      <c r="D1474" s="527" t="s">
        <v>2312</v>
      </c>
      <c r="E1474" s="527" t="s">
        <v>2871</v>
      </c>
      <c r="F1474" s="527" t="s">
        <v>2870</v>
      </c>
      <c r="G1474" s="527">
        <v>6</v>
      </c>
      <c r="H1474" s="527" t="s">
        <v>58</v>
      </c>
      <c r="I1474" s="527" t="s">
        <v>2311</v>
      </c>
      <c r="J1474" s="527" t="s">
        <v>2890</v>
      </c>
      <c r="K1474" s="527" t="s">
        <v>2890</v>
      </c>
      <c r="L1474" s="527" t="s">
        <v>6371</v>
      </c>
      <c r="M1474" s="524"/>
      <c r="N1474" s="524"/>
      <c r="O1474" s="524"/>
    </row>
    <row r="1475" spans="1:15" ht="87" hidden="1">
      <c r="A1475" s="524">
        <v>3402</v>
      </c>
      <c r="B1475" s="524" t="e">
        <f>VLOOKUP(A1475,'Hours Detail'!$E$17:$H$1048576,4,)</f>
        <v>#N/A</v>
      </c>
      <c r="C1475" s="524" t="s">
        <v>583</v>
      </c>
      <c r="D1475" s="524" t="s">
        <v>7750</v>
      </c>
      <c r="E1475" s="524" t="s">
        <v>7750</v>
      </c>
      <c r="F1475" s="524" t="s">
        <v>7750</v>
      </c>
      <c r="G1475" s="524" t="s">
        <v>7751</v>
      </c>
      <c r="H1475" s="524" t="s">
        <v>7750</v>
      </c>
      <c r="I1475" s="524" t="s">
        <v>7750</v>
      </c>
      <c r="J1475" s="524" t="s">
        <v>7752</v>
      </c>
      <c r="K1475" s="524"/>
      <c r="L1475" s="524" t="s">
        <v>6399</v>
      </c>
      <c r="M1475" s="524" t="s">
        <v>6509</v>
      </c>
      <c r="N1475" s="524"/>
      <c r="O1475" s="524"/>
    </row>
    <row r="1476" spans="1:15" ht="87" hidden="1">
      <c r="A1476" s="527">
        <v>3402</v>
      </c>
      <c r="B1476" s="524" t="e">
        <f>VLOOKUP(A1476,'Hours Detail'!$E$17:$H$1048576,4,)</f>
        <v>#N/A</v>
      </c>
      <c r="C1476" s="527" t="s">
        <v>583</v>
      </c>
      <c r="D1476" s="527" t="s">
        <v>2312</v>
      </c>
      <c r="E1476" s="527" t="s">
        <v>2872</v>
      </c>
      <c r="F1476" s="527" t="s">
        <v>2869</v>
      </c>
      <c r="G1476" s="527">
        <v>6</v>
      </c>
      <c r="H1476" s="527" t="s">
        <v>58</v>
      </c>
      <c r="I1476" s="527" t="s">
        <v>2311</v>
      </c>
      <c r="J1476" s="527" t="s">
        <v>2890</v>
      </c>
      <c r="K1476" s="527" t="s">
        <v>2890</v>
      </c>
      <c r="L1476" s="527" t="s">
        <v>6371</v>
      </c>
      <c r="M1476" s="524"/>
      <c r="N1476" s="524"/>
      <c r="O1476" s="524"/>
    </row>
    <row r="1477" spans="1:15" ht="304.5" hidden="1">
      <c r="A1477" s="525">
        <v>4000</v>
      </c>
      <c r="B1477" s="524" t="str">
        <f>VLOOKUP(A1477,'Hours Detail'!$E$17:$H$1048576,4,)</f>
        <v>No</v>
      </c>
      <c r="C1477" s="524" t="s">
        <v>316</v>
      </c>
      <c r="D1477" s="524" t="s">
        <v>1169</v>
      </c>
      <c r="E1477" s="524" t="s">
        <v>1170</v>
      </c>
      <c r="F1477" s="524" t="s">
        <v>1170</v>
      </c>
      <c r="G1477" s="524" t="s">
        <v>1170</v>
      </c>
      <c r="H1477" s="524" t="s">
        <v>1170</v>
      </c>
      <c r="I1477" s="524" t="s">
        <v>7753</v>
      </c>
      <c r="J1477" s="524" t="s">
        <v>1169</v>
      </c>
      <c r="K1477" s="524" t="s">
        <v>6359</v>
      </c>
      <c r="L1477" s="524" t="s">
        <v>6381</v>
      </c>
      <c r="M1477" s="524" t="s">
        <v>6699</v>
      </c>
      <c r="N1477" s="524" t="s">
        <v>7754</v>
      </c>
      <c r="O1477" s="524"/>
    </row>
    <row r="1478" spans="1:15" ht="246.5" hidden="1">
      <c r="A1478" s="527">
        <v>4000</v>
      </c>
      <c r="B1478" s="524" t="str">
        <f>VLOOKUP(A1478,'Hours Detail'!$E$17:$H$1048576,4,)</f>
        <v>No</v>
      </c>
      <c r="C1478" s="527" t="s">
        <v>316</v>
      </c>
      <c r="D1478" s="527" t="s">
        <v>2166</v>
      </c>
      <c r="E1478" s="527" t="s">
        <v>1169</v>
      </c>
      <c r="F1478" s="527" t="s">
        <v>1170</v>
      </c>
      <c r="G1478" s="527">
        <v>105</v>
      </c>
      <c r="H1478" s="527" t="s">
        <v>313</v>
      </c>
      <c r="I1478" s="527" t="s">
        <v>2309</v>
      </c>
      <c r="J1478" s="527" t="s">
        <v>2889</v>
      </c>
      <c r="K1478" s="527" t="s">
        <v>2889</v>
      </c>
      <c r="L1478" s="527" t="s">
        <v>7755</v>
      </c>
      <c r="M1478" s="524"/>
      <c r="N1478" s="524"/>
      <c r="O1478" s="524"/>
    </row>
    <row r="1479" spans="1:15" ht="217.5" hidden="1">
      <c r="A1479" s="525">
        <v>4001</v>
      </c>
      <c r="B1479" s="524" t="e">
        <f>VLOOKUP(A1479,'Hours Detail'!$E$17:$H$1048576,4,)</f>
        <v>#N/A</v>
      </c>
      <c r="C1479" s="524" t="s">
        <v>361</v>
      </c>
      <c r="D1479" s="524" t="s">
        <v>1266</v>
      </c>
      <c r="E1479" s="524" t="s">
        <v>1267</v>
      </c>
      <c r="F1479" s="524" t="s">
        <v>1267</v>
      </c>
      <c r="G1479" s="524" t="s">
        <v>1267</v>
      </c>
      <c r="H1479" s="524" t="s">
        <v>1267</v>
      </c>
      <c r="I1479" s="524" t="s">
        <v>7756</v>
      </c>
      <c r="J1479" s="524" t="s">
        <v>1266</v>
      </c>
      <c r="K1479" s="524" t="s">
        <v>6359</v>
      </c>
      <c r="L1479" s="524" t="s">
        <v>6381</v>
      </c>
      <c r="M1479" s="524" t="s">
        <v>442</v>
      </c>
      <c r="N1479" s="524" t="s">
        <v>7757</v>
      </c>
      <c r="O1479" s="524"/>
    </row>
    <row r="1480" spans="1:15" ht="145" hidden="1">
      <c r="A1480" s="527">
        <v>4001</v>
      </c>
      <c r="B1480" s="524" t="e">
        <f>VLOOKUP(A1480,'Hours Detail'!$E$17:$H$1048576,4,)</f>
        <v>#N/A</v>
      </c>
      <c r="C1480" s="527" t="s">
        <v>361</v>
      </c>
      <c r="D1480" s="527" t="s">
        <v>4703</v>
      </c>
      <c r="E1480" s="527" t="s">
        <v>1266</v>
      </c>
      <c r="F1480" s="527" t="s">
        <v>1267</v>
      </c>
      <c r="G1480" s="527">
        <v>283</v>
      </c>
      <c r="H1480" s="527" t="s">
        <v>4705</v>
      </c>
      <c r="I1480" s="527" t="s">
        <v>4704</v>
      </c>
      <c r="J1480" s="527" t="s">
        <v>2890</v>
      </c>
      <c r="K1480" s="527" t="s">
        <v>2890</v>
      </c>
      <c r="L1480" s="527" t="s">
        <v>7758</v>
      </c>
      <c r="M1480" s="524"/>
      <c r="N1480" s="524"/>
      <c r="O1480" s="524"/>
    </row>
    <row r="1481" spans="1:15" ht="217.5" hidden="1">
      <c r="A1481" s="525">
        <v>4003</v>
      </c>
      <c r="B1481" s="524" t="str">
        <f>VLOOKUP(A1481,'Hours Detail'!$E$17:$H$1048576,4,)</f>
        <v>No</v>
      </c>
      <c r="C1481" s="524" t="s">
        <v>315</v>
      </c>
      <c r="D1481" s="524" t="s">
        <v>1173</v>
      </c>
      <c r="E1481" s="524" t="s">
        <v>1174</v>
      </c>
      <c r="F1481" s="524" t="s">
        <v>1174</v>
      </c>
      <c r="G1481" s="524" t="s">
        <v>1174</v>
      </c>
      <c r="H1481" s="524" t="s">
        <v>1174</v>
      </c>
      <c r="I1481" s="524" t="s">
        <v>7759</v>
      </c>
      <c r="J1481" s="524" t="s">
        <v>1173</v>
      </c>
      <c r="K1481" s="524" t="s">
        <v>6359</v>
      </c>
      <c r="L1481" s="524" t="s">
        <v>6381</v>
      </c>
      <c r="M1481" s="524" t="s">
        <v>6699</v>
      </c>
      <c r="N1481" s="524" t="s">
        <v>7760</v>
      </c>
      <c r="O1481" s="524"/>
    </row>
    <row r="1482" spans="1:15" ht="130.5" hidden="1">
      <c r="A1482" s="527">
        <v>4003</v>
      </c>
      <c r="B1482" s="524" t="str">
        <f>VLOOKUP(A1482,'Hours Detail'!$E$17:$H$1048576,4,)</f>
        <v>No</v>
      </c>
      <c r="C1482" s="527" t="s">
        <v>315</v>
      </c>
      <c r="D1482" s="527" t="s">
        <v>2166</v>
      </c>
      <c r="E1482" s="527" t="s">
        <v>1173</v>
      </c>
      <c r="F1482" s="527" t="s">
        <v>1174</v>
      </c>
      <c r="G1482" s="527">
        <v>105</v>
      </c>
      <c r="H1482" s="527" t="s">
        <v>313</v>
      </c>
      <c r="I1482" s="527" t="s">
        <v>2309</v>
      </c>
      <c r="J1482" s="527" t="s">
        <v>2890</v>
      </c>
      <c r="K1482" s="527" t="s">
        <v>2889</v>
      </c>
      <c r="L1482" s="527" t="s">
        <v>7761</v>
      </c>
      <c r="M1482" s="524"/>
      <c r="N1482" s="524"/>
      <c r="O1482" s="524"/>
    </row>
    <row r="1483" spans="1:15" ht="43.5" hidden="1">
      <c r="A1483" s="527">
        <v>4051</v>
      </c>
      <c r="B1483" s="524" t="str">
        <f>VLOOKUP(A1483,'Hours Detail'!$E$17:$H$1048576,4,)</f>
        <v>No</v>
      </c>
      <c r="C1483" s="527" t="s">
        <v>5586</v>
      </c>
      <c r="D1483" s="527" t="s">
        <v>287</v>
      </c>
      <c r="E1483" s="527" t="s">
        <v>5585</v>
      </c>
      <c r="F1483" s="527" t="s">
        <v>5584</v>
      </c>
      <c r="G1483" s="527">
        <v>90</v>
      </c>
      <c r="H1483" s="527" t="s">
        <v>287</v>
      </c>
      <c r="I1483" s="527" t="s">
        <v>1102</v>
      </c>
      <c r="J1483" s="527" t="s">
        <v>2889</v>
      </c>
      <c r="K1483" s="527" t="s">
        <v>2889</v>
      </c>
      <c r="L1483" s="527" t="s">
        <v>6371</v>
      </c>
      <c r="M1483" s="524"/>
      <c r="N1483" s="524"/>
      <c r="O1483" s="524"/>
    </row>
    <row r="1484" spans="1:15" ht="130.5" hidden="1">
      <c r="A1484" s="525">
        <v>4100</v>
      </c>
      <c r="B1484" s="524" t="str">
        <f>VLOOKUP(A1484,'Hours Detail'!$E$17:$H$1048576,4,)</f>
        <v>No</v>
      </c>
      <c r="C1484" s="524" t="s">
        <v>116</v>
      </c>
      <c r="D1484" s="524" t="s">
        <v>610</v>
      </c>
      <c r="E1484" s="524" t="s">
        <v>611</v>
      </c>
      <c r="F1484" s="524" t="s">
        <v>611</v>
      </c>
      <c r="G1484" s="524" t="s">
        <v>611</v>
      </c>
      <c r="H1484" s="524" t="s">
        <v>611</v>
      </c>
      <c r="I1484" s="524" t="s">
        <v>7762</v>
      </c>
      <c r="J1484" s="524" t="s">
        <v>610</v>
      </c>
      <c r="K1484" s="524" t="s">
        <v>6359</v>
      </c>
      <c r="L1484" s="524" t="s">
        <v>6381</v>
      </c>
      <c r="M1484" s="524" t="s">
        <v>522</v>
      </c>
      <c r="N1484" s="524" t="s">
        <v>7763</v>
      </c>
      <c r="O1484" s="524"/>
    </row>
    <row r="1485" spans="1:15" ht="130.5" hidden="1">
      <c r="A1485" s="527">
        <v>4100</v>
      </c>
      <c r="B1485" s="524" t="str">
        <f>VLOOKUP(A1485,'Hours Detail'!$E$17:$H$1048576,4,)</f>
        <v>No</v>
      </c>
      <c r="C1485" s="527" t="s">
        <v>116</v>
      </c>
      <c r="D1485" s="527" t="s">
        <v>15</v>
      </c>
      <c r="E1485" s="527" t="s">
        <v>610</v>
      </c>
      <c r="F1485" s="527" t="s">
        <v>611</v>
      </c>
      <c r="G1485" s="527">
        <v>7</v>
      </c>
      <c r="H1485" s="527" t="s">
        <v>15</v>
      </c>
      <c r="I1485" s="527" t="s">
        <v>2313</v>
      </c>
      <c r="J1485" s="527" t="s">
        <v>2889</v>
      </c>
      <c r="K1485" s="527" t="s">
        <v>2890</v>
      </c>
      <c r="L1485" s="527" t="s">
        <v>7764</v>
      </c>
      <c r="M1485" s="524"/>
      <c r="N1485" s="524"/>
      <c r="O1485" s="524"/>
    </row>
    <row r="1486" spans="1:15" ht="43.5" hidden="1">
      <c r="A1486" s="525">
        <v>4200</v>
      </c>
      <c r="B1486" s="524" t="str">
        <f>VLOOKUP(A1486,'Hours Detail'!$E$17:$H$1048576,4,)</f>
        <v>No</v>
      </c>
      <c r="C1486" s="524" t="s">
        <v>276</v>
      </c>
      <c r="D1486" s="524" t="s">
        <v>1074</v>
      </c>
      <c r="E1486" s="524" t="s">
        <v>1075</v>
      </c>
      <c r="F1486" s="524" t="s">
        <v>1075</v>
      </c>
      <c r="G1486" s="524" t="s">
        <v>1075</v>
      </c>
      <c r="H1486" s="524" t="s">
        <v>1075</v>
      </c>
      <c r="I1486" s="524" t="s">
        <v>7765</v>
      </c>
      <c r="J1486" s="524" t="s">
        <v>1074</v>
      </c>
      <c r="K1486" s="524" t="s">
        <v>6359</v>
      </c>
      <c r="L1486" s="524" t="s">
        <v>6376</v>
      </c>
      <c r="M1486" s="524" t="s">
        <v>6377</v>
      </c>
      <c r="N1486" s="524"/>
      <c r="O1486" s="524"/>
    </row>
    <row r="1487" spans="1:15" ht="58" hidden="1">
      <c r="A1487" s="527">
        <v>4200</v>
      </c>
      <c r="B1487" s="524" t="str">
        <f>VLOOKUP(A1487,'Hours Detail'!$E$17:$H$1048576,4,)</f>
        <v>No</v>
      </c>
      <c r="C1487" s="527" t="s">
        <v>276</v>
      </c>
      <c r="D1487" s="527" t="s">
        <v>1068</v>
      </c>
      <c r="E1487" s="527" t="s">
        <v>1074</v>
      </c>
      <c r="F1487" s="527" t="s">
        <v>1075</v>
      </c>
      <c r="G1487" s="527">
        <v>88</v>
      </c>
      <c r="H1487" s="527" t="s">
        <v>16</v>
      </c>
      <c r="I1487" s="527" t="s">
        <v>1066</v>
      </c>
      <c r="J1487" s="527" t="s">
        <v>2889</v>
      </c>
      <c r="K1487" s="527" t="s">
        <v>2889</v>
      </c>
      <c r="L1487" s="527" t="s">
        <v>7766</v>
      </c>
      <c r="M1487" s="524"/>
      <c r="N1487" s="524"/>
      <c r="O1487" s="524"/>
    </row>
    <row r="1488" spans="1:15" ht="43.5" hidden="1">
      <c r="A1488" s="524">
        <v>4201</v>
      </c>
      <c r="B1488" s="524" t="e">
        <f>VLOOKUP(A1488,'Hours Detail'!$E$17:$H$1048576,4,)</f>
        <v>#N/A</v>
      </c>
      <c r="C1488" s="524" t="s">
        <v>4800</v>
      </c>
      <c r="D1488" s="524" t="s">
        <v>1471</v>
      </c>
      <c r="E1488" s="524" t="s">
        <v>4799</v>
      </c>
      <c r="F1488" s="524" t="s">
        <v>4799</v>
      </c>
      <c r="G1488" s="524" t="s">
        <v>4799</v>
      </c>
      <c r="H1488" s="524" t="s">
        <v>4799</v>
      </c>
      <c r="I1488" s="524" t="s">
        <v>7767</v>
      </c>
      <c r="J1488" s="524" t="s">
        <v>1471</v>
      </c>
      <c r="K1488" s="524"/>
      <c r="L1488" s="524" t="s">
        <v>6400</v>
      </c>
      <c r="M1488" s="524" t="s">
        <v>6401</v>
      </c>
      <c r="N1488" s="524"/>
      <c r="O1488" s="524"/>
    </row>
    <row r="1489" spans="1:15" ht="29" hidden="1">
      <c r="A1489" s="525">
        <v>4202</v>
      </c>
      <c r="B1489" s="524" t="e">
        <f>VLOOKUP(A1489,'Hours Detail'!$E$17:$H$1048576,4,)</f>
        <v>#N/A</v>
      </c>
      <c r="C1489" s="524" t="s">
        <v>7768</v>
      </c>
      <c r="D1489" s="524" t="s">
        <v>7770</v>
      </c>
      <c r="E1489" s="524" t="s">
        <v>4796</v>
      </c>
      <c r="F1489" s="524" t="s">
        <v>4796</v>
      </c>
      <c r="G1489" s="524" t="s">
        <v>4796</v>
      </c>
      <c r="H1489" s="524" t="s">
        <v>4796</v>
      </c>
      <c r="I1489" s="524" t="s">
        <v>7769</v>
      </c>
      <c r="J1489" s="524" t="s">
        <v>7770</v>
      </c>
      <c r="K1489" s="524"/>
      <c r="L1489" s="524" t="s">
        <v>6400</v>
      </c>
      <c r="M1489" s="524" t="s">
        <v>6401</v>
      </c>
      <c r="N1489" s="524"/>
      <c r="O1489" s="524"/>
    </row>
    <row r="1490" spans="1:15" ht="58" hidden="1">
      <c r="A1490" s="524">
        <v>4444</v>
      </c>
      <c r="B1490" s="524" t="e">
        <f>VLOOKUP(A1490,'Hours Detail'!$E$17:$H$1048576,4,)</f>
        <v>#N/A</v>
      </c>
      <c r="C1490" s="524" t="s">
        <v>4732</v>
      </c>
      <c r="D1490" s="524" t="s">
        <v>4731</v>
      </c>
      <c r="E1490" s="524" t="s">
        <v>4730</v>
      </c>
      <c r="F1490" s="524" t="s">
        <v>4730</v>
      </c>
      <c r="G1490" s="524" t="s">
        <v>4730</v>
      </c>
      <c r="H1490" s="524" t="s">
        <v>4730</v>
      </c>
      <c r="I1490" s="524" t="s">
        <v>7771</v>
      </c>
      <c r="J1490" s="524" t="s">
        <v>4731</v>
      </c>
      <c r="K1490" s="524"/>
      <c r="L1490" s="524" t="s">
        <v>6386</v>
      </c>
      <c r="M1490" s="524" t="s">
        <v>6387</v>
      </c>
      <c r="N1490" s="524"/>
      <c r="O1490" s="524"/>
    </row>
    <row r="1491" spans="1:15" ht="29" hidden="1">
      <c r="A1491" s="525">
        <v>4521</v>
      </c>
      <c r="B1491" s="524" t="e">
        <f>VLOOKUP(A1491,'Hours Detail'!$E$17:$H$1048576,4,)</f>
        <v>#N/A</v>
      </c>
      <c r="C1491" s="524" t="s">
        <v>5495</v>
      </c>
      <c r="D1491" s="524" t="s">
        <v>5494</v>
      </c>
      <c r="E1491" s="524" t="s">
        <v>5493</v>
      </c>
      <c r="F1491" s="524" t="s">
        <v>5493</v>
      </c>
      <c r="G1491" s="524" t="s">
        <v>5493</v>
      </c>
      <c r="H1491" s="524" t="s">
        <v>5493</v>
      </c>
      <c r="I1491" s="524" t="s">
        <v>5494</v>
      </c>
      <c r="J1491" s="524" t="s">
        <v>5494</v>
      </c>
      <c r="K1491" s="524"/>
      <c r="L1491" s="524" t="s">
        <v>6397</v>
      </c>
      <c r="M1491" s="524" t="s">
        <v>2384</v>
      </c>
      <c r="N1491" s="524" t="s">
        <v>7772</v>
      </c>
      <c r="O1491" s="524"/>
    </row>
    <row r="1492" spans="1:15" ht="43.5" hidden="1">
      <c r="A1492" s="525">
        <v>4644</v>
      </c>
      <c r="B1492" s="524" t="e">
        <f>VLOOKUP(A1492,'Hours Detail'!$E$17:$H$1048576,4,)</f>
        <v>#N/A</v>
      </c>
      <c r="C1492" s="524" t="s">
        <v>5690</v>
      </c>
      <c r="D1492" s="524" t="s">
        <v>5689</v>
      </c>
      <c r="E1492" s="524" t="s">
        <v>5688</v>
      </c>
      <c r="F1492" s="524" t="s">
        <v>5688</v>
      </c>
      <c r="G1492" s="524" t="s">
        <v>5688</v>
      </c>
      <c r="H1492" s="524" t="s">
        <v>5688</v>
      </c>
      <c r="I1492" s="524" t="s">
        <v>5689</v>
      </c>
      <c r="J1492" s="524" t="s">
        <v>5689</v>
      </c>
      <c r="K1492" s="524"/>
      <c r="L1492" s="524" t="s">
        <v>6400</v>
      </c>
      <c r="M1492" s="524" t="s">
        <v>6401</v>
      </c>
      <c r="N1492" s="524"/>
      <c r="O1492" s="524"/>
    </row>
    <row r="1493" spans="1:15" hidden="1">
      <c r="A1493" s="525">
        <v>4645</v>
      </c>
      <c r="B1493" s="524" t="e">
        <f>VLOOKUP(A1493,'Hours Detail'!$E$17:$H$1048576,4,)</f>
        <v>#N/A</v>
      </c>
      <c r="C1493" s="524" t="s">
        <v>5725</v>
      </c>
      <c r="D1493" s="524" t="s">
        <v>5725</v>
      </c>
      <c r="E1493" s="524" t="s">
        <v>5725</v>
      </c>
      <c r="F1493" s="524" t="s">
        <v>5725</v>
      </c>
      <c r="G1493" s="524" t="s">
        <v>5725</v>
      </c>
      <c r="H1493" s="524" t="s">
        <v>5725</v>
      </c>
      <c r="I1493" s="524" t="s">
        <v>5725</v>
      </c>
      <c r="J1493" s="524" t="s">
        <v>5725</v>
      </c>
      <c r="K1493" s="524"/>
      <c r="L1493" s="524" t="s">
        <v>6400</v>
      </c>
      <c r="M1493" s="524" t="s">
        <v>6401</v>
      </c>
      <c r="N1493" s="524"/>
      <c r="O1493" s="524"/>
    </row>
    <row r="1494" spans="1:15" ht="58" hidden="1">
      <c r="A1494" s="525">
        <v>5000</v>
      </c>
      <c r="B1494" s="524" t="e">
        <f>VLOOKUP(A1494,'Hours Detail'!$E$17:$H$1048576,4,)</f>
        <v>#N/A</v>
      </c>
      <c r="C1494" s="524" t="s">
        <v>167</v>
      </c>
      <c r="D1494" s="524" t="s">
        <v>492</v>
      </c>
      <c r="E1494" s="524" t="s">
        <v>493</v>
      </c>
      <c r="F1494" s="524" t="s">
        <v>493</v>
      </c>
      <c r="G1494" s="524" t="s">
        <v>493</v>
      </c>
      <c r="H1494" s="524" t="s">
        <v>493</v>
      </c>
      <c r="I1494" s="524" t="s">
        <v>492</v>
      </c>
      <c r="J1494" s="524" t="s">
        <v>492</v>
      </c>
      <c r="K1494" s="524"/>
      <c r="L1494" s="524" t="s">
        <v>6381</v>
      </c>
      <c r="M1494" s="524" t="s">
        <v>442</v>
      </c>
      <c r="N1494" s="524"/>
      <c r="O1494" s="524"/>
    </row>
    <row r="1495" spans="1:15" ht="58" hidden="1">
      <c r="A1495" s="527">
        <v>5000</v>
      </c>
      <c r="B1495" s="524" t="e">
        <f>VLOOKUP(A1495,'Hours Detail'!$E$17:$H$1048576,4,)</f>
        <v>#N/A</v>
      </c>
      <c r="C1495" s="527" t="s">
        <v>167</v>
      </c>
      <c r="D1495" s="527" t="s">
        <v>470</v>
      </c>
      <c r="E1495" s="527" t="s">
        <v>492</v>
      </c>
      <c r="F1495" s="527" t="s">
        <v>493</v>
      </c>
      <c r="G1495" s="527">
        <v>3</v>
      </c>
      <c r="H1495" s="527" t="s">
        <v>149</v>
      </c>
      <c r="I1495" s="527" t="s">
        <v>468</v>
      </c>
      <c r="J1495" s="527" t="s">
        <v>2890</v>
      </c>
      <c r="K1495" s="527" t="s">
        <v>2890</v>
      </c>
      <c r="L1495" s="527" t="s">
        <v>6371</v>
      </c>
      <c r="M1495" s="524"/>
      <c r="N1495" s="524"/>
      <c r="O1495" s="524"/>
    </row>
    <row r="1496" spans="1:15" hidden="1">
      <c r="A1496" s="525">
        <v>5001</v>
      </c>
      <c r="B1496" s="524" t="e">
        <f>VLOOKUP(A1496,'Hours Detail'!$E$17:$H$1048576,4,)</f>
        <v>#N/A</v>
      </c>
      <c r="C1496" s="524" t="s">
        <v>321</v>
      </c>
      <c r="D1496" s="524" t="s">
        <v>1179</v>
      </c>
      <c r="E1496" s="524" t="s">
        <v>321</v>
      </c>
      <c r="F1496" s="524" t="s">
        <v>321</v>
      </c>
      <c r="G1496" s="524" t="s">
        <v>321</v>
      </c>
      <c r="H1496" s="524" t="s">
        <v>321</v>
      </c>
      <c r="I1496" s="524" t="s">
        <v>321</v>
      </c>
      <c r="J1496" s="524" t="s">
        <v>1179</v>
      </c>
      <c r="K1496" s="524"/>
      <c r="L1496" s="524" t="s">
        <v>6381</v>
      </c>
      <c r="M1496" s="524" t="s">
        <v>442</v>
      </c>
      <c r="N1496" s="524"/>
      <c r="O1496" s="524"/>
    </row>
    <row r="1497" spans="1:15" ht="29" hidden="1">
      <c r="A1497" s="527">
        <v>5001</v>
      </c>
      <c r="B1497" s="524" t="e">
        <f>VLOOKUP(A1497,'Hours Detail'!$E$17:$H$1048576,4,)</f>
        <v>#N/A</v>
      </c>
      <c r="C1497" s="527" t="s">
        <v>321</v>
      </c>
      <c r="D1497" s="527" t="s">
        <v>2162</v>
      </c>
      <c r="E1497" s="527" t="s">
        <v>1179</v>
      </c>
      <c r="F1497" s="527" t="s">
        <v>321</v>
      </c>
      <c r="G1497" s="527">
        <v>182</v>
      </c>
      <c r="H1497" s="527" t="s">
        <v>2</v>
      </c>
      <c r="I1497" s="527" t="s">
        <v>2298</v>
      </c>
      <c r="J1497" s="527" t="s">
        <v>2890</v>
      </c>
      <c r="K1497" s="527" t="s">
        <v>2890</v>
      </c>
      <c r="L1497" s="527" t="s">
        <v>6371</v>
      </c>
      <c r="M1497" s="524"/>
      <c r="N1497" s="524"/>
      <c r="O1497" s="524"/>
    </row>
    <row r="1498" spans="1:15" ht="29" hidden="1">
      <c r="A1498" s="525">
        <v>5050</v>
      </c>
      <c r="B1498" s="524" t="e">
        <f>VLOOKUP(A1498,'Hours Detail'!$E$17:$H$1048576,4,)</f>
        <v>#N/A</v>
      </c>
      <c r="C1498" s="524" t="s">
        <v>5596</v>
      </c>
      <c r="D1498" s="524" t="s">
        <v>5595</v>
      </c>
      <c r="E1498" s="524" t="s">
        <v>5594</v>
      </c>
      <c r="F1498" s="524" t="s">
        <v>5594</v>
      </c>
      <c r="G1498" s="524" t="s">
        <v>5594</v>
      </c>
      <c r="H1498" s="524" t="s">
        <v>5594</v>
      </c>
      <c r="I1498" s="524" t="s">
        <v>5595</v>
      </c>
      <c r="J1498" s="524" t="s">
        <v>5595</v>
      </c>
      <c r="K1498" s="524"/>
      <c r="L1498" s="524" t="s">
        <v>6402</v>
      </c>
      <c r="M1498" s="524" t="s">
        <v>6403</v>
      </c>
      <c r="N1498" s="524"/>
      <c r="O1498" s="524"/>
    </row>
    <row r="1499" spans="1:15" ht="58" hidden="1">
      <c r="A1499" s="524">
        <v>5484</v>
      </c>
      <c r="B1499" s="524" t="e">
        <f>VLOOKUP(A1499,'Hours Detail'!$E$17:$H$1048576,4,)</f>
        <v>#N/A</v>
      </c>
      <c r="C1499" s="524" t="s">
        <v>4759</v>
      </c>
      <c r="D1499" s="524" t="s">
        <v>4758</v>
      </c>
      <c r="E1499" s="524" t="s">
        <v>4757</v>
      </c>
      <c r="F1499" s="524" t="s">
        <v>4757</v>
      </c>
      <c r="G1499" s="524" t="s">
        <v>4757</v>
      </c>
      <c r="H1499" s="524" t="s">
        <v>4757</v>
      </c>
      <c r="I1499" s="524" t="s">
        <v>7773</v>
      </c>
      <c r="J1499" s="524" t="s">
        <v>4758</v>
      </c>
      <c r="K1499" s="524"/>
      <c r="L1499" s="524" t="s">
        <v>6376</v>
      </c>
      <c r="M1499" s="524" t="s">
        <v>6377</v>
      </c>
      <c r="N1499" s="524"/>
      <c r="O1499" s="524"/>
    </row>
    <row r="1500" spans="1:15" ht="130.5" hidden="1">
      <c r="A1500" s="525">
        <v>5500</v>
      </c>
      <c r="B1500" s="524" t="str">
        <f>VLOOKUP(A1500,'Hours Detail'!$E$17:$H$1048576,4,)</f>
        <v>No</v>
      </c>
      <c r="C1500" s="524" t="s">
        <v>444</v>
      </c>
      <c r="D1500" s="524" t="s">
        <v>1564</v>
      </c>
      <c r="E1500" s="524" t="s">
        <v>1565</v>
      </c>
      <c r="F1500" s="524" t="s">
        <v>1565</v>
      </c>
      <c r="G1500" s="524" t="s">
        <v>1565</v>
      </c>
      <c r="H1500" s="524" t="s">
        <v>1565</v>
      </c>
      <c r="I1500" s="524" t="s">
        <v>7774</v>
      </c>
      <c r="J1500" s="524" t="s">
        <v>1564</v>
      </c>
      <c r="K1500" s="524" t="s">
        <v>6359</v>
      </c>
      <c r="L1500" s="524" t="s">
        <v>6381</v>
      </c>
      <c r="M1500" s="524" t="s">
        <v>6699</v>
      </c>
      <c r="N1500" s="524" t="s">
        <v>7775</v>
      </c>
      <c r="O1500" s="524"/>
    </row>
    <row r="1501" spans="1:15" ht="101.5" hidden="1">
      <c r="A1501" s="527">
        <v>5500</v>
      </c>
      <c r="B1501" s="524" t="str">
        <f>VLOOKUP(A1501,'Hours Detail'!$E$17:$H$1048576,4,)</f>
        <v>No</v>
      </c>
      <c r="C1501" s="527" t="s">
        <v>444</v>
      </c>
      <c r="D1501" s="527" t="s">
        <v>442</v>
      </c>
      <c r="E1501" s="527" t="s">
        <v>1564</v>
      </c>
      <c r="F1501" s="527" t="s">
        <v>1565</v>
      </c>
      <c r="G1501" s="527">
        <v>685</v>
      </c>
      <c r="H1501" s="527" t="s">
        <v>442</v>
      </c>
      <c r="I1501" s="527" t="s">
        <v>1138</v>
      </c>
      <c r="J1501" s="527" t="s">
        <v>2889</v>
      </c>
      <c r="K1501" s="527" t="s">
        <v>2890</v>
      </c>
      <c r="L1501" s="527" t="s">
        <v>7776</v>
      </c>
      <c r="M1501" s="524"/>
      <c r="N1501" s="524"/>
      <c r="O1501" s="524"/>
    </row>
    <row r="1502" spans="1:15" ht="72.5" hidden="1">
      <c r="A1502" s="525">
        <v>5511</v>
      </c>
      <c r="B1502" s="524" t="e">
        <f>VLOOKUP(A1502,'Hours Detail'!$E$17:$H$1048576,4,)</f>
        <v>#N/A</v>
      </c>
      <c r="C1502" s="524" t="s">
        <v>126</v>
      </c>
      <c r="D1502" s="524" t="s">
        <v>713</v>
      </c>
      <c r="E1502" s="524" t="s">
        <v>714</v>
      </c>
      <c r="F1502" s="524" t="s">
        <v>714</v>
      </c>
      <c r="G1502" s="524" t="s">
        <v>714</v>
      </c>
      <c r="H1502" s="524" t="s">
        <v>714</v>
      </c>
      <c r="I1502" s="524" t="s">
        <v>7777</v>
      </c>
      <c r="J1502" s="524" t="s">
        <v>713</v>
      </c>
      <c r="K1502" s="524"/>
      <c r="L1502" s="524" t="s">
        <v>6386</v>
      </c>
      <c r="M1502" s="524" t="s">
        <v>6435</v>
      </c>
      <c r="N1502" s="524" t="s">
        <v>7778</v>
      </c>
      <c r="O1502" s="524"/>
    </row>
    <row r="1503" spans="1:15" ht="116" hidden="1">
      <c r="A1503" s="527">
        <v>5511</v>
      </c>
      <c r="B1503" s="524" t="e">
        <f>VLOOKUP(A1503,'Hours Detail'!$E$17:$H$1048576,4,)</f>
        <v>#N/A</v>
      </c>
      <c r="C1503" s="527" t="s">
        <v>126</v>
      </c>
      <c r="D1503" s="527" t="s">
        <v>706</v>
      </c>
      <c r="E1503" s="527" t="s">
        <v>713</v>
      </c>
      <c r="F1503" s="527" t="s">
        <v>714</v>
      </c>
      <c r="G1503" s="527">
        <v>11</v>
      </c>
      <c r="H1503" s="527" t="s">
        <v>6</v>
      </c>
      <c r="I1503" s="527" t="s">
        <v>705</v>
      </c>
      <c r="J1503" s="527" t="s">
        <v>2890</v>
      </c>
      <c r="K1503" s="527" t="s">
        <v>2890</v>
      </c>
      <c r="L1503" s="527" t="s">
        <v>7779</v>
      </c>
      <c r="M1503" s="524"/>
      <c r="N1503" s="524"/>
      <c r="O1503" s="524"/>
    </row>
    <row r="1504" spans="1:15" ht="72.5" hidden="1">
      <c r="A1504" s="525">
        <v>5512</v>
      </c>
      <c r="B1504" s="524" t="str">
        <f>VLOOKUP(A1504,'Hours Detail'!$E$17:$H$1048576,4,)</f>
        <v>No</v>
      </c>
      <c r="C1504" s="524" t="s">
        <v>98</v>
      </c>
      <c r="D1504" s="524" t="s">
        <v>3993</v>
      </c>
      <c r="E1504" s="524" t="s">
        <v>961</v>
      </c>
      <c r="F1504" s="524" t="s">
        <v>961</v>
      </c>
      <c r="G1504" s="524" t="s">
        <v>961</v>
      </c>
      <c r="H1504" s="524" t="s">
        <v>961</v>
      </c>
      <c r="I1504" s="524" t="s">
        <v>7780</v>
      </c>
      <c r="J1504" s="524" t="s">
        <v>3993</v>
      </c>
      <c r="K1504" s="524"/>
      <c r="L1504" s="524" t="s">
        <v>6386</v>
      </c>
      <c r="M1504" s="524" t="s">
        <v>6488</v>
      </c>
      <c r="N1504" s="524" t="s">
        <v>7781</v>
      </c>
      <c r="O1504" s="524"/>
    </row>
    <row r="1505" spans="1:15" ht="130.5" hidden="1">
      <c r="A1505" s="527">
        <v>5512</v>
      </c>
      <c r="B1505" s="524" t="str">
        <f>VLOOKUP(A1505,'Hours Detail'!$E$17:$H$1048576,4,)</f>
        <v>No</v>
      </c>
      <c r="C1505" s="527" t="s">
        <v>98</v>
      </c>
      <c r="D1505" s="527" t="s">
        <v>955</v>
      </c>
      <c r="E1505" s="527" t="s">
        <v>960</v>
      </c>
      <c r="F1505" s="527" t="s">
        <v>961</v>
      </c>
      <c r="G1505" s="527">
        <v>28</v>
      </c>
      <c r="H1505" s="527" t="s">
        <v>9</v>
      </c>
      <c r="I1505" s="527" t="s">
        <v>953</v>
      </c>
      <c r="J1505" s="527" t="s">
        <v>2889</v>
      </c>
      <c r="K1505" s="527" t="s">
        <v>2890</v>
      </c>
      <c r="L1505" s="527" t="s">
        <v>7782</v>
      </c>
      <c r="M1505" s="524"/>
      <c r="N1505" s="524"/>
      <c r="O1505" s="524"/>
    </row>
    <row r="1506" spans="1:15" ht="43.5">
      <c r="A1506" s="525">
        <v>5513</v>
      </c>
      <c r="B1506" s="524" t="str">
        <f>VLOOKUP(A1506,'Hours Detail'!$E$17:$H$1048576,4,)</f>
        <v>No</v>
      </c>
      <c r="C1506" s="524" t="s">
        <v>158</v>
      </c>
      <c r="D1506" s="524" t="s">
        <v>494</v>
      </c>
      <c r="E1506" s="524" t="s">
        <v>495</v>
      </c>
      <c r="F1506" s="524" t="s">
        <v>495</v>
      </c>
      <c r="G1506" s="524" t="s">
        <v>495</v>
      </c>
      <c r="H1506" s="524" t="s">
        <v>495</v>
      </c>
      <c r="I1506" s="524" t="s">
        <v>7783</v>
      </c>
      <c r="J1506" s="524" t="s">
        <v>494</v>
      </c>
      <c r="K1506" s="524"/>
      <c r="L1506" s="524" t="s">
        <v>6386</v>
      </c>
      <c r="M1506" s="524" t="s">
        <v>6435</v>
      </c>
      <c r="N1506" s="524" t="s">
        <v>7784</v>
      </c>
      <c r="O1506" s="524"/>
    </row>
    <row r="1507" spans="1:15" ht="101.5">
      <c r="A1507" s="524">
        <v>5513</v>
      </c>
      <c r="B1507" s="524" t="str">
        <f>VLOOKUP(A1507,'Hours Detail'!$E$17:$H$1048576,4,)</f>
        <v>No</v>
      </c>
      <c r="C1507" s="524" t="s">
        <v>158</v>
      </c>
      <c r="D1507" s="527" t="s">
        <v>470</v>
      </c>
      <c r="E1507" s="527" t="s">
        <v>494</v>
      </c>
      <c r="F1507" s="527" t="s">
        <v>495</v>
      </c>
      <c r="G1507" s="527">
        <v>3</v>
      </c>
      <c r="H1507" s="527" t="s">
        <v>149</v>
      </c>
      <c r="I1507" s="527" t="s">
        <v>468</v>
      </c>
      <c r="J1507" s="527" t="s">
        <v>2889</v>
      </c>
      <c r="K1507" s="527" t="s">
        <v>2889</v>
      </c>
      <c r="L1507" s="527" t="s">
        <v>7785</v>
      </c>
      <c r="M1507" s="524"/>
      <c r="N1507" s="524"/>
      <c r="O1507" s="524"/>
    </row>
    <row r="1508" spans="1:15" ht="130.5" hidden="1">
      <c r="A1508" s="525">
        <v>5514</v>
      </c>
      <c r="B1508" s="524" t="str">
        <f>VLOOKUP(A1508,'Hours Detail'!$E$17:$H$1048576,4,)</f>
        <v>No</v>
      </c>
      <c r="C1508" s="524" t="s">
        <v>382</v>
      </c>
      <c r="D1508" s="524" t="s">
        <v>4003</v>
      </c>
      <c r="E1508" s="524" t="s">
        <v>4002</v>
      </c>
      <c r="F1508" s="524" t="s">
        <v>4002</v>
      </c>
      <c r="G1508" s="524" t="s">
        <v>4002</v>
      </c>
      <c r="H1508" s="524" t="s">
        <v>4002</v>
      </c>
      <c r="I1508" s="524" t="s">
        <v>7786</v>
      </c>
      <c r="J1508" s="524" t="s">
        <v>4003</v>
      </c>
      <c r="K1508" s="524"/>
      <c r="L1508" s="524" t="s">
        <v>6386</v>
      </c>
      <c r="M1508" s="524" t="s">
        <v>6488</v>
      </c>
      <c r="N1508" s="524" t="s">
        <v>7787</v>
      </c>
      <c r="O1508" s="524"/>
    </row>
    <row r="1509" spans="1:15" ht="101.5" hidden="1">
      <c r="A1509" s="527">
        <v>5514</v>
      </c>
      <c r="B1509" s="524" t="str">
        <f>VLOOKUP(A1509,'Hours Detail'!$E$17:$H$1048576,4,)</f>
        <v>No</v>
      </c>
      <c r="C1509" s="527" t="s">
        <v>382</v>
      </c>
      <c r="D1509" s="527" t="s">
        <v>955</v>
      </c>
      <c r="E1509" s="527" t="s">
        <v>1197</v>
      </c>
      <c r="F1509" s="527" t="s">
        <v>1198</v>
      </c>
      <c r="G1509" s="527">
        <v>28</v>
      </c>
      <c r="H1509" s="527" t="s">
        <v>9</v>
      </c>
      <c r="I1509" s="527" t="s">
        <v>953</v>
      </c>
      <c r="J1509" s="527" t="s">
        <v>2889</v>
      </c>
      <c r="K1509" s="527" t="s">
        <v>2890</v>
      </c>
      <c r="L1509" s="527" t="s">
        <v>7788</v>
      </c>
      <c r="M1509" s="524"/>
      <c r="N1509" s="524"/>
      <c r="O1509" s="524"/>
    </row>
    <row r="1510" spans="1:15" ht="87" hidden="1">
      <c r="A1510" s="525">
        <v>5515</v>
      </c>
      <c r="B1510" s="524" t="str">
        <f>VLOOKUP(A1510,'Hours Detail'!$E$17:$H$1048576,4,)</f>
        <v>No</v>
      </c>
      <c r="C1510" s="524" t="s">
        <v>4374</v>
      </c>
      <c r="D1510" s="524" t="s">
        <v>1038</v>
      </c>
      <c r="E1510" s="524" t="s">
        <v>1040</v>
      </c>
      <c r="F1510" s="524" t="s">
        <v>1040</v>
      </c>
      <c r="G1510" s="524" t="s">
        <v>1040</v>
      </c>
      <c r="H1510" s="524" t="s">
        <v>1040</v>
      </c>
      <c r="I1510" s="524" t="s">
        <v>7789</v>
      </c>
      <c r="J1510" s="524" t="s">
        <v>1038</v>
      </c>
      <c r="K1510" s="524"/>
      <c r="L1510" s="524" t="s">
        <v>6386</v>
      </c>
      <c r="M1510" s="524" t="s">
        <v>6488</v>
      </c>
      <c r="N1510" s="524" t="s">
        <v>7790</v>
      </c>
      <c r="O1510" s="524"/>
    </row>
    <row r="1511" spans="1:15" ht="116" hidden="1">
      <c r="A1511" s="527">
        <v>5515</v>
      </c>
      <c r="B1511" s="524" t="str">
        <f>VLOOKUP(A1511,'Hours Detail'!$E$17:$H$1048576,4,)</f>
        <v>No</v>
      </c>
      <c r="C1511" s="527" t="s">
        <v>2897</v>
      </c>
      <c r="D1511" s="527" t="s">
        <v>1041</v>
      </c>
      <c r="E1511" s="527" t="s">
        <v>1038</v>
      </c>
      <c r="F1511" s="527" t="s">
        <v>1040</v>
      </c>
      <c r="G1511" s="527">
        <v>86</v>
      </c>
      <c r="H1511" s="527" t="s">
        <v>20</v>
      </c>
      <c r="I1511" s="527" t="s">
        <v>1039</v>
      </c>
      <c r="J1511" s="527" t="s">
        <v>2889</v>
      </c>
      <c r="K1511" s="527" t="s">
        <v>2890</v>
      </c>
      <c r="L1511" s="527" t="s">
        <v>7791</v>
      </c>
      <c r="M1511" s="524"/>
      <c r="N1511" s="524"/>
      <c r="O1511" s="524"/>
    </row>
    <row r="1512" spans="1:15" ht="58" hidden="1">
      <c r="A1512" s="524">
        <v>5516</v>
      </c>
      <c r="B1512" s="524" t="str">
        <f>VLOOKUP(A1512,'Hours Detail'!$E$17:$H$1048576,4,)</f>
        <v>No</v>
      </c>
      <c r="C1512" s="524" t="s">
        <v>100</v>
      </c>
      <c r="D1512" s="524" t="s">
        <v>964</v>
      </c>
      <c r="E1512" s="524" t="s">
        <v>4001</v>
      </c>
      <c r="F1512" s="524" t="s">
        <v>4001</v>
      </c>
      <c r="G1512" s="524" t="s">
        <v>4001</v>
      </c>
      <c r="H1512" s="524" t="s">
        <v>4001</v>
      </c>
      <c r="I1512" s="524" t="s">
        <v>7792</v>
      </c>
      <c r="J1512" s="524" t="s">
        <v>964</v>
      </c>
      <c r="K1512" s="524"/>
      <c r="L1512" s="524" t="s">
        <v>6386</v>
      </c>
      <c r="M1512" s="524" t="s">
        <v>6488</v>
      </c>
      <c r="N1512" s="524"/>
      <c r="O1512" s="524"/>
    </row>
    <row r="1513" spans="1:15" ht="43.5" hidden="1">
      <c r="A1513" s="527">
        <v>5516</v>
      </c>
      <c r="B1513" s="524" t="str">
        <f>VLOOKUP(A1513,'Hours Detail'!$E$17:$H$1048576,4,)</f>
        <v>No</v>
      </c>
      <c r="C1513" s="527" t="s">
        <v>100</v>
      </c>
      <c r="D1513" s="527" t="s">
        <v>955</v>
      </c>
      <c r="E1513" s="527" t="s">
        <v>964</v>
      </c>
      <c r="F1513" s="527" t="s">
        <v>965</v>
      </c>
      <c r="G1513" s="527">
        <v>28</v>
      </c>
      <c r="H1513" s="527" t="s">
        <v>9</v>
      </c>
      <c r="I1513" s="527" t="s">
        <v>953</v>
      </c>
      <c r="J1513" s="527" t="s">
        <v>2889</v>
      </c>
      <c r="K1513" s="527" t="s">
        <v>2890</v>
      </c>
      <c r="L1513" s="527" t="s">
        <v>7793</v>
      </c>
      <c r="M1513" s="524"/>
      <c r="N1513" s="524"/>
      <c r="O1513" s="524"/>
    </row>
    <row r="1514" spans="1:15" ht="43.5" hidden="1">
      <c r="A1514" s="525">
        <v>6000</v>
      </c>
      <c r="B1514" s="524" t="e">
        <f>VLOOKUP(A1514,'Hours Detail'!$E$17:$H$1048576,4,)</f>
        <v>#N/A</v>
      </c>
      <c r="C1514" s="524" t="s">
        <v>252</v>
      </c>
      <c r="D1514" s="524" t="s">
        <v>1003</v>
      </c>
      <c r="E1514" s="524" t="s">
        <v>3933</v>
      </c>
      <c r="F1514" s="524" t="s">
        <v>3933</v>
      </c>
      <c r="G1514" s="524" t="s">
        <v>3933</v>
      </c>
      <c r="H1514" s="524" t="s">
        <v>3933</v>
      </c>
      <c r="I1514" s="524" t="s">
        <v>7794</v>
      </c>
      <c r="J1514" s="524" t="s">
        <v>1003</v>
      </c>
      <c r="K1514" s="524"/>
      <c r="L1514" s="524" t="s">
        <v>6400</v>
      </c>
      <c r="M1514" s="524" t="s">
        <v>6401</v>
      </c>
      <c r="N1514" s="524"/>
      <c r="O1514" s="524"/>
    </row>
    <row r="1515" spans="1:15" ht="43.5" hidden="1">
      <c r="A1515" s="527">
        <v>6000</v>
      </c>
      <c r="B1515" s="524" t="e">
        <f>VLOOKUP(A1515,'Hours Detail'!$E$17:$H$1048576,4,)</f>
        <v>#N/A</v>
      </c>
      <c r="C1515" s="527" t="s">
        <v>252</v>
      </c>
      <c r="D1515" s="527" t="s">
        <v>999</v>
      </c>
      <c r="E1515" s="527" t="s">
        <v>1003</v>
      </c>
      <c r="F1515" s="527" t="s">
        <v>1004</v>
      </c>
      <c r="G1515" s="527">
        <v>36</v>
      </c>
      <c r="H1515" s="527" t="s">
        <v>250</v>
      </c>
      <c r="I1515" s="527" t="s">
        <v>997</v>
      </c>
      <c r="J1515" s="527" t="s">
        <v>2890</v>
      </c>
      <c r="K1515" s="527" t="s">
        <v>2890</v>
      </c>
      <c r="L1515" s="527" t="s">
        <v>6371</v>
      </c>
      <c r="M1515" s="524"/>
      <c r="N1515" s="524"/>
      <c r="O1515" s="524"/>
    </row>
    <row r="1516" spans="1:15" ht="275.5">
      <c r="A1516" s="525">
        <v>6001</v>
      </c>
      <c r="B1516" s="525" t="str">
        <f>VLOOKUP(A1516,'Hours Detail'!E6:H36,4,)</f>
        <v>No</v>
      </c>
      <c r="C1516" s="524" t="s">
        <v>251</v>
      </c>
      <c r="D1516" s="524" t="s">
        <v>1005</v>
      </c>
      <c r="E1516" s="524" t="s">
        <v>1006</v>
      </c>
      <c r="F1516" s="524" t="s">
        <v>1006</v>
      </c>
      <c r="G1516" s="524" t="s">
        <v>1006</v>
      </c>
      <c r="H1516" s="524" t="s">
        <v>1006</v>
      </c>
      <c r="I1516" s="524" t="s">
        <v>7795</v>
      </c>
      <c r="J1516" s="524" t="s">
        <v>1005</v>
      </c>
      <c r="K1516" s="524" t="s">
        <v>6359</v>
      </c>
      <c r="L1516" s="524" t="s">
        <v>6386</v>
      </c>
      <c r="M1516" s="524" t="s">
        <v>6387</v>
      </c>
      <c r="N1516" s="524" t="s">
        <v>7796</v>
      </c>
      <c r="O1516" s="524"/>
    </row>
    <row r="1517" spans="1:15" ht="203" hidden="1">
      <c r="A1517" s="527">
        <v>6001</v>
      </c>
      <c r="B1517" s="527"/>
      <c r="C1517" s="527" t="s">
        <v>251</v>
      </c>
      <c r="D1517" s="527" t="s">
        <v>999</v>
      </c>
      <c r="E1517" s="527" t="s">
        <v>1005</v>
      </c>
      <c r="F1517" s="527" t="s">
        <v>1006</v>
      </c>
      <c r="G1517" s="527">
        <v>36</v>
      </c>
      <c r="H1517" s="527" t="s">
        <v>250</v>
      </c>
      <c r="I1517" s="527" t="s">
        <v>997</v>
      </c>
      <c r="J1517" s="527" t="s">
        <v>2889</v>
      </c>
      <c r="K1517" s="527" t="s">
        <v>2889</v>
      </c>
      <c r="L1517" s="527" t="s">
        <v>7797</v>
      </c>
      <c r="M1517" s="524"/>
      <c r="N1517" s="524"/>
      <c r="O1517" s="524"/>
    </row>
    <row r="1518" spans="1:15" ht="43.5" hidden="1">
      <c r="A1518" s="525">
        <v>6002</v>
      </c>
      <c r="B1518" s="525"/>
      <c r="C1518" s="524" t="s">
        <v>5796</v>
      </c>
      <c r="D1518" s="524" t="s">
        <v>5795</v>
      </c>
      <c r="E1518" s="524" t="s">
        <v>5794</v>
      </c>
      <c r="F1518" s="524" t="s">
        <v>5794</v>
      </c>
      <c r="G1518" s="524" t="s">
        <v>5794</v>
      </c>
      <c r="H1518" s="524" t="s">
        <v>5794</v>
      </c>
      <c r="I1518" s="524" t="s">
        <v>5795</v>
      </c>
      <c r="J1518" s="524" t="s">
        <v>5795</v>
      </c>
      <c r="K1518" s="524"/>
      <c r="L1518" s="524" t="s">
        <v>6400</v>
      </c>
      <c r="M1518" s="524" t="s">
        <v>6401</v>
      </c>
      <c r="N1518" s="524"/>
      <c r="O1518" s="524"/>
    </row>
    <row r="1519" spans="1:15" ht="43.5" hidden="1">
      <c r="A1519" s="525">
        <v>6005</v>
      </c>
      <c r="B1519" s="525"/>
      <c r="C1519" s="524" t="s">
        <v>7798</v>
      </c>
      <c r="D1519" s="524" t="s">
        <v>7801</v>
      </c>
      <c r="E1519" s="524" t="s">
        <v>7799</v>
      </c>
      <c r="F1519" s="524" t="s">
        <v>7799</v>
      </c>
      <c r="G1519" s="524" t="s">
        <v>7799</v>
      </c>
      <c r="H1519" s="524" t="s">
        <v>7799</v>
      </c>
      <c r="I1519" s="524" t="s">
        <v>7800</v>
      </c>
      <c r="J1519" s="524" t="s">
        <v>7801</v>
      </c>
      <c r="K1519" s="524"/>
      <c r="L1519" s="524" t="s">
        <v>6381</v>
      </c>
      <c r="M1519" s="524" t="s">
        <v>442</v>
      </c>
      <c r="N1519" s="524"/>
      <c r="O1519" s="524"/>
    </row>
    <row r="1520" spans="1:15" ht="58" hidden="1">
      <c r="A1520" s="525">
        <v>6201</v>
      </c>
      <c r="B1520" s="525"/>
      <c r="C1520" s="524" t="s">
        <v>5336</v>
      </c>
      <c r="D1520" s="524" t="s">
        <v>5335</v>
      </c>
      <c r="E1520" s="524" t="s">
        <v>5334</v>
      </c>
      <c r="F1520" s="524" t="s">
        <v>5334</v>
      </c>
      <c r="G1520" s="524" t="s">
        <v>5334</v>
      </c>
      <c r="H1520" s="524" t="s">
        <v>5334</v>
      </c>
      <c r="I1520" s="524" t="s">
        <v>7802</v>
      </c>
      <c r="J1520" s="524" t="s">
        <v>5335</v>
      </c>
      <c r="K1520" s="524"/>
      <c r="L1520" s="524" t="s">
        <v>6365</v>
      </c>
      <c r="M1520" s="524" t="s">
        <v>6366</v>
      </c>
      <c r="N1520" s="524"/>
      <c r="O1520" s="524"/>
    </row>
    <row r="1521" spans="1:15" ht="130.5" hidden="1">
      <c r="A1521" s="527">
        <v>6542</v>
      </c>
      <c r="B1521" s="527"/>
      <c r="C1521" s="527" t="s">
        <v>1227</v>
      </c>
      <c r="D1521" s="527" t="s">
        <v>4703</v>
      </c>
      <c r="E1521" s="527" t="s">
        <v>1228</v>
      </c>
      <c r="F1521" s="527" t="s">
        <v>1229</v>
      </c>
      <c r="G1521" s="527">
        <v>283</v>
      </c>
      <c r="H1521" s="527" t="s">
        <v>4705</v>
      </c>
      <c r="I1521" s="527" t="s">
        <v>4704</v>
      </c>
      <c r="J1521" s="527" t="s">
        <v>2890</v>
      </c>
      <c r="K1521" s="527" t="s">
        <v>2889</v>
      </c>
      <c r="L1521" s="527" t="s">
        <v>7803</v>
      </c>
      <c r="M1521" s="524"/>
      <c r="N1521" s="524"/>
      <c r="O1521" s="524"/>
    </row>
    <row r="1522" spans="1:15" ht="29" hidden="1">
      <c r="A1522" s="524">
        <v>7001</v>
      </c>
      <c r="B1522" s="524"/>
      <c r="C1522" s="524" t="s">
        <v>425</v>
      </c>
      <c r="D1522" s="524" t="s">
        <v>1517</v>
      </c>
      <c r="E1522" s="524" t="s">
        <v>1518</v>
      </c>
      <c r="F1522" s="524" t="s">
        <v>1518</v>
      </c>
      <c r="G1522" s="524" t="s">
        <v>1518</v>
      </c>
      <c r="H1522" s="524" t="s">
        <v>1518</v>
      </c>
      <c r="I1522" s="524" t="s">
        <v>7804</v>
      </c>
      <c r="J1522" s="524" t="s">
        <v>1517</v>
      </c>
      <c r="K1522" s="524"/>
      <c r="L1522" s="524" t="s">
        <v>6386</v>
      </c>
      <c r="M1522" s="524" t="s">
        <v>6424</v>
      </c>
      <c r="N1522" s="524"/>
      <c r="O1522" s="524"/>
    </row>
    <row r="1523" spans="1:15" ht="43.5" hidden="1">
      <c r="A1523" s="527">
        <v>7001</v>
      </c>
      <c r="B1523" s="527"/>
      <c r="C1523" s="527" t="s">
        <v>425</v>
      </c>
      <c r="D1523" s="527" t="s">
        <v>1518</v>
      </c>
      <c r="E1523" s="527" t="s">
        <v>1517</v>
      </c>
      <c r="F1523" s="527" t="s">
        <v>1518</v>
      </c>
      <c r="G1523" s="527">
        <v>454</v>
      </c>
      <c r="H1523" s="527" t="s">
        <v>425</v>
      </c>
      <c r="I1523" s="527" t="s">
        <v>1517</v>
      </c>
      <c r="J1523" s="527" t="s">
        <v>2890</v>
      </c>
      <c r="K1523" s="527" t="s">
        <v>2890</v>
      </c>
      <c r="L1523" s="527" t="s">
        <v>6371</v>
      </c>
      <c r="M1523" s="524"/>
      <c r="N1523" s="524"/>
      <c r="O1523" s="524"/>
    </row>
    <row r="1524" spans="1:15" ht="246.5" hidden="1">
      <c r="A1524" s="525">
        <v>7002</v>
      </c>
      <c r="B1524" s="525"/>
      <c r="C1524" s="524" t="s">
        <v>5781</v>
      </c>
      <c r="D1524" s="524" t="s">
        <v>5780</v>
      </c>
      <c r="E1524" s="524" t="s">
        <v>5779</v>
      </c>
      <c r="F1524" s="524" t="s">
        <v>5779</v>
      </c>
      <c r="G1524" s="524" t="s">
        <v>5779</v>
      </c>
      <c r="H1524" s="524" t="s">
        <v>5779</v>
      </c>
      <c r="I1524" s="524" t="s">
        <v>7805</v>
      </c>
      <c r="J1524" s="524" t="s">
        <v>5780</v>
      </c>
      <c r="K1524" s="524"/>
      <c r="L1524" s="524" t="s">
        <v>6402</v>
      </c>
      <c r="M1524" s="524" t="s">
        <v>6403</v>
      </c>
      <c r="N1524" s="524" t="s">
        <v>7806</v>
      </c>
      <c r="O1524" s="524"/>
    </row>
    <row r="1525" spans="1:15" ht="43.5" hidden="1">
      <c r="A1525" s="527">
        <v>7002</v>
      </c>
      <c r="B1525" s="527"/>
      <c r="C1525" s="527" t="s">
        <v>1492</v>
      </c>
      <c r="D1525" s="527" t="s">
        <v>1491</v>
      </c>
      <c r="E1525" s="527" t="s">
        <v>1493</v>
      </c>
      <c r="F1525" s="527" t="s">
        <v>1494</v>
      </c>
      <c r="G1525" s="527">
        <v>305</v>
      </c>
      <c r="H1525" s="527" t="s">
        <v>1487</v>
      </c>
      <c r="I1525" s="527" t="s">
        <v>1489</v>
      </c>
      <c r="J1525" s="527" t="s">
        <v>2890</v>
      </c>
      <c r="K1525" s="527" t="s">
        <v>2890</v>
      </c>
      <c r="L1525" s="527" t="s">
        <v>6371</v>
      </c>
      <c r="M1525" s="524"/>
      <c r="N1525" s="524"/>
      <c r="O1525" s="524"/>
    </row>
    <row r="1526" spans="1:15" ht="43.5" hidden="1">
      <c r="A1526" s="525">
        <v>7003</v>
      </c>
      <c r="B1526" s="525"/>
      <c r="C1526" s="524" t="s">
        <v>4965</v>
      </c>
      <c r="D1526" s="524" t="s">
        <v>1493</v>
      </c>
      <c r="E1526" s="524" t="s">
        <v>4964</v>
      </c>
      <c r="F1526" s="524" t="s">
        <v>4964</v>
      </c>
      <c r="G1526" s="524" t="s">
        <v>4964</v>
      </c>
      <c r="H1526" s="524" t="s">
        <v>4964</v>
      </c>
      <c r="I1526" s="524" t="s">
        <v>7807</v>
      </c>
      <c r="J1526" s="524" t="s">
        <v>1493</v>
      </c>
      <c r="K1526" s="524"/>
      <c r="L1526" s="524" t="s">
        <v>6386</v>
      </c>
      <c r="M1526" s="524" t="s">
        <v>6387</v>
      </c>
      <c r="N1526" s="524"/>
      <c r="O1526" s="524"/>
    </row>
    <row r="1527" spans="1:15" ht="29" hidden="1">
      <c r="A1527" s="524">
        <v>7004</v>
      </c>
      <c r="B1527" s="524"/>
      <c r="C1527" s="524" t="s">
        <v>417</v>
      </c>
      <c r="D1527" s="524" t="s">
        <v>1497</v>
      </c>
      <c r="E1527" s="524" t="s">
        <v>1498</v>
      </c>
      <c r="F1527" s="524" t="s">
        <v>1498</v>
      </c>
      <c r="G1527" s="524" t="s">
        <v>1498</v>
      </c>
      <c r="H1527" s="524" t="s">
        <v>1498</v>
      </c>
      <c r="I1527" s="524" t="s">
        <v>7808</v>
      </c>
      <c r="J1527" s="524" t="s">
        <v>1497</v>
      </c>
      <c r="K1527" s="524"/>
      <c r="L1527" s="524" t="s">
        <v>6381</v>
      </c>
      <c r="M1527" s="524" t="s">
        <v>6699</v>
      </c>
      <c r="N1527" s="524"/>
      <c r="O1527" s="524"/>
    </row>
    <row r="1528" spans="1:15" ht="29" hidden="1">
      <c r="A1528" s="527">
        <v>7004</v>
      </c>
      <c r="B1528" s="527"/>
      <c r="C1528" s="527" t="s">
        <v>417</v>
      </c>
      <c r="D1528" s="527" t="s">
        <v>2297</v>
      </c>
      <c r="E1528" s="527" t="s">
        <v>1497</v>
      </c>
      <c r="F1528" s="527" t="s">
        <v>1498</v>
      </c>
      <c r="G1528" s="527">
        <v>322</v>
      </c>
      <c r="H1528" s="527" t="s">
        <v>415</v>
      </c>
      <c r="I1528" s="527" t="s">
        <v>2296</v>
      </c>
      <c r="J1528" s="527" t="s">
        <v>2889</v>
      </c>
      <c r="K1528" s="527" t="s">
        <v>2890</v>
      </c>
      <c r="L1528" s="527" t="s">
        <v>6371</v>
      </c>
      <c r="M1528" s="524"/>
      <c r="N1528" s="524"/>
      <c r="O1528" s="524"/>
    </row>
    <row r="1529" spans="1:15" ht="130.5" hidden="1">
      <c r="A1529" s="525">
        <v>7005</v>
      </c>
      <c r="B1529" s="525"/>
      <c r="C1529" s="524" t="s">
        <v>175</v>
      </c>
      <c r="D1529" s="524" t="s">
        <v>529</v>
      </c>
      <c r="E1529" s="524" t="s">
        <v>530</v>
      </c>
      <c r="F1529" s="524" t="s">
        <v>530</v>
      </c>
      <c r="G1529" s="524" t="s">
        <v>530</v>
      </c>
      <c r="H1529" s="524" t="s">
        <v>530</v>
      </c>
      <c r="I1529" s="524" t="s">
        <v>7809</v>
      </c>
      <c r="J1529" s="524" t="s">
        <v>7810</v>
      </c>
      <c r="K1529" s="524" t="s">
        <v>6359</v>
      </c>
      <c r="L1529" s="524" t="s">
        <v>6399</v>
      </c>
      <c r="M1529" s="524" t="s">
        <v>188</v>
      </c>
      <c r="N1529" s="524" t="s">
        <v>7811</v>
      </c>
      <c r="O1529" s="524"/>
    </row>
    <row r="1530" spans="1:15" ht="145" hidden="1">
      <c r="A1530" s="527">
        <v>7005</v>
      </c>
      <c r="B1530" s="527"/>
      <c r="C1530" s="527" t="s">
        <v>175</v>
      </c>
      <c r="D1530" s="527" t="s">
        <v>522</v>
      </c>
      <c r="E1530" s="527" t="s">
        <v>529</v>
      </c>
      <c r="F1530" s="527" t="s">
        <v>530</v>
      </c>
      <c r="G1530" s="527">
        <v>4</v>
      </c>
      <c r="H1530" s="527" t="s">
        <v>10</v>
      </c>
      <c r="I1530" s="527" t="s">
        <v>522</v>
      </c>
      <c r="J1530" s="527" t="s">
        <v>2889</v>
      </c>
      <c r="K1530" s="527" t="s">
        <v>2890</v>
      </c>
      <c r="L1530" s="527" t="s">
        <v>7812</v>
      </c>
      <c r="M1530" s="524"/>
      <c r="N1530" s="524"/>
      <c r="O1530" s="524"/>
    </row>
    <row r="1531" spans="1:15" ht="43.5" hidden="1">
      <c r="A1531" s="525">
        <v>7006</v>
      </c>
      <c r="B1531" s="525"/>
      <c r="C1531" s="524" t="s">
        <v>441</v>
      </c>
      <c r="D1531" s="524" t="s">
        <v>1560</v>
      </c>
      <c r="E1531" s="524" t="s">
        <v>1561</v>
      </c>
      <c r="F1531" s="524" t="s">
        <v>1561</v>
      </c>
      <c r="G1531" s="524" t="s">
        <v>1561</v>
      </c>
      <c r="H1531" s="524" t="s">
        <v>1561</v>
      </c>
      <c r="I1531" s="524" t="s">
        <v>7813</v>
      </c>
      <c r="J1531" s="524" t="s">
        <v>1560</v>
      </c>
      <c r="K1531" s="524" t="s">
        <v>6359</v>
      </c>
      <c r="L1531" s="524" t="s">
        <v>6379</v>
      </c>
      <c r="M1531" s="524" t="s">
        <v>6380</v>
      </c>
      <c r="N1531" s="524" t="s">
        <v>7814</v>
      </c>
      <c r="O1531" s="524"/>
    </row>
    <row r="1532" spans="1:15" ht="145" hidden="1">
      <c r="A1532" s="527">
        <v>7006</v>
      </c>
      <c r="B1532" s="527"/>
      <c r="C1532" s="527" t="s">
        <v>441</v>
      </c>
      <c r="D1532" s="527" t="s">
        <v>2332</v>
      </c>
      <c r="E1532" s="527" t="s">
        <v>1560</v>
      </c>
      <c r="F1532" s="527" t="s">
        <v>1561</v>
      </c>
      <c r="G1532" s="527">
        <v>681</v>
      </c>
      <c r="H1532" s="527" t="s">
        <v>440</v>
      </c>
      <c r="I1532" s="527" t="s">
        <v>2331</v>
      </c>
      <c r="J1532" s="527" t="s">
        <v>2889</v>
      </c>
      <c r="K1532" s="527" t="s">
        <v>2889</v>
      </c>
      <c r="L1532" s="527" t="s">
        <v>7815</v>
      </c>
      <c r="M1532" s="524"/>
      <c r="N1532" s="524"/>
      <c r="O1532" s="524"/>
    </row>
    <row r="1533" spans="1:15" ht="58" hidden="1">
      <c r="A1533" s="525">
        <v>7007</v>
      </c>
      <c r="B1533" s="525"/>
      <c r="C1533" s="524" t="s">
        <v>314</v>
      </c>
      <c r="D1533" s="524" t="s">
        <v>1175</v>
      </c>
      <c r="E1533" s="524" t="s">
        <v>1176</v>
      </c>
      <c r="F1533" s="524" t="s">
        <v>1176</v>
      </c>
      <c r="G1533" s="524" t="s">
        <v>1176</v>
      </c>
      <c r="H1533" s="524" t="s">
        <v>1176</v>
      </c>
      <c r="I1533" s="524" t="s">
        <v>7816</v>
      </c>
      <c r="J1533" s="524" t="s">
        <v>1175</v>
      </c>
      <c r="K1533" s="524" t="s">
        <v>6359</v>
      </c>
      <c r="L1533" s="524" t="s">
        <v>6381</v>
      </c>
      <c r="M1533" s="524" t="s">
        <v>442</v>
      </c>
      <c r="N1533" s="524"/>
      <c r="O1533" s="524"/>
    </row>
    <row r="1534" spans="1:15" ht="145" hidden="1">
      <c r="A1534" s="527">
        <v>7007</v>
      </c>
      <c r="B1534" s="527"/>
      <c r="C1534" s="527" t="s">
        <v>314</v>
      </c>
      <c r="D1534" s="527" t="s">
        <v>2166</v>
      </c>
      <c r="E1534" s="527" t="s">
        <v>1175</v>
      </c>
      <c r="F1534" s="527" t="s">
        <v>1176</v>
      </c>
      <c r="G1534" s="527">
        <v>105</v>
      </c>
      <c r="H1534" s="527" t="s">
        <v>313</v>
      </c>
      <c r="I1534" s="527" t="s">
        <v>2309</v>
      </c>
      <c r="J1534" s="527" t="s">
        <v>2889</v>
      </c>
      <c r="K1534" s="527" t="s">
        <v>2889</v>
      </c>
      <c r="L1534" s="527" t="s">
        <v>7817</v>
      </c>
      <c r="M1534" s="524"/>
      <c r="N1534" s="524"/>
      <c r="O1534" s="524"/>
    </row>
    <row r="1535" spans="1:15" ht="29" hidden="1">
      <c r="A1535" s="525">
        <v>7008</v>
      </c>
      <c r="B1535" s="525"/>
      <c r="C1535" s="524" t="s">
        <v>35</v>
      </c>
      <c r="D1535" s="524" t="s">
        <v>915</v>
      </c>
      <c r="E1535" s="524" t="s">
        <v>35</v>
      </c>
      <c r="F1535" s="524" t="s">
        <v>35</v>
      </c>
      <c r="G1535" s="524" t="s">
        <v>35</v>
      </c>
      <c r="H1535" s="524" t="s">
        <v>35</v>
      </c>
      <c r="I1535" s="524" t="s">
        <v>7818</v>
      </c>
      <c r="J1535" s="524" t="s">
        <v>915</v>
      </c>
      <c r="K1535" s="524" t="s">
        <v>6359</v>
      </c>
      <c r="L1535" s="524" t="s">
        <v>6368</v>
      </c>
      <c r="M1535" s="524" t="s">
        <v>2573</v>
      </c>
      <c r="N1535" s="524"/>
      <c r="O1535" s="524"/>
    </row>
    <row r="1536" spans="1:15" ht="72.5" hidden="1">
      <c r="A1536" s="527">
        <v>7008</v>
      </c>
      <c r="B1536" s="527"/>
      <c r="C1536" s="527" t="s">
        <v>35</v>
      </c>
      <c r="D1536" s="527" t="s">
        <v>891</v>
      </c>
      <c r="E1536" s="527" t="s">
        <v>915</v>
      </c>
      <c r="F1536" s="527" t="s">
        <v>35</v>
      </c>
      <c r="G1536" s="527">
        <v>23</v>
      </c>
      <c r="H1536" s="527" t="s">
        <v>7</v>
      </c>
      <c r="I1536" s="527" t="s">
        <v>890</v>
      </c>
      <c r="J1536" s="527" t="s">
        <v>2889</v>
      </c>
      <c r="K1536" s="527" t="s">
        <v>2889</v>
      </c>
      <c r="L1536" s="527" t="s">
        <v>7819</v>
      </c>
      <c r="M1536" s="524"/>
      <c r="N1536" s="524"/>
      <c r="O1536" s="524"/>
    </row>
    <row r="1537" spans="1:15" ht="58" hidden="1">
      <c r="A1537" s="525">
        <v>7009</v>
      </c>
      <c r="B1537" s="525"/>
      <c r="C1537" s="524" t="s">
        <v>324</v>
      </c>
      <c r="D1537" s="524" t="s">
        <v>1183</v>
      </c>
      <c r="E1537" s="524" t="s">
        <v>3900</v>
      </c>
      <c r="F1537" s="524" t="s">
        <v>3900</v>
      </c>
      <c r="G1537" s="524" t="s">
        <v>3900</v>
      </c>
      <c r="H1537" s="524" t="s">
        <v>3900</v>
      </c>
      <c r="I1537" s="524" t="s">
        <v>7820</v>
      </c>
      <c r="J1537" s="524" t="s">
        <v>1183</v>
      </c>
      <c r="K1537" s="524" t="s">
        <v>6359</v>
      </c>
      <c r="L1537" s="524" t="s">
        <v>6379</v>
      </c>
      <c r="M1537" s="524" t="s">
        <v>6380</v>
      </c>
      <c r="N1537" s="524" t="s">
        <v>7821</v>
      </c>
      <c r="O1537" s="524"/>
    </row>
    <row r="1538" spans="1:15" ht="101.5" hidden="1">
      <c r="A1538" s="527">
        <v>7009</v>
      </c>
      <c r="B1538" s="527"/>
      <c r="C1538" s="527" t="s">
        <v>324</v>
      </c>
      <c r="D1538" s="527" t="s">
        <v>2175</v>
      </c>
      <c r="E1538" s="527" t="s">
        <v>1183</v>
      </c>
      <c r="F1538" s="527" t="s">
        <v>1184</v>
      </c>
      <c r="G1538" s="527">
        <v>212</v>
      </c>
      <c r="H1538" s="527" t="s">
        <v>323</v>
      </c>
      <c r="I1538" s="527" t="s">
        <v>2323</v>
      </c>
      <c r="J1538" s="527" t="s">
        <v>2889</v>
      </c>
      <c r="K1538" s="527" t="s">
        <v>2889</v>
      </c>
      <c r="L1538" s="527" t="s">
        <v>7822</v>
      </c>
      <c r="M1538" s="524"/>
      <c r="N1538" s="524"/>
      <c r="O1538" s="524"/>
    </row>
    <row r="1539" spans="1:15" ht="87" hidden="1">
      <c r="A1539" s="525">
        <v>7010</v>
      </c>
      <c r="B1539" s="525"/>
      <c r="C1539" s="524" t="s">
        <v>201</v>
      </c>
      <c r="D1539" s="524" t="s">
        <v>4201</v>
      </c>
      <c r="E1539" s="524" t="s">
        <v>650</v>
      </c>
      <c r="F1539" s="524" t="s">
        <v>650</v>
      </c>
      <c r="G1539" s="524" t="s">
        <v>650</v>
      </c>
      <c r="H1539" s="524" t="s">
        <v>650</v>
      </c>
      <c r="I1539" s="524" t="s">
        <v>7823</v>
      </c>
      <c r="J1539" s="524" t="s">
        <v>4201</v>
      </c>
      <c r="K1539" s="524"/>
      <c r="L1539" s="524" t="s">
        <v>6365</v>
      </c>
      <c r="M1539" s="524" t="s">
        <v>6366</v>
      </c>
      <c r="N1539" s="524"/>
      <c r="O1539" s="524"/>
    </row>
    <row r="1540" spans="1:15" ht="58" hidden="1">
      <c r="A1540" s="527">
        <v>7010</v>
      </c>
      <c r="B1540" s="527"/>
      <c r="C1540" s="527" t="s">
        <v>201</v>
      </c>
      <c r="D1540" s="527" t="s">
        <v>2171</v>
      </c>
      <c r="E1540" s="527" t="s">
        <v>649</v>
      </c>
      <c r="F1540" s="527" t="s">
        <v>650</v>
      </c>
      <c r="G1540" s="527">
        <v>8</v>
      </c>
      <c r="H1540" s="527" t="s">
        <v>188</v>
      </c>
      <c r="I1540" s="527" t="s">
        <v>2314</v>
      </c>
      <c r="J1540" s="527" t="s">
        <v>2889</v>
      </c>
      <c r="K1540" s="527" t="s">
        <v>2890</v>
      </c>
      <c r="L1540" s="527" t="s">
        <v>7824</v>
      </c>
      <c r="M1540" s="524"/>
      <c r="N1540" s="524"/>
      <c r="O1540" s="524"/>
    </row>
    <row r="1541" spans="1:15" ht="87" hidden="1">
      <c r="A1541" s="525">
        <v>7011</v>
      </c>
      <c r="B1541" s="525"/>
      <c r="C1541" s="524" t="s">
        <v>4178</v>
      </c>
      <c r="D1541" s="524" t="s">
        <v>7826</v>
      </c>
      <c r="E1541" s="524" t="s">
        <v>675</v>
      </c>
      <c r="F1541" s="524" t="s">
        <v>675</v>
      </c>
      <c r="G1541" s="524" t="s">
        <v>675</v>
      </c>
      <c r="H1541" s="524" t="s">
        <v>675</v>
      </c>
      <c r="I1541" s="524" t="s">
        <v>7825</v>
      </c>
      <c r="J1541" s="524" t="s">
        <v>7826</v>
      </c>
      <c r="K1541" s="524" t="s">
        <v>6359</v>
      </c>
      <c r="L1541" s="524" t="s">
        <v>6368</v>
      </c>
      <c r="M1541" s="524" t="s">
        <v>6370</v>
      </c>
      <c r="N1541" s="524"/>
      <c r="O1541" s="524"/>
    </row>
    <row r="1542" spans="1:15" ht="145" hidden="1">
      <c r="A1542" s="527">
        <v>7011</v>
      </c>
      <c r="B1542" s="527"/>
      <c r="C1542" s="527" t="s">
        <v>2900</v>
      </c>
      <c r="D1542" s="527" t="s">
        <v>676</v>
      </c>
      <c r="E1542" s="527" t="s">
        <v>673</v>
      </c>
      <c r="F1542" s="527" t="s">
        <v>675</v>
      </c>
      <c r="G1542" s="527">
        <v>9</v>
      </c>
      <c r="H1542" s="527" t="s">
        <v>0</v>
      </c>
      <c r="I1542" s="527" t="s">
        <v>674</v>
      </c>
      <c r="J1542" s="527" t="s">
        <v>2889</v>
      </c>
      <c r="K1542" s="527" t="s">
        <v>2889</v>
      </c>
      <c r="L1542" s="527" t="s">
        <v>7827</v>
      </c>
      <c r="M1542" s="524"/>
      <c r="N1542" s="524"/>
      <c r="O1542" s="524"/>
    </row>
    <row r="1543" spans="1:15" ht="72.5" hidden="1">
      <c r="A1543" s="525">
        <v>7012</v>
      </c>
      <c r="B1543" s="525"/>
      <c r="C1543" s="524" t="s">
        <v>912</v>
      </c>
      <c r="D1543" s="524" t="s">
        <v>913</v>
      </c>
      <c r="E1543" s="524" t="s">
        <v>914</v>
      </c>
      <c r="F1543" s="524" t="s">
        <v>914</v>
      </c>
      <c r="G1543" s="524" t="s">
        <v>914</v>
      </c>
      <c r="H1543" s="524" t="s">
        <v>914</v>
      </c>
      <c r="I1543" s="524" t="s">
        <v>7828</v>
      </c>
      <c r="J1543" s="524" t="s">
        <v>913</v>
      </c>
      <c r="K1543" s="524" t="s">
        <v>6359</v>
      </c>
      <c r="L1543" s="524" t="s">
        <v>6368</v>
      </c>
      <c r="M1543" s="524" t="s">
        <v>2573</v>
      </c>
      <c r="N1543" s="524"/>
      <c r="O1543" s="524"/>
    </row>
    <row r="1544" spans="1:15" ht="116" hidden="1">
      <c r="A1544" s="527">
        <v>7012</v>
      </c>
      <c r="B1544" s="527"/>
      <c r="C1544" s="527" t="s">
        <v>912</v>
      </c>
      <c r="D1544" s="527" t="s">
        <v>891</v>
      </c>
      <c r="E1544" s="527" t="s">
        <v>913</v>
      </c>
      <c r="F1544" s="527" t="s">
        <v>914</v>
      </c>
      <c r="G1544" s="527">
        <v>23</v>
      </c>
      <c r="H1544" s="527" t="s">
        <v>7</v>
      </c>
      <c r="I1544" s="527" t="s">
        <v>890</v>
      </c>
      <c r="J1544" s="527" t="s">
        <v>2889</v>
      </c>
      <c r="K1544" s="527" t="s">
        <v>2889</v>
      </c>
      <c r="L1544" s="527" t="s">
        <v>7829</v>
      </c>
      <c r="M1544" s="524"/>
      <c r="N1544" s="524"/>
      <c r="O1544" s="524"/>
    </row>
    <row r="1545" spans="1:15" ht="87" hidden="1">
      <c r="A1545" s="525">
        <v>7015</v>
      </c>
      <c r="B1545" s="525"/>
      <c r="C1545" s="524" t="s">
        <v>255</v>
      </c>
      <c r="D1545" s="524" t="s">
        <v>1012</v>
      </c>
      <c r="E1545" s="524" t="s">
        <v>1013</v>
      </c>
      <c r="F1545" s="524" t="s">
        <v>1013</v>
      </c>
      <c r="G1545" s="524" t="s">
        <v>1013</v>
      </c>
      <c r="H1545" s="524" t="s">
        <v>1013</v>
      </c>
      <c r="I1545" s="524" t="s">
        <v>7830</v>
      </c>
      <c r="J1545" s="524" t="s">
        <v>1012</v>
      </c>
      <c r="K1545" s="524"/>
      <c r="L1545" s="524" t="s">
        <v>6365</v>
      </c>
      <c r="M1545" s="524" t="s">
        <v>6366</v>
      </c>
      <c r="N1545" s="524" t="s">
        <v>7831</v>
      </c>
      <c r="O1545" s="524"/>
    </row>
    <row r="1546" spans="1:15" ht="58" hidden="1">
      <c r="A1546" s="527">
        <v>7015</v>
      </c>
      <c r="B1546" s="527"/>
      <c r="C1546" s="527" t="s">
        <v>255</v>
      </c>
      <c r="D1546" s="527" t="s">
        <v>1011</v>
      </c>
      <c r="E1546" s="527" t="s">
        <v>1012</v>
      </c>
      <c r="F1546" s="527" t="s">
        <v>1013</v>
      </c>
      <c r="G1546" s="527">
        <v>38</v>
      </c>
      <c r="H1546" s="527" t="s">
        <v>42</v>
      </c>
      <c r="I1546" s="527" t="s">
        <v>1009</v>
      </c>
      <c r="J1546" s="527" t="s">
        <v>2889</v>
      </c>
      <c r="K1546" s="527" t="s">
        <v>2890</v>
      </c>
      <c r="L1546" s="527" t="s">
        <v>6371</v>
      </c>
      <c r="M1546" s="524"/>
      <c r="N1546" s="524"/>
      <c r="O1546" s="524"/>
    </row>
    <row r="1547" spans="1:15" ht="72.5" hidden="1">
      <c r="A1547" s="525">
        <v>7020</v>
      </c>
      <c r="B1547" s="525"/>
      <c r="C1547" s="524" t="s">
        <v>217</v>
      </c>
      <c r="D1547" s="524" t="s">
        <v>4068</v>
      </c>
      <c r="E1547" s="524" t="s">
        <v>780</v>
      </c>
      <c r="F1547" s="524" t="s">
        <v>780</v>
      </c>
      <c r="G1547" s="524" t="s">
        <v>780</v>
      </c>
      <c r="H1547" s="524" t="s">
        <v>780</v>
      </c>
      <c r="I1547" s="524" t="s">
        <v>7832</v>
      </c>
      <c r="J1547" s="524" t="s">
        <v>4068</v>
      </c>
      <c r="K1547" s="524" t="s">
        <v>6359</v>
      </c>
      <c r="L1547" s="524" t="s">
        <v>6414</v>
      </c>
      <c r="M1547" s="524" t="s">
        <v>6415</v>
      </c>
      <c r="N1547" s="524"/>
      <c r="O1547" s="524"/>
    </row>
    <row r="1548" spans="1:15" ht="130.5" hidden="1">
      <c r="A1548" s="527">
        <v>7020</v>
      </c>
      <c r="B1548" s="527"/>
      <c r="C1548" s="527" t="s">
        <v>217</v>
      </c>
      <c r="D1548" s="527" t="s">
        <v>770</v>
      </c>
      <c r="E1548" s="527" t="s">
        <v>779</v>
      </c>
      <c r="F1548" s="527" t="s">
        <v>780</v>
      </c>
      <c r="G1548" s="527">
        <v>15</v>
      </c>
      <c r="H1548" s="527" t="s">
        <v>768</v>
      </c>
      <c r="I1548" s="527" t="s">
        <v>769</v>
      </c>
      <c r="J1548" s="527" t="s">
        <v>2889</v>
      </c>
      <c r="K1548" s="527" t="s">
        <v>2889</v>
      </c>
      <c r="L1548" s="527" t="s">
        <v>7833</v>
      </c>
      <c r="M1548" s="524"/>
      <c r="N1548" s="524"/>
      <c r="O1548" s="524"/>
    </row>
    <row r="1549" spans="1:15" ht="130.5" hidden="1">
      <c r="A1549" s="525">
        <v>7021</v>
      </c>
      <c r="B1549" s="525"/>
      <c r="C1549" s="524" t="s">
        <v>68</v>
      </c>
      <c r="D1549" s="524" t="s">
        <v>571</v>
      </c>
      <c r="E1549" s="524" t="s">
        <v>572</v>
      </c>
      <c r="F1549" s="524" t="s">
        <v>572</v>
      </c>
      <c r="G1549" s="524" t="s">
        <v>572</v>
      </c>
      <c r="H1549" s="524" t="s">
        <v>572</v>
      </c>
      <c r="I1549" s="524" t="s">
        <v>7834</v>
      </c>
      <c r="J1549" s="524" t="s">
        <v>571</v>
      </c>
      <c r="K1549" s="524" t="s">
        <v>6359</v>
      </c>
      <c r="L1549" s="524" t="s">
        <v>6399</v>
      </c>
      <c r="M1549" s="524" t="s">
        <v>6437</v>
      </c>
      <c r="N1549" s="524" t="s">
        <v>7835</v>
      </c>
      <c r="O1549" s="524"/>
    </row>
    <row r="1550" spans="1:15" ht="130.5" hidden="1">
      <c r="A1550" s="527">
        <v>7021</v>
      </c>
      <c r="B1550" s="527"/>
      <c r="C1550" s="527" t="s">
        <v>68</v>
      </c>
      <c r="D1550" s="527" t="s">
        <v>2312</v>
      </c>
      <c r="E1550" s="527" t="s">
        <v>571</v>
      </c>
      <c r="F1550" s="527" t="s">
        <v>572</v>
      </c>
      <c r="G1550" s="527">
        <v>6</v>
      </c>
      <c r="H1550" s="527" t="s">
        <v>58</v>
      </c>
      <c r="I1550" s="527" t="s">
        <v>2311</v>
      </c>
      <c r="J1550" s="527" t="s">
        <v>2889</v>
      </c>
      <c r="K1550" s="527" t="s">
        <v>2889</v>
      </c>
      <c r="L1550" s="527" t="s">
        <v>7836</v>
      </c>
      <c r="M1550" s="524"/>
      <c r="N1550" s="524"/>
      <c r="O1550" s="524"/>
    </row>
    <row r="1551" spans="1:15" ht="43.5" hidden="1">
      <c r="A1551" s="525">
        <v>7022</v>
      </c>
      <c r="B1551" s="525"/>
      <c r="C1551" s="524" t="s">
        <v>224</v>
      </c>
      <c r="D1551" s="524" t="s">
        <v>4074</v>
      </c>
      <c r="E1551" s="524" t="s">
        <v>776</v>
      </c>
      <c r="F1551" s="524" t="s">
        <v>776</v>
      </c>
      <c r="G1551" s="524" t="s">
        <v>776</v>
      </c>
      <c r="H1551" s="524" t="s">
        <v>776</v>
      </c>
      <c r="I1551" s="524" t="s">
        <v>7837</v>
      </c>
      <c r="J1551" s="524" t="s">
        <v>4074</v>
      </c>
      <c r="K1551" s="524" t="s">
        <v>6359</v>
      </c>
      <c r="L1551" s="524" t="s">
        <v>6379</v>
      </c>
      <c r="M1551" s="524" t="s">
        <v>6502</v>
      </c>
      <c r="N1551" s="524"/>
      <c r="O1551" s="524"/>
    </row>
    <row r="1552" spans="1:15" ht="116" hidden="1">
      <c r="A1552" s="527">
        <v>7022</v>
      </c>
      <c r="B1552" s="527"/>
      <c r="C1552" s="527" t="s">
        <v>224</v>
      </c>
      <c r="D1552" s="527" t="s">
        <v>770</v>
      </c>
      <c r="E1552" s="527" t="s">
        <v>775</v>
      </c>
      <c r="F1552" s="527" t="s">
        <v>776</v>
      </c>
      <c r="G1552" s="527">
        <v>15</v>
      </c>
      <c r="H1552" s="527" t="s">
        <v>768</v>
      </c>
      <c r="I1552" s="527" t="s">
        <v>769</v>
      </c>
      <c r="J1552" s="527" t="s">
        <v>2889</v>
      </c>
      <c r="K1552" s="527" t="s">
        <v>2889</v>
      </c>
      <c r="L1552" s="527" t="s">
        <v>7838</v>
      </c>
      <c r="M1552" s="524"/>
      <c r="N1552" s="524"/>
      <c r="O1552" s="524"/>
    </row>
    <row r="1553" spans="1:15" ht="58" hidden="1">
      <c r="A1553" s="525">
        <v>7023</v>
      </c>
      <c r="B1553" s="525"/>
      <c r="C1553" s="524" t="s">
        <v>153</v>
      </c>
      <c r="D1553" s="524" t="s">
        <v>500</v>
      </c>
      <c r="E1553" s="524" t="s">
        <v>501</v>
      </c>
      <c r="F1553" s="524" t="s">
        <v>501</v>
      </c>
      <c r="G1553" s="524" t="s">
        <v>501</v>
      </c>
      <c r="H1553" s="524" t="s">
        <v>501</v>
      </c>
      <c r="I1553" s="524" t="s">
        <v>7839</v>
      </c>
      <c r="J1553" s="524" t="s">
        <v>500</v>
      </c>
      <c r="K1553" s="524" t="s">
        <v>6359</v>
      </c>
      <c r="L1553" s="524" t="s">
        <v>6381</v>
      </c>
      <c r="M1553" s="524" t="s">
        <v>522</v>
      </c>
      <c r="N1553" s="524" t="s">
        <v>7840</v>
      </c>
      <c r="O1553" s="524"/>
    </row>
    <row r="1554" spans="1:15" ht="116" hidden="1">
      <c r="A1554" s="527">
        <v>7023</v>
      </c>
      <c r="B1554" s="527"/>
      <c r="C1554" s="527" t="s">
        <v>153</v>
      </c>
      <c r="D1554" s="527" t="s">
        <v>470</v>
      </c>
      <c r="E1554" s="527" t="s">
        <v>500</v>
      </c>
      <c r="F1554" s="527" t="s">
        <v>501</v>
      </c>
      <c r="G1554" s="527">
        <v>3</v>
      </c>
      <c r="H1554" s="527" t="s">
        <v>149</v>
      </c>
      <c r="I1554" s="527" t="s">
        <v>468</v>
      </c>
      <c r="J1554" s="527" t="s">
        <v>2889</v>
      </c>
      <c r="K1554" s="527" t="s">
        <v>2889</v>
      </c>
      <c r="L1554" s="527" t="s">
        <v>7841</v>
      </c>
      <c r="M1554" s="524"/>
      <c r="N1554" s="524"/>
      <c r="O1554" s="524"/>
    </row>
    <row r="1555" spans="1:15" ht="130.5" hidden="1">
      <c r="A1555" s="525">
        <v>7024</v>
      </c>
      <c r="B1555" s="525"/>
      <c r="C1555" s="524" t="s">
        <v>424</v>
      </c>
      <c r="D1555" s="524" t="s">
        <v>424</v>
      </c>
      <c r="E1555" s="524" t="s">
        <v>424</v>
      </c>
      <c r="F1555" s="524" t="s">
        <v>424</v>
      </c>
      <c r="G1555" s="524" t="s">
        <v>424</v>
      </c>
      <c r="H1555" s="524" t="s">
        <v>424</v>
      </c>
      <c r="I1555" s="524" t="s">
        <v>424</v>
      </c>
      <c r="J1555" s="524" t="s">
        <v>424</v>
      </c>
      <c r="K1555" s="524" t="s">
        <v>6359</v>
      </c>
      <c r="L1555" s="524" t="s">
        <v>6386</v>
      </c>
      <c r="M1555" s="524" t="s">
        <v>6424</v>
      </c>
      <c r="N1555" s="524" t="s">
        <v>7842</v>
      </c>
      <c r="O1555" s="524"/>
    </row>
    <row r="1556" spans="1:15" ht="188.5" hidden="1">
      <c r="A1556" s="527">
        <v>7024</v>
      </c>
      <c r="B1556" s="527"/>
      <c r="C1556" s="527" t="s">
        <v>424</v>
      </c>
      <c r="D1556" s="527" t="s">
        <v>423</v>
      </c>
      <c r="E1556" s="527" t="s">
        <v>424</v>
      </c>
      <c r="F1556" s="527" t="s">
        <v>424</v>
      </c>
      <c r="G1556" s="527">
        <v>453</v>
      </c>
      <c r="H1556" s="527" t="s">
        <v>423</v>
      </c>
      <c r="I1556" s="527" t="s">
        <v>2326</v>
      </c>
      <c r="J1556" s="527" t="s">
        <v>2889</v>
      </c>
      <c r="K1556" s="527" t="s">
        <v>2889</v>
      </c>
      <c r="L1556" s="527" t="s">
        <v>7843</v>
      </c>
      <c r="M1556" s="524"/>
      <c r="N1556" s="524"/>
      <c r="O1556" s="524"/>
    </row>
    <row r="1557" spans="1:15" ht="72.5" hidden="1">
      <c r="A1557" s="525">
        <v>7026</v>
      </c>
      <c r="B1557" s="525"/>
      <c r="C1557" s="524" t="s">
        <v>260</v>
      </c>
      <c r="D1557" s="524" t="s">
        <v>1021</v>
      </c>
      <c r="E1557" s="524" t="s">
        <v>1023</v>
      </c>
      <c r="F1557" s="524" t="s">
        <v>1023</v>
      </c>
      <c r="G1557" s="524" t="s">
        <v>1023</v>
      </c>
      <c r="H1557" s="524" t="s">
        <v>1023</v>
      </c>
      <c r="I1557" s="524" t="s">
        <v>7844</v>
      </c>
      <c r="J1557" s="524" t="s">
        <v>1021</v>
      </c>
      <c r="K1557" s="524" t="s">
        <v>6359</v>
      </c>
      <c r="L1557" s="524" t="s">
        <v>6379</v>
      </c>
      <c r="M1557" s="524" t="s">
        <v>6380</v>
      </c>
      <c r="N1557" s="524" t="s">
        <v>7845</v>
      </c>
      <c r="O1557" s="524"/>
    </row>
    <row r="1558" spans="1:15" ht="116" hidden="1">
      <c r="A1558" s="527">
        <v>7026</v>
      </c>
      <c r="B1558" s="527"/>
      <c r="C1558" s="527" t="s">
        <v>260</v>
      </c>
      <c r="D1558" s="527" t="s">
        <v>1024</v>
      </c>
      <c r="E1558" s="527" t="s">
        <v>1021</v>
      </c>
      <c r="F1558" s="527" t="s">
        <v>1023</v>
      </c>
      <c r="G1558" s="527">
        <v>71</v>
      </c>
      <c r="H1558" s="527" t="s">
        <v>257</v>
      </c>
      <c r="I1558" s="527" t="s">
        <v>1022</v>
      </c>
      <c r="J1558" s="527" t="s">
        <v>2889</v>
      </c>
      <c r="K1558" s="527" t="s">
        <v>2889</v>
      </c>
      <c r="L1558" s="527" t="s">
        <v>7846</v>
      </c>
      <c r="M1558" s="524"/>
      <c r="N1558" s="524"/>
      <c r="O1558" s="524"/>
    </row>
    <row r="1559" spans="1:15" ht="130.5" hidden="1">
      <c r="A1559" s="525">
        <v>7027</v>
      </c>
      <c r="B1559" s="525"/>
      <c r="C1559" s="524" t="s">
        <v>428</v>
      </c>
      <c r="D1559" s="524" t="s">
        <v>1521</v>
      </c>
      <c r="E1559" s="524" t="s">
        <v>1522</v>
      </c>
      <c r="F1559" s="524" t="s">
        <v>1522</v>
      </c>
      <c r="G1559" s="524" t="s">
        <v>1522</v>
      </c>
      <c r="H1559" s="524" t="s">
        <v>1522</v>
      </c>
      <c r="I1559" s="524" t="s">
        <v>7847</v>
      </c>
      <c r="J1559" s="524" t="s">
        <v>1521</v>
      </c>
      <c r="K1559" s="524" t="s">
        <v>6359</v>
      </c>
      <c r="L1559" s="524" t="s">
        <v>6386</v>
      </c>
      <c r="M1559" s="524" t="s">
        <v>6424</v>
      </c>
      <c r="N1559" s="524" t="s">
        <v>7848</v>
      </c>
      <c r="O1559" s="524"/>
    </row>
    <row r="1560" spans="1:15" ht="87" hidden="1">
      <c r="A1560" s="527">
        <v>7027</v>
      </c>
      <c r="B1560" s="527"/>
      <c r="C1560" s="527" t="s">
        <v>428</v>
      </c>
      <c r="D1560" s="527" t="s">
        <v>2328</v>
      </c>
      <c r="E1560" s="527" t="s">
        <v>1521</v>
      </c>
      <c r="F1560" s="527" t="s">
        <v>1522</v>
      </c>
      <c r="G1560" s="527">
        <v>456</v>
      </c>
      <c r="H1560" s="527" t="s">
        <v>342</v>
      </c>
      <c r="I1560" s="527" t="s">
        <v>2327</v>
      </c>
      <c r="J1560" s="527" t="s">
        <v>2889</v>
      </c>
      <c r="K1560" s="527" t="s">
        <v>2890</v>
      </c>
      <c r="L1560" s="527" t="s">
        <v>7849</v>
      </c>
      <c r="M1560" s="524"/>
      <c r="N1560" s="524"/>
      <c r="O1560" s="524"/>
    </row>
    <row r="1561" spans="1:15" ht="43.5" hidden="1">
      <c r="A1561" s="524">
        <v>7028</v>
      </c>
      <c r="B1561" s="524"/>
      <c r="C1561" s="524" t="s">
        <v>55</v>
      </c>
      <c r="D1561" s="524" t="s">
        <v>794</v>
      </c>
      <c r="E1561" s="524" t="s">
        <v>796</v>
      </c>
      <c r="F1561" s="524" t="s">
        <v>796</v>
      </c>
      <c r="G1561" s="524" t="s">
        <v>796</v>
      </c>
      <c r="H1561" s="524" t="s">
        <v>796</v>
      </c>
      <c r="I1561" s="524" t="s">
        <v>7850</v>
      </c>
      <c r="J1561" s="524" t="s">
        <v>794</v>
      </c>
      <c r="K1561" s="524" t="s">
        <v>6359</v>
      </c>
      <c r="L1561" s="524" t="s">
        <v>6399</v>
      </c>
      <c r="M1561" s="524" t="s">
        <v>6437</v>
      </c>
      <c r="N1561" s="524"/>
      <c r="O1561" s="524"/>
    </row>
    <row r="1562" spans="1:15" ht="72.5" hidden="1">
      <c r="A1562" s="527">
        <v>7028</v>
      </c>
      <c r="B1562" s="527"/>
      <c r="C1562" s="527" t="s">
        <v>55</v>
      </c>
      <c r="D1562" s="527" t="s">
        <v>797</v>
      </c>
      <c r="E1562" s="527" t="s">
        <v>794</v>
      </c>
      <c r="F1562" s="527" t="s">
        <v>796</v>
      </c>
      <c r="G1562" s="527">
        <v>16</v>
      </c>
      <c r="H1562" s="527" t="s">
        <v>3</v>
      </c>
      <c r="I1562" s="527" t="s">
        <v>795</v>
      </c>
      <c r="J1562" s="527" t="s">
        <v>2889</v>
      </c>
      <c r="K1562" s="527" t="s">
        <v>2889</v>
      </c>
      <c r="L1562" s="527" t="s">
        <v>7851</v>
      </c>
      <c r="M1562" s="524"/>
      <c r="N1562" s="524"/>
      <c r="O1562" s="524"/>
    </row>
    <row r="1563" spans="1:15" ht="101.5" hidden="1">
      <c r="A1563" s="525">
        <v>7029</v>
      </c>
      <c r="B1563" s="525"/>
      <c r="C1563" s="524" t="s">
        <v>190</v>
      </c>
      <c r="D1563" s="524" t="s">
        <v>651</v>
      </c>
      <c r="E1563" s="524" t="s">
        <v>652</v>
      </c>
      <c r="F1563" s="524" t="s">
        <v>652</v>
      </c>
      <c r="G1563" s="524" t="s">
        <v>652</v>
      </c>
      <c r="H1563" s="524" t="s">
        <v>652</v>
      </c>
      <c r="I1563" s="524" t="s">
        <v>7852</v>
      </c>
      <c r="J1563" s="524" t="s">
        <v>651</v>
      </c>
      <c r="K1563" s="524" t="s">
        <v>6359</v>
      </c>
      <c r="L1563" s="524" t="s">
        <v>6399</v>
      </c>
      <c r="M1563" s="524" t="s">
        <v>188</v>
      </c>
      <c r="N1563" s="524" t="s">
        <v>7853</v>
      </c>
      <c r="O1563" s="524"/>
    </row>
    <row r="1564" spans="1:15" ht="130.5" hidden="1">
      <c r="A1564" s="527">
        <v>7029</v>
      </c>
      <c r="B1564" s="527"/>
      <c r="C1564" s="527" t="s">
        <v>190</v>
      </c>
      <c r="D1564" s="527" t="s">
        <v>2171</v>
      </c>
      <c r="E1564" s="527" t="s">
        <v>651</v>
      </c>
      <c r="F1564" s="527" t="s">
        <v>652</v>
      </c>
      <c r="G1564" s="527">
        <v>8</v>
      </c>
      <c r="H1564" s="527" t="s">
        <v>188</v>
      </c>
      <c r="I1564" s="527" t="s">
        <v>2314</v>
      </c>
      <c r="J1564" s="527" t="s">
        <v>2889</v>
      </c>
      <c r="K1564" s="527" t="s">
        <v>2889</v>
      </c>
      <c r="L1564" s="527" t="s">
        <v>7854</v>
      </c>
      <c r="M1564" s="524"/>
      <c r="N1564" s="524"/>
      <c r="O1564" s="524"/>
    </row>
    <row r="1565" spans="1:15" ht="159.5" hidden="1">
      <c r="A1565" s="525">
        <v>7030</v>
      </c>
      <c r="B1565" s="525"/>
      <c r="C1565" s="524" t="s">
        <v>203</v>
      </c>
      <c r="D1565" s="524" t="s">
        <v>638</v>
      </c>
      <c r="E1565" s="524" t="s">
        <v>639</v>
      </c>
      <c r="F1565" s="524" t="s">
        <v>639</v>
      </c>
      <c r="G1565" s="524" t="s">
        <v>639</v>
      </c>
      <c r="H1565" s="524" t="s">
        <v>639</v>
      </c>
      <c r="I1565" s="524" t="s">
        <v>7855</v>
      </c>
      <c r="J1565" s="524" t="s">
        <v>638</v>
      </c>
      <c r="K1565" s="524" t="s">
        <v>6359</v>
      </c>
      <c r="L1565" s="524" t="s">
        <v>6399</v>
      </c>
      <c r="M1565" s="524" t="s">
        <v>188</v>
      </c>
      <c r="N1565" s="524" t="s">
        <v>7856</v>
      </c>
      <c r="O1565" s="524"/>
    </row>
    <row r="1566" spans="1:15" ht="116" hidden="1">
      <c r="A1566" s="527">
        <v>7030</v>
      </c>
      <c r="B1566" s="527"/>
      <c r="C1566" s="527" t="s">
        <v>203</v>
      </c>
      <c r="D1566" s="527" t="s">
        <v>2171</v>
      </c>
      <c r="E1566" s="527" t="s">
        <v>638</v>
      </c>
      <c r="F1566" s="527" t="s">
        <v>639</v>
      </c>
      <c r="G1566" s="527">
        <v>8</v>
      </c>
      <c r="H1566" s="527" t="s">
        <v>188</v>
      </c>
      <c r="I1566" s="527" t="s">
        <v>2314</v>
      </c>
      <c r="J1566" s="527" t="s">
        <v>2889</v>
      </c>
      <c r="K1566" s="527" t="s">
        <v>2889</v>
      </c>
      <c r="L1566" s="527" t="s">
        <v>7857</v>
      </c>
      <c r="M1566" s="524"/>
      <c r="N1566" s="524"/>
      <c r="O1566" s="524"/>
    </row>
    <row r="1567" spans="1:15" ht="58" hidden="1">
      <c r="A1567" s="525">
        <v>7031</v>
      </c>
      <c r="B1567" s="525"/>
      <c r="C1567" s="524" t="s">
        <v>196</v>
      </c>
      <c r="D1567" s="524" t="s">
        <v>643</v>
      </c>
      <c r="E1567" s="524" t="s">
        <v>644</v>
      </c>
      <c r="F1567" s="524" t="s">
        <v>644</v>
      </c>
      <c r="G1567" s="524" t="s">
        <v>644</v>
      </c>
      <c r="H1567" s="524" t="s">
        <v>644</v>
      </c>
      <c r="I1567" s="524" t="s">
        <v>7858</v>
      </c>
      <c r="J1567" s="524" t="s">
        <v>643</v>
      </c>
      <c r="K1567" s="524"/>
      <c r="L1567" s="524" t="s">
        <v>6399</v>
      </c>
      <c r="M1567" s="524" t="s">
        <v>188</v>
      </c>
      <c r="N1567" s="524"/>
      <c r="O1567" s="524"/>
    </row>
    <row r="1568" spans="1:15" ht="43.5" hidden="1">
      <c r="A1568" s="527">
        <v>7031</v>
      </c>
      <c r="B1568" s="527"/>
      <c r="C1568" s="527" t="s">
        <v>196</v>
      </c>
      <c r="D1568" s="527" t="s">
        <v>2171</v>
      </c>
      <c r="E1568" s="527" t="s">
        <v>643</v>
      </c>
      <c r="F1568" s="527" t="s">
        <v>644</v>
      </c>
      <c r="G1568" s="527">
        <v>8</v>
      </c>
      <c r="H1568" s="527" t="s">
        <v>188</v>
      </c>
      <c r="I1568" s="527" t="s">
        <v>2314</v>
      </c>
      <c r="J1568" s="527" t="s">
        <v>2889</v>
      </c>
      <c r="K1568" s="527" t="s">
        <v>2889</v>
      </c>
      <c r="L1568" s="527" t="s">
        <v>6371</v>
      </c>
      <c r="M1568" s="524"/>
      <c r="N1568" s="524"/>
      <c r="O1568" s="524"/>
    </row>
    <row r="1569" spans="1:15" ht="72.5" hidden="1">
      <c r="A1569" s="525">
        <v>7032</v>
      </c>
      <c r="B1569" s="525"/>
      <c r="C1569" s="524" t="s">
        <v>318</v>
      </c>
      <c r="D1569" s="524" t="s">
        <v>1166</v>
      </c>
      <c r="E1569" s="524" t="s">
        <v>1167</v>
      </c>
      <c r="F1569" s="524" t="s">
        <v>1167</v>
      </c>
      <c r="G1569" s="524" t="s">
        <v>1167</v>
      </c>
      <c r="H1569" s="524" t="s">
        <v>1167</v>
      </c>
      <c r="I1569" s="524" t="s">
        <v>7859</v>
      </c>
      <c r="J1569" s="524" t="s">
        <v>1166</v>
      </c>
      <c r="K1569" s="524" t="s">
        <v>6359</v>
      </c>
      <c r="L1569" s="524" t="s">
        <v>6379</v>
      </c>
      <c r="M1569" s="524" t="s">
        <v>6380</v>
      </c>
      <c r="N1569" s="524" t="s">
        <v>7860</v>
      </c>
      <c r="O1569" s="524"/>
    </row>
    <row r="1570" spans="1:15" ht="116" hidden="1">
      <c r="A1570" s="527">
        <v>7032</v>
      </c>
      <c r="B1570" s="527"/>
      <c r="C1570" s="527" t="s">
        <v>318</v>
      </c>
      <c r="D1570" s="527" t="s">
        <v>2166</v>
      </c>
      <c r="E1570" s="527" t="s">
        <v>1166</v>
      </c>
      <c r="F1570" s="527" t="s">
        <v>1167</v>
      </c>
      <c r="G1570" s="527">
        <v>105</v>
      </c>
      <c r="H1570" s="527" t="s">
        <v>313</v>
      </c>
      <c r="I1570" s="527" t="s">
        <v>2309</v>
      </c>
      <c r="J1570" s="527" t="s">
        <v>2889</v>
      </c>
      <c r="K1570" s="527" t="s">
        <v>2889</v>
      </c>
      <c r="L1570" s="527" t="s">
        <v>7861</v>
      </c>
      <c r="M1570" s="524"/>
      <c r="N1570" s="524"/>
      <c r="O1570" s="524"/>
    </row>
    <row r="1571" spans="1:15" ht="58" hidden="1">
      <c r="A1571" s="525">
        <v>7033</v>
      </c>
      <c r="B1571" s="525"/>
      <c r="C1571" s="524" t="s">
        <v>3636</v>
      </c>
      <c r="D1571" s="524" t="s">
        <v>3635</v>
      </c>
      <c r="E1571" s="524" t="s">
        <v>3634</v>
      </c>
      <c r="F1571" s="524" t="s">
        <v>3634</v>
      </c>
      <c r="G1571" s="524" t="s">
        <v>3634</v>
      </c>
      <c r="H1571" s="524" t="s">
        <v>3634</v>
      </c>
      <c r="I1571" s="524" t="s">
        <v>7862</v>
      </c>
      <c r="J1571" s="524" t="s">
        <v>3635</v>
      </c>
      <c r="K1571" s="524"/>
      <c r="L1571" s="524" t="s">
        <v>6386</v>
      </c>
      <c r="M1571" s="524" t="s">
        <v>6424</v>
      </c>
      <c r="N1571" s="524"/>
      <c r="O1571" s="524"/>
    </row>
    <row r="1572" spans="1:15" ht="43.5" hidden="1">
      <c r="A1572" s="525">
        <v>7036</v>
      </c>
      <c r="B1572" s="525"/>
      <c r="C1572" s="524" t="s">
        <v>347</v>
      </c>
      <c r="D1572" s="524" t="s">
        <v>1285</v>
      </c>
      <c r="E1572" s="524" t="s">
        <v>1286</v>
      </c>
      <c r="F1572" s="524" t="s">
        <v>1286</v>
      </c>
      <c r="G1572" s="524" t="s">
        <v>1286</v>
      </c>
      <c r="H1572" s="524" t="s">
        <v>1286</v>
      </c>
      <c r="I1572" s="524" t="s">
        <v>1285</v>
      </c>
      <c r="J1572" s="524" t="s">
        <v>1285</v>
      </c>
      <c r="K1572" s="524"/>
      <c r="L1572" s="524" t="s">
        <v>6365</v>
      </c>
      <c r="M1572" s="524" t="s">
        <v>216</v>
      </c>
      <c r="N1572" s="524"/>
      <c r="O1572" s="524"/>
    </row>
    <row r="1573" spans="1:15" ht="58" hidden="1">
      <c r="A1573" s="527">
        <v>7036</v>
      </c>
      <c r="B1573" s="527"/>
      <c r="C1573" s="527" t="s">
        <v>347</v>
      </c>
      <c r="D1573" s="527" t="s">
        <v>4703</v>
      </c>
      <c r="E1573" s="527" t="s">
        <v>1285</v>
      </c>
      <c r="F1573" s="527" t="s">
        <v>1286</v>
      </c>
      <c r="G1573" s="527">
        <v>283</v>
      </c>
      <c r="H1573" s="527" t="s">
        <v>4705</v>
      </c>
      <c r="I1573" s="527" t="s">
        <v>4704</v>
      </c>
      <c r="J1573" s="527" t="s">
        <v>2890</v>
      </c>
      <c r="K1573" s="527" t="s">
        <v>2890</v>
      </c>
      <c r="L1573" s="527" t="s">
        <v>6371</v>
      </c>
      <c r="M1573" s="524"/>
      <c r="N1573" s="524"/>
      <c r="O1573" s="524"/>
    </row>
    <row r="1574" spans="1:15" ht="29" hidden="1">
      <c r="A1574" s="525">
        <v>7040</v>
      </c>
      <c r="B1574" s="525"/>
      <c r="C1574" s="524" t="s">
        <v>4918</v>
      </c>
      <c r="D1574" s="524" t="s">
        <v>4917</v>
      </c>
      <c r="E1574" s="524" t="s">
        <v>4916</v>
      </c>
      <c r="F1574" s="524" t="s">
        <v>4916</v>
      </c>
      <c r="G1574" s="524" t="s">
        <v>4916</v>
      </c>
      <c r="H1574" s="524" t="s">
        <v>4916</v>
      </c>
      <c r="I1574" s="524" t="s">
        <v>4917</v>
      </c>
      <c r="J1574" s="524" t="s">
        <v>4917</v>
      </c>
      <c r="K1574" s="524"/>
      <c r="L1574" s="524" t="s">
        <v>6397</v>
      </c>
      <c r="M1574" s="524" t="s">
        <v>6421</v>
      </c>
      <c r="N1574" s="524"/>
      <c r="O1574" s="524"/>
    </row>
    <row r="1575" spans="1:15" ht="43.5" hidden="1">
      <c r="A1575" s="525">
        <v>7041</v>
      </c>
      <c r="B1575" s="525"/>
      <c r="C1575" s="524" t="s">
        <v>416</v>
      </c>
      <c r="D1575" s="524" t="s">
        <v>1499</v>
      </c>
      <c r="E1575" s="524" t="s">
        <v>1500</v>
      </c>
      <c r="F1575" s="524" t="s">
        <v>1500</v>
      </c>
      <c r="G1575" s="524" t="s">
        <v>1500</v>
      </c>
      <c r="H1575" s="524" t="s">
        <v>1500</v>
      </c>
      <c r="I1575" s="524" t="s">
        <v>7863</v>
      </c>
      <c r="J1575" s="524" t="s">
        <v>1499</v>
      </c>
      <c r="K1575" s="524" t="s">
        <v>6359</v>
      </c>
      <c r="L1575" s="524" t="s">
        <v>6381</v>
      </c>
      <c r="M1575" s="524" t="s">
        <v>6699</v>
      </c>
      <c r="N1575" s="524"/>
      <c r="O1575" s="524"/>
    </row>
    <row r="1576" spans="1:15" ht="87" hidden="1">
      <c r="A1576" s="527">
        <v>7041</v>
      </c>
      <c r="B1576" s="527"/>
      <c r="C1576" s="527" t="s">
        <v>416</v>
      </c>
      <c r="D1576" s="527" t="s">
        <v>2297</v>
      </c>
      <c r="E1576" s="527" t="s">
        <v>1499</v>
      </c>
      <c r="F1576" s="527" t="s">
        <v>1500</v>
      </c>
      <c r="G1576" s="527">
        <v>322</v>
      </c>
      <c r="H1576" s="527" t="s">
        <v>415</v>
      </c>
      <c r="I1576" s="527" t="s">
        <v>2296</v>
      </c>
      <c r="J1576" s="527" t="s">
        <v>2889</v>
      </c>
      <c r="K1576" s="527" t="s">
        <v>2890</v>
      </c>
      <c r="L1576" s="527" t="s">
        <v>7864</v>
      </c>
      <c r="M1576" s="524"/>
      <c r="N1576" s="524"/>
      <c r="O1576" s="524"/>
    </row>
    <row r="1577" spans="1:15" ht="145" hidden="1">
      <c r="A1577" s="525">
        <v>7042</v>
      </c>
      <c r="B1577" s="525"/>
      <c r="C1577" s="524" t="s">
        <v>148</v>
      </c>
      <c r="D1577" s="524" t="s">
        <v>563</v>
      </c>
      <c r="E1577" s="524" t="s">
        <v>564</v>
      </c>
      <c r="F1577" s="524" t="s">
        <v>564</v>
      </c>
      <c r="G1577" s="524" t="s">
        <v>564</v>
      </c>
      <c r="H1577" s="524" t="s">
        <v>564</v>
      </c>
      <c r="I1577" s="524" t="s">
        <v>7865</v>
      </c>
      <c r="J1577" s="524" t="s">
        <v>563</v>
      </c>
      <c r="K1577" s="524" t="s">
        <v>6359</v>
      </c>
      <c r="L1577" s="524" t="s">
        <v>6399</v>
      </c>
      <c r="M1577" s="524" t="s">
        <v>6459</v>
      </c>
      <c r="N1577" s="524" t="s">
        <v>7866</v>
      </c>
      <c r="O1577" s="524"/>
    </row>
    <row r="1578" spans="1:15" ht="145" hidden="1">
      <c r="A1578" s="527">
        <v>7042</v>
      </c>
      <c r="B1578" s="527"/>
      <c r="C1578" s="527" t="s">
        <v>148</v>
      </c>
      <c r="D1578" s="527" t="s">
        <v>2312</v>
      </c>
      <c r="E1578" s="527" t="s">
        <v>563</v>
      </c>
      <c r="F1578" s="527" t="s">
        <v>564</v>
      </c>
      <c r="G1578" s="527">
        <v>6</v>
      </c>
      <c r="H1578" s="527" t="s">
        <v>58</v>
      </c>
      <c r="I1578" s="527" t="s">
        <v>2311</v>
      </c>
      <c r="J1578" s="527" t="s">
        <v>2889</v>
      </c>
      <c r="K1578" s="527" t="s">
        <v>2889</v>
      </c>
      <c r="L1578" s="527" t="s">
        <v>7867</v>
      </c>
      <c r="M1578" s="524"/>
      <c r="N1578" s="524"/>
      <c r="O1578" s="524"/>
    </row>
    <row r="1579" spans="1:15" ht="87" hidden="1">
      <c r="A1579" s="525">
        <v>7043</v>
      </c>
      <c r="B1579" s="525"/>
      <c r="C1579" s="524" t="s">
        <v>223</v>
      </c>
      <c r="D1579" s="524" t="s">
        <v>4070</v>
      </c>
      <c r="E1579" s="524" t="s">
        <v>784</v>
      </c>
      <c r="F1579" s="524" t="s">
        <v>784</v>
      </c>
      <c r="G1579" s="524" t="s">
        <v>784</v>
      </c>
      <c r="H1579" s="524" t="s">
        <v>784</v>
      </c>
      <c r="I1579" s="524" t="s">
        <v>7868</v>
      </c>
      <c r="J1579" s="524" t="s">
        <v>4070</v>
      </c>
      <c r="K1579" s="524" t="s">
        <v>6359</v>
      </c>
      <c r="L1579" s="524" t="s">
        <v>6379</v>
      </c>
      <c r="M1579" s="524" t="s">
        <v>6502</v>
      </c>
      <c r="N1579" s="524" t="s">
        <v>7869</v>
      </c>
      <c r="O1579" s="524"/>
    </row>
    <row r="1580" spans="1:15" ht="116" hidden="1">
      <c r="A1580" s="527">
        <v>7043</v>
      </c>
      <c r="B1580" s="527"/>
      <c r="C1580" s="527" t="s">
        <v>223</v>
      </c>
      <c r="D1580" s="527" t="s">
        <v>770</v>
      </c>
      <c r="E1580" s="527" t="s">
        <v>783</v>
      </c>
      <c r="F1580" s="527" t="s">
        <v>784</v>
      </c>
      <c r="G1580" s="527">
        <v>15</v>
      </c>
      <c r="H1580" s="527" t="s">
        <v>768</v>
      </c>
      <c r="I1580" s="527" t="s">
        <v>769</v>
      </c>
      <c r="J1580" s="527" t="s">
        <v>2889</v>
      </c>
      <c r="K1580" s="527" t="s">
        <v>2889</v>
      </c>
      <c r="L1580" s="527" t="s">
        <v>7870</v>
      </c>
      <c r="M1580" s="524"/>
      <c r="N1580" s="524"/>
      <c r="O1580" s="524"/>
    </row>
    <row r="1581" spans="1:15" ht="58" hidden="1">
      <c r="A1581" s="525">
        <v>7044</v>
      </c>
      <c r="B1581" s="525"/>
      <c r="C1581" s="524" t="s">
        <v>370</v>
      </c>
      <c r="D1581" s="524" t="s">
        <v>1213</v>
      </c>
      <c r="E1581" s="524" t="s">
        <v>1214</v>
      </c>
      <c r="F1581" s="524" t="s">
        <v>1214</v>
      </c>
      <c r="G1581" s="524" t="s">
        <v>1214</v>
      </c>
      <c r="H1581" s="524" t="s">
        <v>1214</v>
      </c>
      <c r="I1581" s="524" t="s">
        <v>7871</v>
      </c>
      <c r="J1581" s="524" t="s">
        <v>1213</v>
      </c>
      <c r="K1581" s="524"/>
      <c r="L1581" s="524" t="s">
        <v>6365</v>
      </c>
      <c r="M1581" s="524" t="s">
        <v>6366</v>
      </c>
      <c r="N1581" s="524"/>
      <c r="O1581" s="524"/>
    </row>
    <row r="1582" spans="1:15" ht="130.5" hidden="1">
      <c r="A1582" s="527">
        <v>7044</v>
      </c>
      <c r="B1582" s="527"/>
      <c r="C1582" s="527" t="s">
        <v>370</v>
      </c>
      <c r="D1582" s="527" t="s">
        <v>4703</v>
      </c>
      <c r="E1582" s="527" t="s">
        <v>1213</v>
      </c>
      <c r="F1582" s="527" t="s">
        <v>1214</v>
      </c>
      <c r="G1582" s="527">
        <v>283</v>
      </c>
      <c r="H1582" s="527" t="s">
        <v>4705</v>
      </c>
      <c r="I1582" s="527" t="s">
        <v>4704</v>
      </c>
      <c r="J1582" s="527" t="s">
        <v>2890</v>
      </c>
      <c r="K1582" s="527" t="s">
        <v>2890</v>
      </c>
      <c r="L1582" s="527" t="s">
        <v>7872</v>
      </c>
      <c r="M1582" s="524"/>
      <c r="N1582" s="524"/>
      <c r="O1582" s="524"/>
    </row>
    <row r="1583" spans="1:15" ht="58" hidden="1">
      <c r="A1583" s="525">
        <v>7045</v>
      </c>
      <c r="B1583" s="525"/>
      <c r="C1583" s="524" t="s">
        <v>1000</v>
      </c>
      <c r="D1583" s="524" t="s">
        <v>1001</v>
      </c>
      <c r="E1583" s="524" t="s">
        <v>1002</v>
      </c>
      <c r="F1583" s="524" t="s">
        <v>1002</v>
      </c>
      <c r="G1583" s="524" t="s">
        <v>1002</v>
      </c>
      <c r="H1583" s="524" t="s">
        <v>1002</v>
      </c>
      <c r="I1583" s="524" t="s">
        <v>1001</v>
      </c>
      <c r="J1583" s="524" t="s">
        <v>1001</v>
      </c>
      <c r="K1583" s="524"/>
      <c r="L1583" s="524" t="s">
        <v>6399</v>
      </c>
      <c r="M1583" s="524" t="s">
        <v>6437</v>
      </c>
      <c r="N1583" s="524"/>
      <c r="O1583" s="524"/>
    </row>
    <row r="1584" spans="1:15" ht="43.5" hidden="1">
      <c r="A1584" s="527">
        <v>7045</v>
      </c>
      <c r="B1584" s="527"/>
      <c r="C1584" s="527" t="s">
        <v>1000</v>
      </c>
      <c r="D1584" s="527" t="s">
        <v>999</v>
      </c>
      <c r="E1584" s="527" t="s">
        <v>1001</v>
      </c>
      <c r="F1584" s="527" t="s">
        <v>1002</v>
      </c>
      <c r="G1584" s="527">
        <v>36</v>
      </c>
      <c r="H1584" s="527" t="s">
        <v>250</v>
      </c>
      <c r="I1584" s="527" t="s">
        <v>997</v>
      </c>
      <c r="J1584" s="527" t="s">
        <v>2890</v>
      </c>
      <c r="K1584" s="527" t="s">
        <v>2890</v>
      </c>
      <c r="L1584" s="527" t="s">
        <v>6371</v>
      </c>
      <c r="M1584" s="524"/>
      <c r="N1584" s="524"/>
      <c r="O1584" s="524"/>
    </row>
    <row r="1585" spans="1:15" ht="43.5" hidden="1">
      <c r="A1585" s="524">
        <v>7047</v>
      </c>
      <c r="B1585" s="524"/>
      <c r="C1585" s="524" t="s">
        <v>7873</v>
      </c>
      <c r="D1585" s="524" t="s">
        <v>7875</v>
      </c>
      <c r="E1585" s="524" t="s">
        <v>7873</v>
      </c>
      <c r="F1585" s="524" t="s">
        <v>7873</v>
      </c>
      <c r="G1585" s="524" t="s">
        <v>7873</v>
      </c>
      <c r="H1585" s="524" t="s">
        <v>7873</v>
      </c>
      <c r="I1585" s="524" t="s">
        <v>7874</v>
      </c>
      <c r="J1585" s="524" t="s">
        <v>7875</v>
      </c>
      <c r="K1585" s="524" t="s">
        <v>6359</v>
      </c>
      <c r="L1585" s="524" t="s">
        <v>6376</v>
      </c>
      <c r="M1585" s="524" t="s">
        <v>6377</v>
      </c>
      <c r="N1585" s="524"/>
      <c r="O1585" s="524"/>
    </row>
    <row r="1586" spans="1:15" ht="101.5" hidden="1">
      <c r="A1586" s="525">
        <v>7048</v>
      </c>
      <c r="B1586" s="525"/>
      <c r="C1586" s="524" t="s">
        <v>62</v>
      </c>
      <c r="D1586" s="524" t="s">
        <v>573</v>
      </c>
      <c r="E1586" s="524" t="s">
        <v>574</v>
      </c>
      <c r="F1586" s="524" t="s">
        <v>574</v>
      </c>
      <c r="G1586" s="524" t="s">
        <v>574</v>
      </c>
      <c r="H1586" s="524" t="s">
        <v>574</v>
      </c>
      <c r="I1586" s="524" t="s">
        <v>7876</v>
      </c>
      <c r="J1586" s="524" t="s">
        <v>7877</v>
      </c>
      <c r="K1586" s="524"/>
      <c r="L1586" s="524" t="s">
        <v>6399</v>
      </c>
      <c r="M1586" s="524" t="s">
        <v>6437</v>
      </c>
      <c r="N1586" s="524" t="s">
        <v>7878</v>
      </c>
      <c r="O1586" s="524"/>
    </row>
    <row r="1587" spans="1:15" ht="72.5" hidden="1">
      <c r="A1587" s="527">
        <v>7048</v>
      </c>
      <c r="B1587" s="527"/>
      <c r="C1587" s="527" t="s">
        <v>62</v>
      </c>
      <c r="D1587" s="527" t="s">
        <v>2312</v>
      </c>
      <c r="E1587" s="527" t="s">
        <v>573</v>
      </c>
      <c r="F1587" s="527" t="s">
        <v>574</v>
      </c>
      <c r="G1587" s="527">
        <v>6</v>
      </c>
      <c r="H1587" s="527" t="s">
        <v>58</v>
      </c>
      <c r="I1587" s="527" t="s">
        <v>2311</v>
      </c>
      <c r="J1587" s="527" t="s">
        <v>2890</v>
      </c>
      <c r="K1587" s="527" t="s">
        <v>2890</v>
      </c>
      <c r="L1587" s="527" t="s">
        <v>7879</v>
      </c>
      <c r="M1587" s="524"/>
      <c r="N1587" s="524"/>
      <c r="O1587" s="524"/>
    </row>
    <row r="1588" spans="1:15" ht="29" hidden="1">
      <c r="A1588" s="524">
        <v>7049</v>
      </c>
      <c r="B1588" s="524"/>
      <c r="C1588" s="524" t="s">
        <v>4876</v>
      </c>
      <c r="D1588" s="524" t="s">
        <v>4875</v>
      </c>
      <c r="E1588" s="524" t="s">
        <v>4874</v>
      </c>
      <c r="F1588" s="524" t="s">
        <v>4874</v>
      </c>
      <c r="G1588" s="524" t="s">
        <v>4874</v>
      </c>
      <c r="H1588" s="524" t="s">
        <v>4874</v>
      </c>
      <c r="I1588" s="524" t="s">
        <v>7880</v>
      </c>
      <c r="J1588" s="524" t="s">
        <v>4875</v>
      </c>
      <c r="K1588" s="524"/>
      <c r="L1588" s="524" t="s">
        <v>6402</v>
      </c>
      <c r="M1588" s="524" t="s">
        <v>6403</v>
      </c>
      <c r="N1588" s="524"/>
      <c r="O1588" s="524"/>
    </row>
    <row r="1589" spans="1:15" ht="43.5" hidden="1">
      <c r="A1589" s="524">
        <v>7050</v>
      </c>
      <c r="B1589" s="524"/>
      <c r="C1589" s="524" t="s">
        <v>128</v>
      </c>
      <c r="D1589" s="524" t="s">
        <v>711</v>
      </c>
      <c r="E1589" s="524" t="s">
        <v>712</v>
      </c>
      <c r="F1589" s="524" t="s">
        <v>712</v>
      </c>
      <c r="G1589" s="524" t="s">
        <v>712</v>
      </c>
      <c r="H1589" s="524" t="s">
        <v>712</v>
      </c>
      <c r="I1589" s="524" t="s">
        <v>7881</v>
      </c>
      <c r="J1589" s="524" t="s">
        <v>711</v>
      </c>
      <c r="K1589" s="524"/>
      <c r="L1589" s="524" t="s">
        <v>6386</v>
      </c>
      <c r="M1589" s="524" t="s">
        <v>4133</v>
      </c>
      <c r="N1589" s="524"/>
      <c r="O1589" s="524"/>
    </row>
    <row r="1590" spans="1:15" ht="72.5" hidden="1">
      <c r="A1590" s="527">
        <v>7050</v>
      </c>
      <c r="B1590" s="527"/>
      <c r="C1590" s="527" t="s">
        <v>128</v>
      </c>
      <c r="D1590" s="527" t="s">
        <v>706</v>
      </c>
      <c r="E1590" s="527" t="s">
        <v>711</v>
      </c>
      <c r="F1590" s="527" t="s">
        <v>712</v>
      </c>
      <c r="G1590" s="527">
        <v>11</v>
      </c>
      <c r="H1590" s="527" t="s">
        <v>6</v>
      </c>
      <c r="I1590" s="527" t="s">
        <v>705</v>
      </c>
      <c r="J1590" s="527" t="s">
        <v>2889</v>
      </c>
      <c r="K1590" s="527" t="s">
        <v>2890</v>
      </c>
      <c r="L1590" s="527" t="s">
        <v>7882</v>
      </c>
      <c r="M1590" s="524"/>
      <c r="N1590" s="524"/>
      <c r="O1590" s="524"/>
    </row>
    <row r="1591" spans="1:15" ht="72.5" hidden="1">
      <c r="A1591" s="525">
        <v>7051</v>
      </c>
      <c r="B1591" s="525"/>
      <c r="C1591" s="524" t="s">
        <v>64</v>
      </c>
      <c r="D1591" s="524" t="s">
        <v>561</v>
      </c>
      <c r="E1591" s="524" t="s">
        <v>562</v>
      </c>
      <c r="F1591" s="524" t="s">
        <v>7883</v>
      </c>
      <c r="G1591" s="524" t="s">
        <v>7884</v>
      </c>
      <c r="H1591" s="524" t="s">
        <v>7885</v>
      </c>
      <c r="I1591" s="524" t="s">
        <v>7886</v>
      </c>
      <c r="J1591" s="524" t="s">
        <v>561</v>
      </c>
      <c r="K1591" s="524"/>
      <c r="L1591" s="524" t="s">
        <v>6399</v>
      </c>
      <c r="M1591" s="524" t="s">
        <v>6459</v>
      </c>
      <c r="N1591" s="524" t="s">
        <v>7887</v>
      </c>
      <c r="O1591" s="524"/>
    </row>
    <row r="1592" spans="1:15" ht="116" hidden="1">
      <c r="A1592" s="527">
        <v>7051</v>
      </c>
      <c r="B1592" s="527"/>
      <c r="C1592" s="527" t="s">
        <v>64</v>
      </c>
      <c r="D1592" s="527" t="s">
        <v>2312</v>
      </c>
      <c r="E1592" s="527" t="s">
        <v>561</v>
      </c>
      <c r="F1592" s="527" t="s">
        <v>562</v>
      </c>
      <c r="G1592" s="527">
        <v>6</v>
      </c>
      <c r="H1592" s="527" t="s">
        <v>58</v>
      </c>
      <c r="I1592" s="527" t="s">
        <v>2311</v>
      </c>
      <c r="J1592" s="527" t="s">
        <v>2890</v>
      </c>
      <c r="K1592" s="527" t="s">
        <v>2889</v>
      </c>
      <c r="L1592" s="527" t="s">
        <v>6460</v>
      </c>
      <c r="M1592" s="524"/>
      <c r="N1592" s="524"/>
      <c r="O1592" s="524"/>
    </row>
    <row r="1593" spans="1:15" ht="43.5" hidden="1">
      <c r="A1593" s="525">
        <v>7052</v>
      </c>
      <c r="B1593" s="525"/>
      <c r="C1593" s="524" t="s">
        <v>344</v>
      </c>
      <c r="D1593" s="524" t="s">
        <v>575</v>
      </c>
      <c r="E1593" s="524" t="s">
        <v>4252</v>
      </c>
      <c r="F1593" s="524" t="s">
        <v>4252</v>
      </c>
      <c r="G1593" s="524" t="s">
        <v>4252</v>
      </c>
      <c r="H1593" s="524" t="s">
        <v>4252</v>
      </c>
      <c r="I1593" s="524" t="s">
        <v>7888</v>
      </c>
      <c r="J1593" s="524" t="s">
        <v>575</v>
      </c>
      <c r="K1593" s="524"/>
      <c r="L1593" s="524" t="s">
        <v>6399</v>
      </c>
      <c r="M1593" s="524" t="s">
        <v>6437</v>
      </c>
      <c r="N1593" s="524"/>
      <c r="O1593" s="524"/>
    </row>
    <row r="1594" spans="1:15" ht="87" hidden="1">
      <c r="A1594" s="527">
        <v>7052</v>
      </c>
      <c r="B1594" s="527"/>
      <c r="C1594" s="527" t="s">
        <v>344</v>
      </c>
      <c r="D1594" s="527" t="s">
        <v>2312</v>
      </c>
      <c r="E1594" s="527" t="s">
        <v>575</v>
      </c>
      <c r="F1594" s="527" t="s">
        <v>576</v>
      </c>
      <c r="G1594" s="527">
        <v>6</v>
      </c>
      <c r="H1594" s="527" t="s">
        <v>58</v>
      </c>
      <c r="I1594" s="527" t="s">
        <v>2311</v>
      </c>
      <c r="J1594" s="527" t="s">
        <v>2890</v>
      </c>
      <c r="K1594" s="527" t="s">
        <v>2890</v>
      </c>
      <c r="L1594" s="527" t="s">
        <v>7889</v>
      </c>
      <c r="M1594" s="524"/>
      <c r="N1594" s="524"/>
      <c r="O1594" s="524"/>
    </row>
    <row r="1595" spans="1:15" ht="101.5" hidden="1">
      <c r="A1595" s="525">
        <v>7053</v>
      </c>
      <c r="B1595" s="525"/>
      <c r="C1595" s="524" t="s">
        <v>1224</v>
      </c>
      <c r="D1595" s="524" t="s">
        <v>1225</v>
      </c>
      <c r="E1595" s="524" t="s">
        <v>1226</v>
      </c>
      <c r="F1595" s="524" t="s">
        <v>1226</v>
      </c>
      <c r="G1595" s="524" t="s">
        <v>1226</v>
      </c>
      <c r="H1595" s="524" t="s">
        <v>1226</v>
      </c>
      <c r="I1595" s="524" t="s">
        <v>7890</v>
      </c>
      <c r="J1595" s="524" t="s">
        <v>1225</v>
      </c>
      <c r="K1595" s="524"/>
      <c r="L1595" s="524" t="s">
        <v>6399</v>
      </c>
      <c r="M1595" s="524" t="s">
        <v>6459</v>
      </c>
      <c r="N1595" s="524" t="s">
        <v>7891</v>
      </c>
      <c r="O1595" s="524"/>
    </row>
    <row r="1596" spans="1:15" ht="87" hidden="1">
      <c r="A1596" s="527">
        <v>7053</v>
      </c>
      <c r="B1596" s="527"/>
      <c r="C1596" s="527" t="s">
        <v>1224</v>
      </c>
      <c r="D1596" s="527" t="s">
        <v>955</v>
      </c>
      <c r="E1596" s="527" t="s">
        <v>1225</v>
      </c>
      <c r="F1596" s="527" t="s">
        <v>1226</v>
      </c>
      <c r="G1596" s="527">
        <v>28</v>
      </c>
      <c r="H1596" s="527" t="s">
        <v>9</v>
      </c>
      <c r="I1596" s="527" t="s">
        <v>953</v>
      </c>
      <c r="J1596" s="527" t="s">
        <v>2889</v>
      </c>
      <c r="K1596" s="527" t="s">
        <v>2890</v>
      </c>
      <c r="L1596" s="527" t="s">
        <v>7892</v>
      </c>
      <c r="M1596" s="524"/>
      <c r="N1596" s="524"/>
      <c r="O1596" s="524"/>
    </row>
    <row r="1597" spans="1:15" ht="72.5" hidden="1">
      <c r="A1597" s="525">
        <v>7054</v>
      </c>
      <c r="B1597" s="525"/>
      <c r="C1597" s="524" t="s">
        <v>5498</v>
      </c>
      <c r="D1597" s="524" t="s">
        <v>5497</v>
      </c>
      <c r="E1597" s="524" t="s">
        <v>5496</v>
      </c>
      <c r="F1597" s="524" t="s">
        <v>5496</v>
      </c>
      <c r="G1597" s="524" t="s">
        <v>5496</v>
      </c>
      <c r="H1597" s="524" t="s">
        <v>5496</v>
      </c>
      <c r="I1597" s="524" t="s">
        <v>5497</v>
      </c>
      <c r="J1597" s="524" t="s">
        <v>5497</v>
      </c>
      <c r="K1597" s="524"/>
      <c r="L1597" s="524" t="s">
        <v>6386</v>
      </c>
      <c r="M1597" s="524" t="s">
        <v>6424</v>
      </c>
      <c r="N1597" s="524"/>
      <c r="O1597" s="524"/>
    </row>
    <row r="1598" spans="1:15" ht="43.5" hidden="1">
      <c r="A1598" s="525">
        <v>7100</v>
      </c>
      <c r="B1598" s="525"/>
      <c r="C1598" s="524" t="s">
        <v>5234</v>
      </c>
      <c r="D1598" s="524" t="s">
        <v>5235</v>
      </c>
      <c r="E1598" s="524" t="s">
        <v>5234</v>
      </c>
      <c r="F1598" s="524" t="s">
        <v>5234</v>
      </c>
      <c r="G1598" s="524" t="s">
        <v>5234</v>
      </c>
      <c r="H1598" s="524" t="s">
        <v>5234</v>
      </c>
      <c r="I1598" s="524" t="s">
        <v>7893</v>
      </c>
      <c r="J1598" s="524" t="s">
        <v>5235</v>
      </c>
      <c r="K1598" s="524"/>
      <c r="L1598" s="524" t="s">
        <v>6386</v>
      </c>
      <c r="M1598" s="524" t="s">
        <v>4133</v>
      </c>
      <c r="N1598" s="524"/>
      <c r="O1598" s="524"/>
    </row>
    <row r="1599" spans="1:15" ht="58" hidden="1">
      <c r="A1599" s="525">
        <v>7101</v>
      </c>
      <c r="B1599" s="525"/>
      <c r="C1599" s="524" t="s">
        <v>720</v>
      </c>
      <c r="D1599" s="524" t="s">
        <v>721</v>
      </c>
      <c r="E1599" s="524" t="s">
        <v>722</v>
      </c>
      <c r="F1599" s="524" t="s">
        <v>722</v>
      </c>
      <c r="G1599" s="524" t="s">
        <v>722</v>
      </c>
      <c r="H1599" s="524" t="s">
        <v>722</v>
      </c>
      <c r="I1599" s="524" t="s">
        <v>7894</v>
      </c>
      <c r="J1599" s="524" t="s">
        <v>721</v>
      </c>
      <c r="K1599" s="524"/>
      <c r="L1599" s="524" t="s">
        <v>6386</v>
      </c>
      <c r="M1599" s="524" t="s">
        <v>4133</v>
      </c>
      <c r="N1599" s="524"/>
      <c r="O1599" s="524"/>
    </row>
    <row r="1600" spans="1:15" ht="43.5" hidden="1">
      <c r="A1600" s="527">
        <v>7101</v>
      </c>
      <c r="B1600" s="527"/>
      <c r="C1600" s="527" t="s">
        <v>720</v>
      </c>
      <c r="D1600" s="527" t="s">
        <v>706</v>
      </c>
      <c r="E1600" s="527" t="s">
        <v>721</v>
      </c>
      <c r="F1600" s="527" t="s">
        <v>722</v>
      </c>
      <c r="G1600" s="527">
        <v>11</v>
      </c>
      <c r="H1600" s="527" t="s">
        <v>6</v>
      </c>
      <c r="I1600" s="527" t="s">
        <v>705</v>
      </c>
      <c r="J1600" s="527" t="s">
        <v>2890</v>
      </c>
      <c r="K1600" s="527" t="s">
        <v>2890</v>
      </c>
      <c r="L1600" s="527" t="s">
        <v>7895</v>
      </c>
      <c r="M1600" s="524"/>
      <c r="N1600" s="524"/>
      <c r="O1600" s="524"/>
    </row>
    <row r="1601" spans="1:15" ht="188.5" hidden="1">
      <c r="A1601" s="525">
        <v>7500</v>
      </c>
      <c r="B1601" s="525"/>
      <c r="C1601" s="524" t="s">
        <v>467</v>
      </c>
      <c r="D1601" s="524" t="s">
        <v>1743</v>
      </c>
      <c r="E1601" s="524" t="s">
        <v>469</v>
      </c>
      <c r="F1601" s="524" t="s">
        <v>469</v>
      </c>
      <c r="G1601" s="524" t="s">
        <v>469</v>
      </c>
      <c r="H1601" s="524" t="s">
        <v>7896</v>
      </c>
      <c r="I1601" s="524" t="s">
        <v>7897</v>
      </c>
      <c r="J1601" s="524" t="s">
        <v>1743</v>
      </c>
      <c r="K1601" s="524" t="s">
        <v>6359</v>
      </c>
      <c r="L1601" s="524" t="s">
        <v>6379</v>
      </c>
      <c r="M1601" s="524" t="s">
        <v>6380</v>
      </c>
      <c r="N1601" s="524" t="s">
        <v>7898</v>
      </c>
      <c r="O1601" s="524"/>
    </row>
    <row r="1602" spans="1:15" ht="116" hidden="1">
      <c r="A1602" s="527">
        <v>7500</v>
      </c>
      <c r="B1602" s="527"/>
      <c r="C1602" s="527" t="s">
        <v>467</v>
      </c>
      <c r="D1602" s="527" t="s">
        <v>470</v>
      </c>
      <c r="E1602" s="527" t="s">
        <v>1743</v>
      </c>
      <c r="F1602" s="527" t="s">
        <v>469</v>
      </c>
      <c r="G1602" s="527">
        <v>3</v>
      </c>
      <c r="H1602" s="527" t="s">
        <v>149</v>
      </c>
      <c r="I1602" s="527" t="s">
        <v>468</v>
      </c>
      <c r="J1602" s="527" t="s">
        <v>2890</v>
      </c>
      <c r="K1602" s="527" t="s">
        <v>2889</v>
      </c>
      <c r="L1602" s="527" t="s">
        <v>7899</v>
      </c>
      <c r="M1602" s="524"/>
      <c r="N1602" s="524"/>
      <c r="O1602" s="524"/>
    </row>
    <row r="1603" spans="1:15" ht="29" hidden="1">
      <c r="A1603" s="525">
        <v>7504</v>
      </c>
      <c r="B1603" s="525"/>
      <c r="C1603" s="524" t="s">
        <v>5340</v>
      </c>
      <c r="D1603" s="524" t="s">
        <v>5341</v>
      </c>
      <c r="E1603" s="524" t="s">
        <v>5340</v>
      </c>
      <c r="F1603" s="524" t="s">
        <v>5340</v>
      </c>
      <c r="G1603" s="524" t="s">
        <v>5340</v>
      </c>
      <c r="H1603" s="524" t="s">
        <v>5340</v>
      </c>
      <c r="I1603" s="524" t="s">
        <v>7900</v>
      </c>
      <c r="J1603" s="524" t="s">
        <v>5341</v>
      </c>
      <c r="K1603" s="524" t="s">
        <v>6359</v>
      </c>
      <c r="L1603" s="524" t="s">
        <v>6381</v>
      </c>
      <c r="M1603" s="524" t="s">
        <v>442</v>
      </c>
      <c r="N1603" s="524"/>
      <c r="O1603" s="524"/>
    </row>
    <row r="1604" spans="1:15" ht="58" hidden="1">
      <c r="A1604" s="525">
        <v>7505</v>
      </c>
      <c r="B1604" s="525"/>
      <c r="C1604" s="524" t="s">
        <v>4219</v>
      </c>
      <c r="D1604" s="524" t="s">
        <v>4218</v>
      </c>
      <c r="E1604" s="524" t="s">
        <v>4217</v>
      </c>
      <c r="F1604" s="524" t="s">
        <v>4217</v>
      </c>
      <c r="G1604" s="524" t="s">
        <v>4217</v>
      </c>
      <c r="H1604" s="524" t="s">
        <v>4217</v>
      </c>
      <c r="I1604" s="524" t="s">
        <v>7901</v>
      </c>
      <c r="J1604" s="524" t="s">
        <v>4218</v>
      </c>
      <c r="K1604" s="524" t="s">
        <v>6359</v>
      </c>
      <c r="L1604" s="524" t="s">
        <v>6381</v>
      </c>
      <c r="M1604" s="524" t="s">
        <v>442</v>
      </c>
      <c r="N1604" s="524"/>
      <c r="O1604" s="524"/>
    </row>
    <row r="1605" spans="1:15" ht="58" hidden="1">
      <c r="A1605" s="525">
        <v>7506</v>
      </c>
      <c r="B1605" s="525"/>
      <c r="C1605" s="524" t="s">
        <v>335</v>
      </c>
      <c r="D1605" s="524" t="s">
        <v>718</v>
      </c>
      <c r="E1605" s="524" t="s">
        <v>719</v>
      </c>
      <c r="F1605" s="524" t="s">
        <v>719</v>
      </c>
      <c r="G1605" s="524" t="s">
        <v>719</v>
      </c>
      <c r="H1605" s="524" t="s">
        <v>719</v>
      </c>
      <c r="I1605" s="524" t="s">
        <v>7902</v>
      </c>
      <c r="J1605" s="524" t="s">
        <v>718</v>
      </c>
      <c r="K1605" s="524"/>
      <c r="L1605" s="524" t="s">
        <v>6381</v>
      </c>
      <c r="M1605" s="524" t="s">
        <v>442</v>
      </c>
      <c r="N1605" s="524"/>
      <c r="O1605" s="524"/>
    </row>
    <row r="1606" spans="1:15" ht="29" hidden="1">
      <c r="A1606" s="527">
        <v>7506</v>
      </c>
      <c r="B1606" s="527"/>
      <c r="C1606" s="527" t="s">
        <v>335</v>
      </c>
      <c r="D1606" s="527" t="s">
        <v>706</v>
      </c>
      <c r="E1606" s="527" t="s">
        <v>718</v>
      </c>
      <c r="F1606" s="527" t="s">
        <v>719</v>
      </c>
      <c r="G1606" s="527">
        <v>11</v>
      </c>
      <c r="H1606" s="527" t="s">
        <v>6</v>
      </c>
      <c r="I1606" s="527" t="s">
        <v>705</v>
      </c>
      <c r="J1606" s="527" t="s">
        <v>2890</v>
      </c>
      <c r="K1606" s="527" t="s">
        <v>2890</v>
      </c>
      <c r="L1606" s="527" t="s">
        <v>7903</v>
      </c>
      <c r="M1606" s="524"/>
      <c r="N1606" s="524"/>
      <c r="O1606" s="524"/>
    </row>
    <row r="1607" spans="1:15" ht="29" hidden="1">
      <c r="A1607" s="524">
        <v>8000</v>
      </c>
      <c r="B1607" s="524"/>
      <c r="C1607" s="524" t="s">
        <v>6257</v>
      </c>
      <c r="D1607" s="524" t="s">
        <v>7904</v>
      </c>
      <c r="E1607" s="524" t="s">
        <v>6318</v>
      </c>
      <c r="F1607" s="524" t="s">
        <v>6318</v>
      </c>
      <c r="G1607" s="524" t="s">
        <v>6318</v>
      </c>
      <c r="H1607" s="524" t="s">
        <v>6318</v>
      </c>
      <c r="I1607" s="524" t="s">
        <v>6319</v>
      </c>
      <c r="J1607" s="524" t="s">
        <v>7904</v>
      </c>
      <c r="K1607" s="524"/>
      <c r="L1607" s="524" t="s">
        <v>6386</v>
      </c>
      <c r="M1607" s="524" t="s">
        <v>6424</v>
      </c>
      <c r="N1607" s="524"/>
      <c r="O1607" s="524"/>
    </row>
    <row r="1608" spans="1:15" ht="43.5" hidden="1">
      <c r="A1608" s="524">
        <v>8008</v>
      </c>
      <c r="B1608" s="524"/>
      <c r="C1608" s="524" t="s">
        <v>4172</v>
      </c>
      <c r="D1608" s="524" t="s">
        <v>4171</v>
      </c>
      <c r="E1608" s="524" t="s">
        <v>4170</v>
      </c>
      <c r="F1608" s="524" t="s">
        <v>4170</v>
      </c>
      <c r="G1608" s="524" t="s">
        <v>4170</v>
      </c>
      <c r="H1608" s="524" t="s">
        <v>4170</v>
      </c>
      <c r="I1608" s="524" t="s">
        <v>7905</v>
      </c>
      <c r="J1608" s="524" t="s">
        <v>4171</v>
      </c>
      <c r="K1608" s="524"/>
      <c r="L1608" s="524" t="s">
        <v>6414</v>
      </c>
      <c r="M1608" s="524" t="s">
        <v>6415</v>
      </c>
      <c r="N1608" s="524"/>
      <c r="O1608" s="524"/>
    </row>
    <row r="1609" spans="1:15" ht="72.5" hidden="1">
      <c r="A1609" s="525">
        <v>8009</v>
      </c>
      <c r="B1609" s="525"/>
      <c r="C1609" s="524" t="s">
        <v>543</v>
      </c>
      <c r="D1609" s="524" t="s">
        <v>544</v>
      </c>
      <c r="E1609" s="524" t="s">
        <v>545</v>
      </c>
      <c r="F1609" s="524" t="s">
        <v>545</v>
      </c>
      <c r="G1609" s="524" t="s">
        <v>545</v>
      </c>
      <c r="H1609" s="524" t="s">
        <v>545</v>
      </c>
      <c r="I1609" s="524" t="s">
        <v>544</v>
      </c>
      <c r="J1609" s="524" t="s">
        <v>544</v>
      </c>
      <c r="K1609" s="524"/>
      <c r="L1609" s="524" t="s">
        <v>6397</v>
      </c>
      <c r="M1609" s="524" t="s">
        <v>2384</v>
      </c>
      <c r="N1609" s="524" t="s">
        <v>7906</v>
      </c>
      <c r="O1609" s="524"/>
    </row>
    <row r="1610" spans="1:15" ht="58" hidden="1">
      <c r="A1610" s="527">
        <v>8009</v>
      </c>
      <c r="B1610" s="527"/>
      <c r="C1610" s="527" t="s">
        <v>543</v>
      </c>
      <c r="D1610" s="527" t="s">
        <v>2170</v>
      </c>
      <c r="E1610" s="527" t="s">
        <v>544</v>
      </c>
      <c r="F1610" s="527" t="s">
        <v>545</v>
      </c>
      <c r="G1610" s="527">
        <v>5</v>
      </c>
      <c r="H1610" s="527" t="s">
        <v>177</v>
      </c>
      <c r="I1610" s="527" t="s">
        <v>2310</v>
      </c>
      <c r="J1610" s="527" t="s">
        <v>2889</v>
      </c>
      <c r="K1610" s="527" t="s">
        <v>2890</v>
      </c>
      <c r="L1610" s="527" t="s">
        <v>7907</v>
      </c>
      <c r="M1610" s="524"/>
      <c r="N1610" s="524"/>
      <c r="O1610" s="524"/>
    </row>
    <row r="1611" spans="1:15" ht="87" hidden="1">
      <c r="A1611" s="525">
        <v>8010</v>
      </c>
      <c r="B1611" s="525"/>
      <c r="C1611" s="524" t="s">
        <v>242</v>
      </c>
      <c r="D1611" s="524" t="s">
        <v>937</v>
      </c>
      <c r="E1611" s="524" t="s">
        <v>938</v>
      </c>
      <c r="F1611" s="524" t="s">
        <v>938</v>
      </c>
      <c r="G1611" s="524" t="s">
        <v>938</v>
      </c>
      <c r="H1611" s="524" t="s">
        <v>938</v>
      </c>
      <c r="I1611" s="524" t="s">
        <v>7908</v>
      </c>
      <c r="J1611" s="524" t="s">
        <v>7909</v>
      </c>
      <c r="K1611" s="524" t="s">
        <v>6359</v>
      </c>
      <c r="L1611" s="524" t="s">
        <v>6414</v>
      </c>
      <c r="M1611" s="524" t="s">
        <v>6415</v>
      </c>
      <c r="N1611" s="524"/>
      <c r="O1611" s="524"/>
    </row>
    <row r="1612" spans="1:15" ht="87" hidden="1">
      <c r="A1612" s="527">
        <v>8010</v>
      </c>
      <c r="B1612" s="527"/>
      <c r="C1612" s="527" t="s">
        <v>242</v>
      </c>
      <c r="D1612" s="527" t="s">
        <v>2174</v>
      </c>
      <c r="E1612" s="527" t="s">
        <v>937</v>
      </c>
      <c r="F1612" s="527" t="s">
        <v>938</v>
      </c>
      <c r="G1612" s="527">
        <v>26</v>
      </c>
      <c r="H1612" s="527" t="s">
        <v>237</v>
      </c>
      <c r="I1612" s="527" t="s">
        <v>2322</v>
      </c>
      <c r="J1612" s="527" t="s">
        <v>2889</v>
      </c>
      <c r="K1612" s="527" t="s">
        <v>2889</v>
      </c>
      <c r="L1612" s="527" t="s">
        <v>7910</v>
      </c>
      <c r="M1612" s="524"/>
      <c r="N1612" s="524"/>
      <c r="O1612" s="524"/>
    </row>
    <row r="1613" spans="1:15" ht="101.5" hidden="1">
      <c r="A1613" s="525">
        <v>8011</v>
      </c>
      <c r="B1613" s="525"/>
      <c r="C1613" s="524" t="s">
        <v>1548</v>
      </c>
      <c r="D1613" s="524" t="s">
        <v>1550</v>
      </c>
      <c r="E1613" s="524" t="s">
        <v>1552</v>
      </c>
      <c r="F1613" s="524" t="s">
        <v>1552</v>
      </c>
      <c r="G1613" s="524" t="s">
        <v>1552</v>
      </c>
      <c r="H1613" s="524" t="s">
        <v>1552</v>
      </c>
      <c r="I1613" s="524" t="s">
        <v>1550</v>
      </c>
      <c r="J1613" s="524" t="s">
        <v>1550</v>
      </c>
      <c r="K1613" s="524"/>
      <c r="L1613" s="524" t="s">
        <v>6402</v>
      </c>
      <c r="M1613" s="524" t="s">
        <v>6403</v>
      </c>
      <c r="N1613" s="524"/>
      <c r="O1613" s="524"/>
    </row>
    <row r="1614" spans="1:15" ht="72.5" hidden="1">
      <c r="A1614" s="527">
        <v>8011</v>
      </c>
      <c r="B1614" s="527"/>
      <c r="C1614" s="527" t="s">
        <v>1548</v>
      </c>
      <c r="D1614" s="527" t="s">
        <v>1553</v>
      </c>
      <c r="E1614" s="527" t="s">
        <v>1550</v>
      </c>
      <c r="F1614" s="527" t="s">
        <v>1552</v>
      </c>
      <c r="G1614" s="527">
        <v>521</v>
      </c>
      <c r="H1614" s="527" t="s">
        <v>1549</v>
      </c>
      <c r="I1614" s="527" t="s">
        <v>1551</v>
      </c>
      <c r="J1614" s="527" t="s">
        <v>2890</v>
      </c>
      <c r="K1614" s="527" t="s">
        <v>2890</v>
      </c>
      <c r="L1614" s="527" t="s">
        <v>6371</v>
      </c>
      <c r="M1614" s="524"/>
      <c r="N1614" s="524"/>
      <c r="O1614" s="524"/>
    </row>
    <row r="1615" spans="1:15" ht="87" hidden="1">
      <c r="A1615" s="524">
        <v>8012</v>
      </c>
      <c r="B1615" s="524"/>
      <c r="C1615" s="524" t="s">
        <v>4012</v>
      </c>
      <c r="D1615" s="524" t="s">
        <v>7912</v>
      </c>
      <c r="E1615" s="524" t="s">
        <v>4010</v>
      </c>
      <c r="F1615" s="524" t="s">
        <v>4010</v>
      </c>
      <c r="G1615" s="524" t="s">
        <v>4010</v>
      </c>
      <c r="H1615" s="524" t="s">
        <v>4010</v>
      </c>
      <c r="I1615" s="524" t="s">
        <v>7911</v>
      </c>
      <c r="J1615" s="524" t="s">
        <v>7913</v>
      </c>
      <c r="K1615" s="524"/>
      <c r="L1615" s="524" t="s">
        <v>6414</v>
      </c>
      <c r="M1615" s="524" t="s">
        <v>6415</v>
      </c>
      <c r="N1615" s="524"/>
      <c r="O1615" s="524"/>
    </row>
    <row r="1616" spans="1:15" ht="43.5" hidden="1">
      <c r="A1616" s="525">
        <v>8014</v>
      </c>
      <c r="B1616" s="525"/>
      <c r="C1616" s="524" t="s">
        <v>427</v>
      </c>
      <c r="D1616" s="524" t="s">
        <v>1519</v>
      </c>
      <c r="E1616" s="524" t="s">
        <v>1520</v>
      </c>
      <c r="F1616" s="524" t="s">
        <v>1520</v>
      </c>
      <c r="G1616" s="524" t="s">
        <v>1520</v>
      </c>
      <c r="H1616" s="524" t="s">
        <v>1520</v>
      </c>
      <c r="I1616" s="524" t="s">
        <v>7914</v>
      </c>
      <c r="J1616" s="524" t="s">
        <v>1519</v>
      </c>
      <c r="K1616" s="524" t="s">
        <v>6359</v>
      </c>
      <c r="L1616" s="524" t="s">
        <v>6397</v>
      </c>
      <c r="M1616" s="524" t="s">
        <v>2384</v>
      </c>
      <c r="N1616" s="524" t="s">
        <v>7915</v>
      </c>
      <c r="O1616" s="524"/>
    </row>
    <row r="1617" spans="1:15" ht="159.5" hidden="1">
      <c r="A1617" s="527">
        <v>8014</v>
      </c>
      <c r="B1617" s="527"/>
      <c r="C1617" s="527" t="s">
        <v>427</v>
      </c>
      <c r="D1617" s="527" t="s">
        <v>426</v>
      </c>
      <c r="E1617" s="527" t="s">
        <v>1519</v>
      </c>
      <c r="F1617" s="527" t="s">
        <v>1520</v>
      </c>
      <c r="G1617" s="527">
        <v>455</v>
      </c>
      <c r="H1617" s="527" t="s">
        <v>426</v>
      </c>
      <c r="I1617" s="527" t="s">
        <v>2325</v>
      </c>
      <c r="J1617" s="527" t="s">
        <v>2889</v>
      </c>
      <c r="K1617" s="527" t="s">
        <v>2889</v>
      </c>
      <c r="L1617" s="527" t="s">
        <v>7916</v>
      </c>
      <c r="M1617" s="524"/>
      <c r="N1617" s="524"/>
      <c r="O1617" s="524"/>
    </row>
    <row r="1618" spans="1:15" ht="29" hidden="1">
      <c r="A1618" s="525">
        <v>8015</v>
      </c>
      <c r="B1618" s="525"/>
      <c r="C1618" s="524" t="s">
        <v>4926</v>
      </c>
      <c r="D1618" s="524" t="s">
        <v>4925</v>
      </c>
      <c r="E1618" s="524" t="s">
        <v>4924</v>
      </c>
      <c r="F1618" s="524" t="s">
        <v>4924</v>
      </c>
      <c r="G1618" s="524" t="s">
        <v>4924</v>
      </c>
      <c r="H1618" s="524" t="s">
        <v>4924</v>
      </c>
      <c r="I1618" s="524" t="s">
        <v>4925</v>
      </c>
      <c r="J1618" s="524" t="s">
        <v>4925</v>
      </c>
      <c r="K1618" s="524"/>
      <c r="L1618" s="524" t="s">
        <v>6397</v>
      </c>
      <c r="M1618" s="524" t="s">
        <v>6421</v>
      </c>
      <c r="N1618" s="524"/>
      <c r="O1618" s="524"/>
    </row>
    <row r="1619" spans="1:15" ht="43.5" hidden="1">
      <c r="A1619" s="525">
        <v>8016</v>
      </c>
      <c r="B1619" s="525"/>
      <c r="C1619" s="524" t="s">
        <v>124</v>
      </c>
      <c r="D1619" s="524" t="s">
        <v>715</v>
      </c>
      <c r="E1619" s="524" t="s">
        <v>716</v>
      </c>
      <c r="F1619" s="524" t="s">
        <v>716</v>
      </c>
      <c r="G1619" s="524" t="s">
        <v>716</v>
      </c>
      <c r="H1619" s="524" t="s">
        <v>716</v>
      </c>
      <c r="I1619" s="524" t="s">
        <v>715</v>
      </c>
      <c r="J1619" s="524" t="s">
        <v>715</v>
      </c>
      <c r="K1619" s="524"/>
      <c r="L1619" s="524" t="s">
        <v>6386</v>
      </c>
      <c r="M1619" s="524" t="s">
        <v>4133</v>
      </c>
      <c r="N1619" s="524"/>
      <c r="O1619" s="524"/>
    </row>
    <row r="1620" spans="1:15" ht="43.5" hidden="1">
      <c r="A1620" s="527">
        <v>8016</v>
      </c>
      <c r="B1620" s="527"/>
      <c r="C1620" s="527" t="s">
        <v>124</v>
      </c>
      <c r="D1620" s="527" t="s">
        <v>706</v>
      </c>
      <c r="E1620" s="527" t="s">
        <v>715</v>
      </c>
      <c r="F1620" s="527" t="s">
        <v>716</v>
      </c>
      <c r="G1620" s="527">
        <v>11</v>
      </c>
      <c r="H1620" s="527" t="s">
        <v>6</v>
      </c>
      <c r="I1620" s="527" t="s">
        <v>705</v>
      </c>
      <c r="J1620" s="527" t="s">
        <v>2890</v>
      </c>
      <c r="K1620" s="527" t="s">
        <v>2890</v>
      </c>
      <c r="L1620" s="527" t="s">
        <v>7917</v>
      </c>
      <c r="M1620" s="524"/>
      <c r="N1620" s="524"/>
      <c r="O1620" s="524"/>
    </row>
    <row r="1621" spans="1:15" ht="58" hidden="1">
      <c r="A1621" s="525">
        <v>8020</v>
      </c>
      <c r="B1621" s="525"/>
      <c r="C1621" s="524" t="s">
        <v>360</v>
      </c>
      <c r="D1621" s="524" t="s">
        <v>1211</v>
      </c>
      <c r="E1621" s="524" t="s">
        <v>1212</v>
      </c>
      <c r="F1621" s="524" t="s">
        <v>1212</v>
      </c>
      <c r="G1621" s="524" t="s">
        <v>1212</v>
      </c>
      <c r="H1621" s="524" t="s">
        <v>1212</v>
      </c>
      <c r="I1621" s="524" t="s">
        <v>7918</v>
      </c>
      <c r="J1621" s="524" t="s">
        <v>1211</v>
      </c>
      <c r="K1621" s="524"/>
      <c r="L1621" s="524" t="s">
        <v>6381</v>
      </c>
      <c r="M1621" s="524" t="s">
        <v>6699</v>
      </c>
      <c r="N1621" s="524"/>
      <c r="O1621" s="524"/>
    </row>
    <row r="1622" spans="1:15" ht="72.5" hidden="1">
      <c r="A1622" s="527">
        <v>8020</v>
      </c>
      <c r="B1622" s="527"/>
      <c r="C1622" s="527" t="s">
        <v>360</v>
      </c>
      <c r="D1622" s="527" t="s">
        <v>4703</v>
      </c>
      <c r="E1622" s="527" t="s">
        <v>1211</v>
      </c>
      <c r="F1622" s="527" t="s">
        <v>1212</v>
      </c>
      <c r="G1622" s="527">
        <v>283</v>
      </c>
      <c r="H1622" s="527" t="s">
        <v>4705</v>
      </c>
      <c r="I1622" s="527" t="s">
        <v>4704</v>
      </c>
      <c r="J1622" s="527" t="s">
        <v>2890</v>
      </c>
      <c r="K1622" s="527" t="s">
        <v>2890</v>
      </c>
      <c r="L1622" s="527" t="s">
        <v>7919</v>
      </c>
      <c r="M1622" s="524"/>
      <c r="N1622" s="524"/>
      <c r="O1622" s="524"/>
    </row>
    <row r="1623" spans="1:15" ht="87" hidden="1">
      <c r="A1623" s="524">
        <v>8030</v>
      </c>
      <c r="B1623" s="524"/>
      <c r="C1623" s="524" t="s">
        <v>697</v>
      </c>
      <c r="D1623" s="524" t="s">
        <v>698</v>
      </c>
      <c r="E1623" s="524" t="s">
        <v>699</v>
      </c>
      <c r="F1623" s="524" t="s">
        <v>699</v>
      </c>
      <c r="G1623" s="524" t="s">
        <v>699</v>
      </c>
      <c r="H1623" s="524" t="s">
        <v>699</v>
      </c>
      <c r="I1623" s="524" t="s">
        <v>7920</v>
      </c>
      <c r="J1623" s="524" t="s">
        <v>698</v>
      </c>
      <c r="K1623" s="524"/>
      <c r="L1623" s="524" t="s">
        <v>6365</v>
      </c>
      <c r="M1623" s="524" t="s">
        <v>6366</v>
      </c>
      <c r="N1623" s="524"/>
      <c r="O1623" s="524"/>
    </row>
    <row r="1624" spans="1:15" ht="58" hidden="1">
      <c r="A1624" s="527">
        <v>8030</v>
      </c>
      <c r="B1624" s="527"/>
      <c r="C1624" s="527" t="s">
        <v>697</v>
      </c>
      <c r="D1624" s="527" t="s">
        <v>2316</v>
      </c>
      <c r="E1624" s="527" t="s">
        <v>698</v>
      </c>
      <c r="F1624" s="527" t="s">
        <v>699</v>
      </c>
      <c r="G1624" s="527">
        <v>10</v>
      </c>
      <c r="H1624" s="527" t="s">
        <v>213</v>
      </c>
      <c r="I1624" s="527" t="s">
        <v>2315</v>
      </c>
      <c r="J1624" s="527" t="s">
        <v>2890</v>
      </c>
      <c r="K1624" s="527" t="s">
        <v>2889</v>
      </c>
      <c r="L1624" s="527" t="s">
        <v>6371</v>
      </c>
      <c r="M1624" s="524"/>
      <c r="N1624" s="524"/>
      <c r="O1624" s="524"/>
    </row>
    <row r="1625" spans="1:15" ht="101.5" hidden="1">
      <c r="A1625" s="524">
        <v>8045</v>
      </c>
      <c r="B1625" s="524"/>
      <c r="C1625" s="524" t="s">
        <v>1312</v>
      </c>
      <c r="D1625" s="524" t="s">
        <v>1313</v>
      </c>
      <c r="E1625" s="524" t="s">
        <v>1314</v>
      </c>
      <c r="F1625" s="524" t="s">
        <v>1314</v>
      </c>
      <c r="G1625" s="524" t="s">
        <v>1314</v>
      </c>
      <c r="H1625" s="524" t="s">
        <v>1314</v>
      </c>
      <c r="I1625" s="524" t="s">
        <v>1313</v>
      </c>
      <c r="J1625" s="524" t="s">
        <v>1313</v>
      </c>
      <c r="K1625" s="524"/>
      <c r="L1625" s="524" t="s">
        <v>6402</v>
      </c>
      <c r="M1625" s="524" t="s">
        <v>6403</v>
      </c>
      <c r="N1625" s="524"/>
      <c r="O1625" s="524"/>
    </row>
    <row r="1626" spans="1:15" ht="72.5" hidden="1">
      <c r="A1626" s="527">
        <v>8045</v>
      </c>
      <c r="B1626" s="527"/>
      <c r="C1626" s="527" t="s">
        <v>1312</v>
      </c>
      <c r="D1626" s="527" t="s">
        <v>4703</v>
      </c>
      <c r="E1626" s="527" t="s">
        <v>1313</v>
      </c>
      <c r="F1626" s="527" t="s">
        <v>1314</v>
      </c>
      <c r="G1626" s="527">
        <v>283</v>
      </c>
      <c r="H1626" s="527" t="s">
        <v>4705</v>
      </c>
      <c r="I1626" s="527" t="s">
        <v>4704</v>
      </c>
      <c r="J1626" s="527" t="s">
        <v>2890</v>
      </c>
      <c r="K1626" s="527" t="s">
        <v>2890</v>
      </c>
      <c r="L1626" s="527" t="s">
        <v>6371</v>
      </c>
      <c r="M1626" s="524"/>
      <c r="N1626" s="524"/>
      <c r="O1626" s="524"/>
    </row>
    <row r="1627" spans="1:15" ht="116" hidden="1">
      <c r="A1627" s="524">
        <v>8046</v>
      </c>
      <c r="B1627" s="524"/>
      <c r="C1627" s="524" t="s">
        <v>5369</v>
      </c>
      <c r="D1627" s="524" t="s">
        <v>5368</v>
      </c>
      <c r="E1627" s="524" t="s">
        <v>5367</v>
      </c>
      <c r="F1627" s="524" t="s">
        <v>5367</v>
      </c>
      <c r="G1627" s="524" t="s">
        <v>5367</v>
      </c>
      <c r="H1627" s="524" t="s">
        <v>5367</v>
      </c>
      <c r="I1627" s="524" t="s">
        <v>5368</v>
      </c>
      <c r="J1627" s="524" t="s">
        <v>5368</v>
      </c>
      <c r="K1627" s="524"/>
      <c r="L1627" s="524" t="s">
        <v>6402</v>
      </c>
      <c r="M1627" s="524" t="s">
        <v>6403</v>
      </c>
      <c r="N1627" s="524"/>
      <c r="O1627" s="524"/>
    </row>
    <row r="1628" spans="1:15" ht="58" hidden="1">
      <c r="A1628" s="525">
        <v>8047</v>
      </c>
      <c r="B1628" s="525"/>
      <c r="C1628" s="524" t="s">
        <v>5316</v>
      </c>
      <c r="D1628" s="524" t="s">
        <v>5315</v>
      </c>
      <c r="E1628" s="524" t="s">
        <v>5314</v>
      </c>
      <c r="F1628" s="524" t="s">
        <v>5314</v>
      </c>
      <c r="G1628" s="524" t="s">
        <v>5314</v>
      </c>
      <c r="H1628" s="524" t="s">
        <v>5314</v>
      </c>
      <c r="I1628" s="524" t="s">
        <v>5315</v>
      </c>
      <c r="J1628" s="524" t="s">
        <v>5315</v>
      </c>
      <c r="K1628" s="524"/>
      <c r="L1628" s="524" t="s">
        <v>6402</v>
      </c>
      <c r="M1628" s="524" t="s">
        <v>6403</v>
      </c>
      <c r="N1628" s="524"/>
      <c r="O1628" s="524"/>
    </row>
    <row r="1629" spans="1:15" ht="43.5" hidden="1">
      <c r="A1629" s="525">
        <v>8048</v>
      </c>
      <c r="B1629" s="525"/>
      <c r="C1629" s="524" t="s">
        <v>5298</v>
      </c>
      <c r="D1629" s="524" t="s">
        <v>5297</v>
      </c>
      <c r="E1629" s="524" t="s">
        <v>5296</v>
      </c>
      <c r="F1629" s="524" t="s">
        <v>5296</v>
      </c>
      <c r="G1629" s="524" t="s">
        <v>5296</v>
      </c>
      <c r="H1629" s="524" t="s">
        <v>5296</v>
      </c>
      <c r="I1629" s="524" t="s">
        <v>7921</v>
      </c>
      <c r="J1629" s="524" t="s">
        <v>5297</v>
      </c>
      <c r="K1629" s="524"/>
      <c r="L1629" s="524" t="s">
        <v>6402</v>
      </c>
      <c r="M1629" s="524" t="s">
        <v>6403</v>
      </c>
      <c r="N1629" s="524"/>
      <c r="O1629" s="524"/>
    </row>
    <row r="1630" spans="1:15" ht="87" hidden="1">
      <c r="A1630" s="525">
        <v>8049</v>
      </c>
      <c r="B1630" s="525"/>
      <c r="C1630" s="524" t="s">
        <v>5306</v>
      </c>
      <c r="D1630" s="524" t="s">
        <v>5305</v>
      </c>
      <c r="E1630" s="524" t="s">
        <v>5304</v>
      </c>
      <c r="F1630" s="524" t="s">
        <v>5304</v>
      </c>
      <c r="G1630" s="524" t="s">
        <v>5304</v>
      </c>
      <c r="H1630" s="524" t="s">
        <v>5304</v>
      </c>
      <c r="I1630" s="524" t="s">
        <v>5305</v>
      </c>
      <c r="J1630" s="524" t="s">
        <v>5305</v>
      </c>
      <c r="K1630" s="524"/>
      <c r="L1630" s="524" t="s">
        <v>6383</v>
      </c>
      <c r="M1630" s="524" t="s">
        <v>5080</v>
      </c>
      <c r="N1630" s="524" t="s">
        <v>7922</v>
      </c>
      <c r="O1630" s="524"/>
    </row>
    <row r="1631" spans="1:15" ht="43.5" hidden="1">
      <c r="A1631" s="524">
        <v>8050</v>
      </c>
      <c r="B1631" s="524"/>
      <c r="C1631" s="524" t="s">
        <v>4154</v>
      </c>
      <c r="D1631" s="524" t="s">
        <v>4153</v>
      </c>
      <c r="E1631" s="524" t="s">
        <v>4152</v>
      </c>
      <c r="F1631" s="524" t="s">
        <v>4152</v>
      </c>
      <c r="G1631" s="524" t="s">
        <v>4152</v>
      </c>
      <c r="H1631" s="524" t="s">
        <v>4152</v>
      </c>
      <c r="I1631" s="524" t="s">
        <v>7923</v>
      </c>
      <c r="J1631" s="524" t="s">
        <v>4153</v>
      </c>
      <c r="K1631" s="524" t="s">
        <v>6359</v>
      </c>
      <c r="L1631" s="524" t="s">
        <v>6365</v>
      </c>
      <c r="M1631" s="524" t="s">
        <v>6366</v>
      </c>
      <c r="N1631" s="524"/>
      <c r="O1631" s="524"/>
    </row>
    <row r="1632" spans="1:15" ht="58" hidden="1">
      <c r="A1632" s="525">
        <v>8051</v>
      </c>
      <c r="B1632" s="525"/>
      <c r="C1632" s="524" t="s">
        <v>355</v>
      </c>
      <c r="D1632" s="524" t="s">
        <v>1215</v>
      </c>
      <c r="E1632" s="524" t="s">
        <v>1216</v>
      </c>
      <c r="F1632" s="524" t="s">
        <v>1216</v>
      </c>
      <c r="G1632" s="524" t="s">
        <v>1216</v>
      </c>
      <c r="H1632" s="524" t="s">
        <v>1216</v>
      </c>
      <c r="I1632" s="524" t="s">
        <v>7924</v>
      </c>
      <c r="J1632" s="524" t="s">
        <v>1215</v>
      </c>
      <c r="K1632" s="524" t="s">
        <v>6359</v>
      </c>
      <c r="L1632" s="524" t="s">
        <v>6368</v>
      </c>
      <c r="M1632" s="524" t="s">
        <v>2573</v>
      </c>
      <c r="N1632" s="524"/>
      <c r="O1632" s="524"/>
    </row>
    <row r="1633" spans="1:15" ht="87" hidden="1">
      <c r="A1633" s="527">
        <v>8051</v>
      </c>
      <c r="B1633" s="527"/>
      <c r="C1633" s="527" t="s">
        <v>355</v>
      </c>
      <c r="D1633" s="527" t="s">
        <v>4703</v>
      </c>
      <c r="E1633" s="527" t="s">
        <v>1215</v>
      </c>
      <c r="F1633" s="527" t="s">
        <v>1216</v>
      </c>
      <c r="G1633" s="527">
        <v>283</v>
      </c>
      <c r="H1633" s="527" t="s">
        <v>4705</v>
      </c>
      <c r="I1633" s="527" t="s">
        <v>4704</v>
      </c>
      <c r="J1633" s="527" t="s">
        <v>2890</v>
      </c>
      <c r="K1633" s="527" t="s">
        <v>2889</v>
      </c>
      <c r="L1633" s="527" t="s">
        <v>7925</v>
      </c>
      <c r="M1633" s="524"/>
      <c r="N1633" s="524"/>
      <c r="O1633" s="524"/>
    </row>
    <row r="1634" spans="1:15" ht="43.5" hidden="1">
      <c r="A1634" s="524">
        <v>8055</v>
      </c>
      <c r="B1634" s="524"/>
      <c r="C1634" s="524" t="s">
        <v>5702</v>
      </c>
      <c r="D1634" s="524" t="s">
        <v>5701</v>
      </c>
      <c r="E1634" s="524" t="s">
        <v>5700</v>
      </c>
      <c r="F1634" s="524" t="s">
        <v>5700</v>
      </c>
      <c r="G1634" s="524" t="s">
        <v>5700</v>
      </c>
      <c r="H1634" s="524" t="s">
        <v>5700</v>
      </c>
      <c r="I1634" s="524" t="s">
        <v>7926</v>
      </c>
      <c r="J1634" s="524" t="s">
        <v>5701</v>
      </c>
      <c r="K1634" s="524"/>
      <c r="L1634" s="524" t="s">
        <v>6368</v>
      </c>
      <c r="M1634" s="524" t="s">
        <v>2573</v>
      </c>
      <c r="N1634" s="524"/>
      <c r="O1634" s="524"/>
    </row>
    <row r="1635" spans="1:15" ht="130.5" hidden="1">
      <c r="A1635" s="525">
        <v>8559</v>
      </c>
      <c r="B1635" s="525"/>
      <c r="C1635" s="524" t="s">
        <v>741</v>
      </c>
      <c r="D1635" s="524" t="s">
        <v>742</v>
      </c>
      <c r="E1635" s="524" t="s">
        <v>743</v>
      </c>
      <c r="F1635" s="524" t="s">
        <v>743</v>
      </c>
      <c r="G1635" s="524" t="s">
        <v>743</v>
      </c>
      <c r="H1635" s="524" t="s">
        <v>743</v>
      </c>
      <c r="I1635" s="524" t="s">
        <v>7927</v>
      </c>
      <c r="J1635" s="524" t="s">
        <v>742</v>
      </c>
      <c r="K1635" s="524"/>
      <c r="L1635" s="524" t="s">
        <v>6386</v>
      </c>
      <c r="M1635" s="524" t="s">
        <v>6435</v>
      </c>
      <c r="N1635" s="524" t="s">
        <v>7928</v>
      </c>
      <c r="O1635" s="524"/>
    </row>
    <row r="1636" spans="1:15" ht="87" hidden="1">
      <c r="A1636" s="527">
        <v>8559</v>
      </c>
      <c r="B1636" s="527"/>
      <c r="C1636" s="527" t="s">
        <v>741</v>
      </c>
      <c r="D1636" s="527" t="s">
        <v>728</v>
      </c>
      <c r="E1636" s="527" t="s">
        <v>742</v>
      </c>
      <c r="F1636" s="527" t="s">
        <v>743</v>
      </c>
      <c r="G1636" s="527">
        <v>12</v>
      </c>
      <c r="H1636" s="527" t="s">
        <v>4</v>
      </c>
      <c r="I1636" s="527" t="s">
        <v>726</v>
      </c>
      <c r="J1636" s="527" t="s">
        <v>2889</v>
      </c>
      <c r="K1636" s="527" t="s">
        <v>2890</v>
      </c>
      <c r="L1636" s="527" t="s">
        <v>7929</v>
      </c>
      <c r="M1636" s="524"/>
      <c r="N1636" s="524"/>
      <c r="O1636" s="524"/>
    </row>
    <row r="1637" spans="1:15" ht="72.5" hidden="1">
      <c r="A1637" s="525">
        <v>8600</v>
      </c>
      <c r="B1637" s="525"/>
      <c r="C1637" s="524" t="s">
        <v>336</v>
      </c>
      <c r="D1637" s="524" t="s">
        <v>336</v>
      </c>
      <c r="E1637" s="524" t="s">
        <v>585</v>
      </c>
      <c r="F1637" s="524" t="s">
        <v>585</v>
      </c>
      <c r="G1637" s="524" t="s">
        <v>585</v>
      </c>
      <c r="H1637" s="524" t="s">
        <v>585</v>
      </c>
      <c r="I1637" s="524" t="s">
        <v>336</v>
      </c>
      <c r="J1637" s="524" t="s">
        <v>336</v>
      </c>
      <c r="K1637" s="524"/>
      <c r="L1637" s="524" t="s">
        <v>6399</v>
      </c>
      <c r="M1637" s="524" t="s">
        <v>6509</v>
      </c>
      <c r="N1637" s="524"/>
      <c r="O1637" s="524"/>
    </row>
    <row r="1638" spans="1:15" ht="72.5" hidden="1">
      <c r="A1638" s="527">
        <v>8600</v>
      </c>
      <c r="B1638" s="527"/>
      <c r="C1638" s="527" t="s">
        <v>336</v>
      </c>
      <c r="D1638" s="527" t="s">
        <v>2312</v>
      </c>
      <c r="E1638" s="527" t="s">
        <v>584</v>
      </c>
      <c r="F1638" s="527" t="s">
        <v>585</v>
      </c>
      <c r="G1638" s="527">
        <v>6</v>
      </c>
      <c r="H1638" s="527" t="s">
        <v>58</v>
      </c>
      <c r="I1638" s="527" t="s">
        <v>2311</v>
      </c>
      <c r="J1638" s="527" t="s">
        <v>2890</v>
      </c>
      <c r="K1638" s="527" t="s">
        <v>2890</v>
      </c>
      <c r="L1638" s="527" t="s">
        <v>6371</v>
      </c>
      <c r="M1638" s="524"/>
      <c r="N1638" s="524"/>
      <c r="O1638" s="524"/>
    </row>
    <row r="1639" spans="1:15" ht="29" hidden="1">
      <c r="A1639" s="525">
        <v>8726</v>
      </c>
      <c r="B1639" s="525"/>
      <c r="C1639" s="524" t="s">
        <v>1623</v>
      </c>
      <c r="D1639" s="524" t="s">
        <v>1623</v>
      </c>
      <c r="E1639" s="524" t="s">
        <v>1623</v>
      </c>
      <c r="F1639" s="524" t="s">
        <v>1623</v>
      </c>
      <c r="G1639" s="524" t="s">
        <v>1623</v>
      </c>
      <c r="H1639" s="524" t="s">
        <v>1623</v>
      </c>
      <c r="I1639" s="524" t="s">
        <v>1623</v>
      </c>
      <c r="J1639" s="524" t="s">
        <v>1623</v>
      </c>
      <c r="K1639" s="524"/>
      <c r="L1639" s="524" t="s">
        <v>6402</v>
      </c>
      <c r="M1639" s="524" t="s">
        <v>6403</v>
      </c>
      <c r="N1639" s="524" t="s">
        <v>7930</v>
      </c>
      <c r="O1639" s="524"/>
    </row>
    <row r="1640" spans="1:15" ht="58" hidden="1">
      <c r="A1640" s="527">
        <v>8726</v>
      </c>
      <c r="B1640" s="527"/>
      <c r="C1640" s="527" t="s">
        <v>1623</v>
      </c>
      <c r="D1640" s="527" t="s">
        <v>4703</v>
      </c>
      <c r="E1640" s="527" t="s">
        <v>1623</v>
      </c>
      <c r="F1640" s="527" t="s">
        <v>1623</v>
      </c>
      <c r="G1640" s="527">
        <v>283</v>
      </c>
      <c r="H1640" s="527" t="s">
        <v>4705</v>
      </c>
      <c r="I1640" s="527" t="s">
        <v>4704</v>
      </c>
      <c r="J1640" s="527" t="s">
        <v>2890</v>
      </c>
      <c r="K1640" s="527" t="s">
        <v>2890</v>
      </c>
      <c r="L1640" s="527" t="s">
        <v>6851</v>
      </c>
      <c r="M1640" s="524"/>
      <c r="N1640" s="524"/>
      <c r="O1640" s="524"/>
    </row>
    <row r="1641" spans="1:15" ht="29" hidden="1">
      <c r="A1641" s="525">
        <v>9000</v>
      </c>
      <c r="B1641" s="525"/>
      <c r="C1641" s="524" t="s">
        <v>7931</v>
      </c>
      <c r="D1641" s="524" t="s">
        <v>7931</v>
      </c>
      <c r="E1641" s="524" t="s">
        <v>7932</v>
      </c>
      <c r="F1641" s="524" t="s">
        <v>7932</v>
      </c>
      <c r="G1641" s="524" t="s">
        <v>7932</v>
      </c>
      <c r="H1641" s="524" t="s">
        <v>7932</v>
      </c>
      <c r="I1641" s="524" t="s">
        <v>7933</v>
      </c>
      <c r="J1641" s="524" t="s">
        <v>7931</v>
      </c>
      <c r="K1641" s="524"/>
      <c r="L1641" s="524" t="s">
        <v>6400</v>
      </c>
      <c r="M1641" s="524" t="s">
        <v>6401</v>
      </c>
      <c r="N1641" s="524"/>
      <c r="O1641" s="524"/>
    </row>
    <row r="1642" spans="1:15" ht="58" hidden="1">
      <c r="A1642" s="525">
        <v>9004</v>
      </c>
      <c r="B1642" s="525"/>
      <c r="C1642" s="524" t="s">
        <v>1205</v>
      </c>
      <c r="D1642" s="524" t="s">
        <v>1206</v>
      </c>
      <c r="E1642" s="524" t="s">
        <v>1207</v>
      </c>
      <c r="F1642" s="524" t="s">
        <v>1207</v>
      </c>
      <c r="G1642" s="524" t="s">
        <v>1207</v>
      </c>
      <c r="H1642" s="524" t="s">
        <v>1207</v>
      </c>
      <c r="I1642" s="524" t="s">
        <v>7675</v>
      </c>
      <c r="J1642" s="524" t="s">
        <v>1206</v>
      </c>
      <c r="K1642" s="524"/>
      <c r="L1642" s="524" t="s">
        <v>6386</v>
      </c>
      <c r="M1642" s="524" t="s">
        <v>6387</v>
      </c>
      <c r="N1642" s="524"/>
      <c r="O1642" s="524"/>
    </row>
    <row r="1643" spans="1:15" ht="58" hidden="1">
      <c r="A1643" s="524">
        <v>9007</v>
      </c>
      <c r="B1643" s="524"/>
      <c r="C1643" s="524" t="s">
        <v>232</v>
      </c>
      <c r="D1643" s="524" t="s">
        <v>841</v>
      </c>
      <c r="E1643" s="524" t="s">
        <v>842</v>
      </c>
      <c r="F1643" s="524" t="s">
        <v>842</v>
      </c>
      <c r="G1643" s="524" t="s">
        <v>842</v>
      </c>
      <c r="H1643" s="524" t="s">
        <v>842</v>
      </c>
      <c r="I1643" s="524" t="s">
        <v>7934</v>
      </c>
      <c r="J1643" s="524" t="s">
        <v>7935</v>
      </c>
      <c r="K1643" s="524"/>
      <c r="L1643" s="524" t="s">
        <v>6414</v>
      </c>
      <c r="M1643" s="524" t="s">
        <v>6415</v>
      </c>
      <c r="N1643" s="524"/>
      <c r="O1643" s="524"/>
    </row>
    <row r="1644" spans="1:15" ht="58" hidden="1">
      <c r="A1644" s="527">
        <v>9007</v>
      </c>
      <c r="B1644" s="527"/>
      <c r="C1644" s="527" t="s">
        <v>232</v>
      </c>
      <c r="D1644" s="527" t="s">
        <v>2785</v>
      </c>
      <c r="E1644" s="527" t="s">
        <v>841</v>
      </c>
      <c r="F1644" s="527" t="s">
        <v>842</v>
      </c>
      <c r="G1644" s="527">
        <v>22</v>
      </c>
      <c r="H1644" s="527" t="s">
        <v>2783</v>
      </c>
      <c r="I1644" s="527" t="s">
        <v>2784</v>
      </c>
      <c r="J1644" s="527" t="s">
        <v>2890</v>
      </c>
      <c r="K1644" s="527" t="s">
        <v>2890</v>
      </c>
      <c r="L1644" s="527" t="s">
        <v>6371</v>
      </c>
      <c r="M1644" s="524"/>
      <c r="N1644" s="524"/>
      <c r="O1644" s="524"/>
    </row>
    <row r="1645" spans="1:15" ht="58" hidden="1">
      <c r="A1645" s="525">
        <v>9018</v>
      </c>
      <c r="B1645" s="525"/>
      <c r="C1645" s="524" t="s">
        <v>4283</v>
      </c>
      <c r="D1645" s="524" t="s">
        <v>4282</v>
      </c>
      <c r="E1645" s="524" t="s">
        <v>4281</v>
      </c>
      <c r="F1645" s="524" t="s">
        <v>4281</v>
      </c>
      <c r="G1645" s="524" t="s">
        <v>4281</v>
      </c>
      <c r="H1645" s="524" t="s">
        <v>4281</v>
      </c>
      <c r="I1645" s="524" t="s">
        <v>7936</v>
      </c>
      <c r="J1645" s="524" t="s">
        <v>4282</v>
      </c>
      <c r="K1645" s="524" t="s">
        <v>6359</v>
      </c>
      <c r="L1645" s="524" t="s">
        <v>6414</v>
      </c>
      <c r="M1645" s="524" t="s">
        <v>6415</v>
      </c>
      <c r="N1645" s="524"/>
      <c r="O1645" s="524"/>
    </row>
    <row r="1646" spans="1:15" ht="29" hidden="1">
      <c r="A1646" s="525">
        <v>9019</v>
      </c>
      <c r="B1646" s="525"/>
      <c r="C1646" s="524" t="s">
        <v>10</v>
      </c>
      <c r="D1646" s="524" t="s">
        <v>522</v>
      </c>
      <c r="E1646" s="524" t="s">
        <v>522</v>
      </c>
      <c r="F1646" s="524" t="s">
        <v>522</v>
      </c>
      <c r="G1646" s="524" t="s">
        <v>522</v>
      </c>
      <c r="H1646" s="524" t="s">
        <v>522</v>
      </c>
      <c r="I1646" s="524" t="s">
        <v>7937</v>
      </c>
      <c r="J1646" s="524" t="s">
        <v>522</v>
      </c>
      <c r="K1646" s="524"/>
      <c r="L1646" s="524" t="s">
        <v>6414</v>
      </c>
      <c r="M1646" s="524" t="s">
        <v>6415</v>
      </c>
      <c r="N1646" s="524"/>
      <c r="O1646" s="524"/>
    </row>
    <row r="1647" spans="1:15" ht="58" hidden="1">
      <c r="A1647" s="527">
        <v>9019</v>
      </c>
      <c r="B1647" s="527"/>
      <c r="C1647" s="527" t="s">
        <v>10</v>
      </c>
      <c r="D1647" s="527" t="s">
        <v>2785</v>
      </c>
      <c r="E1647" s="527" t="s">
        <v>522</v>
      </c>
      <c r="F1647" s="527" t="s">
        <v>522</v>
      </c>
      <c r="G1647" s="527">
        <v>22</v>
      </c>
      <c r="H1647" s="527" t="s">
        <v>2783</v>
      </c>
      <c r="I1647" s="527" t="s">
        <v>2784</v>
      </c>
      <c r="J1647" s="527" t="s">
        <v>2890</v>
      </c>
      <c r="K1647" s="527" t="s">
        <v>2890</v>
      </c>
      <c r="L1647" s="527" t="s">
        <v>6371</v>
      </c>
      <c r="M1647" s="524"/>
      <c r="N1647" s="524"/>
      <c r="O1647" s="524"/>
    </row>
    <row r="1648" spans="1:15" ht="72.5" hidden="1">
      <c r="A1648" s="524">
        <v>9021</v>
      </c>
      <c r="B1648" s="524"/>
      <c r="C1648" s="524" t="s">
        <v>273</v>
      </c>
      <c r="D1648" s="524" t="s">
        <v>1060</v>
      </c>
      <c r="E1648" s="524" t="s">
        <v>1061</v>
      </c>
      <c r="F1648" s="524" t="s">
        <v>1061</v>
      </c>
      <c r="G1648" s="524" t="s">
        <v>1061</v>
      </c>
      <c r="H1648" s="524" t="s">
        <v>1061</v>
      </c>
      <c r="I1648" s="524" t="s">
        <v>7938</v>
      </c>
      <c r="J1648" s="524" t="s">
        <v>1060</v>
      </c>
      <c r="K1648" s="524" t="s">
        <v>6359</v>
      </c>
      <c r="L1648" s="524" t="s">
        <v>6397</v>
      </c>
      <c r="M1648" s="524" t="s">
        <v>2384</v>
      </c>
      <c r="N1648" s="524"/>
      <c r="O1648" s="524"/>
    </row>
    <row r="1649" spans="1:15" ht="87" hidden="1">
      <c r="A1649" s="527">
        <v>9021</v>
      </c>
      <c r="B1649" s="527"/>
      <c r="C1649" s="527" t="s">
        <v>273</v>
      </c>
      <c r="D1649" s="527" t="s">
        <v>1</v>
      </c>
      <c r="E1649" s="527" t="s">
        <v>1060</v>
      </c>
      <c r="F1649" s="527" t="s">
        <v>1061</v>
      </c>
      <c r="G1649" s="527">
        <v>87</v>
      </c>
      <c r="H1649" s="527" t="s">
        <v>1</v>
      </c>
      <c r="I1649" s="527" t="s">
        <v>852</v>
      </c>
      <c r="J1649" s="527" t="s">
        <v>2889</v>
      </c>
      <c r="K1649" s="527" t="s">
        <v>2889</v>
      </c>
      <c r="L1649" s="527" t="s">
        <v>7939</v>
      </c>
      <c r="M1649" s="524"/>
      <c r="N1649" s="524"/>
      <c r="O1649" s="524"/>
    </row>
    <row r="1650" spans="1:15" ht="29" hidden="1">
      <c r="A1650" s="524">
        <v>9025</v>
      </c>
      <c r="B1650" s="524"/>
      <c r="C1650" s="524" t="s">
        <v>5348</v>
      </c>
      <c r="D1650" s="524" t="s">
        <v>5349</v>
      </c>
      <c r="E1650" s="524" t="s">
        <v>5348</v>
      </c>
      <c r="F1650" s="524" t="s">
        <v>5348</v>
      </c>
      <c r="G1650" s="524" t="s">
        <v>5348</v>
      </c>
      <c r="H1650" s="524" t="s">
        <v>5348</v>
      </c>
      <c r="I1650" s="524" t="s">
        <v>5349</v>
      </c>
      <c r="J1650" s="524" t="s">
        <v>5349</v>
      </c>
      <c r="K1650" s="524"/>
      <c r="L1650" s="524" t="s">
        <v>6381</v>
      </c>
      <c r="M1650" s="524" t="s">
        <v>2313</v>
      </c>
      <c r="N1650" s="524"/>
      <c r="O1650" s="524"/>
    </row>
    <row r="1651" spans="1:15" ht="72.5" hidden="1">
      <c r="A1651" s="524">
        <v>9029</v>
      </c>
      <c r="B1651" s="524"/>
      <c r="C1651" s="524" t="s">
        <v>7940</v>
      </c>
      <c r="D1651" s="524" t="s">
        <v>7942</v>
      </c>
      <c r="E1651" s="524" t="s">
        <v>7941</v>
      </c>
      <c r="F1651" s="524" t="s">
        <v>7941</v>
      </c>
      <c r="G1651" s="524" t="s">
        <v>7941</v>
      </c>
      <c r="H1651" s="524" t="s">
        <v>7941</v>
      </c>
      <c r="I1651" s="524" t="s">
        <v>7942</v>
      </c>
      <c r="J1651" s="524" t="s">
        <v>7942</v>
      </c>
      <c r="K1651" s="524"/>
      <c r="L1651" s="524" t="s">
        <v>6365</v>
      </c>
      <c r="M1651" s="524" t="s">
        <v>6366</v>
      </c>
      <c r="N1651" s="524"/>
      <c r="O1651" s="524"/>
    </row>
    <row r="1652" spans="1:15" ht="43.5" hidden="1">
      <c r="A1652" s="524">
        <v>9030</v>
      </c>
      <c r="B1652" s="524"/>
      <c r="C1652" s="524" t="s">
        <v>284</v>
      </c>
      <c r="D1652" s="524" t="s">
        <v>1093</v>
      </c>
      <c r="E1652" s="524" t="s">
        <v>1095</v>
      </c>
      <c r="F1652" s="524" t="s">
        <v>1095</v>
      </c>
      <c r="G1652" s="524" t="s">
        <v>1095</v>
      </c>
      <c r="H1652" s="524" t="s">
        <v>1095</v>
      </c>
      <c r="I1652" s="524" t="s">
        <v>7943</v>
      </c>
      <c r="J1652" s="524" t="s">
        <v>1093</v>
      </c>
      <c r="K1652" s="524" t="s">
        <v>6359</v>
      </c>
      <c r="L1652" s="524" t="s">
        <v>6376</v>
      </c>
      <c r="M1652" s="524" t="s">
        <v>6416</v>
      </c>
      <c r="N1652" s="524"/>
      <c r="O1652" s="524"/>
    </row>
    <row r="1653" spans="1:15" ht="101.5" hidden="1">
      <c r="A1653" s="527">
        <v>9030</v>
      </c>
      <c r="B1653" s="527"/>
      <c r="C1653" s="527" t="s">
        <v>284</v>
      </c>
      <c r="D1653" s="527" t="s">
        <v>1096</v>
      </c>
      <c r="E1653" s="527" t="s">
        <v>1093</v>
      </c>
      <c r="F1653" s="527" t="s">
        <v>1095</v>
      </c>
      <c r="G1653" s="527">
        <v>89</v>
      </c>
      <c r="H1653" s="527" t="s">
        <v>282</v>
      </c>
      <c r="I1653" s="527" t="s">
        <v>1094</v>
      </c>
      <c r="J1653" s="527" t="s">
        <v>2889</v>
      </c>
      <c r="K1653" s="527" t="s">
        <v>2889</v>
      </c>
      <c r="L1653" s="527" t="s">
        <v>7944</v>
      </c>
      <c r="M1653" s="524"/>
      <c r="N1653" s="524"/>
      <c r="O1653" s="524"/>
    </row>
    <row r="1654" spans="1:15" ht="72.5" hidden="1">
      <c r="A1654" s="525">
        <v>9032</v>
      </c>
      <c r="B1654" s="525"/>
      <c r="C1654" s="524" t="s">
        <v>334</v>
      </c>
      <c r="D1654" s="524" t="s">
        <v>906</v>
      </c>
      <c r="E1654" s="524" t="s">
        <v>907</v>
      </c>
      <c r="F1654" s="524" t="s">
        <v>907</v>
      </c>
      <c r="G1654" s="524" t="s">
        <v>907</v>
      </c>
      <c r="H1654" s="524" t="s">
        <v>907</v>
      </c>
      <c r="I1654" s="524" t="s">
        <v>7945</v>
      </c>
      <c r="J1654" s="524" t="s">
        <v>906</v>
      </c>
      <c r="K1654" s="524" t="s">
        <v>6359</v>
      </c>
      <c r="L1654" s="524" t="s">
        <v>6368</v>
      </c>
      <c r="M1654" s="524" t="s">
        <v>2573</v>
      </c>
      <c r="N1654" s="524"/>
      <c r="O1654" s="524"/>
    </row>
    <row r="1655" spans="1:15" ht="72.5" hidden="1">
      <c r="A1655" s="527">
        <v>9032</v>
      </c>
      <c r="B1655" s="527"/>
      <c r="C1655" s="527" t="s">
        <v>334</v>
      </c>
      <c r="D1655" s="527" t="s">
        <v>891</v>
      </c>
      <c r="E1655" s="527" t="s">
        <v>906</v>
      </c>
      <c r="F1655" s="527" t="s">
        <v>907</v>
      </c>
      <c r="G1655" s="527">
        <v>23</v>
      </c>
      <c r="H1655" s="527" t="s">
        <v>7</v>
      </c>
      <c r="I1655" s="527" t="s">
        <v>890</v>
      </c>
      <c r="J1655" s="527" t="s">
        <v>2889</v>
      </c>
      <c r="K1655" s="527" t="s">
        <v>2889</v>
      </c>
      <c r="L1655" s="527" t="s">
        <v>7946</v>
      </c>
      <c r="M1655" s="524"/>
      <c r="N1655" s="524"/>
      <c r="O1655" s="524"/>
    </row>
    <row r="1656" spans="1:15" ht="29" hidden="1">
      <c r="A1656" s="524">
        <v>9033</v>
      </c>
      <c r="B1656" s="524"/>
      <c r="C1656" s="524" t="s">
        <v>4886</v>
      </c>
      <c r="D1656" s="524" t="s">
        <v>4885</v>
      </c>
      <c r="E1656" s="524" t="s">
        <v>4884</v>
      </c>
      <c r="F1656" s="524" t="s">
        <v>4884</v>
      </c>
      <c r="G1656" s="524" t="s">
        <v>4884</v>
      </c>
      <c r="H1656" s="524" t="s">
        <v>4884</v>
      </c>
      <c r="I1656" s="524" t="s">
        <v>7947</v>
      </c>
      <c r="J1656" s="524" t="s">
        <v>4885</v>
      </c>
      <c r="K1656" s="524"/>
      <c r="L1656" s="524" t="s">
        <v>6400</v>
      </c>
      <c r="M1656" s="524" t="s">
        <v>6600</v>
      </c>
      <c r="N1656" s="524"/>
      <c r="O1656" s="524"/>
    </row>
    <row r="1657" spans="1:15" ht="43.5" hidden="1">
      <c r="A1657" s="524">
        <v>9037</v>
      </c>
      <c r="B1657" s="524"/>
      <c r="C1657" s="524" t="s">
        <v>286</v>
      </c>
      <c r="D1657" s="524" t="s">
        <v>1099</v>
      </c>
      <c r="E1657" s="524" t="s">
        <v>1100</v>
      </c>
      <c r="F1657" s="524" t="s">
        <v>1100</v>
      </c>
      <c r="G1657" s="524" t="s">
        <v>1100</v>
      </c>
      <c r="H1657" s="524" t="s">
        <v>1100</v>
      </c>
      <c r="I1657" s="524" t="s">
        <v>7948</v>
      </c>
      <c r="J1657" s="524" t="s">
        <v>1099</v>
      </c>
      <c r="K1657" s="524"/>
      <c r="L1657" s="524" t="s">
        <v>6376</v>
      </c>
      <c r="M1657" s="524" t="s">
        <v>6416</v>
      </c>
      <c r="N1657" s="524"/>
      <c r="O1657" s="524"/>
    </row>
    <row r="1658" spans="1:15" ht="43.5" hidden="1">
      <c r="A1658" s="527">
        <v>9037</v>
      </c>
      <c r="B1658" s="527"/>
      <c r="C1658" s="527" t="s">
        <v>286</v>
      </c>
      <c r="D1658" s="527" t="s">
        <v>1096</v>
      </c>
      <c r="E1658" s="527" t="s">
        <v>1099</v>
      </c>
      <c r="F1658" s="527" t="s">
        <v>1100</v>
      </c>
      <c r="G1658" s="527">
        <v>89</v>
      </c>
      <c r="H1658" s="527" t="s">
        <v>282</v>
      </c>
      <c r="I1658" s="527" t="s">
        <v>1094</v>
      </c>
      <c r="J1658" s="527" t="s">
        <v>2890</v>
      </c>
      <c r="K1658" s="527" t="s">
        <v>2889</v>
      </c>
      <c r="L1658" s="527" t="s">
        <v>6371</v>
      </c>
      <c r="M1658" s="524"/>
      <c r="N1658" s="524"/>
      <c r="O1658" s="524"/>
    </row>
    <row r="1659" spans="1:15" ht="58" hidden="1">
      <c r="A1659" s="524">
        <v>9039</v>
      </c>
      <c r="B1659" s="524"/>
      <c r="C1659" s="524" t="s">
        <v>7949</v>
      </c>
      <c r="D1659" s="524" t="s">
        <v>4187</v>
      </c>
      <c r="E1659" s="524" t="s">
        <v>4186</v>
      </c>
      <c r="F1659" s="524" t="s">
        <v>4186</v>
      </c>
      <c r="G1659" s="524" t="s">
        <v>4186</v>
      </c>
      <c r="H1659" s="524" t="s">
        <v>4186</v>
      </c>
      <c r="I1659" s="524" t="s">
        <v>7950</v>
      </c>
      <c r="J1659" s="524" t="s">
        <v>4187</v>
      </c>
      <c r="K1659" s="524" t="s">
        <v>6359</v>
      </c>
      <c r="L1659" s="524" t="s">
        <v>6368</v>
      </c>
      <c r="M1659" s="524" t="s">
        <v>6370</v>
      </c>
      <c r="N1659" s="524"/>
      <c r="O1659" s="524"/>
    </row>
    <row r="1660" spans="1:15" ht="87" hidden="1">
      <c r="A1660" s="527">
        <v>9039</v>
      </c>
      <c r="B1660" s="527"/>
      <c r="C1660" s="527" t="s">
        <v>211</v>
      </c>
      <c r="D1660" s="527" t="s">
        <v>676</v>
      </c>
      <c r="E1660" s="527" t="s">
        <v>679</v>
      </c>
      <c r="F1660" s="527" t="s">
        <v>680</v>
      </c>
      <c r="G1660" s="527">
        <v>9</v>
      </c>
      <c r="H1660" s="527" t="s">
        <v>0</v>
      </c>
      <c r="I1660" s="527" t="s">
        <v>674</v>
      </c>
      <c r="J1660" s="527" t="s">
        <v>2889</v>
      </c>
      <c r="K1660" s="527" t="s">
        <v>2889</v>
      </c>
      <c r="L1660" s="527" t="s">
        <v>7951</v>
      </c>
      <c r="M1660" s="524"/>
      <c r="N1660" s="524"/>
      <c r="O1660" s="524"/>
    </row>
    <row r="1661" spans="1:15" ht="43.5" hidden="1">
      <c r="A1661" s="525">
        <v>9040</v>
      </c>
      <c r="B1661" s="525"/>
      <c r="C1661" s="524" t="s">
        <v>5633</v>
      </c>
      <c r="D1661" s="524" t="s">
        <v>5632</v>
      </c>
      <c r="E1661" s="524" t="s">
        <v>5631</v>
      </c>
      <c r="F1661" s="524" t="s">
        <v>5631</v>
      </c>
      <c r="G1661" s="524" t="s">
        <v>5631</v>
      </c>
      <c r="H1661" s="524" t="s">
        <v>5631</v>
      </c>
      <c r="I1661" s="524" t="s">
        <v>5632</v>
      </c>
      <c r="J1661" s="524" t="s">
        <v>5632</v>
      </c>
      <c r="K1661" s="524"/>
      <c r="L1661" s="524" t="s">
        <v>6400</v>
      </c>
      <c r="M1661" s="524" t="s">
        <v>6401</v>
      </c>
      <c r="N1661" s="524"/>
      <c r="O1661" s="524"/>
    </row>
    <row r="1662" spans="1:15" hidden="1">
      <c r="A1662" s="525">
        <v>9041</v>
      </c>
      <c r="B1662" s="525"/>
      <c r="C1662" s="524" t="s">
        <v>445</v>
      </c>
      <c r="D1662" s="524" t="s">
        <v>1192</v>
      </c>
      <c r="E1662" s="524" t="s">
        <v>1193</v>
      </c>
      <c r="F1662" s="524" t="s">
        <v>1193</v>
      </c>
      <c r="G1662" s="524" t="s">
        <v>1193</v>
      </c>
      <c r="H1662" s="524" t="s">
        <v>1193</v>
      </c>
      <c r="I1662" s="524" t="s">
        <v>1192</v>
      </c>
      <c r="J1662" s="524" t="s">
        <v>1192</v>
      </c>
      <c r="K1662" s="524"/>
      <c r="L1662" s="524" t="s">
        <v>6368</v>
      </c>
      <c r="M1662" s="524" t="s">
        <v>2573</v>
      </c>
      <c r="N1662" s="524"/>
      <c r="O1662" s="524"/>
    </row>
    <row r="1663" spans="1:15" ht="58" hidden="1">
      <c r="A1663" s="527">
        <v>9041</v>
      </c>
      <c r="B1663" s="527"/>
      <c r="C1663" s="527" t="s">
        <v>445</v>
      </c>
      <c r="D1663" s="527" t="s">
        <v>4703</v>
      </c>
      <c r="E1663" s="527" t="s">
        <v>1192</v>
      </c>
      <c r="F1663" s="527" t="s">
        <v>1193</v>
      </c>
      <c r="G1663" s="527">
        <v>283</v>
      </c>
      <c r="H1663" s="527" t="s">
        <v>4705</v>
      </c>
      <c r="I1663" s="527" t="s">
        <v>4704</v>
      </c>
      <c r="J1663" s="527" t="s">
        <v>2890</v>
      </c>
      <c r="K1663" s="527" t="s">
        <v>2890</v>
      </c>
      <c r="L1663" s="527" t="s">
        <v>6371</v>
      </c>
      <c r="M1663" s="524"/>
      <c r="N1663" s="524"/>
      <c r="O1663" s="524"/>
    </row>
    <row r="1664" spans="1:15" ht="29" hidden="1">
      <c r="A1664" s="525">
        <v>9042</v>
      </c>
      <c r="B1664" s="525"/>
      <c r="C1664" s="524" t="s">
        <v>181</v>
      </c>
      <c r="D1664" s="524" t="s">
        <v>533</v>
      </c>
      <c r="E1664" s="524" t="s">
        <v>534</v>
      </c>
      <c r="F1664" s="524" t="s">
        <v>534</v>
      </c>
      <c r="G1664" s="524" t="s">
        <v>534</v>
      </c>
      <c r="H1664" s="524" t="s">
        <v>534</v>
      </c>
      <c r="I1664" s="524" t="s">
        <v>7952</v>
      </c>
      <c r="J1664" s="524" t="s">
        <v>533</v>
      </c>
      <c r="K1664" s="524" t="s">
        <v>6359</v>
      </c>
      <c r="L1664" s="524" t="s">
        <v>6397</v>
      </c>
      <c r="M1664" s="524" t="s">
        <v>2384</v>
      </c>
      <c r="N1664" s="524" t="s">
        <v>7953</v>
      </c>
      <c r="O1664" s="524"/>
    </row>
    <row r="1665" spans="1:15" ht="130.5" hidden="1">
      <c r="A1665" s="527">
        <v>9042</v>
      </c>
      <c r="B1665" s="527"/>
      <c r="C1665" s="527" t="s">
        <v>181</v>
      </c>
      <c r="D1665" s="527" t="s">
        <v>2170</v>
      </c>
      <c r="E1665" s="527" t="s">
        <v>533</v>
      </c>
      <c r="F1665" s="527" t="s">
        <v>534</v>
      </c>
      <c r="G1665" s="527">
        <v>5</v>
      </c>
      <c r="H1665" s="527" t="s">
        <v>177</v>
      </c>
      <c r="I1665" s="527" t="s">
        <v>2310</v>
      </c>
      <c r="J1665" s="527" t="s">
        <v>2889</v>
      </c>
      <c r="K1665" s="527" t="s">
        <v>2889</v>
      </c>
      <c r="L1665" s="527" t="s">
        <v>7954</v>
      </c>
      <c r="M1665" s="524"/>
      <c r="N1665" s="524"/>
      <c r="O1665" s="524"/>
    </row>
    <row r="1666" spans="1:15" ht="43.5" hidden="1">
      <c r="A1666" s="525">
        <v>9043</v>
      </c>
      <c r="B1666" s="525"/>
      <c r="C1666" s="524" t="s">
        <v>383</v>
      </c>
      <c r="D1666" s="524" t="s">
        <v>1354</v>
      </c>
      <c r="E1666" s="524" t="s">
        <v>1355</v>
      </c>
      <c r="F1666" s="524" t="s">
        <v>1355</v>
      </c>
      <c r="G1666" s="524" t="s">
        <v>1355</v>
      </c>
      <c r="H1666" s="524" t="s">
        <v>1355</v>
      </c>
      <c r="I1666" s="524" t="s">
        <v>1354</v>
      </c>
      <c r="J1666" s="524" t="s">
        <v>1354</v>
      </c>
      <c r="K1666" s="524"/>
      <c r="L1666" s="524" t="s">
        <v>6386</v>
      </c>
      <c r="M1666" s="524" t="s">
        <v>6387</v>
      </c>
      <c r="N1666" s="524"/>
      <c r="O1666" s="524"/>
    </row>
    <row r="1667" spans="1:15" ht="58" hidden="1">
      <c r="A1667" s="527">
        <v>9043</v>
      </c>
      <c r="B1667" s="527"/>
      <c r="C1667" s="527" t="s">
        <v>383</v>
      </c>
      <c r="D1667" s="527" t="s">
        <v>4703</v>
      </c>
      <c r="E1667" s="527" t="s">
        <v>1354</v>
      </c>
      <c r="F1667" s="527" t="s">
        <v>1355</v>
      </c>
      <c r="G1667" s="527">
        <v>283</v>
      </c>
      <c r="H1667" s="527" t="s">
        <v>4705</v>
      </c>
      <c r="I1667" s="527" t="s">
        <v>4704</v>
      </c>
      <c r="J1667" s="527" t="s">
        <v>2890</v>
      </c>
      <c r="K1667" s="527" t="s">
        <v>2890</v>
      </c>
      <c r="L1667" s="527" t="s">
        <v>6371</v>
      </c>
      <c r="M1667" s="524"/>
      <c r="N1667" s="524"/>
      <c r="O1667" s="524"/>
    </row>
    <row r="1668" spans="1:15" ht="58" hidden="1">
      <c r="A1668" s="524">
        <v>9044</v>
      </c>
      <c r="B1668" s="524"/>
      <c r="C1668" s="524" t="s">
        <v>393</v>
      </c>
      <c r="D1668" s="524" t="s">
        <v>1187</v>
      </c>
      <c r="E1668" s="524" t="s">
        <v>1188</v>
      </c>
      <c r="F1668" s="524" t="s">
        <v>1188</v>
      </c>
      <c r="G1668" s="524" t="s">
        <v>1188</v>
      </c>
      <c r="H1668" s="524" t="s">
        <v>1188</v>
      </c>
      <c r="I1668" s="524" t="s">
        <v>7955</v>
      </c>
      <c r="J1668" s="524" t="s">
        <v>1187</v>
      </c>
      <c r="K1668" s="524" t="s">
        <v>6359</v>
      </c>
      <c r="L1668" s="524" t="s">
        <v>6381</v>
      </c>
      <c r="M1668" s="524" t="s">
        <v>522</v>
      </c>
      <c r="N1668" s="524"/>
      <c r="O1668" s="524"/>
    </row>
    <row r="1669" spans="1:15" ht="87" hidden="1">
      <c r="A1669" s="527">
        <v>9044</v>
      </c>
      <c r="B1669" s="527"/>
      <c r="C1669" s="527" t="s">
        <v>393</v>
      </c>
      <c r="D1669" s="527" t="s">
        <v>2171</v>
      </c>
      <c r="E1669" s="527" t="s">
        <v>1187</v>
      </c>
      <c r="F1669" s="527" t="s">
        <v>1188</v>
      </c>
      <c r="G1669" s="527">
        <v>8</v>
      </c>
      <c r="H1669" s="527" t="s">
        <v>188</v>
      </c>
      <c r="I1669" s="527" t="s">
        <v>2314</v>
      </c>
      <c r="J1669" s="527" t="s">
        <v>2889</v>
      </c>
      <c r="K1669" s="527" t="s">
        <v>2889</v>
      </c>
      <c r="L1669" s="527" t="s">
        <v>7956</v>
      </c>
      <c r="M1669" s="524"/>
      <c r="N1669" s="524"/>
      <c r="O1669" s="524"/>
    </row>
    <row r="1670" spans="1:15" ht="58" hidden="1">
      <c r="A1670" s="525">
        <v>9045</v>
      </c>
      <c r="B1670" s="525"/>
      <c r="C1670" s="524" t="s">
        <v>325</v>
      </c>
      <c r="D1670" s="524" t="s">
        <v>1501</v>
      </c>
      <c r="E1670" s="524" t="s">
        <v>1503</v>
      </c>
      <c r="F1670" s="524" t="s">
        <v>1503</v>
      </c>
      <c r="G1670" s="524" t="s">
        <v>1503</v>
      </c>
      <c r="H1670" s="524" t="s">
        <v>1503</v>
      </c>
      <c r="I1670" s="524" t="s">
        <v>7957</v>
      </c>
      <c r="J1670" s="524" t="s">
        <v>1501</v>
      </c>
      <c r="K1670" s="524"/>
      <c r="L1670" s="524" t="s">
        <v>6376</v>
      </c>
      <c r="M1670" s="524" t="s">
        <v>6377</v>
      </c>
      <c r="N1670" s="524" t="s">
        <v>7958</v>
      </c>
      <c r="O1670" s="524"/>
    </row>
    <row r="1671" spans="1:15" ht="29" hidden="1">
      <c r="A1671" s="527">
        <v>9045</v>
      </c>
      <c r="B1671" s="527"/>
      <c r="C1671" s="527" t="s">
        <v>325</v>
      </c>
      <c r="D1671" s="527" t="s">
        <v>3090</v>
      </c>
      <c r="E1671" s="527" t="s">
        <v>1501</v>
      </c>
      <c r="F1671" s="527" t="s">
        <v>1503</v>
      </c>
      <c r="G1671" s="527">
        <v>331</v>
      </c>
      <c r="H1671" s="527" t="s">
        <v>3084</v>
      </c>
      <c r="I1671" s="527" t="s">
        <v>3087</v>
      </c>
      <c r="J1671" s="527" t="s">
        <v>2889</v>
      </c>
      <c r="K1671" s="527" t="s">
        <v>2890</v>
      </c>
      <c r="L1671" s="527" t="s">
        <v>6371</v>
      </c>
      <c r="M1671" s="524"/>
      <c r="N1671" s="524"/>
      <c r="O1671" s="524"/>
    </row>
    <row r="1672" spans="1:15" ht="43.5" hidden="1">
      <c r="A1672" s="525">
        <v>9046</v>
      </c>
      <c r="B1672" s="525"/>
      <c r="C1672" s="524" t="s">
        <v>326</v>
      </c>
      <c r="D1672" s="524" t="s">
        <v>1505</v>
      </c>
      <c r="E1672" s="524" t="s">
        <v>1506</v>
      </c>
      <c r="F1672" s="524" t="s">
        <v>1506</v>
      </c>
      <c r="G1672" s="524" t="s">
        <v>1506</v>
      </c>
      <c r="H1672" s="524" t="s">
        <v>1506</v>
      </c>
      <c r="I1672" s="524" t="s">
        <v>1505</v>
      </c>
      <c r="J1672" s="524" t="s">
        <v>1505</v>
      </c>
      <c r="K1672" s="524"/>
      <c r="L1672" s="524" t="s">
        <v>6381</v>
      </c>
      <c r="M1672" s="524" t="s">
        <v>6699</v>
      </c>
      <c r="N1672" s="524" t="s">
        <v>7959</v>
      </c>
      <c r="O1672" s="524"/>
    </row>
    <row r="1673" spans="1:15" ht="29" hidden="1">
      <c r="A1673" s="527">
        <v>9046</v>
      </c>
      <c r="B1673" s="527"/>
      <c r="C1673" s="527" t="s">
        <v>326</v>
      </c>
      <c r="D1673" s="527" t="s">
        <v>3090</v>
      </c>
      <c r="E1673" s="527" t="s">
        <v>1505</v>
      </c>
      <c r="F1673" s="527" t="s">
        <v>1506</v>
      </c>
      <c r="G1673" s="527">
        <v>331</v>
      </c>
      <c r="H1673" s="527" t="s">
        <v>3084</v>
      </c>
      <c r="I1673" s="527" t="s">
        <v>3087</v>
      </c>
      <c r="J1673" s="527" t="s">
        <v>2889</v>
      </c>
      <c r="K1673" s="527" t="s">
        <v>2890</v>
      </c>
      <c r="L1673" s="527" t="s">
        <v>6371</v>
      </c>
      <c r="M1673" s="524"/>
      <c r="N1673" s="524"/>
      <c r="O1673" s="524"/>
    </row>
    <row r="1674" spans="1:15" ht="58" hidden="1">
      <c r="A1674" s="525">
        <v>9047</v>
      </c>
      <c r="B1674" s="525"/>
      <c r="C1674" s="524" t="s">
        <v>208</v>
      </c>
      <c r="D1674" s="524" t="s">
        <v>677</v>
      </c>
      <c r="E1674" s="524" t="s">
        <v>678</v>
      </c>
      <c r="F1674" s="524" t="s">
        <v>678</v>
      </c>
      <c r="G1674" s="524" t="s">
        <v>678</v>
      </c>
      <c r="H1674" s="524" t="s">
        <v>678</v>
      </c>
      <c r="I1674" s="524" t="s">
        <v>7960</v>
      </c>
      <c r="J1674" s="524" t="s">
        <v>677</v>
      </c>
      <c r="K1674" s="524" t="s">
        <v>6359</v>
      </c>
      <c r="L1674" s="524" t="s">
        <v>6368</v>
      </c>
      <c r="M1674" s="524" t="s">
        <v>6370</v>
      </c>
      <c r="N1674" s="524" t="s">
        <v>7961</v>
      </c>
      <c r="O1674" s="524"/>
    </row>
    <row r="1675" spans="1:15" ht="188.5" hidden="1">
      <c r="A1675" s="527">
        <v>9047</v>
      </c>
      <c r="B1675" s="527"/>
      <c r="C1675" s="527" t="s">
        <v>208</v>
      </c>
      <c r="D1675" s="527" t="s">
        <v>676</v>
      </c>
      <c r="E1675" s="527" t="s">
        <v>677</v>
      </c>
      <c r="F1675" s="527" t="s">
        <v>678</v>
      </c>
      <c r="G1675" s="527">
        <v>9</v>
      </c>
      <c r="H1675" s="527" t="s">
        <v>0</v>
      </c>
      <c r="I1675" s="527" t="s">
        <v>674</v>
      </c>
      <c r="J1675" s="527" t="s">
        <v>2889</v>
      </c>
      <c r="K1675" s="527" t="s">
        <v>2889</v>
      </c>
      <c r="L1675" s="527" t="s">
        <v>7962</v>
      </c>
      <c r="M1675" s="524"/>
      <c r="N1675" s="524"/>
      <c r="O1675" s="524"/>
    </row>
    <row r="1676" spans="1:15" ht="43.5" hidden="1">
      <c r="A1676" s="524">
        <v>9048</v>
      </c>
      <c r="B1676" s="524"/>
      <c r="C1676" s="524" t="s">
        <v>7963</v>
      </c>
      <c r="D1676" s="524" t="s">
        <v>4020</v>
      </c>
      <c r="E1676" s="524" t="s">
        <v>4019</v>
      </c>
      <c r="F1676" s="524" t="s">
        <v>4019</v>
      </c>
      <c r="G1676" s="524" t="s">
        <v>4019</v>
      </c>
      <c r="H1676" s="524" t="s">
        <v>4019</v>
      </c>
      <c r="I1676" s="524" t="s">
        <v>7964</v>
      </c>
      <c r="J1676" s="524" t="s">
        <v>4020</v>
      </c>
      <c r="K1676" s="524" t="s">
        <v>6359</v>
      </c>
      <c r="L1676" s="524" t="s">
        <v>6368</v>
      </c>
      <c r="M1676" s="524" t="s">
        <v>2573</v>
      </c>
      <c r="N1676" s="524"/>
      <c r="O1676" s="524"/>
    </row>
    <row r="1677" spans="1:15" ht="87" hidden="1">
      <c r="A1677" s="527">
        <v>9048</v>
      </c>
      <c r="B1677" s="527"/>
      <c r="C1677" s="527" t="s">
        <v>41</v>
      </c>
      <c r="D1677" s="527" t="s">
        <v>891</v>
      </c>
      <c r="E1677" s="527" t="s">
        <v>908</v>
      </c>
      <c r="F1677" s="527" t="s">
        <v>909</v>
      </c>
      <c r="G1677" s="527">
        <v>23</v>
      </c>
      <c r="H1677" s="527" t="s">
        <v>7</v>
      </c>
      <c r="I1677" s="527" t="s">
        <v>890</v>
      </c>
      <c r="J1677" s="527" t="s">
        <v>2889</v>
      </c>
      <c r="K1677" s="527" t="s">
        <v>2889</v>
      </c>
      <c r="L1677" s="527" t="s">
        <v>7965</v>
      </c>
      <c r="M1677" s="524"/>
      <c r="N1677" s="524"/>
      <c r="O1677" s="524"/>
    </row>
    <row r="1678" spans="1:15" ht="101.5" hidden="1">
      <c r="A1678" s="525">
        <v>9049</v>
      </c>
      <c r="B1678" s="525"/>
      <c r="C1678" s="524" t="s">
        <v>329</v>
      </c>
      <c r="D1678" s="524" t="s">
        <v>3987</v>
      </c>
      <c r="E1678" s="524" t="s">
        <v>2875</v>
      </c>
      <c r="F1678" s="524" t="s">
        <v>2875</v>
      </c>
      <c r="G1678" s="524" t="s">
        <v>2875</v>
      </c>
      <c r="H1678" s="524" t="s">
        <v>2875</v>
      </c>
      <c r="I1678" s="524" t="s">
        <v>7966</v>
      </c>
      <c r="J1678" s="524" t="s">
        <v>3987</v>
      </c>
      <c r="K1678" s="524"/>
      <c r="L1678" s="524" t="s">
        <v>6399</v>
      </c>
      <c r="M1678" s="524" t="s">
        <v>6613</v>
      </c>
      <c r="N1678" s="524" t="s">
        <v>7967</v>
      </c>
      <c r="O1678" s="524"/>
    </row>
    <row r="1679" spans="1:15" ht="101.5" hidden="1">
      <c r="A1679" s="527">
        <v>9049</v>
      </c>
      <c r="B1679" s="527"/>
      <c r="C1679" s="527" t="s">
        <v>329</v>
      </c>
      <c r="D1679" s="527" t="s">
        <v>245</v>
      </c>
      <c r="E1679" s="527" t="s">
        <v>1869</v>
      </c>
      <c r="F1679" s="527" t="s">
        <v>2875</v>
      </c>
      <c r="G1679" s="527">
        <v>31</v>
      </c>
      <c r="H1679" s="527" t="s">
        <v>245</v>
      </c>
      <c r="I1679" s="527" t="s">
        <v>990</v>
      </c>
      <c r="J1679" s="527" t="s">
        <v>2890</v>
      </c>
      <c r="K1679" s="527" t="s">
        <v>2890</v>
      </c>
      <c r="L1679" s="527" t="s">
        <v>7968</v>
      </c>
      <c r="M1679" s="524"/>
      <c r="N1679" s="524"/>
      <c r="O1679" s="524"/>
    </row>
    <row r="1680" spans="1:15" ht="58" hidden="1">
      <c r="A1680" s="525">
        <v>9051</v>
      </c>
      <c r="B1680" s="525"/>
      <c r="C1680" s="524" t="s">
        <v>7969</v>
      </c>
      <c r="D1680" s="524" t="s">
        <v>4125</v>
      </c>
      <c r="E1680" s="524" t="s">
        <v>4124</v>
      </c>
      <c r="F1680" s="524" t="s">
        <v>4124</v>
      </c>
      <c r="G1680" s="524" t="s">
        <v>4124</v>
      </c>
      <c r="H1680" s="524" t="s">
        <v>4124</v>
      </c>
      <c r="I1680" s="524" t="s">
        <v>7970</v>
      </c>
      <c r="J1680" s="524" t="s">
        <v>4125</v>
      </c>
      <c r="K1680" s="524"/>
      <c r="L1680" s="524" t="s">
        <v>6386</v>
      </c>
      <c r="M1680" s="524" t="s">
        <v>6435</v>
      </c>
      <c r="N1680" s="524" t="s">
        <v>7971</v>
      </c>
      <c r="O1680" s="524"/>
    </row>
    <row r="1681" spans="1:15" ht="116" hidden="1">
      <c r="A1681" s="527">
        <v>9051</v>
      </c>
      <c r="B1681" s="527"/>
      <c r="C1681" s="527" t="s">
        <v>83</v>
      </c>
      <c r="D1681" s="527" t="s">
        <v>728</v>
      </c>
      <c r="E1681" s="527" t="s">
        <v>737</v>
      </c>
      <c r="F1681" s="527" t="s">
        <v>738</v>
      </c>
      <c r="G1681" s="527">
        <v>12</v>
      </c>
      <c r="H1681" s="527" t="s">
        <v>4</v>
      </c>
      <c r="I1681" s="527" t="s">
        <v>726</v>
      </c>
      <c r="J1681" s="527" t="s">
        <v>2889</v>
      </c>
      <c r="K1681" s="527" t="s">
        <v>2890</v>
      </c>
      <c r="L1681" s="527" t="s">
        <v>7972</v>
      </c>
      <c r="M1681" s="524"/>
      <c r="N1681" s="524"/>
      <c r="O1681" s="524"/>
    </row>
    <row r="1682" spans="1:15" ht="29" hidden="1">
      <c r="A1682" s="525">
        <v>9052</v>
      </c>
      <c r="B1682" s="525"/>
      <c r="C1682" s="524" t="s">
        <v>330</v>
      </c>
      <c r="D1682" s="524" t="s">
        <v>1532</v>
      </c>
      <c r="E1682" s="524" t="s">
        <v>1533</v>
      </c>
      <c r="F1682" s="524" t="s">
        <v>1533</v>
      </c>
      <c r="G1682" s="524" t="s">
        <v>1533</v>
      </c>
      <c r="H1682" s="524" t="s">
        <v>1533</v>
      </c>
      <c r="I1682" s="524" t="s">
        <v>7973</v>
      </c>
      <c r="J1682" s="524" t="s">
        <v>7974</v>
      </c>
      <c r="K1682" s="524"/>
      <c r="L1682" s="524" t="s">
        <v>6379</v>
      </c>
      <c r="M1682" s="524" t="s">
        <v>6380</v>
      </c>
      <c r="N1682" s="524"/>
      <c r="O1682" s="524"/>
    </row>
    <row r="1683" spans="1:15" ht="29" hidden="1">
      <c r="A1683" s="527">
        <v>9052</v>
      </c>
      <c r="B1683" s="527"/>
      <c r="C1683" s="527" t="s">
        <v>330</v>
      </c>
      <c r="D1683" s="527" t="s">
        <v>1528</v>
      </c>
      <c r="E1683" s="527" t="s">
        <v>1532</v>
      </c>
      <c r="F1683" s="527" t="s">
        <v>1533</v>
      </c>
      <c r="G1683" s="527">
        <v>511</v>
      </c>
      <c r="H1683" s="527" t="s">
        <v>429</v>
      </c>
      <c r="I1683" s="527" t="s">
        <v>1526</v>
      </c>
      <c r="J1683" s="527" t="s">
        <v>2890</v>
      </c>
      <c r="K1683" s="527" t="s">
        <v>2890</v>
      </c>
      <c r="L1683" s="527" t="s">
        <v>6371</v>
      </c>
      <c r="M1683" s="524"/>
      <c r="N1683" s="524"/>
      <c r="O1683" s="524"/>
    </row>
    <row r="1684" spans="1:15" ht="58" hidden="1">
      <c r="A1684" s="524">
        <v>9053</v>
      </c>
      <c r="B1684" s="524"/>
      <c r="C1684" s="524" t="s">
        <v>400</v>
      </c>
      <c r="D1684" s="524" t="s">
        <v>1271</v>
      </c>
      <c r="E1684" s="524" t="s">
        <v>1272</v>
      </c>
      <c r="F1684" s="524" t="s">
        <v>1272</v>
      </c>
      <c r="G1684" s="524" t="s">
        <v>1272</v>
      </c>
      <c r="H1684" s="524" t="s">
        <v>1272</v>
      </c>
      <c r="I1684" s="524" t="s">
        <v>7975</v>
      </c>
      <c r="J1684" s="524" t="s">
        <v>1271</v>
      </c>
      <c r="K1684" s="524"/>
      <c r="L1684" s="524" t="s">
        <v>6386</v>
      </c>
      <c r="M1684" s="524" t="s">
        <v>6488</v>
      </c>
      <c r="N1684" s="524"/>
      <c r="O1684" s="524"/>
    </row>
    <row r="1685" spans="1:15" ht="87" hidden="1">
      <c r="A1685" s="527">
        <v>9053</v>
      </c>
      <c r="B1685" s="527"/>
      <c r="C1685" s="527" t="s">
        <v>400</v>
      </c>
      <c r="D1685" s="527" t="s">
        <v>955</v>
      </c>
      <c r="E1685" s="527" t="s">
        <v>1271</v>
      </c>
      <c r="F1685" s="527" t="s">
        <v>1272</v>
      </c>
      <c r="G1685" s="527">
        <v>28</v>
      </c>
      <c r="H1685" s="527" t="s">
        <v>9</v>
      </c>
      <c r="I1685" s="527" t="s">
        <v>953</v>
      </c>
      <c r="J1685" s="527" t="s">
        <v>2889</v>
      </c>
      <c r="K1685" s="527" t="s">
        <v>2890</v>
      </c>
      <c r="L1685" s="527" t="s">
        <v>7976</v>
      </c>
      <c r="M1685" s="524"/>
      <c r="N1685" s="524"/>
      <c r="O1685" s="524"/>
    </row>
    <row r="1686" spans="1:15" ht="58" hidden="1">
      <c r="A1686" s="525">
        <v>9054</v>
      </c>
      <c r="B1686" s="525"/>
      <c r="C1686" s="524" t="s">
        <v>1042</v>
      </c>
      <c r="D1686" s="524" t="s">
        <v>1043</v>
      </c>
      <c r="E1686" s="524" t="s">
        <v>1044</v>
      </c>
      <c r="F1686" s="524" t="s">
        <v>1044</v>
      </c>
      <c r="G1686" s="524" t="s">
        <v>1044</v>
      </c>
      <c r="H1686" s="524" t="s">
        <v>1044</v>
      </c>
      <c r="I1686" s="524" t="s">
        <v>7977</v>
      </c>
      <c r="J1686" s="524" t="s">
        <v>1043</v>
      </c>
      <c r="K1686" s="524"/>
      <c r="L1686" s="524" t="s">
        <v>6386</v>
      </c>
      <c r="M1686" s="524" t="s">
        <v>6435</v>
      </c>
      <c r="N1686" s="524"/>
      <c r="O1686" s="524"/>
    </row>
    <row r="1687" spans="1:15" ht="87" hidden="1">
      <c r="A1687" s="527">
        <v>9054</v>
      </c>
      <c r="B1687" s="527"/>
      <c r="C1687" s="527" t="s">
        <v>1042</v>
      </c>
      <c r="D1687" s="527" t="s">
        <v>1041</v>
      </c>
      <c r="E1687" s="527" t="s">
        <v>1043</v>
      </c>
      <c r="F1687" s="527" t="s">
        <v>1044</v>
      </c>
      <c r="G1687" s="527">
        <v>86</v>
      </c>
      <c r="H1687" s="527" t="s">
        <v>20</v>
      </c>
      <c r="I1687" s="527" t="s">
        <v>1039</v>
      </c>
      <c r="J1687" s="527" t="s">
        <v>2889</v>
      </c>
      <c r="K1687" s="527" t="s">
        <v>2890</v>
      </c>
      <c r="L1687" s="527" t="s">
        <v>7978</v>
      </c>
      <c r="M1687" s="524"/>
      <c r="N1687" s="524"/>
      <c r="O1687" s="524"/>
    </row>
    <row r="1688" spans="1:15" ht="58" hidden="1">
      <c r="A1688" s="525">
        <v>9055</v>
      </c>
      <c r="B1688" s="525"/>
      <c r="C1688" s="524" t="s">
        <v>4795</v>
      </c>
      <c r="D1688" s="524" t="s">
        <v>4794</v>
      </c>
      <c r="E1688" s="524" t="s">
        <v>4793</v>
      </c>
      <c r="F1688" s="524" t="s">
        <v>4793</v>
      </c>
      <c r="G1688" s="524" t="s">
        <v>4793</v>
      </c>
      <c r="H1688" s="524" t="s">
        <v>4793</v>
      </c>
      <c r="I1688" s="524" t="s">
        <v>4794</v>
      </c>
      <c r="J1688" s="524" t="s">
        <v>4794</v>
      </c>
      <c r="K1688" s="524"/>
      <c r="L1688" s="524" t="s">
        <v>6386</v>
      </c>
      <c r="M1688" s="524" t="s">
        <v>6435</v>
      </c>
      <c r="N1688" s="524"/>
      <c r="O1688" s="524"/>
    </row>
    <row r="1689" spans="1:15" ht="43.5" hidden="1">
      <c r="A1689" s="525">
        <v>9056</v>
      </c>
      <c r="B1689" s="525"/>
      <c r="C1689" s="524" t="s">
        <v>351</v>
      </c>
      <c r="D1689" s="524" t="s">
        <v>1823</v>
      </c>
      <c r="E1689" s="524" t="s">
        <v>717</v>
      </c>
      <c r="F1689" s="524" t="s">
        <v>717</v>
      </c>
      <c r="G1689" s="524" t="s">
        <v>717</v>
      </c>
      <c r="H1689" s="524" t="s">
        <v>717</v>
      </c>
      <c r="I1689" s="524" t="s">
        <v>7979</v>
      </c>
      <c r="J1689" s="524" t="s">
        <v>1823</v>
      </c>
      <c r="K1689" s="524"/>
      <c r="L1689" s="524" t="s">
        <v>6386</v>
      </c>
      <c r="M1689" s="524" t="s">
        <v>6435</v>
      </c>
      <c r="N1689" s="524"/>
      <c r="O1689" s="524"/>
    </row>
    <row r="1690" spans="1:15" ht="87" hidden="1">
      <c r="A1690" s="527">
        <v>9056</v>
      </c>
      <c r="B1690" s="527"/>
      <c r="C1690" s="527" t="s">
        <v>351</v>
      </c>
      <c r="D1690" s="527" t="s">
        <v>706</v>
      </c>
      <c r="E1690" s="527" t="s">
        <v>1823</v>
      </c>
      <c r="F1690" s="527" t="s">
        <v>717</v>
      </c>
      <c r="G1690" s="527">
        <v>11</v>
      </c>
      <c r="H1690" s="527" t="s">
        <v>6</v>
      </c>
      <c r="I1690" s="527" t="s">
        <v>705</v>
      </c>
      <c r="J1690" s="527" t="s">
        <v>2889</v>
      </c>
      <c r="K1690" s="527" t="s">
        <v>2890</v>
      </c>
      <c r="L1690" s="527" t="s">
        <v>7980</v>
      </c>
      <c r="M1690" s="524"/>
      <c r="N1690" s="524"/>
      <c r="O1690" s="524"/>
    </row>
    <row r="1691" spans="1:15" ht="72.5" hidden="1">
      <c r="A1691" s="525">
        <v>9060</v>
      </c>
      <c r="B1691" s="525"/>
      <c r="C1691" s="524" t="s">
        <v>333</v>
      </c>
      <c r="D1691" s="524" t="s">
        <v>1511</v>
      </c>
      <c r="E1691" s="524" t="s">
        <v>1512</v>
      </c>
      <c r="F1691" s="524" t="s">
        <v>1512</v>
      </c>
      <c r="G1691" s="524" t="s">
        <v>1512</v>
      </c>
      <c r="H1691" s="524" t="s">
        <v>1512</v>
      </c>
      <c r="I1691" s="524" t="s">
        <v>1511</v>
      </c>
      <c r="J1691" s="524" t="s">
        <v>1511</v>
      </c>
      <c r="K1691" s="524"/>
      <c r="L1691" s="524" t="s">
        <v>6397</v>
      </c>
      <c r="M1691" s="524" t="s">
        <v>1</v>
      </c>
      <c r="N1691" s="524" t="s">
        <v>7981</v>
      </c>
      <c r="O1691" s="524"/>
    </row>
    <row r="1692" spans="1:15" ht="58" hidden="1">
      <c r="A1692" s="527">
        <v>9060</v>
      </c>
      <c r="B1692" s="527"/>
      <c r="C1692" s="527" t="s">
        <v>333</v>
      </c>
      <c r="D1692" s="527" t="s">
        <v>3090</v>
      </c>
      <c r="E1692" s="527" t="s">
        <v>1511</v>
      </c>
      <c r="F1692" s="527" t="s">
        <v>1512</v>
      </c>
      <c r="G1692" s="527">
        <v>331</v>
      </c>
      <c r="H1692" s="527" t="s">
        <v>3084</v>
      </c>
      <c r="I1692" s="527" t="s">
        <v>3087</v>
      </c>
      <c r="J1692" s="527" t="s">
        <v>2890</v>
      </c>
      <c r="K1692" s="527" t="s">
        <v>2890</v>
      </c>
      <c r="L1692" s="527" t="s">
        <v>6371</v>
      </c>
      <c r="M1692" s="524"/>
      <c r="N1692" s="524"/>
      <c r="O1692" s="524"/>
    </row>
    <row r="1693" spans="1:15" ht="72.5" hidden="1">
      <c r="A1693" s="525">
        <v>9061</v>
      </c>
      <c r="B1693" s="525"/>
      <c r="C1693" s="524" t="s">
        <v>379</v>
      </c>
      <c r="D1693" s="524" t="s">
        <v>1253</v>
      </c>
      <c r="E1693" s="524" t="s">
        <v>1254</v>
      </c>
      <c r="F1693" s="524" t="s">
        <v>1254</v>
      </c>
      <c r="G1693" s="524" t="s">
        <v>1254</v>
      </c>
      <c r="H1693" s="524" t="s">
        <v>1254</v>
      </c>
      <c r="I1693" s="524" t="s">
        <v>1253</v>
      </c>
      <c r="J1693" s="524" t="s">
        <v>1253</v>
      </c>
      <c r="K1693" s="524"/>
      <c r="L1693" s="524" t="s">
        <v>6397</v>
      </c>
      <c r="M1693" s="524" t="s">
        <v>1</v>
      </c>
      <c r="N1693" s="524" t="s">
        <v>7982</v>
      </c>
      <c r="O1693" s="524"/>
    </row>
    <row r="1694" spans="1:15" ht="43.5" hidden="1">
      <c r="A1694" s="527">
        <v>9061</v>
      </c>
      <c r="B1694" s="527"/>
      <c r="C1694" s="527" t="s">
        <v>379</v>
      </c>
      <c r="D1694" s="527" t="s">
        <v>3090</v>
      </c>
      <c r="E1694" s="527" t="s">
        <v>1253</v>
      </c>
      <c r="F1694" s="527" t="s">
        <v>1254</v>
      </c>
      <c r="G1694" s="527">
        <v>331</v>
      </c>
      <c r="H1694" s="527" t="s">
        <v>3084</v>
      </c>
      <c r="I1694" s="527" t="s">
        <v>3087</v>
      </c>
      <c r="J1694" s="527" t="s">
        <v>2889</v>
      </c>
      <c r="K1694" s="527" t="s">
        <v>2890</v>
      </c>
      <c r="L1694" s="527" t="s">
        <v>6371</v>
      </c>
      <c r="M1694" s="524"/>
      <c r="N1694" s="524"/>
      <c r="O1694" s="524"/>
    </row>
    <row r="1695" spans="1:15" ht="58" hidden="1">
      <c r="A1695" s="524">
        <v>9062</v>
      </c>
      <c r="B1695" s="524"/>
      <c r="C1695" s="524" t="s">
        <v>5492</v>
      </c>
      <c r="D1695" s="524" t="s">
        <v>5491</v>
      </c>
      <c r="E1695" s="524" t="s">
        <v>5490</v>
      </c>
      <c r="F1695" s="524" t="s">
        <v>5490</v>
      </c>
      <c r="G1695" s="524" t="s">
        <v>5490</v>
      </c>
      <c r="H1695" s="524" t="s">
        <v>5490</v>
      </c>
      <c r="I1695" s="524" t="s">
        <v>5491</v>
      </c>
      <c r="J1695" s="524" t="s">
        <v>5491</v>
      </c>
      <c r="K1695" s="524"/>
      <c r="L1695" s="524" t="s">
        <v>6397</v>
      </c>
      <c r="M1695" s="524" t="s">
        <v>2384</v>
      </c>
      <c r="N1695" s="524"/>
      <c r="O1695" s="524"/>
    </row>
    <row r="1696" spans="1:15" ht="43.5" hidden="1">
      <c r="A1696" s="524">
        <v>9063</v>
      </c>
      <c r="B1696" s="524"/>
      <c r="C1696" s="524" t="s">
        <v>5444</v>
      </c>
      <c r="D1696" s="524" t="s">
        <v>5443</v>
      </c>
      <c r="E1696" s="524" t="s">
        <v>5442</v>
      </c>
      <c r="F1696" s="524" t="s">
        <v>5442</v>
      </c>
      <c r="G1696" s="524" t="s">
        <v>5442</v>
      </c>
      <c r="H1696" s="524" t="s">
        <v>5442</v>
      </c>
      <c r="I1696" s="524" t="s">
        <v>5443</v>
      </c>
      <c r="J1696" s="524" t="s">
        <v>5443</v>
      </c>
      <c r="K1696" s="524"/>
      <c r="L1696" s="524" t="s">
        <v>6368</v>
      </c>
      <c r="M1696" s="524" t="s">
        <v>2573</v>
      </c>
      <c r="N1696" s="524"/>
      <c r="O1696" s="524"/>
    </row>
    <row r="1697" spans="1:15" ht="58" hidden="1">
      <c r="A1697" s="524">
        <v>9064</v>
      </c>
      <c r="B1697" s="524"/>
      <c r="C1697" s="524" t="s">
        <v>5441</v>
      </c>
      <c r="D1697" s="524" t="s">
        <v>5440</v>
      </c>
      <c r="E1697" s="524" t="s">
        <v>5439</v>
      </c>
      <c r="F1697" s="524" t="s">
        <v>5439</v>
      </c>
      <c r="G1697" s="524" t="s">
        <v>5439</v>
      </c>
      <c r="H1697" s="524" t="s">
        <v>5439</v>
      </c>
      <c r="I1697" s="524" t="s">
        <v>5440</v>
      </c>
      <c r="J1697" s="524" t="s">
        <v>5440</v>
      </c>
      <c r="K1697" s="524"/>
      <c r="L1697" s="524" t="s">
        <v>6397</v>
      </c>
      <c r="M1697" s="524" t="s">
        <v>2384</v>
      </c>
      <c r="N1697" s="524"/>
      <c r="O1697" s="524"/>
    </row>
    <row r="1698" spans="1:15" ht="72.5" hidden="1">
      <c r="A1698" s="524">
        <v>9065</v>
      </c>
      <c r="B1698" s="524"/>
      <c r="C1698" s="524" t="s">
        <v>5438</v>
      </c>
      <c r="D1698" s="524" t="s">
        <v>5437</v>
      </c>
      <c r="E1698" s="524" t="s">
        <v>5436</v>
      </c>
      <c r="F1698" s="524" t="s">
        <v>5436</v>
      </c>
      <c r="G1698" s="524" t="s">
        <v>5436</v>
      </c>
      <c r="H1698" s="524" t="s">
        <v>5436</v>
      </c>
      <c r="I1698" s="524" t="s">
        <v>5437</v>
      </c>
      <c r="J1698" s="524" t="s">
        <v>5437</v>
      </c>
      <c r="K1698" s="524"/>
      <c r="L1698" s="524" t="s">
        <v>6379</v>
      </c>
      <c r="M1698" s="524" t="s">
        <v>6380</v>
      </c>
      <c r="N1698" s="524"/>
      <c r="O1698" s="524"/>
    </row>
    <row r="1699" spans="1:15" ht="58" hidden="1">
      <c r="A1699" s="525">
        <v>9090</v>
      </c>
      <c r="B1699" s="525"/>
      <c r="C1699" s="524" t="s">
        <v>4822</v>
      </c>
      <c r="D1699" s="524" t="s">
        <v>7985</v>
      </c>
      <c r="E1699" s="524" t="s">
        <v>7983</v>
      </c>
      <c r="F1699" s="524" t="s">
        <v>7983</v>
      </c>
      <c r="G1699" s="524" t="s">
        <v>7983</v>
      </c>
      <c r="H1699" s="524" t="s">
        <v>7983</v>
      </c>
      <c r="I1699" s="524" t="s">
        <v>7984</v>
      </c>
      <c r="J1699" s="524" t="s">
        <v>7985</v>
      </c>
      <c r="K1699" s="524" t="s">
        <v>6359</v>
      </c>
      <c r="L1699" s="524" t="s">
        <v>6414</v>
      </c>
      <c r="M1699" s="524" t="s">
        <v>6450</v>
      </c>
      <c r="N1699" s="524"/>
      <c r="O1699" s="524"/>
    </row>
    <row r="1700" spans="1:15" ht="72.5" hidden="1">
      <c r="A1700" s="525">
        <v>9091</v>
      </c>
      <c r="B1700" s="525"/>
      <c r="C1700" s="524" t="s">
        <v>272</v>
      </c>
      <c r="D1700" s="524" t="s">
        <v>1062</v>
      </c>
      <c r="E1700" s="524" t="s">
        <v>1063</v>
      </c>
      <c r="F1700" s="524" t="s">
        <v>1063</v>
      </c>
      <c r="G1700" s="524" t="s">
        <v>1063</v>
      </c>
      <c r="H1700" s="524" t="s">
        <v>1063</v>
      </c>
      <c r="I1700" s="524" t="s">
        <v>7986</v>
      </c>
      <c r="J1700" s="524" t="s">
        <v>1062</v>
      </c>
      <c r="K1700" s="524" t="s">
        <v>6359</v>
      </c>
      <c r="L1700" s="524" t="s">
        <v>6379</v>
      </c>
      <c r="M1700" s="524" t="s">
        <v>6380</v>
      </c>
      <c r="N1700" s="524" t="s">
        <v>7987</v>
      </c>
      <c r="O1700" s="524"/>
    </row>
    <row r="1701" spans="1:15" ht="72.5" hidden="1">
      <c r="A1701" s="527">
        <v>9091</v>
      </c>
      <c r="B1701" s="527"/>
      <c r="C1701" s="527" t="s">
        <v>272</v>
      </c>
      <c r="D1701" s="527" t="s">
        <v>1</v>
      </c>
      <c r="E1701" s="527" t="s">
        <v>1062</v>
      </c>
      <c r="F1701" s="527" t="s">
        <v>1063</v>
      </c>
      <c r="G1701" s="527">
        <v>87</v>
      </c>
      <c r="H1701" s="527" t="s">
        <v>1</v>
      </c>
      <c r="I1701" s="527" t="s">
        <v>852</v>
      </c>
      <c r="J1701" s="527" t="s">
        <v>2890</v>
      </c>
      <c r="K1701" s="527" t="s">
        <v>2889</v>
      </c>
      <c r="L1701" s="527" t="s">
        <v>7988</v>
      </c>
      <c r="M1701" s="524"/>
      <c r="N1701" s="524"/>
      <c r="O1701" s="524"/>
    </row>
    <row r="1702" spans="1:15" ht="87" hidden="1">
      <c r="A1702" s="524">
        <v>9095</v>
      </c>
      <c r="B1702" s="524"/>
      <c r="C1702" s="524" t="s">
        <v>7989</v>
      </c>
      <c r="D1702" s="524" t="s">
        <v>4364</v>
      </c>
      <c r="E1702" s="524" t="s">
        <v>1087</v>
      </c>
      <c r="F1702" s="524" t="s">
        <v>1087</v>
      </c>
      <c r="G1702" s="524" t="s">
        <v>1087</v>
      </c>
      <c r="H1702" s="524" t="s">
        <v>1087</v>
      </c>
      <c r="I1702" s="524" t="s">
        <v>7990</v>
      </c>
      <c r="J1702" s="524" t="s">
        <v>7991</v>
      </c>
      <c r="K1702" s="524" t="s">
        <v>6359</v>
      </c>
      <c r="L1702" s="524" t="s">
        <v>6414</v>
      </c>
      <c r="M1702" s="524" t="s">
        <v>6450</v>
      </c>
      <c r="N1702" s="524"/>
      <c r="O1702" s="524"/>
    </row>
    <row r="1703" spans="1:15" ht="101.5" hidden="1">
      <c r="A1703" s="527">
        <v>9095</v>
      </c>
      <c r="B1703" s="527"/>
      <c r="C1703" s="527" t="s">
        <v>1085</v>
      </c>
      <c r="D1703" s="527" t="s">
        <v>1068</v>
      </c>
      <c r="E1703" s="527" t="s">
        <v>1086</v>
      </c>
      <c r="F1703" s="527" t="s">
        <v>1087</v>
      </c>
      <c r="G1703" s="527">
        <v>88</v>
      </c>
      <c r="H1703" s="527" t="s">
        <v>16</v>
      </c>
      <c r="I1703" s="527" t="s">
        <v>1066</v>
      </c>
      <c r="J1703" s="527" t="s">
        <v>2890</v>
      </c>
      <c r="K1703" s="527" t="s">
        <v>2890</v>
      </c>
      <c r="L1703" s="527" t="s">
        <v>7992</v>
      </c>
      <c r="M1703" s="524"/>
      <c r="N1703" s="524"/>
      <c r="O1703" s="524"/>
    </row>
    <row r="1704" spans="1:15" ht="101.5" hidden="1">
      <c r="A1704" s="524">
        <v>9096</v>
      </c>
      <c r="B1704" s="524"/>
      <c r="C1704" s="524" t="s">
        <v>5435</v>
      </c>
      <c r="D1704" s="524" t="s">
        <v>5434</v>
      </c>
      <c r="E1704" s="524" t="s">
        <v>5433</v>
      </c>
      <c r="F1704" s="524" t="s">
        <v>5433</v>
      </c>
      <c r="G1704" s="524" t="s">
        <v>5433</v>
      </c>
      <c r="H1704" s="524" t="s">
        <v>5433</v>
      </c>
      <c r="I1704" s="524" t="s">
        <v>5434</v>
      </c>
      <c r="J1704" s="524" t="s">
        <v>5434</v>
      </c>
      <c r="K1704" s="524"/>
      <c r="L1704" s="524" t="s">
        <v>6365</v>
      </c>
      <c r="M1704" s="524" t="s">
        <v>6366</v>
      </c>
      <c r="N1704" s="524"/>
      <c r="O1704" s="524"/>
    </row>
    <row r="1705" spans="1:15" ht="43.5" hidden="1">
      <c r="A1705" s="524">
        <v>9097</v>
      </c>
      <c r="B1705" s="524"/>
      <c r="C1705" s="524" t="s">
        <v>5432</v>
      </c>
      <c r="D1705" s="524" t="s">
        <v>5431</v>
      </c>
      <c r="E1705" s="524" t="s">
        <v>5430</v>
      </c>
      <c r="F1705" s="524" t="s">
        <v>5430</v>
      </c>
      <c r="G1705" s="524" t="s">
        <v>5430</v>
      </c>
      <c r="H1705" s="524" t="s">
        <v>5430</v>
      </c>
      <c r="I1705" s="524" t="s">
        <v>5431</v>
      </c>
      <c r="J1705" s="524" t="s">
        <v>5431</v>
      </c>
      <c r="K1705" s="524"/>
      <c r="L1705" s="524" t="s">
        <v>6379</v>
      </c>
      <c r="M1705" s="524" t="s">
        <v>6502</v>
      </c>
      <c r="N1705" s="524"/>
      <c r="O1705" s="524"/>
    </row>
    <row r="1706" spans="1:15" ht="72.5" hidden="1">
      <c r="A1706" s="524">
        <v>9098</v>
      </c>
      <c r="B1706" s="524"/>
      <c r="C1706" s="524" t="s">
        <v>7993</v>
      </c>
      <c r="D1706" s="524" t="s">
        <v>5428</v>
      </c>
      <c r="E1706" s="524" t="s">
        <v>5427</v>
      </c>
      <c r="F1706" s="524" t="s">
        <v>5427</v>
      </c>
      <c r="G1706" s="524" t="s">
        <v>5427</v>
      </c>
      <c r="H1706" s="524" t="s">
        <v>5427</v>
      </c>
      <c r="I1706" s="524" t="s">
        <v>5428</v>
      </c>
      <c r="J1706" s="524" t="s">
        <v>5428</v>
      </c>
      <c r="K1706" s="524"/>
      <c r="L1706" s="524" t="s">
        <v>6365</v>
      </c>
      <c r="M1706" s="524" t="s">
        <v>6366</v>
      </c>
      <c r="N1706" s="524"/>
      <c r="O1706" s="524"/>
    </row>
    <row r="1707" spans="1:15" ht="58" hidden="1">
      <c r="A1707" s="524">
        <v>9099</v>
      </c>
      <c r="B1707" s="524"/>
      <c r="C1707" s="524" t="s">
        <v>5426</v>
      </c>
      <c r="D1707" s="524" t="s">
        <v>5425</v>
      </c>
      <c r="E1707" s="524" t="s">
        <v>5424</v>
      </c>
      <c r="F1707" s="524" t="s">
        <v>5424</v>
      </c>
      <c r="G1707" s="524" t="s">
        <v>5424</v>
      </c>
      <c r="H1707" s="524" t="s">
        <v>5424</v>
      </c>
      <c r="I1707" s="524" t="s">
        <v>5425</v>
      </c>
      <c r="J1707" s="524" t="s">
        <v>5425</v>
      </c>
      <c r="K1707" s="524"/>
      <c r="L1707" s="524" t="s">
        <v>6414</v>
      </c>
      <c r="M1707" s="524" t="s">
        <v>6415</v>
      </c>
      <c r="N1707" s="524"/>
      <c r="O1707" s="524"/>
    </row>
    <row r="1708" spans="1:15" ht="72.5" hidden="1">
      <c r="A1708" s="524">
        <v>9100</v>
      </c>
      <c r="B1708" s="524"/>
      <c r="C1708" s="524" t="s">
        <v>5423</v>
      </c>
      <c r="D1708" s="524" t="s">
        <v>5422</v>
      </c>
      <c r="E1708" s="524" t="s">
        <v>5421</v>
      </c>
      <c r="F1708" s="524" t="s">
        <v>5421</v>
      </c>
      <c r="G1708" s="524" t="s">
        <v>5421</v>
      </c>
      <c r="H1708" s="524" t="s">
        <v>5421</v>
      </c>
      <c r="I1708" s="524" t="s">
        <v>5422</v>
      </c>
      <c r="J1708" s="524" t="s">
        <v>5422</v>
      </c>
      <c r="K1708" s="524"/>
      <c r="L1708" s="524" t="s">
        <v>6414</v>
      </c>
      <c r="M1708" s="524" t="s">
        <v>6415</v>
      </c>
      <c r="N1708" s="524"/>
      <c r="O1708" s="524"/>
    </row>
    <row r="1709" spans="1:15" ht="58" hidden="1">
      <c r="A1709" s="524">
        <v>9101</v>
      </c>
      <c r="B1709" s="524"/>
      <c r="C1709" s="524" t="s">
        <v>5261</v>
      </c>
      <c r="D1709" s="524" t="s">
        <v>5260</v>
      </c>
      <c r="E1709" s="524" t="s">
        <v>5259</v>
      </c>
      <c r="F1709" s="524" t="s">
        <v>5259</v>
      </c>
      <c r="G1709" s="524" t="s">
        <v>5259</v>
      </c>
      <c r="H1709" s="524" t="s">
        <v>5259</v>
      </c>
      <c r="I1709" s="524" t="s">
        <v>5260</v>
      </c>
      <c r="J1709" s="524" t="s">
        <v>5260</v>
      </c>
      <c r="K1709" s="524"/>
      <c r="L1709" s="524" t="s">
        <v>6397</v>
      </c>
      <c r="M1709" s="524" t="s">
        <v>2384</v>
      </c>
      <c r="N1709" s="524"/>
      <c r="O1709" s="524"/>
    </row>
    <row r="1710" spans="1:15" ht="43.5" hidden="1">
      <c r="A1710" s="525">
        <v>9112</v>
      </c>
      <c r="B1710" s="525"/>
      <c r="C1710" s="524" t="s">
        <v>1420</v>
      </c>
      <c r="D1710" s="524" t="s">
        <v>1421</v>
      </c>
      <c r="E1710" s="524" t="s">
        <v>1422</v>
      </c>
      <c r="F1710" s="524" t="s">
        <v>1422</v>
      </c>
      <c r="G1710" s="524" t="s">
        <v>1422</v>
      </c>
      <c r="H1710" s="524" t="s">
        <v>1422</v>
      </c>
      <c r="I1710" s="524" t="s">
        <v>7994</v>
      </c>
      <c r="J1710" s="524" t="s">
        <v>1421</v>
      </c>
      <c r="K1710" s="524"/>
      <c r="L1710" s="524" t="s">
        <v>6590</v>
      </c>
      <c r="M1710" s="524" t="s">
        <v>6727</v>
      </c>
      <c r="N1710" s="524"/>
      <c r="O1710" s="524"/>
    </row>
    <row r="1711" spans="1:15" ht="87" hidden="1">
      <c r="A1711" s="527">
        <v>9112</v>
      </c>
      <c r="B1711" s="527"/>
      <c r="C1711" s="527" t="s">
        <v>1420</v>
      </c>
      <c r="D1711" s="527" t="s">
        <v>4703</v>
      </c>
      <c r="E1711" s="527" t="s">
        <v>1421</v>
      </c>
      <c r="F1711" s="527" t="s">
        <v>1422</v>
      </c>
      <c r="G1711" s="527">
        <v>283</v>
      </c>
      <c r="H1711" s="527" t="s">
        <v>4705</v>
      </c>
      <c r="I1711" s="527" t="s">
        <v>4704</v>
      </c>
      <c r="J1711" s="527" t="s">
        <v>2890</v>
      </c>
      <c r="K1711" s="527" t="s">
        <v>2889</v>
      </c>
      <c r="L1711" s="527" t="s">
        <v>7995</v>
      </c>
      <c r="M1711" s="524"/>
      <c r="N1711" s="524"/>
      <c r="O1711" s="524"/>
    </row>
    <row r="1712" spans="1:15" ht="72.5" hidden="1">
      <c r="A1712" s="524">
        <v>9113</v>
      </c>
      <c r="B1712" s="524"/>
      <c r="C1712" s="524" t="s">
        <v>7996</v>
      </c>
      <c r="D1712" s="524" t="s">
        <v>7999</v>
      </c>
      <c r="E1712" s="524" t="s">
        <v>7997</v>
      </c>
      <c r="F1712" s="524" t="s">
        <v>7997</v>
      </c>
      <c r="G1712" s="524" t="s">
        <v>7997</v>
      </c>
      <c r="H1712" s="524" t="s">
        <v>7997</v>
      </c>
      <c r="I1712" s="524" t="s">
        <v>7998</v>
      </c>
      <c r="J1712" s="524" t="s">
        <v>7999</v>
      </c>
      <c r="K1712" s="524"/>
      <c r="L1712" s="524" t="s">
        <v>6397</v>
      </c>
      <c r="M1712" s="524" t="s">
        <v>1</v>
      </c>
      <c r="N1712" s="524"/>
      <c r="O1712" s="524"/>
    </row>
    <row r="1713" spans="1:15" ht="87" hidden="1">
      <c r="A1713" s="527">
        <v>9113</v>
      </c>
      <c r="B1713" s="527"/>
      <c r="C1713" s="527" t="s">
        <v>2043</v>
      </c>
      <c r="D1713" s="527" t="s">
        <v>4703</v>
      </c>
      <c r="E1713" s="527" t="s">
        <v>2880</v>
      </c>
      <c r="F1713" s="527" t="s">
        <v>2885</v>
      </c>
      <c r="G1713" s="527">
        <v>283</v>
      </c>
      <c r="H1713" s="527" t="s">
        <v>4705</v>
      </c>
      <c r="I1713" s="527" t="s">
        <v>4704</v>
      </c>
      <c r="J1713" s="527" t="s">
        <v>2889</v>
      </c>
      <c r="K1713" s="527" t="s">
        <v>2889</v>
      </c>
      <c r="L1713" s="527" t="s">
        <v>8000</v>
      </c>
      <c r="M1713" s="524"/>
      <c r="N1713" s="524"/>
      <c r="O1713" s="524"/>
    </row>
    <row r="1714" spans="1:15" ht="58" hidden="1">
      <c r="A1714" s="524">
        <v>9114</v>
      </c>
      <c r="B1714" s="524"/>
      <c r="C1714" s="524" t="s">
        <v>2044</v>
      </c>
      <c r="D1714" s="524" t="s">
        <v>3508</v>
      </c>
      <c r="E1714" s="524" t="s">
        <v>3507</v>
      </c>
      <c r="F1714" s="524" t="s">
        <v>3507</v>
      </c>
      <c r="G1714" s="524" t="s">
        <v>3507</v>
      </c>
      <c r="H1714" s="524" t="s">
        <v>3507</v>
      </c>
      <c r="I1714" s="524" t="s">
        <v>8001</v>
      </c>
      <c r="J1714" s="524" t="s">
        <v>3508</v>
      </c>
      <c r="K1714" s="524"/>
      <c r="L1714" s="524" t="s">
        <v>6368</v>
      </c>
      <c r="M1714" s="524" t="s">
        <v>2573</v>
      </c>
      <c r="N1714" s="524"/>
      <c r="O1714" s="524"/>
    </row>
    <row r="1715" spans="1:15" ht="87" hidden="1">
      <c r="A1715" s="527">
        <v>9114</v>
      </c>
      <c r="B1715" s="527"/>
      <c r="C1715" s="527" t="s">
        <v>2044</v>
      </c>
      <c r="D1715" s="527" t="s">
        <v>4703</v>
      </c>
      <c r="E1715" s="527" t="s">
        <v>2881</v>
      </c>
      <c r="F1715" s="527" t="s">
        <v>2886</v>
      </c>
      <c r="G1715" s="527">
        <v>283</v>
      </c>
      <c r="H1715" s="527" t="s">
        <v>4705</v>
      </c>
      <c r="I1715" s="527" t="s">
        <v>4704</v>
      </c>
      <c r="J1715" s="527" t="s">
        <v>2889</v>
      </c>
      <c r="K1715" s="527" t="s">
        <v>2889</v>
      </c>
      <c r="L1715" s="527" t="s">
        <v>8002</v>
      </c>
      <c r="M1715" s="524"/>
      <c r="N1715" s="524"/>
      <c r="O1715" s="524"/>
    </row>
    <row r="1716" spans="1:15" ht="29" hidden="1">
      <c r="A1716" s="524">
        <v>9115</v>
      </c>
      <c r="B1716" s="524"/>
      <c r="C1716" s="524" t="s">
        <v>5116</v>
      </c>
      <c r="D1716" s="524" t="s">
        <v>5115</v>
      </c>
      <c r="E1716" s="524" t="s">
        <v>5114</v>
      </c>
      <c r="F1716" s="524" t="s">
        <v>5114</v>
      </c>
      <c r="G1716" s="524" t="s">
        <v>5114</v>
      </c>
      <c r="H1716" s="524" t="s">
        <v>5114</v>
      </c>
      <c r="I1716" s="524" t="s">
        <v>5115</v>
      </c>
      <c r="J1716" s="524" t="s">
        <v>5115</v>
      </c>
      <c r="K1716" s="524"/>
      <c r="L1716" s="524" t="s">
        <v>6590</v>
      </c>
      <c r="M1716" s="524" t="s">
        <v>6727</v>
      </c>
      <c r="N1716" s="524"/>
      <c r="O1716" s="524"/>
    </row>
    <row r="1717" spans="1:15" ht="29" hidden="1">
      <c r="A1717" s="524">
        <v>9118</v>
      </c>
      <c r="B1717" s="524"/>
      <c r="C1717" s="524" t="s">
        <v>5125</v>
      </c>
      <c r="D1717" s="524" t="s">
        <v>5124</v>
      </c>
      <c r="E1717" s="524" t="s">
        <v>5123</v>
      </c>
      <c r="F1717" s="524" t="s">
        <v>5123</v>
      </c>
      <c r="G1717" s="524" t="s">
        <v>5123</v>
      </c>
      <c r="H1717" s="524" t="s">
        <v>5123</v>
      </c>
      <c r="I1717" s="524" t="s">
        <v>5124</v>
      </c>
      <c r="J1717" s="524" t="s">
        <v>5124</v>
      </c>
      <c r="K1717" s="524"/>
      <c r="L1717" s="524" t="s">
        <v>6590</v>
      </c>
      <c r="M1717" s="524" t="s">
        <v>6727</v>
      </c>
      <c r="N1717" s="524"/>
      <c r="O1717" s="524"/>
    </row>
    <row r="1718" spans="1:15" ht="58" hidden="1">
      <c r="A1718" s="524">
        <v>9119</v>
      </c>
      <c r="B1718" s="524"/>
      <c r="C1718" s="524" t="s">
        <v>5122</v>
      </c>
      <c r="D1718" s="524" t="s">
        <v>5121</v>
      </c>
      <c r="E1718" s="524" t="s">
        <v>5120</v>
      </c>
      <c r="F1718" s="524" t="s">
        <v>5120</v>
      </c>
      <c r="G1718" s="524" t="s">
        <v>5120</v>
      </c>
      <c r="H1718" s="524" t="s">
        <v>5120</v>
      </c>
      <c r="I1718" s="524" t="s">
        <v>5121</v>
      </c>
      <c r="J1718" s="524" t="s">
        <v>5121</v>
      </c>
      <c r="K1718" s="524"/>
      <c r="L1718" s="524" t="s">
        <v>6590</v>
      </c>
      <c r="M1718" s="524" t="s">
        <v>6727</v>
      </c>
      <c r="N1718" s="524"/>
      <c r="O1718" s="524"/>
    </row>
    <row r="1719" spans="1:15" ht="72.5" hidden="1">
      <c r="A1719" s="525">
        <v>9123</v>
      </c>
      <c r="B1719" s="525"/>
      <c r="C1719" s="524" t="s">
        <v>4263</v>
      </c>
      <c r="D1719" s="524" t="s">
        <v>4262</v>
      </c>
      <c r="E1719" s="524" t="s">
        <v>4261</v>
      </c>
      <c r="F1719" s="524" t="s">
        <v>4261</v>
      </c>
      <c r="G1719" s="524" t="s">
        <v>4261</v>
      </c>
      <c r="H1719" s="524" t="s">
        <v>4261</v>
      </c>
      <c r="I1719" s="524" t="s">
        <v>7228</v>
      </c>
      <c r="J1719" s="524" t="s">
        <v>4262</v>
      </c>
      <c r="K1719" s="524"/>
      <c r="L1719" s="524" t="s">
        <v>6376</v>
      </c>
      <c r="M1719" s="524" t="s">
        <v>6377</v>
      </c>
      <c r="N1719" s="524"/>
      <c r="O1719" s="524"/>
    </row>
    <row r="1720" spans="1:15" ht="29" hidden="1">
      <c r="A1720" s="525">
        <v>9889</v>
      </c>
      <c r="B1720" s="525"/>
      <c r="C1720" s="524" t="s">
        <v>5276</v>
      </c>
      <c r="D1720" s="524" t="s">
        <v>5275</v>
      </c>
      <c r="E1720" s="524" t="s">
        <v>5274</v>
      </c>
      <c r="F1720" s="524" t="s">
        <v>5274</v>
      </c>
      <c r="G1720" s="524" t="s">
        <v>5274</v>
      </c>
      <c r="H1720" s="524" t="s">
        <v>5274</v>
      </c>
      <c r="I1720" s="524" t="s">
        <v>5275</v>
      </c>
      <c r="J1720" s="524" t="s">
        <v>5275</v>
      </c>
      <c r="K1720" s="524"/>
      <c r="L1720" s="524" t="s">
        <v>6397</v>
      </c>
      <c r="M1720" s="524" t="s">
        <v>2384</v>
      </c>
      <c r="N1720" s="524"/>
      <c r="O1720" s="524"/>
    </row>
    <row r="1721" spans="1:15" ht="130.5" hidden="1">
      <c r="A1721" s="525">
        <v>9899</v>
      </c>
      <c r="B1721" s="525"/>
      <c r="C1721" s="524" t="s">
        <v>442</v>
      </c>
      <c r="D1721" s="524" t="s">
        <v>442</v>
      </c>
      <c r="E1721" s="524" t="s">
        <v>442</v>
      </c>
      <c r="F1721" s="524" t="s">
        <v>442</v>
      </c>
      <c r="G1721" s="524" t="s">
        <v>442</v>
      </c>
      <c r="H1721" s="524" t="s">
        <v>442</v>
      </c>
      <c r="I1721" s="524" t="s">
        <v>8003</v>
      </c>
      <c r="J1721" s="524" t="s">
        <v>442</v>
      </c>
      <c r="K1721" s="524" t="s">
        <v>6359</v>
      </c>
      <c r="L1721" s="524" t="s">
        <v>6381</v>
      </c>
      <c r="M1721" s="524" t="s">
        <v>442</v>
      </c>
      <c r="N1721" s="524" t="s">
        <v>8004</v>
      </c>
      <c r="O1721" s="524"/>
    </row>
    <row r="1722" spans="1:15" ht="101.5" hidden="1">
      <c r="A1722" s="527">
        <v>9899</v>
      </c>
      <c r="B1722" s="527"/>
      <c r="C1722" s="527" t="s">
        <v>442</v>
      </c>
      <c r="D1722" s="527" t="s">
        <v>442</v>
      </c>
      <c r="E1722" s="527" t="s">
        <v>442</v>
      </c>
      <c r="F1722" s="527" t="s">
        <v>442</v>
      </c>
      <c r="G1722" s="527">
        <v>685</v>
      </c>
      <c r="H1722" s="527" t="s">
        <v>442</v>
      </c>
      <c r="I1722" s="527" t="s">
        <v>1138</v>
      </c>
      <c r="J1722" s="527" t="s">
        <v>2889</v>
      </c>
      <c r="K1722" s="527" t="s">
        <v>2890</v>
      </c>
      <c r="L1722" s="527" t="s">
        <v>8005</v>
      </c>
      <c r="M1722" s="524"/>
      <c r="N1722" s="524"/>
      <c r="O1722" s="524"/>
    </row>
    <row r="1723" spans="1:15" ht="58" hidden="1">
      <c r="A1723" s="525">
        <v>9900</v>
      </c>
      <c r="B1723" s="525"/>
      <c r="C1723" s="524" t="s">
        <v>372</v>
      </c>
      <c r="D1723" s="524" t="s">
        <v>1264</v>
      </c>
      <c r="E1723" s="524" t="s">
        <v>1265</v>
      </c>
      <c r="F1723" s="524" t="s">
        <v>1265</v>
      </c>
      <c r="G1723" s="524" t="s">
        <v>1265</v>
      </c>
      <c r="H1723" s="524" t="s">
        <v>1265</v>
      </c>
      <c r="I1723" s="524" t="s">
        <v>8006</v>
      </c>
      <c r="J1723" s="524" t="s">
        <v>1264</v>
      </c>
      <c r="K1723" s="524"/>
      <c r="L1723" s="524" t="s">
        <v>6590</v>
      </c>
      <c r="M1723" s="524" t="s">
        <v>5878</v>
      </c>
      <c r="N1723" s="524"/>
      <c r="O1723" s="524"/>
    </row>
    <row r="1724" spans="1:15" ht="58" hidden="1">
      <c r="A1724" s="527">
        <v>9900</v>
      </c>
      <c r="B1724" s="527"/>
      <c r="C1724" s="527" t="s">
        <v>372</v>
      </c>
      <c r="D1724" s="527" t="s">
        <v>4703</v>
      </c>
      <c r="E1724" s="527" t="s">
        <v>1264</v>
      </c>
      <c r="F1724" s="527" t="s">
        <v>1265</v>
      </c>
      <c r="G1724" s="527">
        <v>283</v>
      </c>
      <c r="H1724" s="527" t="s">
        <v>4705</v>
      </c>
      <c r="I1724" s="527" t="s">
        <v>4704</v>
      </c>
      <c r="J1724" s="527" t="s">
        <v>2890</v>
      </c>
      <c r="K1724" s="527" t="s">
        <v>2890</v>
      </c>
      <c r="L1724" s="527" t="s">
        <v>6371</v>
      </c>
      <c r="M1724" s="524"/>
      <c r="N1724" s="524"/>
      <c r="O1724" s="524"/>
    </row>
    <row r="1725" spans="1:15" ht="29" hidden="1">
      <c r="A1725" s="525">
        <v>9901</v>
      </c>
      <c r="B1725" s="525"/>
      <c r="C1725" s="524" t="s">
        <v>340</v>
      </c>
      <c r="D1725" s="524" t="s">
        <v>1185</v>
      </c>
      <c r="E1725" s="524" t="s">
        <v>1186</v>
      </c>
      <c r="F1725" s="524" t="s">
        <v>1186</v>
      </c>
      <c r="G1725" s="524" t="s">
        <v>1186</v>
      </c>
      <c r="H1725" s="524" t="s">
        <v>1186</v>
      </c>
      <c r="I1725" s="524" t="s">
        <v>8007</v>
      </c>
      <c r="J1725" s="524" t="s">
        <v>1185</v>
      </c>
      <c r="K1725" s="524" t="s">
        <v>6359</v>
      </c>
      <c r="L1725" s="524" t="s">
        <v>6379</v>
      </c>
      <c r="M1725" s="524" t="s">
        <v>6380</v>
      </c>
      <c r="N1725" s="524"/>
      <c r="O1725" s="524"/>
    </row>
    <row r="1726" spans="1:15" ht="101.5" hidden="1">
      <c r="A1726" s="527">
        <v>9901</v>
      </c>
      <c r="B1726" s="527"/>
      <c r="C1726" s="527" t="s">
        <v>340</v>
      </c>
      <c r="D1726" s="527" t="s">
        <v>2175</v>
      </c>
      <c r="E1726" s="527" t="s">
        <v>1185</v>
      </c>
      <c r="F1726" s="527" t="s">
        <v>1186</v>
      </c>
      <c r="G1726" s="527">
        <v>212</v>
      </c>
      <c r="H1726" s="527" t="s">
        <v>323</v>
      </c>
      <c r="I1726" s="527" t="s">
        <v>2323</v>
      </c>
      <c r="J1726" s="527" t="s">
        <v>2889</v>
      </c>
      <c r="K1726" s="527" t="s">
        <v>2889</v>
      </c>
      <c r="L1726" s="527" t="s">
        <v>8008</v>
      </c>
      <c r="M1726" s="524"/>
      <c r="N1726" s="524"/>
      <c r="O1726" s="524"/>
    </row>
    <row r="1727" spans="1:15" ht="58" hidden="1">
      <c r="A1727" s="525">
        <v>9902</v>
      </c>
      <c r="B1727" s="525"/>
      <c r="C1727" s="524" t="s">
        <v>3480</v>
      </c>
      <c r="D1727" s="524" t="s">
        <v>3479</v>
      </c>
      <c r="E1727" s="524" t="s">
        <v>3478</v>
      </c>
      <c r="F1727" s="524" t="s">
        <v>3478</v>
      </c>
      <c r="G1727" s="524" t="s">
        <v>3478</v>
      </c>
      <c r="H1727" s="524" t="s">
        <v>3478</v>
      </c>
      <c r="I1727" s="524" t="s">
        <v>8009</v>
      </c>
      <c r="J1727" s="524" t="s">
        <v>3479</v>
      </c>
      <c r="K1727" s="524" t="s">
        <v>6359</v>
      </c>
      <c r="L1727" s="524" t="s">
        <v>6379</v>
      </c>
      <c r="M1727" s="524" t="s">
        <v>6380</v>
      </c>
      <c r="N1727" s="524"/>
      <c r="O1727" s="524"/>
    </row>
    <row r="1728" spans="1:15" ht="101.5" hidden="1">
      <c r="A1728" s="527">
        <v>9902</v>
      </c>
      <c r="B1728" s="527"/>
      <c r="C1728" s="527" t="s">
        <v>2031</v>
      </c>
      <c r="D1728" s="527" t="s">
        <v>2383</v>
      </c>
      <c r="E1728" s="527" t="s">
        <v>2878</v>
      </c>
      <c r="F1728" s="527" t="s">
        <v>2883</v>
      </c>
      <c r="G1728" s="527">
        <v>945</v>
      </c>
      <c r="H1728" s="527" t="s">
        <v>2035</v>
      </c>
      <c r="I1728" s="527" t="s">
        <v>2382</v>
      </c>
      <c r="J1728" s="527" t="s">
        <v>2889</v>
      </c>
      <c r="K1728" s="527" t="s">
        <v>2889</v>
      </c>
      <c r="L1728" s="527" t="s">
        <v>8010</v>
      </c>
      <c r="M1728" s="524"/>
      <c r="N1728" s="524"/>
      <c r="O1728" s="524"/>
    </row>
    <row r="1729" spans="1:15" ht="43.5" hidden="1">
      <c r="A1729" s="525">
        <v>9905</v>
      </c>
      <c r="B1729" s="525"/>
      <c r="C1729" s="524" t="s">
        <v>5738</v>
      </c>
      <c r="D1729" s="524" t="s">
        <v>5737</v>
      </c>
      <c r="E1729" s="524" t="s">
        <v>5736</v>
      </c>
      <c r="F1729" s="524" t="s">
        <v>5736</v>
      </c>
      <c r="G1729" s="524" t="s">
        <v>5736</v>
      </c>
      <c r="H1729" s="524" t="s">
        <v>5736</v>
      </c>
      <c r="I1729" s="524" t="s">
        <v>5737</v>
      </c>
      <c r="J1729" s="524" t="s">
        <v>5737</v>
      </c>
      <c r="K1729" s="524"/>
      <c r="L1729" s="524" t="s">
        <v>6386</v>
      </c>
      <c r="M1729" s="524" t="s">
        <v>6488</v>
      </c>
      <c r="N1729" s="524"/>
      <c r="O1729" s="524"/>
    </row>
    <row r="1730" spans="1:15" ht="43.5" hidden="1">
      <c r="A1730" s="524">
        <v>9907</v>
      </c>
      <c r="B1730" s="524"/>
      <c r="C1730" s="524" t="s">
        <v>5110</v>
      </c>
      <c r="D1730" s="524" t="s">
        <v>5110</v>
      </c>
      <c r="E1730" s="524" t="s">
        <v>5110</v>
      </c>
      <c r="F1730" s="524" t="s">
        <v>5110</v>
      </c>
      <c r="G1730" s="524" t="s">
        <v>5110</v>
      </c>
      <c r="H1730" s="524" t="s">
        <v>5110</v>
      </c>
      <c r="I1730" s="524" t="s">
        <v>8011</v>
      </c>
      <c r="J1730" s="524" t="s">
        <v>5110</v>
      </c>
      <c r="K1730" s="524"/>
      <c r="L1730" s="524" t="s">
        <v>6383</v>
      </c>
      <c r="M1730" s="524" t="s">
        <v>5080</v>
      </c>
      <c r="N1730" s="524"/>
      <c r="O1730" s="524"/>
    </row>
    <row r="1731" spans="1:15" ht="72.5" hidden="1">
      <c r="A1731" s="525">
        <v>9909</v>
      </c>
      <c r="B1731" s="525"/>
      <c r="C1731" s="524" t="s">
        <v>443</v>
      </c>
      <c r="D1731" s="524" t="s">
        <v>1566</v>
      </c>
      <c r="E1731" s="524" t="s">
        <v>8012</v>
      </c>
      <c r="F1731" s="524" t="s">
        <v>8012</v>
      </c>
      <c r="G1731" s="524" t="s">
        <v>8012</v>
      </c>
      <c r="H1731" s="524" t="s">
        <v>1567</v>
      </c>
      <c r="I1731" s="524" t="s">
        <v>8013</v>
      </c>
      <c r="J1731" s="524" t="s">
        <v>1566</v>
      </c>
      <c r="K1731" s="524" t="s">
        <v>6359</v>
      </c>
      <c r="L1731" s="524" t="s">
        <v>6381</v>
      </c>
      <c r="M1731" s="524" t="s">
        <v>6699</v>
      </c>
      <c r="N1731" s="524"/>
      <c r="O1731" s="524"/>
    </row>
    <row r="1732" spans="1:15" ht="101.5" hidden="1">
      <c r="A1732" s="527">
        <v>9909</v>
      </c>
      <c r="B1732" s="527"/>
      <c r="C1732" s="527" t="s">
        <v>443</v>
      </c>
      <c r="D1732" s="527" t="s">
        <v>442</v>
      </c>
      <c r="E1732" s="527" t="s">
        <v>1566</v>
      </c>
      <c r="F1732" s="527" t="s">
        <v>1567</v>
      </c>
      <c r="G1732" s="527">
        <v>685</v>
      </c>
      <c r="H1732" s="527" t="s">
        <v>442</v>
      </c>
      <c r="I1732" s="527" t="s">
        <v>1138</v>
      </c>
      <c r="J1732" s="527" t="s">
        <v>2889</v>
      </c>
      <c r="K1732" s="527" t="s">
        <v>2890</v>
      </c>
      <c r="L1732" s="527" t="s">
        <v>8014</v>
      </c>
      <c r="M1732" s="524"/>
      <c r="N1732" s="524"/>
      <c r="O1732" s="524"/>
    </row>
    <row r="1733" spans="1:15" ht="29" hidden="1">
      <c r="A1733" s="525">
        <v>9910</v>
      </c>
      <c r="B1733" s="525"/>
      <c r="C1733" s="524" t="s">
        <v>4750</v>
      </c>
      <c r="D1733" s="524" t="s">
        <v>8015</v>
      </c>
      <c r="E1733" s="524" t="s">
        <v>4748</v>
      </c>
      <c r="F1733" s="524" t="s">
        <v>4748</v>
      </c>
      <c r="G1733" s="524" t="s">
        <v>4748</v>
      </c>
      <c r="H1733" s="524" t="s">
        <v>4748</v>
      </c>
      <c r="I1733" s="524" t="s">
        <v>8015</v>
      </c>
      <c r="J1733" s="524" t="s">
        <v>8015</v>
      </c>
      <c r="K1733" s="524"/>
      <c r="L1733" s="524" t="s">
        <v>6381</v>
      </c>
      <c r="M1733" s="524" t="s">
        <v>2313</v>
      </c>
      <c r="N1733" s="524"/>
      <c r="O1733" s="524"/>
    </row>
    <row r="1734" spans="1:15" ht="72.5" hidden="1">
      <c r="A1734" s="524">
        <v>9920</v>
      </c>
      <c r="B1734" s="524"/>
      <c r="C1734" s="524" t="s">
        <v>394</v>
      </c>
      <c r="D1734" s="524" t="s">
        <v>1331</v>
      </c>
      <c r="E1734" s="524" t="s">
        <v>1332</v>
      </c>
      <c r="F1734" s="524" t="s">
        <v>1332</v>
      </c>
      <c r="G1734" s="524" t="s">
        <v>1332</v>
      </c>
      <c r="H1734" s="524" t="s">
        <v>1332</v>
      </c>
      <c r="I1734" s="524" t="s">
        <v>8016</v>
      </c>
      <c r="J1734" s="524" t="s">
        <v>1331</v>
      </c>
      <c r="K1734" s="524"/>
      <c r="L1734" s="524" t="s">
        <v>6399</v>
      </c>
      <c r="M1734" s="524" t="s">
        <v>6459</v>
      </c>
      <c r="N1734" s="524"/>
      <c r="O1734" s="524"/>
    </row>
    <row r="1735" spans="1:15" ht="116" hidden="1">
      <c r="A1735" s="527">
        <v>9920</v>
      </c>
      <c r="B1735" s="527"/>
      <c r="C1735" s="527" t="s">
        <v>394</v>
      </c>
      <c r="D1735" s="527" t="s">
        <v>1159</v>
      </c>
      <c r="E1735" s="527" t="s">
        <v>1331</v>
      </c>
      <c r="F1735" s="527" t="s">
        <v>1332</v>
      </c>
      <c r="G1735" s="527">
        <v>104</v>
      </c>
      <c r="H1735" s="527" t="s">
        <v>23</v>
      </c>
      <c r="I1735" s="527" t="s">
        <v>1157</v>
      </c>
      <c r="J1735" s="527" t="s">
        <v>2889</v>
      </c>
      <c r="K1735" s="527" t="s">
        <v>2890</v>
      </c>
      <c r="L1735" s="527" t="s">
        <v>8017</v>
      </c>
      <c r="M1735" s="524"/>
      <c r="N1735" s="524"/>
      <c r="O1735" s="524"/>
    </row>
    <row r="1736" spans="1:15" ht="58" hidden="1">
      <c r="A1736" s="525">
        <v>9930</v>
      </c>
      <c r="B1736" s="525"/>
      <c r="C1736" s="524" t="s">
        <v>346</v>
      </c>
      <c r="D1736" s="524" t="s">
        <v>970</v>
      </c>
      <c r="E1736" s="524" t="s">
        <v>971</v>
      </c>
      <c r="F1736" s="524" t="s">
        <v>971</v>
      </c>
      <c r="G1736" s="524" t="s">
        <v>971</v>
      </c>
      <c r="H1736" s="524" t="s">
        <v>971</v>
      </c>
      <c r="I1736" s="524" t="s">
        <v>8018</v>
      </c>
      <c r="J1736" s="524" t="s">
        <v>970</v>
      </c>
      <c r="K1736" s="524"/>
      <c r="L1736" s="524" t="s">
        <v>6386</v>
      </c>
      <c r="M1736" s="524" t="s">
        <v>6488</v>
      </c>
      <c r="N1736" s="524"/>
      <c r="O1736" s="524"/>
    </row>
    <row r="1737" spans="1:15" ht="116" hidden="1">
      <c r="A1737" s="527">
        <v>9930</v>
      </c>
      <c r="B1737" s="527"/>
      <c r="C1737" s="527" t="s">
        <v>346</v>
      </c>
      <c r="D1737" s="527" t="s">
        <v>955</v>
      </c>
      <c r="E1737" s="527" t="s">
        <v>970</v>
      </c>
      <c r="F1737" s="527" t="s">
        <v>971</v>
      </c>
      <c r="G1737" s="527">
        <v>28</v>
      </c>
      <c r="H1737" s="527" t="s">
        <v>9</v>
      </c>
      <c r="I1737" s="527" t="s">
        <v>953</v>
      </c>
      <c r="J1737" s="527" t="s">
        <v>2890</v>
      </c>
      <c r="K1737" s="527" t="s">
        <v>2890</v>
      </c>
      <c r="L1737" s="527" t="s">
        <v>8019</v>
      </c>
      <c r="M1737" s="524"/>
      <c r="N1737" s="524"/>
      <c r="O1737" s="524"/>
    </row>
    <row r="1738" spans="1:15" ht="43.5" hidden="1">
      <c r="A1738" s="525">
        <v>9935</v>
      </c>
      <c r="B1738" s="525"/>
      <c r="C1738" s="524" t="s">
        <v>1724</v>
      </c>
      <c r="D1738" s="524" t="s">
        <v>1724</v>
      </c>
      <c r="E1738" s="524" t="s">
        <v>1724</v>
      </c>
      <c r="F1738" s="524" t="s">
        <v>1724</v>
      </c>
      <c r="G1738" s="524" t="s">
        <v>1724</v>
      </c>
      <c r="H1738" s="524" t="s">
        <v>1724</v>
      </c>
      <c r="I1738" s="524" t="s">
        <v>1724</v>
      </c>
      <c r="J1738" s="524" t="s">
        <v>1724</v>
      </c>
      <c r="K1738" s="524" t="s">
        <v>6359</v>
      </c>
      <c r="L1738" s="524" t="s">
        <v>6368</v>
      </c>
      <c r="M1738" s="524" t="s">
        <v>6370</v>
      </c>
      <c r="N1738" s="524"/>
      <c r="O1738" s="524"/>
    </row>
    <row r="1739" spans="1:15" ht="58" hidden="1">
      <c r="A1739" s="527">
        <v>9935</v>
      </c>
      <c r="B1739" s="527"/>
      <c r="C1739" s="527" t="s">
        <v>1724</v>
      </c>
      <c r="D1739" s="527" t="s">
        <v>4703</v>
      </c>
      <c r="E1739" s="527" t="s">
        <v>1724</v>
      </c>
      <c r="F1739" s="527" t="s">
        <v>1724</v>
      </c>
      <c r="G1739" s="527">
        <v>283</v>
      </c>
      <c r="H1739" s="527" t="s">
        <v>4705</v>
      </c>
      <c r="I1739" s="527" t="s">
        <v>4704</v>
      </c>
      <c r="J1739" s="527" t="s">
        <v>2890</v>
      </c>
      <c r="K1739" s="527" t="s">
        <v>2890</v>
      </c>
      <c r="L1739" s="527" t="s">
        <v>8020</v>
      </c>
      <c r="M1739" s="524"/>
      <c r="N1739" s="524"/>
      <c r="O1739" s="524"/>
    </row>
    <row r="1740" spans="1:15" ht="29" hidden="1">
      <c r="A1740" s="525">
        <v>9940</v>
      </c>
      <c r="B1740" s="525"/>
      <c r="C1740" s="524" t="s">
        <v>5353</v>
      </c>
      <c r="D1740" s="524" t="s">
        <v>5354</v>
      </c>
      <c r="E1740" s="524" t="s">
        <v>5353</v>
      </c>
      <c r="F1740" s="524" t="s">
        <v>5353</v>
      </c>
      <c r="G1740" s="524" t="s">
        <v>5353</v>
      </c>
      <c r="H1740" s="524" t="s">
        <v>5353</v>
      </c>
      <c r="I1740" s="524" t="s">
        <v>5354</v>
      </c>
      <c r="J1740" s="524" t="s">
        <v>5354</v>
      </c>
      <c r="K1740" s="524"/>
      <c r="L1740" s="524" t="s">
        <v>6402</v>
      </c>
      <c r="M1740" s="524" t="s">
        <v>6403</v>
      </c>
      <c r="N1740" s="524"/>
      <c r="O1740" s="524"/>
    </row>
    <row r="1741" spans="1:15" ht="43.5" hidden="1">
      <c r="A1741" s="525">
        <v>9960</v>
      </c>
      <c r="B1741" s="525"/>
      <c r="C1741" s="524" t="s">
        <v>1449</v>
      </c>
      <c r="D1741" s="524" t="s">
        <v>1450</v>
      </c>
      <c r="E1741" s="524" t="s">
        <v>1449</v>
      </c>
      <c r="F1741" s="524" t="s">
        <v>1449</v>
      </c>
      <c r="G1741" s="524" t="s">
        <v>1449</v>
      </c>
      <c r="H1741" s="524" t="s">
        <v>1449</v>
      </c>
      <c r="I1741" s="524" t="s">
        <v>8021</v>
      </c>
      <c r="J1741" s="524" t="s">
        <v>1450</v>
      </c>
      <c r="K1741" s="524" t="s">
        <v>6359</v>
      </c>
      <c r="L1741" s="524" t="s">
        <v>6964</v>
      </c>
      <c r="M1741" s="524" t="s">
        <v>6965</v>
      </c>
      <c r="N1741" s="524"/>
      <c r="O1741" s="524"/>
    </row>
    <row r="1742" spans="1:15" ht="145" hidden="1">
      <c r="A1742" s="527">
        <v>9960</v>
      </c>
      <c r="B1742" s="527"/>
      <c r="C1742" s="527" t="s">
        <v>1449</v>
      </c>
      <c r="D1742" s="527" t="s">
        <v>4703</v>
      </c>
      <c r="E1742" s="527" t="s">
        <v>1450</v>
      </c>
      <c r="F1742" s="527" t="s">
        <v>1451</v>
      </c>
      <c r="G1742" s="527">
        <v>283</v>
      </c>
      <c r="H1742" s="527" t="s">
        <v>4705</v>
      </c>
      <c r="I1742" s="527" t="s">
        <v>4704</v>
      </c>
      <c r="J1742" s="527" t="s">
        <v>2890</v>
      </c>
      <c r="K1742" s="527" t="s">
        <v>2889</v>
      </c>
      <c r="L1742" s="527" t="s">
        <v>8022</v>
      </c>
      <c r="M1742" s="524"/>
      <c r="N1742" s="524"/>
      <c r="O1742" s="524"/>
    </row>
    <row r="1743" spans="1:15" ht="58" hidden="1">
      <c r="A1743" s="525">
        <v>10000</v>
      </c>
      <c r="B1743" s="525"/>
      <c r="C1743" s="524" t="s">
        <v>271</v>
      </c>
      <c r="D1743" s="524" t="s">
        <v>1046</v>
      </c>
      <c r="E1743" s="524" t="s">
        <v>1047</v>
      </c>
      <c r="F1743" s="524" t="s">
        <v>1047</v>
      </c>
      <c r="G1743" s="524" t="s">
        <v>1047</v>
      </c>
      <c r="H1743" s="524" t="s">
        <v>1047</v>
      </c>
      <c r="I1743" s="524" t="s">
        <v>8023</v>
      </c>
      <c r="J1743" s="524" t="s">
        <v>1046</v>
      </c>
      <c r="K1743" s="524" t="s">
        <v>6359</v>
      </c>
      <c r="L1743" s="524" t="s">
        <v>6397</v>
      </c>
      <c r="M1743" s="524" t="s">
        <v>1</v>
      </c>
      <c r="N1743" s="524" t="s">
        <v>8024</v>
      </c>
      <c r="O1743" s="524"/>
    </row>
    <row r="1744" spans="1:15" ht="87" hidden="1">
      <c r="A1744" s="527">
        <v>10000</v>
      </c>
      <c r="B1744" s="527"/>
      <c r="C1744" s="527" t="s">
        <v>271</v>
      </c>
      <c r="D1744" s="527" t="s">
        <v>1</v>
      </c>
      <c r="E1744" s="527" t="s">
        <v>1046</v>
      </c>
      <c r="F1744" s="527" t="s">
        <v>1047</v>
      </c>
      <c r="G1744" s="527">
        <v>87</v>
      </c>
      <c r="H1744" s="527" t="s">
        <v>1</v>
      </c>
      <c r="I1744" s="527" t="s">
        <v>852</v>
      </c>
      <c r="J1744" s="527" t="s">
        <v>2889</v>
      </c>
      <c r="K1744" s="527" t="s">
        <v>2889</v>
      </c>
      <c r="L1744" s="527" t="s">
        <v>8025</v>
      </c>
      <c r="M1744" s="524"/>
      <c r="N1744" s="524"/>
      <c r="O1744" s="524"/>
    </row>
    <row r="1745" spans="1:15" ht="87" hidden="1">
      <c r="A1745" s="525">
        <v>10010</v>
      </c>
      <c r="B1745" s="525"/>
      <c r="C1745" s="524" t="s">
        <v>1529</v>
      </c>
      <c r="D1745" s="524" t="s">
        <v>1530</v>
      </c>
      <c r="E1745" s="524" t="s">
        <v>1531</v>
      </c>
      <c r="F1745" s="524" t="s">
        <v>1531</v>
      </c>
      <c r="G1745" s="524" t="s">
        <v>1531</v>
      </c>
      <c r="H1745" s="524" t="s">
        <v>1531</v>
      </c>
      <c r="I1745" s="524" t="s">
        <v>8026</v>
      </c>
      <c r="J1745" s="524" t="s">
        <v>1530</v>
      </c>
      <c r="K1745" s="524"/>
      <c r="L1745" s="524" t="s">
        <v>6376</v>
      </c>
      <c r="M1745" s="524" t="s">
        <v>6377</v>
      </c>
      <c r="N1745" s="524"/>
      <c r="O1745" s="524"/>
    </row>
    <row r="1746" spans="1:15" ht="87" hidden="1">
      <c r="A1746" s="527">
        <v>10010</v>
      </c>
      <c r="B1746" s="527"/>
      <c r="C1746" s="527" t="s">
        <v>1529</v>
      </c>
      <c r="D1746" s="527" t="s">
        <v>1528</v>
      </c>
      <c r="E1746" s="527" t="s">
        <v>1530</v>
      </c>
      <c r="F1746" s="527" t="s">
        <v>1531</v>
      </c>
      <c r="G1746" s="527">
        <v>511</v>
      </c>
      <c r="H1746" s="527" t="s">
        <v>429</v>
      </c>
      <c r="I1746" s="527" t="s">
        <v>1526</v>
      </c>
      <c r="J1746" s="527" t="s">
        <v>2890</v>
      </c>
      <c r="K1746" s="527" t="s">
        <v>2890</v>
      </c>
      <c r="L1746" s="527" t="s">
        <v>8027</v>
      </c>
      <c r="M1746" s="524"/>
      <c r="N1746" s="524"/>
      <c r="O1746" s="524"/>
    </row>
    <row r="1747" spans="1:15" ht="43.5" hidden="1">
      <c r="A1747" s="525">
        <v>10015</v>
      </c>
      <c r="B1747" s="525"/>
      <c r="C1747" s="524" t="s">
        <v>200</v>
      </c>
      <c r="D1747" s="524" t="s">
        <v>656</v>
      </c>
      <c r="E1747" s="524" t="s">
        <v>4188</v>
      </c>
      <c r="F1747" s="524" t="s">
        <v>4188</v>
      </c>
      <c r="G1747" s="524" t="s">
        <v>4188</v>
      </c>
      <c r="H1747" s="524" t="s">
        <v>4188</v>
      </c>
      <c r="I1747" s="524" t="s">
        <v>8028</v>
      </c>
      <c r="J1747" s="524" t="s">
        <v>656</v>
      </c>
      <c r="K1747" s="524" t="s">
        <v>6359</v>
      </c>
      <c r="L1747" s="524" t="s">
        <v>6379</v>
      </c>
      <c r="M1747" s="524" t="s">
        <v>6502</v>
      </c>
      <c r="N1747" s="524" t="s">
        <v>8029</v>
      </c>
      <c r="O1747" s="524"/>
    </row>
    <row r="1748" spans="1:15" ht="145" hidden="1">
      <c r="A1748" s="527">
        <v>10015</v>
      </c>
      <c r="B1748" s="527"/>
      <c r="C1748" s="527" t="s">
        <v>200</v>
      </c>
      <c r="D1748" s="527" t="s">
        <v>2171</v>
      </c>
      <c r="E1748" s="527" t="s">
        <v>656</v>
      </c>
      <c r="F1748" s="527" t="s">
        <v>657</v>
      </c>
      <c r="G1748" s="527">
        <v>8</v>
      </c>
      <c r="H1748" s="527" t="s">
        <v>188</v>
      </c>
      <c r="I1748" s="527" t="s">
        <v>2314</v>
      </c>
      <c r="J1748" s="527" t="s">
        <v>2889</v>
      </c>
      <c r="K1748" s="527" t="s">
        <v>2890</v>
      </c>
      <c r="L1748" s="527" t="s">
        <v>8030</v>
      </c>
      <c r="M1748" s="524"/>
      <c r="N1748" s="524"/>
      <c r="O1748" s="524"/>
    </row>
    <row r="1749" spans="1:15" ht="58" hidden="1">
      <c r="A1749" s="525">
        <v>10016</v>
      </c>
      <c r="B1749" s="525"/>
      <c r="C1749" s="524" t="s">
        <v>354</v>
      </c>
      <c r="D1749" s="524" t="s">
        <v>1244</v>
      </c>
      <c r="E1749" s="524" t="s">
        <v>1245</v>
      </c>
      <c r="F1749" s="524" t="s">
        <v>1245</v>
      </c>
      <c r="G1749" s="524" t="s">
        <v>1245</v>
      </c>
      <c r="H1749" s="524" t="s">
        <v>1245</v>
      </c>
      <c r="I1749" s="524" t="s">
        <v>8031</v>
      </c>
      <c r="J1749" s="524" t="s">
        <v>1244</v>
      </c>
      <c r="K1749" s="524"/>
      <c r="L1749" s="524" t="s">
        <v>6368</v>
      </c>
      <c r="M1749" s="524" t="s">
        <v>2573</v>
      </c>
      <c r="N1749" s="524"/>
      <c r="O1749" s="524"/>
    </row>
    <row r="1750" spans="1:15" ht="58" hidden="1">
      <c r="A1750" s="527">
        <v>10016</v>
      </c>
      <c r="B1750" s="527"/>
      <c r="C1750" s="527" t="s">
        <v>354</v>
      </c>
      <c r="D1750" s="527" t="s">
        <v>4703</v>
      </c>
      <c r="E1750" s="527" t="s">
        <v>1244</v>
      </c>
      <c r="F1750" s="527" t="s">
        <v>1245</v>
      </c>
      <c r="G1750" s="527">
        <v>283</v>
      </c>
      <c r="H1750" s="527" t="s">
        <v>4705</v>
      </c>
      <c r="I1750" s="527" t="s">
        <v>4704</v>
      </c>
      <c r="J1750" s="527" t="s">
        <v>2890</v>
      </c>
      <c r="K1750" s="527" t="s">
        <v>3150</v>
      </c>
      <c r="L1750" s="527" t="s">
        <v>6371</v>
      </c>
      <c r="M1750" s="524"/>
      <c r="N1750" s="524"/>
      <c r="O1750" s="524"/>
    </row>
    <row r="1751" spans="1:15" ht="29" hidden="1">
      <c r="A1751" s="525">
        <v>10017</v>
      </c>
      <c r="B1751" s="525"/>
      <c r="C1751" s="524" t="s">
        <v>1292</v>
      </c>
      <c r="D1751" s="524" t="s">
        <v>1293</v>
      </c>
      <c r="E1751" s="524" t="s">
        <v>1294</v>
      </c>
      <c r="F1751" s="524" t="s">
        <v>1294</v>
      </c>
      <c r="G1751" s="524" t="s">
        <v>1294</v>
      </c>
      <c r="H1751" s="524" t="s">
        <v>1294</v>
      </c>
      <c r="I1751" s="524" t="s">
        <v>1293</v>
      </c>
      <c r="J1751" s="524" t="s">
        <v>1293</v>
      </c>
      <c r="K1751" s="524" t="s">
        <v>6359</v>
      </c>
      <c r="L1751" s="524" t="s">
        <v>6379</v>
      </c>
      <c r="M1751" s="524" t="s">
        <v>6380</v>
      </c>
      <c r="N1751" s="524"/>
      <c r="O1751" s="524"/>
    </row>
    <row r="1752" spans="1:15" ht="87" hidden="1">
      <c r="A1752" s="527">
        <v>10017</v>
      </c>
      <c r="B1752" s="527"/>
      <c r="C1752" s="527" t="s">
        <v>1292</v>
      </c>
      <c r="D1752" s="527" t="s">
        <v>4703</v>
      </c>
      <c r="E1752" s="527" t="s">
        <v>1293</v>
      </c>
      <c r="F1752" s="527" t="s">
        <v>1294</v>
      </c>
      <c r="G1752" s="527">
        <v>283</v>
      </c>
      <c r="H1752" s="527" t="s">
        <v>4705</v>
      </c>
      <c r="I1752" s="527" t="s">
        <v>4704</v>
      </c>
      <c r="J1752" s="527" t="s">
        <v>2890</v>
      </c>
      <c r="K1752" s="527" t="s">
        <v>2889</v>
      </c>
      <c r="L1752" s="527" t="s">
        <v>8032</v>
      </c>
      <c r="M1752" s="524"/>
      <c r="N1752" s="524"/>
      <c r="O1752" s="524"/>
    </row>
    <row r="1753" spans="1:15" ht="29" hidden="1">
      <c r="A1753" s="525">
        <v>10018</v>
      </c>
      <c r="B1753" s="525"/>
      <c r="C1753" s="524" t="s">
        <v>345</v>
      </c>
      <c r="D1753" s="524" t="s">
        <v>1246</v>
      </c>
      <c r="E1753" s="524" t="s">
        <v>1247</v>
      </c>
      <c r="F1753" s="524" t="s">
        <v>1247</v>
      </c>
      <c r="G1753" s="524" t="s">
        <v>1247</v>
      </c>
      <c r="H1753" s="524" t="s">
        <v>1247</v>
      </c>
      <c r="I1753" s="524" t="s">
        <v>8033</v>
      </c>
      <c r="J1753" s="524" t="s">
        <v>1246</v>
      </c>
      <c r="K1753" s="524"/>
      <c r="L1753" s="524" t="s">
        <v>6400</v>
      </c>
      <c r="M1753" s="524" t="s">
        <v>6401</v>
      </c>
      <c r="N1753" s="524"/>
      <c r="O1753" s="524"/>
    </row>
    <row r="1754" spans="1:15" ht="58" hidden="1">
      <c r="A1754" s="527">
        <v>10018</v>
      </c>
      <c r="B1754" s="527"/>
      <c r="C1754" s="527" t="s">
        <v>345</v>
      </c>
      <c r="D1754" s="527" t="s">
        <v>4703</v>
      </c>
      <c r="E1754" s="527" t="s">
        <v>1246</v>
      </c>
      <c r="F1754" s="527" t="s">
        <v>1247</v>
      </c>
      <c r="G1754" s="527">
        <v>283</v>
      </c>
      <c r="H1754" s="527" t="s">
        <v>4705</v>
      </c>
      <c r="I1754" s="527" t="s">
        <v>4704</v>
      </c>
      <c r="J1754" s="527" t="s">
        <v>2890</v>
      </c>
      <c r="K1754" s="527" t="s">
        <v>2890</v>
      </c>
      <c r="L1754" s="527" t="s">
        <v>6371</v>
      </c>
      <c r="M1754" s="524"/>
      <c r="N1754" s="524"/>
      <c r="O1754" s="524"/>
    </row>
    <row r="1755" spans="1:15" ht="43.5" hidden="1">
      <c r="A1755" s="525">
        <v>10019</v>
      </c>
      <c r="B1755" s="525"/>
      <c r="C1755" s="524" t="s">
        <v>4789</v>
      </c>
      <c r="D1755" s="524" t="s">
        <v>4788</v>
      </c>
      <c r="E1755" s="524" t="s">
        <v>4787</v>
      </c>
      <c r="F1755" s="524" t="s">
        <v>4787</v>
      </c>
      <c r="G1755" s="524" t="s">
        <v>4787</v>
      </c>
      <c r="H1755" s="524" t="s">
        <v>4787</v>
      </c>
      <c r="I1755" s="524" t="s">
        <v>4788</v>
      </c>
      <c r="J1755" s="524" t="s">
        <v>4788</v>
      </c>
      <c r="K1755" s="524"/>
      <c r="L1755" s="524" t="s">
        <v>6400</v>
      </c>
      <c r="M1755" s="524" t="s">
        <v>6600</v>
      </c>
      <c r="N1755" s="524"/>
      <c r="O1755" s="524"/>
    </row>
    <row r="1756" spans="1:15" ht="72.5" hidden="1">
      <c r="A1756" s="525">
        <v>10020</v>
      </c>
      <c r="B1756" s="525"/>
      <c r="C1756" s="524" t="s">
        <v>339</v>
      </c>
      <c r="D1756" s="524" t="s">
        <v>546</v>
      </c>
      <c r="E1756" s="524" t="s">
        <v>547</v>
      </c>
      <c r="F1756" s="524" t="s">
        <v>547</v>
      </c>
      <c r="G1756" s="524" t="s">
        <v>547</v>
      </c>
      <c r="H1756" s="524" t="s">
        <v>547</v>
      </c>
      <c r="I1756" s="524" t="s">
        <v>8034</v>
      </c>
      <c r="J1756" s="524" t="s">
        <v>546</v>
      </c>
      <c r="K1756" s="524" t="s">
        <v>6359</v>
      </c>
      <c r="L1756" s="524" t="s">
        <v>6397</v>
      </c>
      <c r="M1756" s="524" t="s">
        <v>2384</v>
      </c>
      <c r="N1756" s="524" t="s">
        <v>8035</v>
      </c>
      <c r="O1756" s="524"/>
    </row>
    <row r="1757" spans="1:15" ht="58" hidden="1">
      <c r="A1757" s="527">
        <v>10020</v>
      </c>
      <c r="B1757" s="527"/>
      <c r="C1757" s="527" t="s">
        <v>339</v>
      </c>
      <c r="D1757" s="527" t="s">
        <v>2170</v>
      </c>
      <c r="E1757" s="527" t="s">
        <v>546</v>
      </c>
      <c r="F1757" s="527" t="s">
        <v>547</v>
      </c>
      <c r="G1757" s="527">
        <v>5</v>
      </c>
      <c r="H1757" s="527" t="s">
        <v>177</v>
      </c>
      <c r="I1757" s="527" t="s">
        <v>2310</v>
      </c>
      <c r="J1757" s="527" t="s">
        <v>2889</v>
      </c>
      <c r="K1757" s="527" t="s">
        <v>2889</v>
      </c>
      <c r="L1757" s="527" t="s">
        <v>8036</v>
      </c>
      <c r="M1757" s="524"/>
      <c r="N1757" s="524"/>
      <c r="O1757" s="524"/>
    </row>
    <row r="1758" spans="1:15" ht="159.5" hidden="1">
      <c r="A1758" s="525">
        <v>10021</v>
      </c>
      <c r="B1758" s="525"/>
      <c r="C1758" s="524" t="s">
        <v>28</v>
      </c>
      <c r="D1758" s="524" t="s">
        <v>548</v>
      </c>
      <c r="E1758" s="524" t="s">
        <v>549</v>
      </c>
      <c r="F1758" s="524" t="s">
        <v>549</v>
      </c>
      <c r="G1758" s="524" t="s">
        <v>549</v>
      </c>
      <c r="H1758" s="524" t="s">
        <v>549</v>
      </c>
      <c r="I1758" s="524" t="s">
        <v>8037</v>
      </c>
      <c r="J1758" s="524" t="s">
        <v>548</v>
      </c>
      <c r="K1758" s="524" t="s">
        <v>6359</v>
      </c>
      <c r="L1758" s="524" t="s">
        <v>6397</v>
      </c>
      <c r="M1758" s="524" t="s">
        <v>2384</v>
      </c>
      <c r="N1758" s="524" t="s">
        <v>8038</v>
      </c>
      <c r="O1758" s="524"/>
    </row>
    <row r="1759" spans="1:15" ht="159.5" hidden="1">
      <c r="A1759" s="527">
        <v>10021</v>
      </c>
      <c r="B1759" s="527"/>
      <c r="C1759" s="527" t="s">
        <v>28</v>
      </c>
      <c r="D1759" s="527" t="s">
        <v>2170</v>
      </c>
      <c r="E1759" s="527" t="s">
        <v>548</v>
      </c>
      <c r="F1759" s="527" t="s">
        <v>549</v>
      </c>
      <c r="G1759" s="527">
        <v>5</v>
      </c>
      <c r="H1759" s="527" t="s">
        <v>177</v>
      </c>
      <c r="I1759" s="527" t="s">
        <v>2310</v>
      </c>
      <c r="J1759" s="527" t="s">
        <v>2889</v>
      </c>
      <c r="K1759" s="527" t="s">
        <v>2889</v>
      </c>
      <c r="L1759" s="527" t="s">
        <v>8039</v>
      </c>
      <c r="M1759" s="524"/>
      <c r="N1759" s="524"/>
      <c r="O1759" s="524"/>
    </row>
    <row r="1760" spans="1:15" ht="58" hidden="1">
      <c r="A1760" s="525">
        <v>10025</v>
      </c>
      <c r="B1760" s="525"/>
      <c r="C1760" s="524" t="s">
        <v>176</v>
      </c>
      <c r="D1760" s="524" t="s">
        <v>527</v>
      </c>
      <c r="E1760" s="524" t="s">
        <v>528</v>
      </c>
      <c r="F1760" s="524" t="s">
        <v>528</v>
      </c>
      <c r="G1760" s="524" t="s">
        <v>528</v>
      </c>
      <c r="H1760" s="524" t="s">
        <v>528</v>
      </c>
      <c r="I1760" s="524" t="s">
        <v>8040</v>
      </c>
      <c r="J1760" s="524" t="s">
        <v>527</v>
      </c>
      <c r="K1760" s="524"/>
      <c r="L1760" s="524" t="s">
        <v>6381</v>
      </c>
      <c r="M1760" s="524" t="s">
        <v>522</v>
      </c>
      <c r="N1760" s="524"/>
      <c r="O1760" s="524"/>
    </row>
    <row r="1761" spans="1:15" ht="145" hidden="1">
      <c r="A1761" s="527">
        <v>10025</v>
      </c>
      <c r="B1761" s="527"/>
      <c r="C1761" s="527" t="s">
        <v>176</v>
      </c>
      <c r="D1761" s="527" t="s">
        <v>522</v>
      </c>
      <c r="E1761" s="527" t="s">
        <v>527</v>
      </c>
      <c r="F1761" s="527" t="s">
        <v>528</v>
      </c>
      <c r="G1761" s="527">
        <v>4</v>
      </c>
      <c r="H1761" s="527" t="s">
        <v>10</v>
      </c>
      <c r="I1761" s="527" t="s">
        <v>522</v>
      </c>
      <c r="J1761" s="527" t="s">
        <v>2889</v>
      </c>
      <c r="K1761" s="527" t="s">
        <v>2889</v>
      </c>
      <c r="L1761" s="527" t="s">
        <v>8041</v>
      </c>
      <c r="M1761" s="524"/>
      <c r="N1761" s="524"/>
      <c r="O1761" s="524"/>
    </row>
    <row r="1762" spans="1:15" ht="72.5" hidden="1">
      <c r="A1762" s="525">
        <v>10026</v>
      </c>
      <c r="B1762" s="525"/>
      <c r="C1762" s="524" t="s">
        <v>241</v>
      </c>
      <c r="D1762" s="524" t="s">
        <v>942</v>
      </c>
      <c r="E1762" s="524" t="s">
        <v>4009</v>
      </c>
      <c r="F1762" s="524" t="s">
        <v>4009</v>
      </c>
      <c r="G1762" s="524" t="s">
        <v>4009</v>
      </c>
      <c r="H1762" s="524" t="s">
        <v>4009</v>
      </c>
      <c r="I1762" s="524" t="s">
        <v>8042</v>
      </c>
      <c r="J1762" s="524" t="s">
        <v>8043</v>
      </c>
      <c r="K1762" s="524" t="s">
        <v>6359</v>
      </c>
      <c r="L1762" s="524" t="s">
        <v>6414</v>
      </c>
      <c r="M1762" s="524" t="s">
        <v>6415</v>
      </c>
      <c r="N1762" s="524"/>
      <c r="O1762" s="524"/>
    </row>
    <row r="1763" spans="1:15" ht="130.5" hidden="1">
      <c r="A1763" s="527">
        <v>10026</v>
      </c>
      <c r="B1763" s="527"/>
      <c r="C1763" s="527" t="s">
        <v>241</v>
      </c>
      <c r="D1763" s="527" t="s">
        <v>2174</v>
      </c>
      <c r="E1763" s="527" t="s">
        <v>942</v>
      </c>
      <c r="F1763" s="527" t="s">
        <v>943</v>
      </c>
      <c r="G1763" s="527">
        <v>26</v>
      </c>
      <c r="H1763" s="527" t="s">
        <v>237</v>
      </c>
      <c r="I1763" s="527" t="s">
        <v>2322</v>
      </c>
      <c r="J1763" s="527" t="s">
        <v>2889</v>
      </c>
      <c r="K1763" s="527" t="s">
        <v>2889</v>
      </c>
      <c r="L1763" s="527" t="s">
        <v>8044</v>
      </c>
      <c r="M1763" s="524"/>
      <c r="N1763" s="524"/>
      <c r="O1763" s="524"/>
    </row>
    <row r="1764" spans="1:15" ht="58" hidden="1">
      <c r="A1764" s="524">
        <v>10027</v>
      </c>
      <c r="B1764" s="524"/>
      <c r="C1764" s="524" t="s">
        <v>5522</v>
      </c>
      <c r="D1764" s="524" t="s">
        <v>5521</v>
      </c>
      <c r="E1764" s="524" t="s">
        <v>5520</v>
      </c>
      <c r="F1764" s="524" t="s">
        <v>5520</v>
      </c>
      <c r="G1764" s="524" t="s">
        <v>5520</v>
      </c>
      <c r="H1764" s="524" t="s">
        <v>5520</v>
      </c>
      <c r="I1764" s="524" t="s">
        <v>8045</v>
      </c>
      <c r="J1764" s="524" t="s">
        <v>5521</v>
      </c>
      <c r="K1764" s="524"/>
      <c r="L1764" s="524" t="s">
        <v>6397</v>
      </c>
      <c r="M1764" s="524" t="s">
        <v>2384</v>
      </c>
      <c r="N1764" s="524"/>
      <c r="O1764" s="524"/>
    </row>
    <row r="1765" spans="1:15" ht="72.5" hidden="1">
      <c r="A1765" s="525">
        <v>10028</v>
      </c>
      <c r="B1765" s="525"/>
      <c r="C1765" s="524" t="s">
        <v>348</v>
      </c>
      <c r="D1765" s="524" t="s">
        <v>1030</v>
      </c>
      <c r="E1765" s="524" t="s">
        <v>1031</v>
      </c>
      <c r="F1765" s="524" t="s">
        <v>1031</v>
      </c>
      <c r="G1765" s="524" t="s">
        <v>1031</v>
      </c>
      <c r="H1765" s="524" t="s">
        <v>1031</v>
      </c>
      <c r="I1765" s="524" t="s">
        <v>8046</v>
      </c>
      <c r="J1765" s="524" t="s">
        <v>1030</v>
      </c>
      <c r="K1765" s="524"/>
      <c r="L1765" s="524" t="s">
        <v>6379</v>
      </c>
      <c r="M1765" s="524" t="s">
        <v>6380</v>
      </c>
      <c r="N1765" s="524"/>
      <c r="O1765" s="524"/>
    </row>
    <row r="1766" spans="1:15" ht="43.5" hidden="1">
      <c r="A1766" s="527">
        <v>10028</v>
      </c>
      <c r="B1766" s="527"/>
      <c r="C1766" s="527" t="s">
        <v>348</v>
      </c>
      <c r="D1766" s="527" t="s">
        <v>1024</v>
      </c>
      <c r="E1766" s="527" t="s">
        <v>1030</v>
      </c>
      <c r="F1766" s="527" t="s">
        <v>1031</v>
      </c>
      <c r="G1766" s="527">
        <v>71</v>
      </c>
      <c r="H1766" s="527" t="s">
        <v>257</v>
      </c>
      <c r="I1766" s="527" t="s">
        <v>1022</v>
      </c>
      <c r="J1766" s="527" t="s">
        <v>2890</v>
      </c>
      <c r="K1766" s="527" t="s">
        <v>2889</v>
      </c>
      <c r="L1766" s="527" t="s">
        <v>6371</v>
      </c>
      <c r="M1766" s="524"/>
      <c r="N1766" s="524"/>
      <c r="O1766" s="524"/>
    </row>
    <row r="1767" spans="1:15" ht="72.5" hidden="1">
      <c r="A1767" s="525">
        <v>10030</v>
      </c>
      <c r="B1767" s="525"/>
      <c r="C1767" s="524" t="s">
        <v>8047</v>
      </c>
      <c r="D1767" s="524" t="s">
        <v>8049</v>
      </c>
      <c r="E1767" s="524" t="s">
        <v>1089</v>
      </c>
      <c r="F1767" s="524" t="s">
        <v>1089</v>
      </c>
      <c r="G1767" s="524" t="s">
        <v>1089</v>
      </c>
      <c r="H1767" s="524" t="s">
        <v>1089</v>
      </c>
      <c r="I1767" s="524" t="s">
        <v>8048</v>
      </c>
      <c r="J1767" s="524" t="s">
        <v>8049</v>
      </c>
      <c r="K1767" s="524"/>
      <c r="L1767" s="524" t="s">
        <v>6376</v>
      </c>
      <c r="M1767" s="524" t="s">
        <v>6377</v>
      </c>
      <c r="N1767" s="524"/>
      <c r="O1767" s="524"/>
    </row>
    <row r="1768" spans="1:15" ht="58" hidden="1">
      <c r="A1768" s="527">
        <v>10030</v>
      </c>
      <c r="B1768" s="527"/>
      <c r="C1768" s="527" t="s">
        <v>275</v>
      </c>
      <c r="D1768" s="527" t="s">
        <v>1068</v>
      </c>
      <c r="E1768" s="527" t="s">
        <v>1088</v>
      </c>
      <c r="F1768" s="527" t="s">
        <v>1089</v>
      </c>
      <c r="G1768" s="527">
        <v>88</v>
      </c>
      <c r="H1768" s="527" t="s">
        <v>16</v>
      </c>
      <c r="I1768" s="527" t="s">
        <v>1066</v>
      </c>
      <c r="J1768" s="527" t="s">
        <v>2890</v>
      </c>
      <c r="K1768" s="527" t="s">
        <v>2889</v>
      </c>
      <c r="L1768" s="527" t="s">
        <v>6371</v>
      </c>
      <c r="M1768" s="524"/>
      <c r="N1768" s="524"/>
      <c r="O1768" s="524"/>
    </row>
    <row r="1769" spans="1:15" ht="87" hidden="1">
      <c r="A1769" s="525">
        <v>10031</v>
      </c>
      <c r="B1769" s="525"/>
      <c r="C1769" s="524" t="s">
        <v>356</v>
      </c>
      <c r="D1769" s="524" t="s">
        <v>1269</v>
      </c>
      <c r="E1769" s="524" t="s">
        <v>1270</v>
      </c>
      <c r="F1769" s="524" t="s">
        <v>1270</v>
      </c>
      <c r="G1769" s="524" t="s">
        <v>1270</v>
      </c>
      <c r="H1769" s="524" t="s">
        <v>1270</v>
      </c>
      <c r="I1769" s="524" t="s">
        <v>1269</v>
      </c>
      <c r="J1769" s="524" t="s">
        <v>1269</v>
      </c>
      <c r="K1769" s="524"/>
      <c r="L1769" s="524" t="s">
        <v>6368</v>
      </c>
      <c r="M1769" s="524" t="s">
        <v>6370</v>
      </c>
      <c r="N1769" s="524"/>
      <c r="O1769" s="524"/>
    </row>
    <row r="1770" spans="1:15" ht="58" hidden="1">
      <c r="A1770" s="527">
        <v>10031</v>
      </c>
      <c r="B1770" s="527"/>
      <c r="C1770" s="527" t="s">
        <v>356</v>
      </c>
      <c r="D1770" s="527" t="s">
        <v>4703</v>
      </c>
      <c r="E1770" s="527" t="s">
        <v>1269</v>
      </c>
      <c r="F1770" s="527" t="s">
        <v>1270</v>
      </c>
      <c r="G1770" s="527">
        <v>283</v>
      </c>
      <c r="H1770" s="527" t="s">
        <v>4705</v>
      </c>
      <c r="I1770" s="527" t="s">
        <v>4704</v>
      </c>
      <c r="J1770" s="527" t="s">
        <v>2890</v>
      </c>
      <c r="K1770" s="527" t="s">
        <v>2890</v>
      </c>
      <c r="L1770" s="527" t="s">
        <v>6371</v>
      </c>
      <c r="M1770" s="524"/>
      <c r="N1770" s="524"/>
      <c r="O1770" s="524"/>
    </row>
    <row r="1771" spans="1:15" ht="87" hidden="1">
      <c r="A1771" s="525">
        <v>10032</v>
      </c>
      <c r="B1771" s="525"/>
      <c r="C1771" s="524" t="s">
        <v>358</v>
      </c>
      <c r="D1771" s="524" t="s">
        <v>5724</v>
      </c>
      <c r="E1771" s="524" t="s">
        <v>1284</v>
      </c>
      <c r="F1771" s="524" t="s">
        <v>1284</v>
      </c>
      <c r="G1771" s="524" t="s">
        <v>1284</v>
      </c>
      <c r="H1771" s="524" t="s">
        <v>1284</v>
      </c>
      <c r="I1771" s="524" t="s">
        <v>8050</v>
      </c>
      <c r="J1771" s="524" t="s">
        <v>5724</v>
      </c>
      <c r="K1771" s="524"/>
      <c r="L1771" s="524" t="s">
        <v>6379</v>
      </c>
      <c r="M1771" s="524" t="s">
        <v>6380</v>
      </c>
      <c r="N1771" s="524"/>
      <c r="O1771" s="524"/>
    </row>
    <row r="1772" spans="1:15" ht="58" hidden="1">
      <c r="A1772" s="527">
        <v>10032</v>
      </c>
      <c r="B1772" s="527"/>
      <c r="C1772" s="527" t="s">
        <v>358</v>
      </c>
      <c r="D1772" s="527" t="s">
        <v>4703</v>
      </c>
      <c r="E1772" s="527" t="s">
        <v>1283</v>
      </c>
      <c r="F1772" s="527" t="s">
        <v>1284</v>
      </c>
      <c r="G1772" s="527">
        <v>283</v>
      </c>
      <c r="H1772" s="527" t="s">
        <v>4705</v>
      </c>
      <c r="I1772" s="527" t="s">
        <v>4704</v>
      </c>
      <c r="J1772" s="527" t="s">
        <v>2890</v>
      </c>
      <c r="K1772" s="527" t="s">
        <v>2890</v>
      </c>
      <c r="L1772" s="527" t="s">
        <v>6371</v>
      </c>
      <c r="M1772" s="524"/>
      <c r="N1772" s="524"/>
      <c r="O1772" s="524"/>
    </row>
    <row r="1773" spans="1:15" ht="43.5" hidden="1">
      <c r="A1773" s="525">
        <v>10033</v>
      </c>
      <c r="B1773" s="525"/>
      <c r="C1773" s="524" t="s">
        <v>5309</v>
      </c>
      <c r="D1773" s="524" t="s">
        <v>5308</v>
      </c>
      <c r="E1773" s="524" t="s">
        <v>5307</v>
      </c>
      <c r="F1773" s="524" t="s">
        <v>5307</v>
      </c>
      <c r="G1773" s="524" t="s">
        <v>5307</v>
      </c>
      <c r="H1773" s="524" t="s">
        <v>5307</v>
      </c>
      <c r="I1773" s="524" t="s">
        <v>5308</v>
      </c>
      <c r="J1773" s="524" t="s">
        <v>5308</v>
      </c>
      <c r="K1773" s="524"/>
      <c r="L1773" s="524" t="s">
        <v>6379</v>
      </c>
      <c r="M1773" s="524" t="s">
        <v>6380</v>
      </c>
      <c r="N1773" s="524"/>
      <c r="O1773" s="524"/>
    </row>
    <row r="1774" spans="1:15" ht="72.5" hidden="1">
      <c r="A1774" s="525">
        <v>10034</v>
      </c>
      <c r="B1774" s="525"/>
      <c r="C1774" s="524" t="s">
        <v>350</v>
      </c>
      <c r="D1774" s="524" t="s">
        <v>1368</v>
      </c>
      <c r="E1774" s="524" t="s">
        <v>1369</v>
      </c>
      <c r="F1774" s="524" t="s">
        <v>1369</v>
      </c>
      <c r="G1774" s="524" t="s">
        <v>1369</v>
      </c>
      <c r="H1774" s="524" t="s">
        <v>1369</v>
      </c>
      <c r="I1774" s="524" t="s">
        <v>8051</v>
      </c>
      <c r="J1774" s="524" t="s">
        <v>1368</v>
      </c>
      <c r="K1774" s="524"/>
      <c r="L1774" s="524" t="s">
        <v>6368</v>
      </c>
      <c r="M1774" s="524" t="s">
        <v>2573</v>
      </c>
      <c r="N1774" s="524"/>
      <c r="O1774" s="524"/>
    </row>
    <row r="1775" spans="1:15" ht="58" hidden="1">
      <c r="A1775" s="527">
        <v>10034</v>
      </c>
      <c r="B1775" s="527"/>
      <c r="C1775" s="527" t="s">
        <v>350</v>
      </c>
      <c r="D1775" s="527" t="s">
        <v>4703</v>
      </c>
      <c r="E1775" s="527" t="s">
        <v>1368</v>
      </c>
      <c r="F1775" s="527" t="s">
        <v>1369</v>
      </c>
      <c r="G1775" s="527">
        <v>283</v>
      </c>
      <c r="H1775" s="527" t="s">
        <v>4705</v>
      </c>
      <c r="I1775" s="527" t="s">
        <v>4704</v>
      </c>
      <c r="J1775" s="527" t="s">
        <v>2890</v>
      </c>
      <c r="K1775" s="527" t="s">
        <v>2890</v>
      </c>
      <c r="L1775" s="527" t="s">
        <v>6371</v>
      </c>
      <c r="M1775" s="524"/>
      <c r="N1775" s="524"/>
      <c r="O1775" s="524"/>
    </row>
    <row r="1776" spans="1:15" ht="29" hidden="1">
      <c r="A1776" s="525">
        <v>10040</v>
      </c>
      <c r="B1776" s="525"/>
      <c r="C1776" s="524" t="s">
        <v>1287</v>
      </c>
      <c r="D1776" s="524" t="s">
        <v>1288</v>
      </c>
      <c r="E1776" s="524" t="s">
        <v>1289</v>
      </c>
      <c r="F1776" s="524" t="s">
        <v>1289</v>
      </c>
      <c r="G1776" s="524" t="s">
        <v>1289</v>
      </c>
      <c r="H1776" s="524" t="s">
        <v>1289</v>
      </c>
      <c r="I1776" s="524" t="s">
        <v>1288</v>
      </c>
      <c r="J1776" s="524" t="s">
        <v>1288</v>
      </c>
      <c r="K1776" s="524"/>
      <c r="L1776" s="524" t="s">
        <v>6368</v>
      </c>
      <c r="M1776" s="524" t="s">
        <v>2573</v>
      </c>
      <c r="N1776" s="524"/>
      <c r="O1776" s="524"/>
    </row>
    <row r="1777" spans="1:15" ht="87" hidden="1">
      <c r="A1777" s="527">
        <v>10040</v>
      </c>
      <c r="B1777" s="527"/>
      <c r="C1777" s="527" t="s">
        <v>1287</v>
      </c>
      <c r="D1777" s="527" t="s">
        <v>4703</v>
      </c>
      <c r="E1777" s="527" t="s">
        <v>1288</v>
      </c>
      <c r="F1777" s="527" t="s">
        <v>1289</v>
      </c>
      <c r="G1777" s="527">
        <v>283</v>
      </c>
      <c r="H1777" s="527" t="s">
        <v>4705</v>
      </c>
      <c r="I1777" s="527" t="s">
        <v>4704</v>
      </c>
      <c r="J1777" s="527" t="s">
        <v>2890</v>
      </c>
      <c r="K1777" s="527" t="s">
        <v>2889</v>
      </c>
      <c r="L1777" s="527" t="s">
        <v>8052</v>
      </c>
      <c r="M1777" s="524"/>
      <c r="N1777" s="524"/>
      <c r="O1777" s="524"/>
    </row>
    <row r="1778" spans="1:15" ht="58" hidden="1">
      <c r="A1778" s="525">
        <v>10050</v>
      </c>
      <c r="B1778" s="525"/>
      <c r="C1778" s="524" t="s">
        <v>371</v>
      </c>
      <c r="D1778" s="524" t="s">
        <v>1333</v>
      </c>
      <c r="E1778" s="524" t="s">
        <v>1334</v>
      </c>
      <c r="F1778" s="524" t="s">
        <v>1334</v>
      </c>
      <c r="G1778" s="524" t="s">
        <v>1334</v>
      </c>
      <c r="H1778" s="524" t="s">
        <v>1334</v>
      </c>
      <c r="I1778" s="524" t="s">
        <v>8053</v>
      </c>
      <c r="J1778" s="524" t="s">
        <v>1333</v>
      </c>
      <c r="K1778" s="524" t="s">
        <v>6359</v>
      </c>
      <c r="L1778" s="524" t="s">
        <v>6397</v>
      </c>
      <c r="M1778" s="524" t="s">
        <v>2384</v>
      </c>
      <c r="N1778" s="524"/>
      <c r="O1778" s="524"/>
    </row>
    <row r="1779" spans="1:15" ht="130.5" hidden="1">
      <c r="A1779" s="527">
        <v>10050</v>
      </c>
      <c r="B1779" s="527"/>
      <c r="C1779" s="527" t="s">
        <v>371</v>
      </c>
      <c r="D1779" s="527" t="s">
        <v>4703</v>
      </c>
      <c r="E1779" s="527" t="s">
        <v>1333</v>
      </c>
      <c r="F1779" s="527" t="s">
        <v>1334</v>
      </c>
      <c r="G1779" s="527">
        <v>283</v>
      </c>
      <c r="H1779" s="527" t="s">
        <v>4705</v>
      </c>
      <c r="I1779" s="527" t="s">
        <v>4704</v>
      </c>
      <c r="J1779" s="527" t="s">
        <v>2890</v>
      </c>
      <c r="K1779" s="527" t="s">
        <v>2889</v>
      </c>
      <c r="L1779" s="527" t="s">
        <v>8054</v>
      </c>
      <c r="M1779" s="524"/>
      <c r="N1779" s="524"/>
      <c r="O1779" s="524"/>
    </row>
    <row r="1780" spans="1:15" ht="87" hidden="1">
      <c r="A1780" s="525">
        <v>10055</v>
      </c>
      <c r="B1780" s="525"/>
      <c r="C1780" s="524" t="s">
        <v>947</v>
      </c>
      <c r="D1780" s="524" t="s">
        <v>948</v>
      </c>
      <c r="E1780" s="524" t="s">
        <v>949</v>
      </c>
      <c r="F1780" s="524" t="s">
        <v>949</v>
      </c>
      <c r="G1780" s="524" t="s">
        <v>949</v>
      </c>
      <c r="H1780" s="524" t="s">
        <v>949</v>
      </c>
      <c r="I1780" s="524" t="s">
        <v>8055</v>
      </c>
      <c r="J1780" s="524" t="s">
        <v>948</v>
      </c>
      <c r="K1780" s="524" t="s">
        <v>6359</v>
      </c>
      <c r="L1780" s="524" t="s">
        <v>6414</v>
      </c>
      <c r="M1780" s="524" t="s">
        <v>6415</v>
      </c>
      <c r="N1780" s="524"/>
      <c r="O1780" s="524"/>
    </row>
    <row r="1781" spans="1:15" ht="116" hidden="1">
      <c r="A1781" s="527">
        <v>10055</v>
      </c>
      <c r="B1781" s="527"/>
      <c r="C1781" s="527" t="s">
        <v>947</v>
      </c>
      <c r="D1781" s="527" t="s">
        <v>2174</v>
      </c>
      <c r="E1781" s="527" t="s">
        <v>948</v>
      </c>
      <c r="F1781" s="527" t="s">
        <v>949</v>
      </c>
      <c r="G1781" s="527">
        <v>26</v>
      </c>
      <c r="H1781" s="527" t="s">
        <v>237</v>
      </c>
      <c r="I1781" s="527" t="s">
        <v>2322</v>
      </c>
      <c r="J1781" s="527" t="s">
        <v>2890</v>
      </c>
      <c r="K1781" s="527" t="s">
        <v>2889</v>
      </c>
      <c r="L1781" s="527" t="s">
        <v>8056</v>
      </c>
      <c r="M1781" s="524"/>
      <c r="N1781" s="524"/>
      <c r="O1781" s="524"/>
    </row>
    <row r="1782" spans="1:15" ht="72.5" hidden="1">
      <c r="A1782" s="525">
        <v>10060</v>
      </c>
      <c r="B1782" s="525"/>
      <c r="C1782" s="524" t="s">
        <v>373</v>
      </c>
      <c r="D1782" s="524" t="s">
        <v>1339</v>
      </c>
      <c r="E1782" s="524" t="s">
        <v>1340</v>
      </c>
      <c r="F1782" s="524" t="s">
        <v>1340</v>
      </c>
      <c r="G1782" s="524" t="s">
        <v>1340</v>
      </c>
      <c r="H1782" s="524" t="s">
        <v>1340</v>
      </c>
      <c r="I1782" s="524" t="s">
        <v>8057</v>
      </c>
      <c r="J1782" s="524" t="s">
        <v>1339</v>
      </c>
      <c r="K1782" s="524"/>
      <c r="L1782" s="524" t="s">
        <v>6368</v>
      </c>
      <c r="M1782" s="524" t="s">
        <v>2573</v>
      </c>
      <c r="N1782" s="524" t="s">
        <v>8058</v>
      </c>
      <c r="O1782" s="524"/>
    </row>
    <row r="1783" spans="1:15" ht="58" hidden="1">
      <c r="A1783" s="527">
        <v>10060</v>
      </c>
      <c r="B1783" s="527"/>
      <c r="C1783" s="527" t="s">
        <v>373</v>
      </c>
      <c r="D1783" s="527" t="s">
        <v>4703</v>
      </c>
      <c r="E1783" s="527" t="s">
        <v>1339</v>
      </c>
      <c r="F1783" s="527" t="s">
        <v>1340</v>
      </c>
      <c r="G1783" s="527">
        <v>283</v>
      </c>
      <c r="H1783" s="527" t="s">
        <v>4705</v>
      </c>
      <c r="I1783" s="527" t="s">
        <v>4704</v>
      </c>
      <c r="J1783" s="527" t="s">
        <v>2890</v>
      </c>
      <c r="K1783" s="527" t="s">
        <v>2890</v>
      </c>
      <c r="L1783" s="527" t="s">
        <v>6371</v>
      </c>
      <c r="M1783" s="524"/>
      <c r="N1783" s="524"/>
      <c r="O1783" s="524"/>
    </row>
    <row r="1784" spans="1:15" ht="72.5" hidden="1">
      <c r="A1784" s="525">
        <v>10070</v>
      </c>
      <c r="B1784" s="525"/>
      <c r="C1784" s="524" t="s">
        <v>367</v>
      </c>
      <c r="D1784" s="524" t="s">
        <v>1324</v>
      </c>
      <c r="E1784" s="524" t="s">
        <v>1325</v>
      </c>
      <c r="F1784" s="524" t="s">
        <v>1325</v>
      </c>
      <c r="G1784" s="524" t="s">
        <v>1325</v>
      </c>
      <c r="H1784" s="524" t="s">
        <v>1325</v>
      </c>
      <c r="I1784" s="524" t="s">
        <v>1324</v>
      </c>
      <c r="J1784" s="524" t="s">
        <v>1324</v>
      </c>
      <c r="K1784" s="524"/>
      <c r="L1784" s="524" t="s">
        <v>6368</v>
      </c>
      <c r="M1784" s="524" t="s">
        <v>2573</v>
      </c>
      <c r="N1784" s="524" t="s">
        <v>8059</v>
      </c>
      <c r="O1784" s="524"/>
    </row>
    <row r="1785" spans="1:15" ht="58" hidden="1">
      <c r="A1785" s="527">
        <v>10070</v>
      </c>
      <c r="B1785" s="527"/>
      <c r="C1785" s="527" t="s">
        <v>367</v>
      </c>
      <c r="D1785" s="527" t="s">
        <v>4703</v>
      </c>
      <c r="E1785" s="527" t="s">
        <v>1324</v>
      </c>
      <c r="F1785" s="527" t="s">
        <v>1325</v>
      </c>
      <c r="G1785" s="527">
        <v>283</v>
      </c>
      <c r="H1785" s="527" t="s">
        <v>4705</v>
      </c>
      <c r="I1785" s="527" t="s">
        <v>4704</v>
      </c>
      <c r="J1785" s="527" t="s">
        <v>2890</v>
      </c>
      <c r="K1785" s="527" t="s">
        <v>2890</v>
      </c>
      <c r="L1785" s="527" t="s">
        <v>6371</v>
      </c>
      <c r="M1785" s="524"/>
      <c r="N1785" s="524"/>
      <c r="O1785" s="524"/>
    </row>
    <row r="1786" spans="1:15" ht="43.5" hidden="1">
      <c r="A1786" s="524">
        <v>10080</v>
      </c>
      <c r="B1786" s="524"/>
      <c r="C1786" s="524" t="s">
        <v>391</v>
      </c>
      <c r="D1786" s="524" t="s">
        <v>1329</v>
      </c>
      <c r="E1786" s="524" t="s">
        <v>1330</v>
      </c>
      <c r="F1786" s="524" t="s">
        <v>1330</v>
      </c>
      <c r="G1786" s="524" t="s">
        <v>1330</v>
      </c>
      <c r="H1786" s="524" t="s">
        <v>1330</v>
      </c>
      <c r="I1786" s="524" t="s">
        <v>8060</v>
      </c>
      <c r="J1786" s="524" t="s">
        <v>1329</v>
      </c>
      <c r="K1786" s="524" t="s">
        <v>6359</v>
      </c>
      <c r="L1786" s="524" t="s">
        <v>6368</v>
      </c>
      <c r="M1786" s="524" t="s">
        <v>2573</v>
      </c>
      <c r="N1786" s="524"/>
      <c r="O1786" s="524"/>
    </row>
    <row r="1787" spans="1:15" ht="72.5" hidden="1">
      <c r="A1787" s="527">
        <v>10080</v>
      </c>
      <c r="B1787" s="527"/>
      <c r="C1787" s="527" t="s">
        <v>391</v>
      </c>
      <c r="D1787" s="527" t="s">
        <v>4703</v>
      </c>
      <c r="E1787" s="527" t="s">
        <v>1329</v>
      </c>
      <c r="F1787" s="527" t="s">
        <v>1330</v>
      </c>
      <c r="G1787" s="527">
        <v>283</v>
      </c>
      <c r="H1787" s="527" t="s">
        <v>4705</v>
      </c>
      <c r="I1787" s="527" t="s">
        <v>4704</v>
      </c>
      <c r="J1787" s="527" t="s">
        <v>2890</v>
      </c>
      <c r="K1787" s="527" t="s">
        <v>2889</v>
      </c>
      <c r="L1787" s="527" t="s">
        <v>8061</v>
      </c>
      <c r="M1787" s="524"/>
      <c r="N1787" s="524"/>
      <c r="O1787" s="524"/>
    </row>
    <row r="1788" spans="1:15" ht="29" hidden="1">
      <c r="A1788" s="525">
        <v>10091</v>
      </c>
      <c r="B1788" s="525"/>
      <c r="C1788" s="524" t="s">
        <v>384</v>
      </c>
      <c r="D1788" s="524" t="s">
        <v>1347</v>
      </c>
      <c r="E1788" s="524" t="s">
        <v>1348</v>
      </c>
      <c r="F1788" s="524" t="s">
        <v>1348</v>
      </c>
      <c r="G1788" s="524" t="s">
        <v>1348</v>
      </c>
      <c r="H1788" s="524" t="s">
        <v>1348</v>
      </c>
      <c r="I1788" s="524" t="s">
        <v>1347</v>
      </c>
      <c r="J1788" s="524" t="s">
        <v>8062</v>
      </c>
      <c r="K1788" s="524" t="s">
        <v>6359</v>
      </c>
      <c r="L1788" s="524" t="s">
        <v>6381</v>
      </c>
      <c r="M1788" s="524" t="s">
        <v>442</v>
      </c>
      <c r="N1788" s="524"/>
      <c r="O1788" s="524"/>
    </row>
    <row r="1789" spans="1:15" ht="116" hidden="1">
      <c r="A1789" s="527">
        <v>10091</v>
      </c>
      <c r="B1789" s="527"/>
      <c r="C1789" s="527" t="s">
        <v>384</v>
      </c>
      <c r="D1789" s="527" t="s">
        <v>4703</v>
      </c>
      <c r="E1789" s="527" t="s">
        <v>1347</v>
      </c>
      <c r="F1789" s="527" t="s">
        <v>1348</v>
      </c>
      <c r="G1789" s="527">
        <v>283</v>
      </c>
      <c r="H1789" s="527" t="s">
        <v>4705</v>
      </c>
      <c r="I1789" s="527" t="s">
        <v>4704</v>
      </c>
      <c r="J1789" s="527" t="s">
        <v>2890</v>
      </c>
      <c r="K1789" s="527" t="s">
        <v>2890</v>
      </c>
      <c r="L1789" s="527" t="s">
        <v>8063</v>
      </c>
      <c r="M1789" s="524"/>
      <c r="N1789" s="524"/>
      <c r="O1789" s="524"/>
    </row>
    <row r="1790" spans="1:15" ht="72.5" hidden="1">
      <c r="A1790" s="525">
        <v>10100</v>
      </c>
      <c r="B1790" s="525"/>
      <c r="C1790" s="524" t="s">
        <v>1344</v>
      </c>
      <c r="D1790" s="524" t="s">
        <v>1345</v>
      </c>
      <c r="E1790" s="524" t="s">
        <v>1346</v>
      </c>
      <c r="F1790" s="524" t="s">
        <v>1346</v>
      </c>
      <c r="G1790" s="524" t="s">
        <v>1346</v>
      </c>
      <c r="H1790" s="524" t="s">
        <v>1346</v>
      </c>
      <c r="I1790" s="524" t="s">
        <v>8064</v>
      </c>
      <c r="J1790" s="524" t="s">
        <v>1345</v>
      </c>
      <c r="K1790" s="524" t="s">
        <v>6359</v>
      </c>
      <c r="L1790" s="524" t="s">
        <v>6368</v>
      </c>
      <c r="M1790" s="524" t="s">
        <v>2573</v>
      </c>
      <c r="N1790" s="524"/>
      <c r="O1790" s="524"/>
    </row>
    <row r="1791" spans="1:15" ht="101.5" hidden="1">
      <c r="A1791" s="527">
        <v>10100</v>
      </c>
      <c r="B1791" s="527"/>
      <c r="C1791" s="527" t="s">
        <v>1344</v>
      </c>
      <c r="D1791" s="527" t="s">
        <v>4703</v>
      </c>
      <c r="E1791" s="527" t="s">
        <v>1345</v>
      </c>
      <c r="F1791" s="527" t="s">
        <v>1346</v>
      </c>
      <c r="G1791" s="527">
        <v>283</v>
      </c>
      <c r="H1791" s="527" t="s">
        <v>4705</v>
      </c>
      <c r="I1791" s="527" t="s">
        <v>4704</v>
      </c>
      <c r="J1791" s="527" t="s">
        <v>2890</v>
      </c>
      <c r="K1791" s="527" t="s">
        <v>2890</v>
      </c>
      <c r="L1791" s="527" t="s">
        <v>8065</v>
      </c>
      <c r="M1791" s="524"/>
      <c r="N1791" s="524"/>
      <c r="O1791" s="524"/>
    </row>
    <row r="1792" spans="1:15" ht="58" hidden="1">
      <c r="A1792" s="525">
        <v>10150</v>
      </c>
      <c r="B1792" s="525"/>
      <c r="C1792" s="524" t="s">
        <v>1903</v>
      </c>
      <c r="D1792" s="524" t="s">
        <v>1904</v>
      </c>
      <c r="E1792" s="524" t="s">
        <v>1905</v>
      </c>
      <c r="F1792" s="524" t="s">
        <v>1905</v>
      </c>
      <c r="G1792" s="524" t="s">
        <v>1905</v>
      </c>
      <c r="H1792" s="524" t="s">
        <v>1905</v>
      </c>
      <c r="I1792" s="524" t="s">
        <v>8066</v>
      </c>
      <c r="J1792" s="524" t="s">
        <v>1904</v>
      </c>
      <c r="K1792" s="524" t="s">
        <v>6359</v>
      </c>
      <c r="L1792" s="524" t="s">
        <v>6379</v>
      </c>
      <c r="M1792" s="524" t="s">
        <v>6380</v>
      </c>
      <c r="N1792" s="524" t="s">
        <v>8067</v>
      </c>
      <c r="O1792" s="524"/>
    </row>
    <row r="1793" spans="1:15" ht="87" hidden="1">
      <c r="A1793" s="527">
        <v>10150</v>
      </c>
      <c r="B1793" s="527"/>
      <c r="C1793" s="527" t="s">
        <v>1903</v>
      </c>
      <c r="D1793" s="527" t="s">
        <v>2294</v>
      </c>
      <c r="E1793" s="527" t="s">
        <v>1904</v>
      </c>
      <c r="F1793" s="527" t="s">
        <v>1905</v>
      </c>
      <c r="G1793" s="527">
        <v>904</v>
      </c>
      <c r="H1793" s="527" t="s">
        <v>2294</v>
      </c>
      <c r="I1793" s="527" t="s">
        <v>1878</v>
      </c>
      <c r="J1793" s="527" t="s">
        <v>2889</v>
      </c>
      <c r="K1793" s="527" t="s">
        <v>2890</v>
      </c>
      <c r="L1793" s="527" t="s">
        <v>8068</v>
      </c>
      <c r="M1793" s="524"/>
      <c r="N1793" s="524"/>
      <c r="O1793" s="524"/>
    </row>
    <row r="1794" spans="1:15" ht="58" hidden="1">
      <c r="A1794" s="525">
        <v>10151</v>
      </c>
      <c r="B1794" s="525"/>
      <c r="C1794" s="524" t="s">
        <v>1900</v>
      </c>
      <c r="D1794" s="524" t="s">
        <v>1901</v>
      </c>
      <c r="E1794" s="524" t="s">
        <v>3526</v>
      </c>
      <c r="F1794" s="524" t="s">
        <v>3526</v>
      </c>
      <c r="G1794" s="524" t="s">
        <v>3526</v>
      </c>
      <c r="H1794" s="524" t="s">
        <v>3526</v>
      </c>
      <c r="I1794" s="524" t="s">
        <v>8069</v>
      </c>
      <c r="J1794" s="524" t="s">
        <v>1901</v>
      </c>
      <c r="K1794" s="524"/>
      <c r="L1794" s="524" t="s">
        <v>6379</v>
      </c>
      <c r="M1794" s="524" t="s">
        <v>6380</v>
      </c>
      <c r="N1794" s="524" t="s">
        <v>8070</v>
      </c>
      <c r="O1794" s="524"/>
    </row>
    <row r="1795" spans="1:15" ht="101.5" hidden="1">
      <c r="A1795" s="527">
        <v>10151</v>
      </c>
      <c r="B1795" s="527"/>
      <c r="C1795" s="527" t="s">
        <v>1900</v>
      </c>
      <c r="D1795" s="527" t="s">
        <v>2294</v>
      </c>
      <c r="E1795" s="527" t="s">
        <v>1901</v>
      </c>
      <c r="F1795" s="527" t="s">
        <v>1902</v>
      </c>
      <c r="G1795" s="527">
        <v>904</v>
      </c>
      <c r="H1795" s="527" t="s">
        <v>2294</v>
      </c>
      <c r="I1795" s="527" t="s">
        <v>1878</v>
      </c>
      <c r="J1795" s="527" t="s">
        <v>2889</v>
      </c>
      <c r="K1795" s="527" t="s">
        <v>2890</v>
      </c>
      <c r="L1795" s="527" t="s">
        <v>8071</v>
      </c>
      <c r="M1795" s="524"/>
      <c r="N1795" s="524"/>
      <c r="O1795" s="524"/>
    </row>
    <row r="1796" spans="1:15" ht="43.5" hidden="1">
      <c r="A1796" s="525">
        <v>10152</v>
      </c>
      <c r="B1796" s="525"/>
      <c r="C1796" s="524" t="s">
        <v>1898</v>
      </c>
      <c r="D1796" s="524" t="s">
        <v>1899</v>
      </c>
      <c r="E1796" s="524" t="s">
        <v>1898</v>
      </c>
      <c r="F1796" s="524" t="s">
        <v>1898</v>
      </c>
      <c r="G1796" s="524" t="s">
        <v>1898</v>
      </c>
      <c r="H1796" s="524" t="s">
        <v>1898</v>
      </c>
      <c r="I1796" s="524" t="s">
        <v>8072</v>
      </c>
      <c r="J1796" s="524" t="s">
        <v>1899</v>
      </c>
      <c r="K1796" s="524"/>
      <c r="L1796" s="524" t="s">
        <v>6379</v>
      </c>
      <c r="M1796" s="524" t="s">
        <v>6380</v>
      </c>
      <c r="N1796" s="524" t="s">
        <v>8073</v>
      </c>
      <c r="O1796" s="524"/>
    </row>
    <row r="1797" spans="1:15" ht="116" hidden="1">
      <c r="A1797" s="527">
        <v>10152</v>
      </c>
      <c r="B1797" s="527"/>
      <c r="C1797" s="527" t="s">
        <v>1898</v>
      </c>
      <c r="D1797" s="527" t="s">
        <v>2294</v>
      </c>
      <c r="E1797" s="527" t="s">
        <v>1899</v>
      </c>
      <c r="F1797" s="527" t="s">
        <v>1898</v>
      </c>
      <c r="G1797" s="527">
        <v>904</v>
      </c>
      <c r="H1797" s="527" t="s">
        <v>2294</v>
      </c>
      <c r="I1797" s="527" t="s">
        <v>1878</v>
      </c>
      <c r="J1797" s="527" t="s">
        <v>2889</v>
      </c>
      <c r="K1797" s="527" t="s">
        <v>2890</v>
      </c>
      <c r="L1797" s="527" t="s">
        <v>8074</v>
      </c>
      <c r="M1797" s="524"/>
      <c r="N1797" s="524"/>
      <c r="O1797" s="524"/>
    </row>
    <row r="1798" spans="1:15" ht="58" hidden="1">
      <c r="A1798" s="525">
        <v>10153</v>
      </c>
      <c r="B1798" s="525"/>
      <c r="C1798" s="524" t="s">
        <v>1895</v>
      </c>
      <c r="D1798" s="524" t="s">
        <v>1896</v>
      </c>
      <c r="E1798" s="524" t="s">
        <v>1897</v>
      </c>
      <c r="F1798" s="524" t="s">
        <v>1897</v>
      </c>
      <c r="G1798" s="524" t="s">
        <v>1897</v>
      </c>
      <c r="H1798" s="524" t="s">
        <v>1897</v>
      </c>
      <c r="I1798" s="524" t="s">
        <v>8075</v>
      </c>
      <c r="J1798" s="524" t="s">
        <v>1896</v>
      </c>
      <c r="K1798" s="524"/>
      <c r="L1798" s="524" t="s">
        <v>6379</v>
      </c>
      <c r="M1798" s="524" t="s">
        <v>6380</v>
      </c>
      <c r="N1798" s="524" t="s">
        <v>8076</v>
      </c>
      <c r="O1798" s="524"/>
    </row>
    <row r="1799" spans="1:15" ht="101.5" hidden="1">
      <c r="A1799" s="527">
        <v>10153</v>
      </c>
      <c r="B1799" s="527"/>
      <c r="C1799" s="527" t="s">
        <v>1895</v>
      </c>
      <c r="D1799" s="527" t="s">
        <v>2294</v>
      </c>
      <c r="E1799" s="527" t="s">
        <v>1896</v>
      </c>
      <c r="F1799" s="527" t="s">
        <v>1897</v>
      </c>
      <c r="G1799" s="527">
        <v>904</v>
      </c>
      <c r="H1799" s="527" t="s">
        <v>2294</v>
      </c>
      <c r="I1799" s="527" t="s">
        <v>1878</v>
      </c>
      <c r="J1799" s="527" t="s">
        <v>2889</v>
      </c>
      <c r="K1799" s="527" t="s">
        <v>2890</v>
      </c>
      <c r="L1799" s="527" t="s">
        <v>8077</v>
      </c>
      <c r="M1799" s="524"/>
      <c r="N1799" s="524"/>
      <c r="O1799" s="524"/>
    </row>
    <row r="1800" spans="1:15" ht="58" hidden="1">
      <c r="A1800" s="525">
        <v>10154</v>
      </c>
      <c r="B1800" s="525"/>
      <c r="C1800" s="524" t="s">
        <v>1892</v>
      </c>
      <c r="D1800" s="524" t="s">
        <v>3519</v>
      </c>
      <c r="E1800" s="524" t="s">
        <v>1894</v>
      </c>
      <c r="F1800" s="524" t="s">
        <v>1894</v>
      </c>
      <c r="G1800" s="524" t="s">
        <v>1894</v>
      </c>
      <c r="H1800" s="524" t="s">
        <v>1894</v>
      </c>
      <c r="I1800" s="524" t="s">
        <v>8078</v>
      </c>
      <c r="J1800" s="524" t="s">
        <v>3519</v>
      </c>
      <c r="K1800" s="524"/>
      <c r="L1800" s="524" t="s">
        <v>6379</v>
      </c>
      <c r="M1800" s="524" t="s">
        <v>6380</v>
      </c>
      <c r="N1800" s="524" t="s">
        <v>8079</v>
      </c>
      <c r="O1800" s="524"/>
    </row>
    <row r="1801" spans="1:15" ht="116" hidden="1">
      <c r="A1801" s="527">
        <v>10154</v>
      </c>
      <c r="B1801" s="527"/>
      <c r="C1801" s="527" t="s">
        <v>1892</v>
      </c>
      <c r="D1801" s="527" t="s">
        <v>2294</v>
      </c>
      <c r="E1801" s="527" t="s">
        <v>1893</v>
      </c>
      <c r="F1801" s="527" t="s">
        <v>1894</v>
      </c>
      <c r="G1801" s="527">
        <v>904</v>
      </c>
      <c r="H1801" s="527" t="s">
        <v>2294</v>
      </c>
      <c r="I1801" s="527" t="s">
        <v>1878</v>
      </c>
      <c r="J1801" s="527" t="s">
        <v>2889</v>
      </c>
      <c r="K1801" s="527" t="s">
        <v>2890</v>
      </c>
      <c r="L1801" s="527" t="s">
        <v>8080</v>
      </c>
      <c r="M1801" s="524"/>
      <c r="N1801" s="524"/>
      <c r="O1801" s="524"/>
    </row>
    <row r="1802" spans="1:15" ht="29" hidden="1">
      <c r="A1802" s="525">
        <v>10155</v>
      </c>
      <c r="B1802" s="525"/>
      <c r="C1802" s="524" t="s">
        <v>1889</v>
      </c>
      <c r="D1802" s="524" t="s">
        <v>1890</v>
      </c>
      <c r="E1802" s="524" t="s">
        <v>1891</v>
      </c>
      <c r="F1802" s="524" t="s">
        <v>1891</v>
      </c>
      <c r="G1802" s="524" t="s">
        <v>1891</v>
      </c>
      <c r="H1802" s="524" t="s">
        <v>1891</v>
      </c>
      <c r="I1802" s="524" t="s">
        <v>8081</v>
      </c>
      <c r="J1802" s="524" t="s">
        <v>1890</v>
      </c>
      <c r="K1802" s="524"/>
      <c r="L1802" s="524" t="s">
        <v>6379</v>
      </c>
      <c r="M1802" s="524" t="s">
        <v>6380</v>
      </c>
      <c r="N1802" s="524" t="s">
        <v>8082</v>
      </c>
      <c r="O1802" s="524"/>
    </row>
    <row r="1803" spans="1:15" ht="101.5" hidden="1">
      <c r="A1803" s="527">
        <v>10155</v>
      </c>
      <c r="B1803" s="527"/>
      <c r="C1803" s="527" t="s">
        <v>1889</v>
      </c>
      <c r="D1803" s="527" t="s">
        <v>2294</v>
      </c>
      <c r="E1803" s="527" t="s">
        <v>1890</v>
      </c>
      <c r="F1803" s="527" t="s">
        <v>1891</v>
      </c>
      <c r="G1803" s="527">
        <v>904</v>
      </c>
      <c r="H1803" s="527" t="s">
        <v>2294</v>
      </c>
      <c r="I1803" s="527" t="s">
        <v>1878</v>
      </c>
      <c r="J1803" s="527" t="s">
        <v>2889</v>
      </c>
      <c r="K1803" s="527" t="s">
        <v>2890</v>
      </c>
      <c r="L1803" s="527" t="s">
        <v>8083</v>
      </c>
      <c r="M1803" s="524"/>
      <c r="N1803" s="524"/>
      <c r="O1803" s="524"/>
    </row>
    <row r="1804" spans="1:15" ht="58" hidden="1">
      <c r="A1804" s="525">
        <v>10156</v>
      </c>
      <c r="B1804" s="525"/>
      <c r="C1804" s="524" t="s">
        <v>1886</v>
      </c>
      <c r="D1804" s="524" t="s">
        <v>1887</v>
      </c>
      <c r="E1804" s="524" t="s">
        <v>1888</v>
      </c>
      <c r="F1804" s="524" t="s">
        <v>1888</v>
      </c>
      <c r="G1804" s="524" t="s">
        <v>1888</v>
      </c>
      <c r="H1804" s="524" t="s">
        <v>1888</v>
      </c>
      <c r="I1804" s="524" t="s">
        <v>8084</v>
      </c>
      <c r="J1804" s="524" t="s">
        <v>1887</v>
      </c>
      <c r="K1804" s="524"/>
      <c r="L1804" s="524" t="s">
        <v>6379</v>
      </c>
      <c r="M1804" s="524" t="s">
        <v>6380</v>
      </c>
      <c r="N1804" s="524" t="s">
        <v>8085</v>
      </c>
      <c r="O1804" s="524"/>
    </row>
    <row r="1805" spans="1:15" ht="145" hidden="1">
      <c r="A1805" s="527">
        <v>10156</v>
      </c>
      <c r="B1805" s="527"/>
      <c r="C1805" s="527" t="s">
        <v>1886</v>
      </c>
      <c r="D1805" s="527" t="s">
        <v>2294</v>
      </c>
      <c r="E1805" s="527" t="s">
        <v>1887</v>
      </c>
      <c r="F1805" s="527" t="s">
        <v>1888</v>
      </c>
      <c r="G1805" s="527">
        <v>904</v>
      </c>
      <c r="H1805" s="527" t="s">
        <v>2294</v>
      </c>
      <c r="I1805" s="527" t="s">
        <v>1878</v>
      </c>
      <c r="J1805" s="527" t="s">
        <v>2889</v>
      </c>
      <c r="K1805" s="527" t="s">
        <v>2890</v>
      </c>
      <c r="L1805" s="527" t="s">
        <v>8086</v>
      </c>
      <c r="M1805" s="524"/>
      <c r="N1805" s="524"/>
      <c r="O1805" s="524"/>
    </row>
    <row r="1806" spans="1:15" ht="43.5" hidden="1">
      <c r="A1806" s="525">
        <v>10157</v>
      </c>
      <c r="B1806" s="525"/>
      <c r="C1806" s="524" t="s">
        <v>1883</v>
      </c>
      <c r="D1806" s="524" t="s">
        <v>1884</v>
      </c>
      <c r="E1806" s="524" t="s">
        <v>1885</v>
      </c>
      <c r="F1806" s="524" t="s">
        <v>1885</v>
      </c>
      <c r="G1806" s="524" t="s">
        <v>1885</v>
      </c>
      <c r="H1806" s="524" t="s">
        <v>1885</v>
      </c>
      <c r="I1806" s="524" t="s">
        <v>8087</v>
      </c>
      <c r="J1806" s="524" t="s">
        <v>1884</v>
      </c>
      <c r="K1806" s="524"/>
      <c r="L1806" s="524" t="s">
        <v>6379</v>
      </c>
      <c r="M1806" s="524" t="s">
        <v>6380</v>
      </c>
      <c r="N1806" s="524" t="s">
        <v>8088</v>
      </c>
      <c r="O1806" s="524"/>
    </row>
    <row r="1807" spans="1:15" ht="116" hidden="1">
      <c r="A1807" s="527">
        <v>10157</v>
      </c>
      <c r="B1807" s="527"/>
      <c r="C1807" s="527" t="s">
        <v>1883</v>
      </c>
      <c r="D1807" s="527" t="s">
        <v>2294</v>
      </c>
      <c r="E1807" s="527" t="s">
        <v>1884</v>
      </c>
      <c r="F1807" s="527" t="s">
        <v>1885</v>
      </c>
      <c r="G1807" s="527">
        <v>904</v>
      </c>
      <c r="H1807" s="527" t="s">
        <v>2294</v>
      </c>
      <c r="I1807" s="527" t="s">
        <v>1878</v>
      </c>
      <c r="J1807" s="527" t="s">
        <v>2889</v>
      </c>
      <c r="K1807" s="527" t="s">
        <v>2890</v>
      </c>
      <c r="L1807" s="527" t="s">
        <v>8089</v>
      </c>
      <c r="M1807" s="524"/>
      <c r="N1807" s="524"/>
      <c r="O1807" s="524"/>
    </row>
    <row r="1808" spans="1:15" ht="43.5" hidden="1">
      <c r="A1808" s="525">
        <v>10158</v>
      </c>
      <c r="B1808" s="525"/>
      <c r="C1808" s="524" t="s">
        <v>1877</v>
      </c>
      <c r="D1808" s="524" t="s">
        <v>1879</v>
      </c>
      <c r="E1808" s="524" t="s">
        <v>1877</v>
      </c>
      <c r="F1808" s="524" t="s">
        <v>1877</v>
      </c>
      <c r="G1808" s="524" t="s">
        <v>1877</v>
      </c>
      <c r="H1808" s="524" t="s">
        <v>1877</v>
      </c>
      <c r="I1808" s="524" t="s">
        <v>8090</v>
      </c>
      <c r="J1808" s="524" t="s">
        <v>1879</v>
      </c>
      <c r="K1808" s="524"/>
      <c r="L1808" s="524" t="s">
        <v>6379</v>
      </c>
      <c r="M1808" s="524" t="s">
        <v>6380</v>
      </c>
      <c r="N1808" s="524" t="s">
        <v>8091</v>
      </c>
      <c r="O1808" s="524"/>
    </row>
    <row r="1809" spans="1:15" ht="87" hidden="1">
      <c r="A1809" s="527">
        <v>10158</v>
      </c>
      <c r="B1809" s="527"/>
      <c r="C1809" s="527" t="s">
        <v>1877</v>
      </c>
      <c r="D1809" s="527" t="s">
        <v>2294</v>
      </c>
      <c r="E1809" s="527" t="s">
        <v>1879</v>
      </c>
      <c r="F1809" s="527" t="s">
        <v>1877</v>
      </c>
      <c r="G1809" s="527">
        <v>904</v>
      </c>
      <c r="H1809" s="527" t="s">
        <v>2294</v>
      </c>
      <c r="I1809" s="527" t="s">
        <v>1878</v>
      </c>
      <c r="J1809" s="527" t="s">
        <v>2889</v>
      </c>
      <c r="K1809" s="527" t="s">
        <v>2890</v>
      </c>
      <c r="L1809" s="527" t="s">
        <v>8092</v>
      </c>
      <c r="M1809" s="524"/>
      <c r="N1809" s="524"/>
      <c r="O1809" s="524"/>
    </row>
    <row r="1810" spans="1:15" ht="72.5" hidden="1">
      <c r="A1810" s="525">
        <v>10159</v>
      </c>
      <c r="B1810" s="525"/>
      <c r="C1810" s="524" t="s">
        <v>1880</v>
      </c>
      <c r="D1810" s="524" t="s">
        <v>1881</v>
      </c>
      <c r="E1810" s="524" t="s">
        <v>1882</v>
      </c>
      <c r="F1810" s="524" t="s">
        <v>1882</v>
      </c>
      <c r="G1810" s="524" t="s">
        <v>1882</v>
      </c>
      <c r="H1810" s="524" t="s">
        <v>1882</v>
      </c>
      <c r="I1810" s="524" t="s">
        <v>8093</v>
      </c>
      <c r="J1810" s="524" t="s">
        <v>1881</v>
      </c>
      <c r="K1810" s="524"/>
      <c r="L1810" s="524" t="s">
        <v>6379</v>
      </c>
      <c r="M1810" s="524" t="s">
        <v>6380</v>
      </c>
      <c r="N1810" s="524" t="s">
        <v>8094</v>
      </c>
      <c r="O1810" s="524"/>
    </row>
    <row r="1811" spans="1:15" ht="87" hidden="1">
      <c r="A1811" s="527">
        <v>10159</v>
      </c>
      <c r="B1811" s="527"/>
      <c r="C1811" s="527" t="s">
        <v>1880</v>
      </c>
      <c r="D1811" s="527" t="s">
        <v>2294</v>
      </c>
      <c r="E1811" s="527" t="s">
        <v>1881</v>
      </c>
      <c r="F1811" s="527" t="s">
        <v>1882</v>
      </c>
      <c r="G1811" s="527">
        <v>904</v>
      </c>
      <c r="H1811" s="527" t="s">
        <v>2294</v>
      </c>
      <c r="I1811" s="527" t="s">
        <v>1878</v>
      </c>
      <c r="J1811" s="527" t="s">
        <v>2889</v>
      </c>
      <c r="K1811" s="527" t="s">
        <v>2890</v>
      </c>
      <c r="L1811" s="527" t="s">
        <v>8095</v>
      </c>
      <c r="M1811" s="524"/>
      <c r="N1811" s="524"/>
      <c r="O1811" s="524"/>
    </row>
    <row r="1812" spans="1:15" ht="29" hidden="1">
      <c r="A1812" s="525">
        <v>10160</v>
      </c>
      <c r="B1812" s="525"/>
      <c r="C1812" s="524" t="s">
        <v>1912</v>
      </c>
      <c r="D1812" s="524" t="s">
        <v>1913</v>
      </c>
      <c r="E1812" s="524" t="s">
        <v>1914</v>
      </c>
      <c r="F1812" s="524" t="s">
        <v>1914</v>
      </c>
      <c r="G1812" s="524" t="s">
        <v>1914</v>
      </c>
      <c r="H1812" s="524" t="s">
        <v>1914</v>
      </c>
      <c r="I1812" s="524" t="s">
        <v>8096</v>
      </c>
      <c r="J1812" s="524" t="s">
        <v>1913</v>
      </c>
      <c r="K1812" s="524"/>
      <c r="L1812" s="524" t="s">
        <v>6379</v>
      </c>
      <c r="M1812" s="524" t="s">
        <v>6380</v>
      </c>
      <c r="N1812" s="524"/>
      <c r="O1812" s="524"/>
    </row>
    <row r="1813" spans="1:15" ht="101.5" hidden="1">
      <c r="A1813" s="527">
        <v>10160</v>
      </c>
      <c r="B1813" s="527"/>
      <c r="C1813" s="527" t="s">
        <v>1912</v>
      </c>
      <c r="D1813" s="527" t="s">
        <v>2294</v>
      </c>
      <c r="E1813" s="527" t="s">
        <v>1913</v>
      </c>
      <c r="F1813" s="527" t="s">
        <v>1914</v>
      </c>
      <c r="G1813" s="527">
        <v>904</v>
      </c>
      <c r="H1813" s="527" t="s">
        <v>2294</v>
      </c>
      <c r="I1813" s="527" t="s">
        <v>1878</v>
      </c>
      <c r="J1813" s="527" t="s">
        <v>2889</v>
      </c>
      <c r="K1813" s="527" t="s">
        <v>2890</v>
      </c>
      <c r="L1813" s="527" t="s">
        <v>8097</v>
      </c>
      <c r="M1813" s="524"/>
      <c r="N1813" s="524"/>
      <c r="O1813" s="524"/>
    </row>
    <row r="1814" spans="1:15" ht="43.5" hidden="1">
      <c r="A1814" s="525">
        <v>10161</v>
      </c>
      <c r="B1814" s="525"/>
      <c r="C1814" s="524" t="s">
        <v>1909</v>
      </c>
      <c r="D1814" s="524" t="s">
        <v>1910</v>
      </c>
      <c r="E1814" s="524" t="s">
        <v>1911</v>
      </c>
      <c r="F1814" s="524" t="s">
        <v>1911</v>
      </c>
      <c r="G1814" s="524" t="s">
        <v>1911</v>
      </c>
      <c r="H1814" s="524" t="s">
        <v>1911</v>
      </c>
      <c r="I1814" s="524" t="s">
        <v>8098</v>
      </c>
      <c r="J1814" s="524" t="s">
        <v>1910</v>
      </c>
      <c r="K1814" s="524"/>
      <c r="L1814" s="524" t="s">
        <v>6379</v>
      </c>
      <c r="M1814" s="524" t="s">
        <v>6380</v>
      </c>
      <c r="N1814" s="524"/>
      <c r="O1814" s="524"/>
    </row>
    <row r="1815" spans="1:15" ht="116" hidden="1">
      <c r="A1815" s="527">
        <v>10161</v>
      </c>
      <c r="B1815" s="527"/>
      <c r="C1815" s="527" t="s">
        <v>1909</v>
      </c>
      <c r="D1815" s="527" t="s">
        <v>2294</v>
      </c>
      <c r="E1815" s="527" t="s">
        <v>1910</v>
      </c>
      <c r="F1815" s="527" t="s">
        <v>1911</v>
      </c>
      <c r="G1815" s="527">
        <v>904</v>
      </c>
      <c r="H1815" s="527" t="s">
        <v>2294</v>
      </c>
      <c r="I1815" s="527" t="s">
        <v>1878</v>
      </c>
      <c r="J1815" s="527" t="s">
        <v>2889</v>
      </c>
      <c r="K1815" s="527" t="s">
        <v>2890</v>
      </c>
      <c r="L1815" s="527" t="s">
        <v>8099</v>
      </c>
      <c r="M1815" s="524"/>
      <c r="N1815" s="524"/>
      <c r="O1815" s="524"/>
    </row>
    <row r="1816" spans="1:15" ht="87" hidden="1">
      <c r="A1816" s="525">
        <v>10162</v>
      </c>
      <c r="B1816" s="525"/>
      <c r="C1816" s="524" t="s">
        <v>5173</v>
      </c>
      <c r="D1816" s="524" t="s">
        <v>5172</v>
      </c>
      <c r="E1816" s="524" t="s">
        <v>5171</v>
      </c>
      <c r="F1816" s="524" t="s">
        <v>5171</v>
      </c>
      <c r="G1816" s="524" t="s">
        <v>5171</v>
      </c>
      <c r="H1816" s="524" t="s">
        <v>5171</v>
      </c>
      <c r="I1816" s="524" t="s">
        <v>8100</v>
      </c>
      <c r="J1816" s="524" t="s">
        <v>5172</v>
      </c>
      <c r="K1816" s="524"/>
      <c r="L1816" s="524" t="s">
        <v>6379</v>
      </c>
      <c r="M1816" s="524" t="s">
        <v>6380</v>
      </c>
      <c r="N1816" s="524" t="s">
        <v>8101</v>
      </c>
      <c r="O1816" s="524"/>
    </row>
    <row r="1817" spans="1:15" ht="72.5" hidden="1">
      <c r="A1817" s="525">
        <v>10200</v>
      </c>
      <c r="B1817" s="525"/>
      <c r="C1817" s="524" t="s">
        <v>1906</v>
      </c>
      <c r="D1817" s="524" t="s">
        <v>1907</v>
      </c>
      <c r="E1817" s="524" t="s">
        <v>1908</v>
      </c>
      <c r="F1817" s="524" t="s">
        <v>1908</v>
      </c>
      <c r="G1817" s="524" t="s">
        <v>1908</v>
      </c>
      <c r="H1817" s="524" t="s">
        <v>1908</v>
      </c>
      <c r="I1817" s="524" t="s">
        <v>8066</v>
      </c>
      <c r="J1817" s="524" t="s">
        <v>1907</v>
      </c>
      <c r="K1817" s="524"/>
      <c r="L1817" s="524" t="s">
        <v>6379</v>
      </c>
      <c r="M1817" s="524" t="s">
        <v>6380</v>
      </c>
      <c r="N1817" s="524" t="s">
        <v>8102</v>
      </c>
      <c r="O1817" s="524"/>
    </row>
    <row r="1818" spans="1:15" ht="101.5" hidden="1">
      <c r="A1818" s="527">
        <v>10200</v>
      </c>
      <c r="B1818" s="527"/>
      <c r="C1818" s="527" t="s">
        <v>1906</v>
      </c>
      <c r="D1818" s="527" t="s">
        <v>2294</v>
      </c>
      <c r="E1818" s="527" t="s">
        <v>1907</v>
      </c>
      <c r="F1818" s="527" t="s">
        <v>1908</v>
      </c>
      <c r="G1818" s="527">
        <v>904</v>
      </c>
      <c r="H1818" s="527" t="s">
        <v>2294</v>
      </c>
      <c r="I1818" s="527" t="s">
        <v>1878</v>
      </c>
      <c r="J1818" s="527" t="s">
        <v>2889</v>
      </c>
      <c r="K1818" s="527" t="s">
        <v>2890</v>
      </c>
      <c r="L1818" s="527" t="s">
        <v>8103</v>
      </c>
      <c r="M1818" s="524"/>
      <c r="N1818" s="524"/>
      <c r="O1818" s="524"/>
    </row>
    <row r="1819" spans="1:15" ht="101.5" hidden="1">
      <c r="A1819" s="525">
        <v>10207</v>
      </c>
      <c r="B1819" s="525"/>
      <c r="C1819" s="524" t="s">
        <v>1386</v>
      </c>
      <c r="D1819" s="524" t="s">
        <v>1387</v>
      </c>
      <c r="E1819" s="524" t="s">
        <v>1388</v>
      </c>
      <c r="F1819" s="524" t="s">
        <v>1388</v>
      </c>
      <c r="G1819" s="524" t="s">
        <v>1388</v>
      </c>
      <c r="H1819" s="524" t="s">
        <v>1388</v>
      </c>
      <c r="I1819" s="524" t="s">
        <v>1387</v>
      </c>
      <c r="J1819" s="524" t="s">
        <v>1387</v>
      </c>
      <c r="K1819" s="524" t="s">
        <v>6359</v>
      </c>
      <c r="L1819" s="524" t="s">
        <v>6368</v>
      </c>
      <c r="M1819" s="524" t="s">
        <v>2573</v>
      </c>
      <c r="N1819" s="524"/>
      <c r="O1819" s="524"/>
    </row>
    <row r="1820" spans="1:15" ht="72.5" hidden="1">
      <c r="A1820" s="527">
        <v>10207</v>
      </c>
      <c r="B1820" s="527"/>
      <c r="C1820" s="527" t="s">
        <v>1386</v>
      </c>
      <c r="D1820" s="527" t="s">
        <v>4703</v>
      </c>
      <c r="E1820" s="527" t="s">
        <v>1387</v>
      </c>
      <c r="F1820" s="527" t="s">
        <v>1388</v>
      </c>
      <c r="G1820" s="527">
        <v>283</v>
      </c>
      <c r="H1820" s="527" t="s">
        <v>4705</v>
      </c>
      <c r="I1820" s="527" t="s">
        <v>4704</v>
      </c>
      <c r="J1820" s="527" t="s">
        <v>2890</v>
      </c>
      <c r="K1820" s="527" t="s">
        <v>2889</v>
      </c>
      <c r="L1820" s="527" t="s">
        <v>8104</v>
      </c>
      <c r="M1820" s="524"/>
      <c r="N1820" s="524"/>
      <c r="O1820" s="524"/>
    </row>
    <row r="1821" spans="1:15" ht="58" hidden="1">
      <c r="A1821" s="525">
        <v>10209</v>
      </c>
      <c r="B1821" s="525"/>
      <c r="C1821" s="524" t="s">
        <v>374</v>
      </c>
      <c r="D1821" s="524" t="s">
        <v>1384</v>
      </c>
      <c r="E1821" s="524" t="s">
        <v>1385</v>
      </c>
      <c r="F1821" s="524" t="s">
        <v>1385</v>
      </c>
      <c r="G1821" s="524" t="s">
        <v>1385</v>
      </c>
      <c r="H1821" s="524" t="s">
        <v>1385</v>
      </c>
      <c r="I1821" s="524" t="s">
        <v>1384</v>
      </c>
      <c r="J1821" s="524" t="s">
        <v>1384</v>
      </c>
      <c r="K1821" s="524"/>
      <c r="L1821" s="524" t="s">
        <v>6368</v>
      </c>
      <c r="M1821" s="524" t="s">
        <v>2573</v>
      </c>
      <c r="N1821" s="524" t="s">
        <v>8105</v>
      </c>
      <c r="O1821" s="524"/>
    </row>
    <row r="1822" spans="1:15" ht="101.5" hidden="1">
      <c r="A1822" s="527">
        <v>10209</v>
      </c>
      <c r="B1822" s="527"/>
      <c r="C1822" s="527" t="s">
        <v>374</v>
      </c>
      <c r="D1822" s="527" t="s">
        <v>891</v>
      </c>
      <c r="E1822" s="527" t="s">
        <v>1384</v>
      </c>
      <c r="F1822" s="527" t="s">
        <v>1385</v>
      </c>
      <c r="G1822" s="527">
        <v>23</v>
      </c>
      <c r="H1822" s="527" t="s">
        <v>7</v>
      </c>
      <c r="I1822" s="527" t="s">
        <v>890</v>
      </c>
      <c r="J1822" s="527" t="s">
        <v>2889</v>
      </c>
      <c r="K1822" s="527" t="s">
        <v>2889</v>
      </c>
      <c r="L1822" s="527" t="s">
        <v>8106</v>
      </c>
      <c r="M1822" s="524"/>
      <c r="N1822" s="524"/>
      <c r="O1822" s="524"/>
    </row>
    <row r="1823" spans="1:15" ht="58" hidden="1">
      <c r="A1823" s="524">
        <v>10210</v>
      </c>
      <c r="B1823" s="524"/>
      <c r="C1823" s="524" t="s">
        <v>389</v>
      </c>
      <c r="D1823" s="524" t="s">
        <v>1374</v>
      </c>
      <c r="E1823" s="524" t="s">
        <v>1375</v>
      </c>
      <c r="F1823" s="524" t="s">
        <v>1375</v>
      </c>
      <c r="G1823" s="524" t="s">
        <v>1375</v>
      </c>
      <c r="H1823" s="524" t="s">
        <v>1375</v>
      </c>
      <c r="I1823" s="524" t="s">
        <v>1374</v>
      </c>
      <c r="J1823" s="524" t="s">
        <v>1374</v>
      </c>
      <c r="K1823" s="524" t="s">
        <v>6359</v>
      </c>
      <c r="L1823" s="524" t="s">
        <v>6368</v>
      </c>
      <c r="M1823" s="524" t="s">
        <v>2573</v>
      </c>
      <c r="N1823" s="524"/>
      <c r="O1823" s="524"/>
    </row>
    <row r="1824" spans="1:15" ht="72.5" hidden="1">
      <c r="A1824" s="527">
        <v>10210</v>
      </c>
      <c r="B1824" s="527"/>
      <c r="C1824" s="527" t="s">
        <v>389</v>
      </c>
      <c r="D1824" s="527" t="s">
        <v>891</v>
      </c>
      <c r="E1824" s="527" t="s">
        <v>1374</v>
      </c>
      <c r="F1824" s="527" t="s">
        <v>1375</v>
      </c>
      <c r="G1824" s="527">
        <v>23</v>
      </c>
      <c r="H1824" s="527" t="s">
        <v>7</v>
      </c>
      <c r="I1824" s="527" t="s">
        <v>890</v>
      </c>
      <c r="J1824" s="527" t="s">
        <v>2889</v>
      </c>
      <c r="K1824" s="527" t="s">
        <v>2889</v>
      </c>
      <c r="L1824" s="527" t="s">
        <v>8107</v>
      </c>
      <c r="M1824" s="524"/>
      <c r="N1824" s="524"/>
      <c r="O1824" s="524"/>
    </row>
    <row r="1825" spans="1:15" ht="58" hidden="1">
      <c r="A1825" s="524">
        <v>10211</v>
      </c>
      <c r="B1825" s="524"/>
      <c r="C1825" s="524" t="s">
        <v>398</v>
      </c>
      <c r="D1825" s="524" t="s">
        <v>1356</v>
      </c>
      <c r="E1825" s="524" t="s">
        <v>1357</v>
      </c>
      <c r="F1825" s="524" t="s">
        <v>1357</v>
      </c>
      <c r="G1825" s="524" t="s">
        <v>1357</v>
      </c>
      <c r="H1825" s="524" t="s">
        <v>1357</v>
      </c>
      <c r="I1825" s="524" t="s">
        <v>8108</v>
      </c>
      <c r="J1825" s="524" t="s">
        <v>1356</v>
      </c>
      <c r="K1825" s="524"/>
      <c r="L1825" s="524" t="s">
        <v>6397</v>
      </c>
      <c r="M1825" s="524" t="s">
        <v>2384</v>
      </c>
      <c r="N1825" s="524"/>
      <c r="O1825" s="524"/>
    </row>
    <row r="1826" spans="1:15" ht="58" hidden="1">
      <c r="A1826" s="527">
        <v>10211</v>
      </c>
      <c r="B1826" s="527"/>
      <c r="C1826" s="527" t="s">
        <v>398</v>
      </c>
      <c r="D1826" s="527" t="s">
        <v>4703</v>
      </c>
      <c r="E1826" s="527" t="s">
        <v>1356</v>
      </c>
      <c r="F1826" s="527" t="s">
        <v>1357</v>
      </c>
      <c r="G1826" s="527">
        <v>283</v>
      </c>
      <c r="H1826" s="527" t="s">
        <v>4705</v>
      </c>
      <c r="I1826" s="527" t="s">
        <v>4704</v>
      </c>
      <c r="J1826" s="527" t="s">
        <v>2890</v>
      </c>
      <c r="K1826" s="527" t="s">
        <v>2889</v>
      </c>
      <c r="L1826" s="527" t="s">
        <v>8109</v>
      </c>
      <c r="M1826" s="524"/>
      <c r="N1826" s="524"/>
      <c r="O1826" s="524"/>
    </row>
    <row r="1827" spans="1:15" ht="87" hidden="1">
      <c r="A1827" s="525">
        <v>10212</v>
      </c>
      <c r="B1827" s="525"/>
      <c r="C1827" s="524" t="s">
        <v>349</v>
      </c>
      <c r="D1827" s="524" t="s">
        <v>1370</v>
      </c>
      <c r="E1827" s="524" t="s">
        <v>1371</v>
      </c>
      <c r="F1827" s="524" t="s">
        <v>1371</v>
      </c>
      <c r="G1827" s="524" t="s">
        <v>1371</v>
      </c>
      <c r="H1827" s="524" t="s">
        <v>1371</v>
      </c>
      <c r="I1827" s="524" t="s">
        <v>1370</v>
      </c>
      <c r="J1827" s="524" t="s">
        <v>1370</v>
      </c>
      <c r="K1827" s="524"/>
      <c r="L1827" s="524" t="s">
        <v>6368</v>
      </c>
      <c r="M1827" s="524" t="s">
        <v>6370</v>
      </c>
      <c r="N1827" s="524"/>
      <c r="O1827" s="524"/>
    </row>
    <row r="1828" spans="1:15" ht="58" hidden="1">
      <c r="A1828" s="527">
        <v>10212</v>
      </c>
      <c r="B1828" s="527"/>
      <c r="C1828" s="527" t="s">
        <v>349</v>
      </c>
      <c r="D1828" s="527" t="s">
        <v>4703</v>
      </c>
      <c r="E1828" s="527" t="s">
        <v>1370</v>
      </c>
      <c r="F1828" s="527" t="s">
        <v>1371</v>
      </c>
      <c r="G1828" s="527">
        <v>283</v>
      </c>
      <c r="H1828" s="527" t="s">
        <v>4705</v>
      </c>
      <c r="I1828" s="527" t="s">
        <v>4704</v>
      </c>
      <c r="J1828" s="527" t="s">
        <v>2890</v>
      </c>
      <c r="K1828" s="527" t="s">
        <v>2890</v>
      </c>
      <c r="L1828" s="527" t="s">
        <v>6371</v>
      </c>
      <c r="M1828" s="524"/>
      <c r="N1828" s="524"/>
      <c r="O1828" s="524"/>
    </row>
    <row r="1829" spans="1:15" ht="43.5" hidden="1">
      <c r="A1829" s="524">
        <v>10230</v>
      </c>
      <c r="B1829" s="524"/>
      <c r="C1829" s="524" t="s">
        <v>8110</v>
      </c>
      <c r="D1829" s="524" t="s">
        <v>1358</v>
      </c>
      <c r="E1829" s="524" t="s">
        <v>5255</v>
      </c>
      <c r="F1829" s="524" t="s">
        <v>5255</v>
      </c>
      <c r="G1829" s="524" t="s">
        <v>5255</v>
      </c>
      <c r="H1829" s="524" t="s">
        <v>5255</v>
      </c>
      <c r="I1829" s="524" t="s">
        <v>8111</v>
      </c>
      <c r="J1829" s="524" t="s">
        <v>1358</v>
      </c>
      <c r="K1829" s="524" t="s">
        <v>6359</v>
      </c>
      <c r="L1829" s="524" t="s">
        <v>6397</v>
      </c>
      <c r="M1829" s="524" t="s">
        <v>2384</v>
      </c>
      <c r="N1829" s="524"/>
      <c r="O1829" s="524"/>
    </row>
    <row r="1830" spans="1:15" ht="87" hidden="1">
      <c r="A1830" s="527">
        <v>10230</v>
      </c>
      <c r="B1830" s="527"/>
      <c r="C1830" s="527" t="s">
        <v>401</v>
      </c>
      <c r="D1830" s="527" t="s">
        <v>4703</v>
      </c>
      <c r="E1830" s="527" t="s">
        <v>1358</v>
      </c>
      <c r="F1830" s="527" t="s">
        <v>1359</v>
      </c>
      <c r="G1830" s="527">
        <v>283</v>
      </c>
      <c r="H1830" s="527" t="s">
        <v>4705</v>
      </c>
      <c r="I1830" s="527" t="s">
        <v>4704</v>
      </c>
      <c r="J1830" s="527" t="s">
        <v>2890</v>
      </c>
      <c r="K1830" s="527" t="s">
        <v>2890</v>
      </c>
      <c r="L1830" s="527" t="s">
        <v>8112</v>
      </c>
      <c r="M1830" s="524"/>
      <c r="N1830" s="524"/>
      <c r="O1830" s="524"/>
    </row>
    <row r="1831" spans="1:15" ht="43.5" hidden="1">
      <c r="A1831" s="524">
        <v>10250</v>
      </c>
      <c r="B1831" s="524"/>
      <c r="C1831" s="524" t="s">
        <v>1718</v>
      </c>
      <c r="D1831" s="524" t="s">
        <v>1719</v>
      </c>
      <c r="E1831" s="524" t="s">
        <v>4259</v>
      </c>
      <c r="F1831" s="524" t="s">
        <v>4259</v>
      </c>
      <c r="G1831" s="524" t="s">
        <v>4259</v>
      </c>
      <c r="H1831" s="524" t="s">
        <v>4259</v>
      </c>
      <c r="I1831" s="524" t="s">
        <v>6782</v>
      </c>
      <c r="J1831" s="524" t="s">
        <v>1719</v>
      </c>
      <c r="K1831" s="524"/>
      <c r="L1831" s="524" t="s">
        <v>6397</v>
      </c>
      <c r="M1831" s="524" t="s">
        <v>2384</v>
      </c>
      <c r="N1831" s="524"/>
      <c r="O1831" s="524"/>
    </row>
    <row r="1832" spans="1:15" ht="87" hidden="1">
      <c r="A1832" s="527">
        <v>10250</v>
      </c>
      <c r="B1832" s="527"/>
      <c r="C1832" s="527" t="s">
        <v>1718</v>
      </c>
      <c r="D1832" s="527" t="s">
        <v>4703</v>
      </c>
      <c r="E1832" s="527" t="s">
        <v>1719</v>
      </c>
      <c r="F1832" s="527" t="s">
        <v>1720</v>
      </c>
      <c r="G1832" s="527">
        <v>283</v>
      </c>
      <c r="H1832" s="527" t="s">
        <v>4705</v>
      </c>
      <c r="I1832" s="527" t="s">
        <v>4704</v>
      </c>
      <c r="J1832" s="527" t="s">
        <v>2890</v>
      </c>
      <c r="K1832" s="527" t="s">
        <v>2890</v>
      </c>
      <c r="L1832" s="527" t="s">
        <v>8113</v>
      </c>
      <c r="M1832" s="524"/>
      <c r="N1832" s="524"/>
      <c r="O1832" s="524"/>
    </row>
    <row r="1833" spans="1:15" ht="58" hidden="1">
      <c r="A1833" s="524">
        <v>10251</v>
      </c>
      <c r="B1833" s="524"/>
      <c r="C1833" s="524" t="s">
        <v>1721</v>
      </c>
      <c r="D1833" s="524" t="s">
        <v>1722</v>
      </c>
      <c r="E1833" s="524" t="s">
        <v>1723</v>
      </c>
      <c r="F1833" s="524" t="s">
        <v>1723</v>
      </c>
      <c r="G1833" s="524" t="s">
        <v>1723</v>
      </c>
      <c r="H1833" s="524" t="s">
        <v>1723</v>
      </c>
      <c r="I1833" s="524" t="s">
        <v>6791</v>
      </c>
      <c r="J1833" s="524" t="s">
        <v>1722</v>
      </c>
      <c r="K1833" s="524"/>
      <c r="L1833" s="524" t="s">
        <v>6397</v>
      </c>
      <c r="M1833" s="524" t="s">
        <v>2384</v>
      </c>
      <c r="N1833" s="524"/>
      <c r="O1833" s="524"/>
    </row>
    <row r="1834" spans="1:15" ht="87" hidden="1">
      <c r="A1834" s="527">
        <v>10251</v>
      </c>
      <c r="B1834" s="527"/>
      <c r="C1834" s="527" t="s">
        <v>1721</v>
      </c>
      <c r="D1834" s="527" t="s">
        <v>4703</v>
      </c>
      <c r="E1834" s="527" t="s">
        <v>1722</v>
      </c>
      <c r="F1834" s="527" t="s">
        <v>1723</v>
      </c>
      <c r="G1834" s="527">
        <v>283</v>
      </c>
      <c r="H1834" s="527" t="s">
        <v>4705</v>
      </c>
      <c r="I1834" s="527" t="s">
        <v>4704</v>
      </c>
      <c r="J1834" s="527" t="s">
        <v>2890</v>
      </c>
      <c r="K1834" s="527" t="s">
        <v>2890</v>
      </c>
      <c r="L1834" s="527" t="s">
        <v>8114</v>
      </c>
      <c r="M1834" s="524"/>
      <c r="N1834" s="524"/>
      <c r="O1834" s="524"/>
    </row>
    <row r="1835" spans="1:15" ht="116" hidden="1">
      <c r="A1835" s="527">
        <v>13410</v>
      </c>
      <c r="B1835" s="527"/>
      <c r="C1835" s="527" t="s">
        <v>5083</v>
      </c>
      <c r="D1835" s="527" t="s">
        <v>1068</v>
      </c>
      <c r="E1835" s="527" t="s">
        <v>5082</v>
      </c>
      <c r="F1835" s="527" t="s">
        <v>5803</v>
      </c>
      <c r="G1835" s="527">
        <v>88</v>
      </c>
      <c r="H1835" s="527" t="s">
        <v>16</v>
      </c>
      <c r="I1835" s="527" t="s">
        <v>1066</v>
      </c>
      <c r="J1835" s="527" t="s">
        <v>2889</v>
      </c>
      <c r="K1835" s="527" t="s">
        <v>2889</v>
      </c>
      <c r="L1835" s="527" t="s">
        <v>6451</v>
      </c>
      <c r="M1835" s="524"/>
      <c r="N1835" s="524"/>
      <c r="O1835" s="524"/>
    </row>
    <row r="1836" spans="1:15" ht="29" hidden="1">
      <c r="A1836" s="525">
        <v>20000</v>
      </c>
      <c r="B1836" s="525"/>
      <c r="C1836" s="524" t="s">
        <v>1572</v>
      </c>
      <c r="D1836" s="524" t="s">
        <v>1572</v>
      </c>
      <c r="E1836" s="524" t="s">
        <v>1572</v>
      </c>
      <c r="F1836" s="524" t="s">
        <v>1572</v>
      </c>
      <c r="G1836" s="524" t="s">
        <v>1572</v>
      </c>
      <c r="H1836" s="524" t="s">
        <v>1572</v>
      </c>
      <c r="I1836" s="524" t="s">
        <v>1572</v>
      </c>
      <c r="J1836" s="524" t="s">
        <v>1572</v>
      </c>
      <c r="K1836" s="524"/>
      <c r="L1836" s="524" t="s">
        <v>8115</v>
      </c>
      <c r="M1836" s="524" t="s">
        <v>385</v>
      </c>
      <c r="N1836" s="524"/>
      <c r="O1836" s="524"/>
    </row>
    <row r="1837" spans="1:15" ht="29" hidden="1">
      <c r="A1837" s="527">
        <v>20000</v>
      </c>
      <c r="B1837" s="527"/>
      <c r="C1837" s="527" t="s">
        <v>1572</v>
      </c>
      <c r="D1837" s="527" t="s">
        <v>1876</v>
      </c>
      <c r="E1837" s="527" t="s">
        <v>1572</v>
      </c>
      <c r="F1837" s="527" t="s">
        <v>1572</v>
      </c>
      <c r="G1837" s="527">
        <v>800</v>
      </c>
      <c r="H1837" s="527" t="s">
        <v>1876</v>
      </c>
      <c r="I1837" s="527" t="s">
        <v>1876</v>
      </c>
      <c r="J1837" s="527" t="s">
        <v>2890</v>
      </c>
      <c r="K1837" s="527" t="s">
        <v>2890</v>
      </c>
      <c r="L1837" s="527" t="s">
        <v>6371</v>
      </c>
      <c r="M1837" s="524"/>
      <c r="N1837" s="524"/>
      <c r="O1837" s="524"/>
    </row>
    <row r="1838" spans="1:15" hidden="1">
      <c r="A1838" s="525">
        <v>20001</v>
      </c>
      <c r="B1838" s="525"/>
      <c r="C1838" s="524" t="s">
        <v>386</v>
      </c>
      <c r="D1838" s="524" t="s">
        <v>386</v>
      </c>
      <c r="E1838" s="524" t="s">
        <v>386</v>
      </c>
      <c r="F1838" s="524" t="s">
        <v>386</v>
      </c>
      <c r="G1838" s="524" t="s">
        <v>386</v>
      </c>
      <c r="H1838" s="524" t="s">
        <v>386</v>
      </c>
      <c r="I1838" s="524" t="s">
        <v>386</v>
      </c>
      <c r="J1838" s="524" t="s">
        <v>386</v>
      </c>
      <c r="K1838" s="524"/>
      <c r="L1838" s="524" t="s">
        <v>8115</v>
      </c>
      <c r="M1838" s="524" t="s">
        <v>385</v>
      </c>
      <c r="N1838" s="524"/>
      <c r="O1838" s="524"/>
    </row>
    <row r="1839" spans="1:15" hidden="1">
      <c r="A1839" s="527">
        <v>20001</v>
      </c>
      <c r="B1839" s="527"/>
      <c r="C1839" s="527" t="s">
        <v>386</v>
      </c>
      <c r="D1839" s="527" t="s">
        <v>385</v>
      </c>
      <c r="E1839" s="527" t="s">
        <v>386</v>
      </c>
      <c r="F1839" s="527" t="s">
        <v>386</v>
      </c>
      <c r="G1839" s="527">
        <v>720</v>
      </c>
      <c r="H1839" s="527" t="s">
        <v>385</v>
      </c>
      <c r="I1839" s="527" t="s">
        <v>385</v>
      </c>
      <c r="J1839" s="527" t="s">
        <v>2890</v>
      </c>
      <c r="K1839" s="527" t="s">
        <v>2890</v>
      </c>
      <c r="L1839" s="527" t="s">
        <v>6371</v>
      </c>
      <c r="M1839" s="524"/>
      <c r="N1839" s="524"/>
      <c r="O1839" s="524"/>
    </row>
    <row r="1840" spans="1:15" ht="58" hidden="1">
      <c r="A1840" s="524">
        <v>20002</v>
      </c>
      <c r="B1840" s="524"/>
      <c r="C1840" s="524" t="s">
        <v>408</v>
      </c>
      <c r="D1840" s="524" t="s">
        <v>408</v>
      </c>
      <c r="E1840" s="524" t="s">
        <v>1383</v>
      </c>
      <c r="F1840" s="524" t="s">
        <v>1383</v>
      </c>
      <c r="G1840" s="524" t="s">
        <v>1383</v>
      </c>
      <c r="H1840" s="524" t="s">
        <v>1383</v>
      </c>
      <c r="I1840" s="524" t="s">
        <v>408</v>
      </c>
      <c r="J1840" s="524" t="s">
        <v>408</v>
      </c>
      <c r="K1840" s="524"/>
      <c r="L1840" s="524" t="s">
        <v>6368</v>
      </c>
      <c r="M1840" s="524" t="s">
        <v>6370</v>
      </c>
      <c r="N1840" s="524"/>
      <c r="O1840" s="524"/>
    </row>
    <row r="1841" spans="1:15" ht="58" hidden="1">
      <c r="A1841" s="527">
        <v>20002</v>
      </c>
      <c r="B1841" s="527"/>
      <c r="C1841" s="527" t="s">
        <v>408</v>
      </c>
      <c r="D1841" s="527" t="s">
        <v>4703</v>
      </c>
      <c r="E1841" s="527" t="s">
        <v>408</v>
      </c>
      <c r="F1841" s="527" t="s">
        <v>1383</v>
      </c>
      <c r="G1841" s="527">
        <v>283</v>
      </c>
      <c r="H1841" s="527" t="s">
        <v>4705</v>
      </c>
      <c r="I1841" s="527" t="s">
        <v>4704</v>
      </c>
      <c r="J1841" s="527" t="s">
        <v>2890</v>
      </c>
      <c r="K1841" s="527" t="s">
        <v>2890</v>
      </c>
      <c r="L1841" s="527" t="s">
        <v>6371</v>
      </c>
      <c r="M1841" s="524"/>
      <c r="N1841" s="524"/>
      <c r="O1841" s="524"/>
    </row>
    <row r="1842" spans="1:15" ht="43.5" hidden="1">
      <c r="A1842" s="525">
        <v>20003</v>
      </c>
      <c r="B1842" s="525"/>
      <c r="C1842" s="524" t="s">
        <v>1423</v>
      </c>
      <c r="D1842" s="524" t="s">
        <v>1423</v>
      </c>
      <c r="E1842" s="524" t="s">
        <v>1423</v>
      </c>
      <c r="F1842" s="524" t="s">
        <v>1423</v>
      </c>
      <c r="G1842" s="524" t="s">
        <v>1423</v>
      </c>
      <c r="H1842" s="524" t="s">
        <v>1423</v>
      </c>
      <c r="I1842" s="524" t="s">
        <v>1423</v>
      </c>
      <c r="J1842" s="524" t="s">
        <v>1423</v>
      </c>
      <c r="K1842" s="524"/>
      <c r="L1842" s="524" t="s">
        <v>8115</v>
      </c>
      <c r="M1842" s="524" t="s">
        <v>385</v>
      </c>
      <c r="N1842" s="524"/>
      <c r="O1842" s="524"/>
    </row>
    <row r="1843" spans="1:15" ht="58" hidden="1">
      <c r="A1843" s="527">
        <v>20003</v>
      </c>
      <c r="B1843" s="527"/>
      <c r="C1843" s="527" t="s">
        <v>1423</v>
      </c>
      <c r="D1843" s="527" t="s">
        <v>4703</v>
      </c>
      <c r="E1843" s="527" t="s">
        <v>1423</v>
      </c>
      <c r="F1843" s="527" t="s">
        <v>1423</v>
      </c>
      <c r="G1843" s="527">
        <v>283</v>
      </c>
      <c r="H1843" s="527" t="s">
        <v>4705</v>
      </c>
      <c r="I1843" s="527" t="s">
        <v>4704</v>
      </c>
      <c r="J1843" s="527" t="s">
        <v>2890</v>
      </c>
      <c r="K1843" s="527" t="s">
        <v>2890</v>
      </c>
      <c r="L1843" s="527" t="s">
        <v>6371</v>
      </c>
      <c r="M1843" s="524"/>
      <c r="N1843" s="524"/>
      <c r="O1843" s="524"/>
    </row>
    <row r="1844" spans="1:15" ht="72.5" hidden="1">
      <c r="A1844" s="524">
        <v>23451</v>
      </c>
      <c r="B1844" s="524"/>
      <c r="C1844" s="524" t="s">
        <v>392</v>
      </c>
      <c r="D1844" s="524" t="s">
        <v>1279</v>
      </c>
      <c r="E1844" s="524" t="s">
        <v>1280</v>
      </c>
      <c r="F1844" s="524" t="s">
        <v>1280</v>
      </c>
      <c r="G1844" s="524" t="s">
        <v>1280</v>
      </c>
      <c r="H1844" s="524" t="s">
        <v>1280</v>
      </c>
      <c r="I1844" s="524" t="s">
        <v>1279</v>
      </c>
      <c r="J1844" s="524" t="s">
        <v>1279</v>
      </c>
      <c r="K1844" s="524"/>
      <c r="L1844" s="524" t="s">
        <v>6400</v>
      </c>
      <c r="M1844" s="524" t="s">
        <v>6401</v>
      </c>
      <c r="N1844" s="524"/>
      <c r="O1844" s="524"/>
    </row>
    <row r="1845" spans="1:15" ht="58" hidden="1">
      <c r="A1845" s="527">
        <v>23451</v>
      </c>
      <c r="B1845" s="527"/>
      <c r="C1845" s="527" t="s">
        <v>392</v>
      </c>
      <c r="D1845" s="527" t="s">
        <v>4703</v>
      </c>
      <c r="E1845" s="527" t="s">
        <v>1279</v>
      </c>
      <c r="F1845" s="527" t="s">
        <v>1280</v>
      </c>
      <c r="G1845" s="527">
        <v>283</v>
      </c>
      <c r="H1845" s="527" t="s">
        <v>4705</v>
      </c>
      <c r="I1845" s="527" t="s">
        <v>4704</v>
      </c>
      <c r="J1845" s="527" t="s">
        <v>2890</v>
      </c>
      <c r="K1845" s="527" t="s">
        <v>2890</v>
      </c>
      <c r="L1845" s="527" t="s">
        <v>6371</v>
      </c>
      <c r="M1845" s="524"/>
      <c r="N1845" s="524"/>
      <c r="O1845" s="524"/>
    </row>
    <row r="1846" spans="1:15" ht="58" hidden="1">
      <c r="A1846" s="527">
        <v>27065</v>
      </c>
      <c r="B1846" s="527"/>
      <c r="C1846" s="527" t="s">
        <v>1402</v>
      </c>
      <c r="D1846" s="527" t="s">
        <v>4703</v>
      </c>
      <c r="E1846" s="527" t="s">
        <v>1403</v>
      </c>
      <c r="F1846" s="527" t="s">
        <v>1404</v>
      </c>
      <c r="G1846" s="527">
        <v>283</v>
      </c>
      <c r="H1846" s="527" t="s">
        <v>4705</v>
      </c>
      <c r="I1846" s="527" t="s">
        <v>4704</v>
      </c>
      <c r="J1846" s="527" t="s">
        <v>2890</v>
      </c>
      <c r="K1846" s="527" t="s">
        <v>2890</v>
      </c>
      <c r="L1846" s="527" t="s">
        <v>6371</v>
      </c>
      <c r="M1846" s="524"/>
      <c r="N1846" s="524"/>
      <c r="O1846" s="524"/>
    </row>
    <row r="1847" spans="1:15" ht="58" hidden="1">
      <c r="A1847" s="527">
        <v>28122</v>
      </c>
      <c r="B1847" s="527"/>
      <c r="C1847" s="527" t="s">
        <v>2786</v>
      </c>
      <c r="D1847" s="527" t="s">
        <v>2785</v>
      </c>
      <c r="E1847" s="527" t="s">
        <v>2787</v>
      </c>
      <c r="F1847" s="527" t="s">
        <v>2788</v>
      </c>
      <c r="G1847" s="527">
        <v>22</v>
      </c>
      <c r="H1847" s="527" t="s">
        <v>2783</v>
      </c>
      <c r="I1847" s="527" t="s">
        <v>2784</v>
      </c>
      <c r="J1847" s="527" t="s">
        <v>2889</v>
      </c>
      <c r="K1847" s="527" t="s">
        <v>2890</v>
      </c>
      <c r="L1847" s="527" t="s">
        <v>6371</v>
      </c>
      <c r="M1847" s="524"/>
      <c r="N1847" s="524"/>
      <c r="O1847" s="524"/>
    </row>
    <row r="1848" spans="1:15" ht="43.5" hidden="1">
      <c r="A1848" s="527">
        <v>28188</v>
      </c>
      <c r="B1848" s="527"/>
      <c r="C1848" s="527" t="s">
        <v>2799</v>
      </c>
      <c r="D1848" s="527" t="s">
        <v>1068</v>
      </c>
      <c r="E1848" s="527" t="s">
        <v>2800</v>
      </c>
      <c r="F1848" s="527" t="s">
        <v>2801</v>
      </c>
      <c r="G1848" s="527">
        <v>88</v>
      </c>
      <c r="H1848" s="527" t="s">
        <v>16</v>
      </c>
      <c r="I1848" s="527" t="s">
        <v>1066</v>
      </c>
      <c r="J1848" s="527" t="s">
        <v>2889</v>
      </c>
      <c r="K1848" s="527" t="s">
        <v>2889</v>
      </c>
      <c r="L1848" s="527" t="s">
        <v>6371</v>
      </c>
      <c r="M1848" s="524"/>
      <c r="N1848" s="524"/>
      <c r="O1848" s="524"/>
    </row>
    <row r="1849" spans="1:15" ht="87" hidden="1">
      <c r="A1849" s="525">
        <v>80005</v>
      </c>
      <c r="B1849" s="525"/>
      <c r="C1849" s="524" t="s">
        <v>3618</v>
      </c>
      <c r="D1849" s="524" t="s">
        <v>3617</v>
      </c>
      <c r="E1849" s="524" t="s">
        <v>3616</v>
      </c>
      <c r="F1849" s="524" t="s">
        <v>3616</v>
      </c>
      <c r="G1849" s="524" t="s">
        <v>3616</v>
      </c>
      <c r="H1849" s="524" t="s">
        <v>3616</v>
      </c>
      <c r="I1849" s="524" t="s">
        <v>3617</v>
      </c>
      <c r="J1849" s="524" t="s">
        <v>8116</v>
      </c>
      <c r="K1849" s="524"/>
      <c r="L1849" s="524" t="s">
        <v>6368</v>
      </c>
      <c r="M1849" s="524" t="s">
        <v>3527</v>
      </c>
      <c r="N1849" s="524"/>
      <c r="O1849" s="524"/>
    </row>
    <row r="1850" spans="1:15" ht="43.5" hidden="1">
      <c r="A1850" s="525">
        <v>80006</v>
      </c>
      <c r="B1850" s="525"/>
      <c r="C1850" s="524" t="s">
        <v>3615</v>
      </c>
      <c r="D1850" s="524" t="s">
        <v>3614</v>
      </c>
      <c r="E1850" s="524" t="s">
        <v>3613</v>
      </c>
      <c r="F1850" s="524" t="s">
        <v>3613</v>
      </c>
      <c r="G1850" s="524" t="s">
        <v>3613</v>
      </c>
      <c r="H1850" s="524" t="s">
        <v>3613</v>
      </c>
      <c r="I1850" s="524" t="s">
        <v>3614</v>
      </c>
      <c r="J1850" s="524" t="s">
        <v>8117</v>
      </c>
      <c r="K1850" s="524"/>
      <c r="L1850" s="524" t="s">
        <v>6368</v>
      </c>
      <c r="M1850" s="524" t="s">
        <v>3527</v>
      </c>
      <c r="N1850" s="524"/>
      <c r="O1850" s="524"/>
    </row>
    <row r="1851" spans="1:15" ht="43.5" hidden="1">
      <c r="A1851" s="525">
        <v>80007</v>
      </c>
      <c r="B1851" s="525"/>
      <c r="C1851" s="524" t="s">
        <v>3611</v>
      </c>
      <c r="D1851" s="524" t="s">
        <v>3612</v>
      </c>
      <c r="E1851" s="524" t="s">
        <v>3611</v>
      </c>
      <c r="F1851" s="524" t="s">
        <v>3611</v>
      </c>
      <c r="G1851" s="524" t="s">
        <v>3611</v>
      </c>
      <c r="H1851" s="524" t="s">
        <v>3611</v>
      </c>
      <c r="I1851" s="524" t="s">
        <v>3612</v>
      </c>
      <c r="J1851" s="524" t="s">
        <v>8118</v>
      </c>
      <c r="K1851" s="524"/>
      <c r="L1851" s="524" t="s">
        <v>6368</v>
      </c>
      <c r="M1851" s="524" t="s">
        <v>3527</v>
      </c>
      <c r="N1851" s="524"/>
      <c r="O1851" s="524"/>
    </row>
    <row r="1852" spans="1:15" ht="43.5" hidden="1">
      <c r="A1852" s="525">
        <v>80008</v>
      </c>
      <c r="B1852" s="525"/>
      <c r="C1852" s="524" t="s">
        <v>3610</v>
      </c>
      <c r="D1852" s="524" t="s">
        <v>3609</v>
      </c>
      <c r="E1852" s="524" t="s">
        <v>3608</v>
      </c>
      <c r="F1852" s="524" t="s">
        <v>3608</v>
      </c>
      <c r="G1852" s="524" t="s">
        <v>3608</v>
      </c>
      <c r="H1852" s="524" t="s">
        <v>3608</v>
      </c>
      <c r="I1852" s="524" t="s">
        <v>3609</v>
      </c>
      <c r="J1852" s="524" t="s">
        <v>8119</v>
      </c>
      <c r="K1852" s="524"/>
      <c r="L1852" s="524" t="s">
        <v>6368</v>
      </c>
      <c r="M1852" s="524" t="s">
        <v>3527</v>
      </c>
      <c r="N1852" s="524"/>
      <c r="O1852" s="524"/>
    </row>
    <row r="1853" spans="1:15" ht="43.5" hidden="1">
      <c r="A1853" s="525">
        <v>80009</v>
      </c>
      <c r="B1853" s="525"/>
      <c r="C1853" s="524" t="s">
        <v>3607</v>
      </c>
      <c r="D1853" s="524" t="s">
        <v>3606</v>
      </c>
      <c r="E1853" s="524" t="s">
        <v>3605</v>
      </c>
      <c r="F1853" s="524" t="s">
        <v>3605</v>
      </c>
      <c r="G1853" s="524" t="s">
        <v>3605</v>
      </c>
      <c r="H1853" s="524" t="s">
        <v>3605</v>
      </c>
      <c r="I1853" s="524" t="s">
        <v>8120</v>
      </c>
      <c r="J1853" s="524" t="s">
        <v>8121</v>
      </c>
      <c r="K1853" s="524"/>
      <c r="L1853" s="524" t="s">
        <v>6368</v>
      </c>
      <c r="M1853" s="524" t="s">
        <v>3527</v>
      </c>
      <c r="N1853" s="524"/>
      <c r="O1853" s="524"/>
    </row>
    <row r="1854" spans="1:15" ht="72.5" hidden="1">
      <c r="A1854" s="525">
        <v>80010</v>
      </c>
      <c r="B1854" s="525"/>
      <c r="C1854" s="524" t="s">
        <v>3604</v>
      </c>
      <c r="D1854" s="524" t="s">
        <v>3603</v>
      </c>
      <c r="E1854" s="524" t="s">
        <v>3602</v>
      </c>
      <c r="F1854" s="524" t="s">
        <v>3602</v>
      </c>
      <c r="G1854" s="524" t="s">
        <v>3602</v>
      </c>
      <c r="H1854" s="524" t="s">
        <v>3602</v>
      </c>
      <c r="I1854" s="524" t="s">
        <v>8122</v>
      </c>
      <c r="J1854" s="524" t="s">
        <v>3603</v>
      </c>
      <c r="K1854" s="524"/>
      <c r="L1854" s="524" t="s">
        <v>6368</v>
      </c>
      <c r="M1854" s="524" t="s">
        <v>3527</v>
      </c>
      <c r="N1854" s="524"/>
      <c r="O1854" s="524"/>
    </row>
    <row r="1855" spans="1:15" ht="72.5" hidden="1">
      <c r="A1855" s="525">
        <v>80012</v>
      </c>
      <c r="B1855" s="525"/>
      <c r="C1855" s="524" t="s">
        <v>3598</v>
      </c>
      <c r="D1855" s="524" t="s">
        <v>3597</v>
      </c>
      <c r="E1855" s="524" t="s">
        <v>3596</v>
      </c>
      <c r="F1855" s="524" t="s">
        <v>3596</v>
      </c>
      <c r="G1855" s="524" t="s">
        <v>3596</v>
      </c>
      <c r="H1855" s="524" t="s">
        <v>3596</v>
      </c>
      <c r="I1855" s="524" t="s">
        <v>3597</v>
      </c>
      <c r="J1855" s="524" t="s">
        <v>3597</v>
      </c>
      <c r="K1855" s="524"/>
      <c r="L1855" s="524" t="s">
        <v>6368</v>
      </c>
      <c r="M1855" s="524" t="s">
        <v>3527</v>
      </c>
      <c r="N1855" s="524"/>
      <c r="O1855" s="524"/>
    </row>
    <row r="1856" spans="1:15" ht="43.5" hidden="1">
      <c r="A1856" s="525">
        <v>80013</v>
      </c>
      <c r="B1856" s="525"/>
      <c r="C1856" s="524" t="s">
        <v>3595</v>
      </c>
      <c r="D1856" s="524" t="s">
        <v>3594</v>
      </c>
      <c r="E1856" s="524" t="s">
        <v>3593</v>
      </c>
      <c r="F1856" s="524" t="s">
        <v>3593</v>
      </c>
      <c r="G1856" s="524" t="s">
        <v>3593</v>
      </c>
      <c r="H1856" s="524" t="s">
        <v>3593</v>
      </c>
      <c r="I1856" s="524" t="s">
        <v>3594</v>
      </c>
      <c r="J1856" s="524" t="s">
        <v>3594</v>
      </c>
      <c r="K1856" s="524"/>
      <c r="L1856" s="524" t="s">
        <v>6368</v>
      </c>
      <c r="M1856" s="524" t="s">
        <v>3527</v>
      </c>
      <c r="N1856" s="524"/>
      <c r="O1856" s="524"/>
    </row>
    <row r="1857" spans="1:15" ht="43.5" hidden="1">
      <c r="A1857" s="525">
        <v>80014</v>
      </c>
      <c r="B1857" s="525"/>
      <c r="C1857" s="524" t="s">
        <v>3592</v>
      </c>
      <c r="D1857" s="524" t="s">
        <v>3591</v>
      </c>
      <c r="E1857" s="524" t="s">
        <v>3590</v>
      </c>
      <c r="F1857" s="524" t="s">
        <v>3590</v>
      </c>
      <c r="G1857" s="524" t="s">
        <v>3590</v>
      </c>
      <c r="H1857" s="524" t="s">
        <v>3590</v>
      </c>
      <c r="I1857" s="524" t="s">
        <v>3591</v>
      </c>
      <c r="J1857" s="524" t="s">
        <v>3591</v>
      </c>
      <c r="K1857" s="524"/>
      <c r="L1857" s="524" t="s">
        <v>6368</v>
      </c>
      <c r="M1857" s="524" t="s">
        <v>3527</v>
      </c>
      <c r="N1857" s="524"/>
      <c r="O1857" s="524"/>
    </row>
    <row r="1858" spans="1:15" ht="43.5" hidden="1">
      <c r="A1858" s="525">
        <v>80015</v>
      </c>
      <c r="B1858" s="525"/>
      <c r="C1858" s="524" t="s">
        <v>3589</v>
      </c>
      <c r="D1858" s="524" t="s">
        <v>3588</v>
      </c>
      <c r="E1858" s="524" t="s">
        <v>3587</v>
      </c>
      <c r="F1858" s="524" t="s">
        <v>3587</v>
      </c>
      <c r="G1858" s="524" t="s">
        <v>3587</v>
      </c>
      <c r="H1858" s="524" t="s">
        <v>3587</v>
      </c>
      <c r="I1858" s="524" t="s">
        <v>3588</v>
      </c>
      <c r="J1858" s="524" t="s">
        <v>3588</v>
      </c>
      <c r="K1858" s="524"/>
      <c r="L1858" s="524" t="s">
        <v>6368</v>
      </c>
      <c r="M1858" s="524" t="s">
        <v>3527</v>
      </c>
      <c r="N1858" s="524"/>
      <c r="O1858" s="524"/>
    </row>
    <row r="1859" spans="1:15" ht="43.5" hidden="1">
      <c r="A1859" s="525">
        <v>80016</v>
      </c>
      <c r="B1859" s="525"/>
      <c r="C1859" s="524" t="s">
        <v>3586</v>
      </c>
      <c r="D1859" s="524" t="s">
        <v>3585</v>
      </c>
      <c r="E1859" s="524" t="s">
        <v>3584</v>
      </c>
      <c r="F1859" s="524" t="s">
        <v>3584</v>
      </c>
      <c r="G1859" s="524" t="s">
        <v>3584</v>
      </c>
      <c r="H1859" s="524" t="s">
        <v>3584</v>
      </c>
      <c r="I1859" s="524" t="s">
        <v>3585</v>
      </c>
      <c r="J1859" s="524" t="s">
        <v>3585</v>
      </c>
      <c r="K1859" s="524"/>
      <c r="L1859" s="524" t="s">
        <v>6368</v>
      </c>
      <c r="M1859" s="524" t="s">
        <v>3527</v>
      </c>
      <c r="N1859" s="524"/>
      <c r="O1859" s="524"/>
    </row>
    <row r="1860" spans="1:15" ht="29" hidden="1">
      <c r="A1860" s="525">
        <v>80017</v>
      </c>
      <c r="B1860" s="525"/>
      <c r="C1860" s="524" t="s">
        <v>5478</v>
      </c>
      <c r="D1860" s="524" t="s">
        <v>5477</v>
      </c>
      <c r="E1860" s="524" t="s">
        <v>5477</v>
      </c>
      <c r="F1860" s="524" t="s">
        <v>5477</v>
      </c>
      <c r="G1860" s="524" t="s">
        <v>5477</v>
      </c>
      <c r="H1860" s="524" t="s">
        <v>5477</v>
      </c>
      <c r="I1860" s="524" t="s">
        <v>5477</v>
      </c>
      <c r="J1860" s="524" t="s">
        <v>5477</v>
      </c>
      <c r="K1860" s="524"/>
      <c r="L1860" s="524" t="s">
        <v>6368</v>
      </c>
      <c r="M1860" s="524" t="s">
        <v>3527</v>
      </c>
      <c r="N1860" s="524"/>
      <c r="O1860" s="524"/>
    </row>
    <row r="1861" spans="1:15" ht="29" hidden="1">
      <c r="A1861" s="525">
        <v>80018</v>
      </c>
      <c r="B1861" s="525"/>
      <c r="C1861" s="524" t="s">
        <v>3583</v>
      </c>
      <c r="D1861" s="524" t="s">
        <v>3582</v>
      </c>
      <c r="E1861" s="524" t="s">
        <v>3581</v>
      </c>
      <c r="F1861" s="524" t="s">
        <v>3581</v>
      </c>
      <c r="G1861" s="524" t="s">
        <v>3581</v>
      </c>
      <c r="H1861" s="524" t="s">
        <v>3581</v>
      </c>
      <c r="I1861" s="524" t="s">
        <v>3582</v>
      </c>
      <c r="J1861" s="524" t="s">
        <v>3582</v>
      </c>
      <c r="K1861" s="524"/>
      <c r="L1861" s="524" t="s">
        <v>6368</v>
      </c>
      <c r="M1861" s="524" t="s">
        <v>3527</v>
      </c>
      <c r="N1861" s="524"/>
      <c r="O1861" s="524"/>
    </row>
    <row r="1862" spans="1:15" ht="43.5" hidden="1">
      <c r="A1862" s="525">
        <v>80019</v>
      </c>
      <c r="B1862" s="525"/>
      <c r="C1862" s="524" t="s">
        <v>3580</v>
      </c>
      <c r="D1862" s="524" t="s">
        <v>3579</v>
      </c>
      <c r="E1862" s="524" t="s">
        <v>3578</v>
      </c>
      <c r="F1862" s="524" t="s">
        <v>3578</v>
      </c>
      <c r="G1862" s="524" t="s">
        <v>3578</v>
      </c>
      <c r="H1862" s="524" t="s">
        <v>3578</v>
      </c>
      <c r="I1862" s="524" t="s">
        <v>3579</v>
      </c>
      <c r="J1862" s="524" t="s">
        <v>3579</v>
      </c>
      <c r="K1862" s="524"/>
      <c r="L1862" s="524" t="s">
        <v>6368</v>
      </c>
      <c r="M1862" s="524" t="s">
        <v>3527</v>
      </c>
      <c r="N1862" s="524"/>
      <c r="O1862" s="524"/>
    </row>
    <row r="1863" spans="1:15" ht="29" hidden="1">
      <c r="A1863" s="525">
        <v>80020</v>
      </c>
      <c r="B1863" s="525"/>
      <c r="C1863" s="524" t="s">
        <v>3577</v>
      </c>
      <c r="D1863" s="524" t="s">
        <v>3576</v>
      </c>
      <c r="E1863" s="524" t="s">
        <v>3575</v>
      </c>
      <c r="F1863" s="524" t="s">
        <v>3575</v>
      </c>
      <c r="G1863" s="524" t="s">
        <v>3575</v>
      </c>
      <c r="H1863" s="524" t="s">
        <v>3575</v>
      </c>
      <c r="I1863" s="524" t="s">
        <v>3576</v>
      </c>
      <c r="J1863" s="524" t="s">
        <v>3576</v>
      </c>
      <c r="K1863" s="524"/>
      <c r="L1863" s="524" t="s">
        <v>6368</v>
      </c>
      <c r="M1863" s="524" t="s">
        <v>3527</v>
      </c>
      <c r="N1863" s="524"/>
      <c r="O1863" s="524"/>
    </row>
    <row r="1864" spans="1:15" ht="43.5" hidden="1">
      <c r="A1864" s="525">
        <v>80023</v>
      </c>
      <c r="B1864" s="525"/>
      <c r="C1864" s="524" t="s">
        <v>3568</v>
      </c>
      <c r="D1864" s="524" t="s">
        <v>3567</v>
      </c>
      <c r="E1864" s="524" t="s">
        <v>3566</v>
      </c>
      <c r="F1864" s="524" t="s">
        <v>3566</v>
      </c>
      <c r="G1864" s="524" t="s">
        <v>3566</v>
      </c>
      <c r="H1864" s="524" t="s">
        <v>3566</v>
      </c>
      <c r="I1864" s="524" t="s">
        <v>3567</v>
      </c>
      <c r="J1864" s="524" t="s">
        <v>3567</v>
      </c>
      <c r="K1864" s="524"/>
      <c r="L1864" s="524" t="s">
        <v>6368</v>
      </c>
      <c r="M1864" s="524" t="s">
        <v>3527</v>
      </c>
      <c r="N1864" s="524"/>
      <c r="O1864" s="524"/>
    </row>
    <row r="1865" spans="1:15" ht="72.5" hidden="1">
      <c r="A1865" s="525">
        <v>80024</v>
      </c>
      <c r="B1865" s="525"/>
      <c r="C1865" s="524" t="s">
        <v>3565</v>
      </c>
      <c r="D1865" s="524" t="s">
        <v>3564</v>
      </c>
      <c r="E1865" s="524" t="s">
        <v>3563</v>
      </c>
      <c r="F1865" s="524" t="s">
        <v>3563</v>
      </c>
      <c r="G1865" s="524" t="s">
        <v>3563</v>
      </c>
      <c r="H1865" s="524" t="s">
        <v>3563</v>
      </c>
      <c r="I1865" s="524" t="s">
        <v>3564</v>
      </c>
      <c r="J1865" s="524" t="s">
        <v>3564</v>
      </c>
      <c r="K1865" s="524"/>
      <c r="L1865" s="524" t="s">
        <v>6368</v>
      </c>
      <c r="M1865" s="524" t="s">
        <v>3527</v>
      </c>
      <c r="N1865" s="524"/>
      <c r="O1865" s="524"/>
    </row>
    <row r="1866" spans="1:15" ht="58" hidden="1">
      <c r="A1866" s="525">
        <v>80025</v>
      </c>
      <c r="B1866" s="525"/>
      <c r="C1866" s="524" t="s">
        <v>3562</v>
      </c>
      <c r="D1866" s="524" t="s">
        <v>3561</v>
      </c>
      <c r="E1866" s="524" t="s">
        <v>3560</v>
      </c>
      <c r="F1866" s="524" t="s">
        <v>8123</v>
      </c>
      <c r="G1866" s="524" t="s">
        <v>3560</v>
      </c>
      <c r="H1866" s="524" t="s">
        <v>3560</v>
      </c>
      <c r="I1866" s="524" t="s">
        <v>3561</v>
      </c>
      <c r="J1866" s="524" t="s">
        <v>3561</v>
      </c>
      <c r="K1866" s="524"/>
      <c r="L1866" s="524" t="s">
        <v>6368</v>
      </c>
      <c r="M1866" s="524" t="s">
        <v>3527</v>
      </c>
      <c r="N1866" s="524"/>
      <c r="O1866" s="524"/>
    </row>
    <row r="1867" spans="1:15" ht="58" hidden="1">
      <c r="A1867" s="525">
        <v>80026</v>
      </c>
      <c r="B1867" s="525"/>
      <c r="C1867" s="524" t="s">
        <v>3559</v>
      </c>
      <c r="D1867" s="524" t="s">
        <v>3558</v>
      </c>
      <c r="E1867" s="524" t="s">
        <v>3557</v>
      </c>
      <c r="F1867" s="524" t="s">
        <v>3557</v>
      </c>
      <c r="G1867" s="524" t="s">
        <v>3557</v>
      </c>
      <c r="H1867" s="524" t="s">
        <v>3557</v>
      </c>
      <c r="I1867" s="524" t="s">
        <v>3558</v>
      </c>
      <c r="J1867" s="524" t="s">
        <v>3558</v>
      </c>
      <c r="K1867" s="524"/>
      <c r="L1867" s="524" t="s">
        <v>6368</v>
      </c>
      <c r="M1867" s="524" t="s">
        <v>3527</v>
      </c>
      <c r="N1867" s="524"/>
      <c r="O1867" s="524"/>
    </row>
    <row r="1868" spans="1:15" ht="72.5" hidden="1">
      <c r="A1868" s="525">
        <v>80027</v>
      </c>
      <c r="B1868" s="525"/>
      <c r="C1868" s="524" t="s">
        <v>3556</v>
      </c>
      <c r="D1868" s="524" t="s">
        <v>3555</v>
      </c>
      <c r="E1868" s="524" t="s">
        <v>3554</v>
      </c>
      <c r="F1868" s="524" t="s">
        <v>3554</v>
      </c>
      <c r="G1868" s="524" t="s">
        <v>3554</v>
      </c>
      <c r="H1868" s="524" t="s">
        <v>3554</v>
      </c>
      <c r="I1868" s="524" t="s">
        <v>3555</v>
      </c>
      <c r="J1868" s="524" t="s">
        <v>3555</v>
      </c>
      <c r="K1868" s="524"/>
      <c r="L1868" s="524" t="s">
        <v>6368</v>
      </c>
      <c r="M1868" s="524" t="s">
        <v>3527</v>
      </c>
      <c r="N1868" s="524"/>
      <c r="O1868" s="524"/>
    </row>
    <row r="1869" spans="1:15" ht="43.5" hidden="1">
      <c r="A1869" s="525">
        <v>80028</v>
      </c>
      <c r="B1869" s="525"/>
      <c r="C1869" s="524" t="s">
        <v>3553</v>
      </c>
      <c r="D1869" s="524" t="s">
        <v>3552</v>
      </c>
      <c r="E1869" s="524" t="s">
        <v>3551</v>
      </c>
      <c r="F1869" s="524" t="s">
        <v>3551</v>
      </c>
      <c r="G1869" s="524" t="s">
        <v>3551</v>
      </c>
      <c r="H1869" s="524" t="s">
        <v>3551</v>
      </c>
      <c r="I1869" s="524" t="s">
        <v>3552</v>
      </c>
      <c r="J1869" s="524" t="s">
        <v>3552</v>
      </c>
      <c r="K1869" s="524"/>
      <c r="L1869" s="524" t="s">
        <v>6368</v>
      </c>
      <c r="M1869" s="524" t="s">
        <v>3527</v>
      </c>
      <c r="N1869" s="524"/>
      <c r="O1869" s="524"/>
    </row>
    <row r="1870" spans="1:15" ht="29" hidden="1">
      <c r="A1870" s="525">
        <v>80029</v>
      </c>
      <c r="B1870" s="525"/>
      <c r="C1870" s="524" t="s">
        <v>3549</v>
      </c>
      <c r="D1870" s="524" t="s">
        <v>3550</v>
      </c>
      <c r="E1870" s="524" t="s">
        <v>3549</v>
      </c>
      <c r="F1870" s="524" t="s">
        <v>3549</v>
      </c>
      <c r="G1870" s="524" t="s">
        <v>3549</v>
      </c>
      <c r="H1870" s="524" t="s">
        <v>3549</v>
      </c>
      <c r="I1870" s="524" t="s">
        <v>3550</v>
      </c>
      <c r="J1870" s="524" t="s">
        <v>3550</v>
      </c>
      <c r="K1870" s="524"/>
      <c r="L1870" s="524" t="s">
        <v>6368</v>
      </c>
      <c r="M1870" s="524" t="s">
        <v>3527</v>
      </c>
      <c r="N1870" s="524"/>
      <c r="O1870" s="524"/>
    </row>
    <row r="1871" spans="1:15" ht="29" hidden="1">
      <c r="A1871" s="525">
        <v>80031</v>
      </c>
      <c r="B1871" s="525"/>
      <c r="C1871" s="524" t="s">
        <v>3545</v>
      </c>
      <c r="D1871" s="524" t="s">
        <v>3544</v>
      </c>
      <c r="E1871" s="524" t="s">
        <v>3543</v>
      </c>
      <c r="F1871" s="524" t="s">
        <v>3543</v>
      </c>
      <c r="G1871" s="524" t="s">
        <v>3543</v>
      </c>
      <c r="H1871" s="524" t="s">
        <v>3543</v>
      </c>
      <c r="I1871" s="524" t="s">
        <v>3544</v>
      </c>
      <c r="J1871" s="524" t="s">
        <v>3544</v>
      </c>
      <c r="K1871" s="524"/>
      <c r="L1871" s="524" t="s">
        <v>6368</v>
      </c>
      <c r="M1871" s="524" t="s">
        <v>3527</v>
      </c>
      <c r="N1871" s="524"/>
      <c r="O1871" s="524"/>
    </row>
    <row r="1872" spans="1:15" ht="29" hidden="1">
      <c r="A1872" s="525">
        <v>80032</v>
      </c>
      <c r="B1872" s="525"/>
      <c r="C1872" s="524" t="s">
        <v>3542</v>
      </c>
      <c r="D1872" s="524" t="s">
        <v>3541</v>
      </c>
      <c r="E1872" s="524" t="s">
        <v>3540</v>
      </c>
      <c r="F1872" s="524" t="s">
        <v>3540</v>
      </c>
      <c r="G1872" s="524" t="s">
        <v>3540</v>
      </c>
      <c r="H1872" s="524" t="s">
        <v>3540</v>
      </c>
      <c r="I1872" s="524" t="s">
        <v>3541</v>
      </c>
      <c r="J1872" s="524" t="s">
        <v>3541</v>
      </c>
      <c r="K1872" s="524"/>
      <c r="L1872" s="524" t="s">
        <v>6368</v>
      </c>
      <c r="M1872" s="524" t="s">
        <v>3527</v>
      </c>
      <c r="N1872" s="524"/>
      <c r="O1872" s="524"/>
    </row>
    <row r="1873" spans="1:15" ht="29" hidden="1">
      <c r="A1873" s="525">
        <v>80033</v>
      </c>
      <c r="B1873" s="525"/>
      <c r="C1873" s="524" t="s">
        <v>3539</v>
      </c>
      <c r="D1873" s="524" t="s">
        <v>3538</v>
      </c>
      <c r="E1873" s="524" t="s">
        <v>3537</v>
      </c>
      <c r="F1873" s="524" t="s">
        <v>3537</v>
      </c>
      <c r="G1873" s="524" t="s">
        <v>3537</v>
      </c>
      <c r="H1873" s="524" t="s">
        <v>3537</v>
      </c>
      <c r="I1873" s="524" t="s">
        <v>3538</v>
      </c>
      <c r="J1873" s="524" t="s">
        <v>3538</v>
      </c>
      <c r="K1873" s="524"/>
      <c r="L1873" s="524" t="s">
        <v>6368</v>
      </c>
      <c r="M1873" s="524" t="s">
        <v>3527</v>
      </c>
      <c r="N1873" s="524"/>
      <c r="O1873" s="524"/>
    </row>
    <row r="1874" spans="1:15" ht="72.5" hidden="1">
      <c r="A1874" s="525">
        <v>80035</v>
      </c>
      <c r="B1874" s="525"/>
      <c r="C1874" s="524" t="s">
        <v>3533</v>
      </c>
      <c r="D1874" s="524" t="s">
        <v>3532</v>
      </c>
      <c r="E1874" s="524" t="s">
        <v>3531</v>
      </c>
      <c r="F1874" s="524" t="s">
        <v>3531</v>
      </c>
      <c r="G1874" s="524" t="s">
        <v>3531</v>
      </c>
      <c r="H1874" s="524" t="s">
        <v>3531</v>
      </c>
      <c r="I1874" s="524" t="s">
        <v>3532</v>
      </c>
      <c r="J1874" s="524" t="s">
        <v>3532</v>
      </c>
      <c r="K1874" s="524"/>
      <c r="L1874" s="524" t="s">
        <v>6368</v>
      </c>
      <c r="M1874" s="524" t="s">
        <v>3527</v>
      </c>
      <c r="N1874" s="524"/>
      <c r="O1874" s="524"/>
    </row>
    <row r="1875" spans="1:15" ht="43.5" hidden="1">
      <c r="A1875" s="525">
        <v>80036</v>
      </c>
      <c r="B1875" s="525"/>
      <c r="C1875" s="524" t="s">
        <v>3530</v>
      </c>
      <c r="D1875" s="524" t="s">
        <v>3529</v>
      </c>
      <c r="E1875" s="524" t="s">
        <v>3528</v>
      </c>
      <c r="F1875" s="524" t="s">
        <v>3528</v>
      </c>
      <c r="G1875" s="524" t="s">
        <v>3528</v>
      </c>
      <c r="H1875" s="524" t="s">
        <v>3528</v>
      </c>
      <c r="I1875" s="524" t="s">
        <v>3529</v>
      </c>
      <c r="J1875" s="524" t="s">
        <v>8124</v>
      </c>
      <c r="K1875" s="524"/>
      <c r="L1875" s="524" t="s">
        <v>6368</v>
      </c>
      <c r="M1875" s="524" t="s">
        <v>3527</v>
      </c>
      <c r="N1875" s="524"/>
      <c r="O1875" s="524"/>
    </row>
    <row r="1876" spans="1:15" ht="29" hidden="1">
      <c r="A1876" s="525">
        <v>99001</v>
      </c>
      <c r="B1876" s="525"/>
      <c r="C1876" s="524" t="s">
        <v>5470</v>
      </c>
      <c r="D1876" s="524" t="s">
        <v>5469</v>
      </c>
      <c r="E1876" s="524" t="s">
        <v>5468</v>
      </c>
      <c r="F1876" s="524" t="s">
        <v>5468</v>
      </c>
      <c r="G1876" s="524" t="s">
        <v>5468</v>
      </c>
      <c r="H1876" s="524" t="s">
        <v>5468</v>
      </c>
      <c r="I1876" s="524" t="s">
        <v>5469</v>
      </c>
      <c r="J1876" s="524" t="s">
        <v>5469</v>
      </c>
      <c r="K1876" s="524"/>
      <c r="L1876" s="524" t="s">
        <v>6368</v>
      </c>
      <c r="M1876" s="524" t="s">
        <v>6370</v>
      </c>
      <c r="N1876" s="524"/>
      <c r="O1876" s="524"/>
    </row>
    <row r="1877" spans="1:15" ht="43.5" hidden="1">
      <c r="A1877" s="525">
        <v>99002</v>
      </c>
      <c r="B1877" s="525"/>
      <c r="C1877" s="524" t="s">
        <v>5467</v>
      </c>
      <c r="D1877" s="524" t="s">
        <v>5466</v>
      </c>
      <c r="E1877" s="524" t="s">
        <v>5465</v>
      </c>
      <c r="F1877" s="524" t="s">
        <v>5465</v>
      </c>
      <c r="G1877" s="524" t="s">
        <v>5465</v>
      </c>
      <c r="H1877" s="524" t="s">
        <v>5465</v>
      </c>
      <c r="I1877" s="524" t="s">
        <v>5466</v>
      </c>
      <c r="J1877" s="524" t="s">
        <v>8125</v>
      </c>
      <c r="K1877" s="524"/>
      <c r="L1877" s="524" t="s">
        <v>6368</v>
      </c>
      <c r="M1877" s="524" t="s">
        <v>6370</v>
      </c>
      <c r="N1877" s="524"/>
      <c r="O1877" s="524"/>
    </row>
    <row r="1878" spans="1:15" ht="58" hidden="1">
      <c r="A1878" s="525">
        <v>99003</v>
      </c>
      <c r="B1878" s="525"/>
      <c r="C1878" s="524" t="s">
        <v>5463</v>
      </c>
      <c r="D1878" s="524" t="s">
        <v>5464</v>
      </c>
      <c r="E1878" s="524" t="s">
        <v>5463</v>
      </c>
      <c r="F1878" s="524" t="s">
        <v>5463</v>
      </c>
      <c r="G1878" s="524" t="s">
        <v>5463</v>
      </c>
      <c r="H1878" s="524" t="s">
        <v>5463</v>
      </c>
      <c r="I1878" s="524" t="s">
        <v>5464</v>
      </c>
      <c r="J1878" s="524" t="s">
        <v>8126</v>
      </c>
      <c r="K1878" s="524"/>
      <c r="L1878" s="524" t="s">
        <v>6368</v>
      </c>
      <c r="M1878" s="524" t="s">
        <v>6370</v>
      </c>
      <c r="N1878" s="524"/>
      <c r="O1878" s="524"/>
    </row>
    <row r="1879" spans="1:15" ht="29" hidden="1">
      <c r="A1879" s="525">
        <v>99004</v>
      </c>
      <c r="B1879" s="525"/>
      <c r="C1879" s="524" t="s">
        <v>5462</v>
      </c>
      <c r="D1879" s="524" t="s">
        <v>5461</v>
      </c>
      <c r="E1879" s="524" t="s">
        <v>5460</v>
      </c>
      <c r="F1879" s="524" t="s">
        <v>5460</v>
      </c>
      <c r="G1879" s="524" t="s">
        <v>5460</v>
      </c>
      <c r="H1879" s="524" t="s">
        <v>5460</v>
      </c>
      <c r="I1879" s="524" t="s">
        <v>5461</v>
      </c>
      <c r="J1879" s="524" t="s">
        <v>8127</v>
      </c>
      <c r="K1879" s="524"/>
      <c r="L1879" s="524" t="s">
        <v>6368</v>
      </c>
      <c r="M1879" s="524" t="s">
        <v>6370</v>
      </c>
      <c r="N1879" s="524"/>
      <c r="O1879" s="524"/>
    </row>
    <row r="1880" spans="1:15" ht="29" hidden="1">
      <c r="A1880" s="524">
        <v>99005</v>
      </c>
      <c r="B1880" s="524"/>
      <c r="C1880" s="524" t="s">
        <v>5459</v>
      </c>
      <c r="D1880" s="524" t="s">
        <v>5458</v>
      </c>
      <c r="E1880" s="524" t="s">
        <v>5457</v>
      </c>
      <c r="F1880" s="524" t="s">
        <v>5457</v>
      </c>
      <c r="G1880" s="524" t="s">
        <v>5457</v>
      </c>
      <c r="H1880" s="524" t="s">
        <v>5457</v>
      </c>
      <c r="I1880" s="524" t="s">
        <v>5458</v>
      </c>
      <c r="J1880" s="524" t="s">
        <v>5458</v>
      </c>
      <c r="K1880" s="524"/>
      <c r="L1880" s="524" t="s">
        <v>6368</v>
      </c>
      <c r="M1880" s="524" t="s">
        <v>6370</v>
      </c>
      <c r="N1880" s="524"/>
      <c r="O1880" s="524"/>
    </row>
    <row r="1881" spans="1:15" ht="43.5" hidden="1">
      <c r="A1881" s="525">
        <v>99006</v>
      </c>
      <c r="B1881" s="525"/>
      <c r="C1881" s="524" t="s">
        <v>5456</v>
      </c>
      <c r="D1881" s="524" t="s">
        <v>5455</v>
      </c>
      <c r="E1881" s="524" t="s">
        <v>5454</v>
      </c>
      <c r="F1881" s="524" t="s">
        <v>5454</v>
      </c>
      <c r="G1881" s="524" t="s">
        <v>5454</v>
      </c>
      <c r="H1881" s="524" t="s">
        <v>5454</v>
      </c>
      <c r="I1881" s="524" t="s">
        <v>5455</v>
      </c>
      <c r="J1881" s="524" t="s">
        <v>5455</v>
      </c>
      <c r="K1881" s="524"/>
      <c r="L1881" s="524" t="s">
        <v>6368</v>
      </c>
      <c r="M1881" s="524" t="s">
        <v>6370</v>
      </c>
      <c r="N1881" s="524"/>
      <c r="O1881" s="524"/>
    </row>
    <row r="1882" spans="1:15" ht="43.5" hidden="1">
      <c r="A1882" s="524">
        <v>99007</v>
      </c>
      <c r="B1882" s="524"/>
      <c r="C1882" s="524" t="s">
        <v>5453</v>
      </c>
      <c r="D1882" s="524" t="s">
        <v>5452</v>
      </c>
      <c r="E1882" s="524" t="s">
        <v>5451</v>
      </c>
      <c r="F1882" s="524" t="s">
        <v>5451</v>
      </c>
      <c r="G1882" s="524" t="s">
        <v>5451</v>
      </c>
      <c r="H1882" s="524" t="s">
        <v>5451</v>
      </c>
      <c r="I1882" s="524" t="s">
        <v>5452</v>
      </c>
      <c r="J1882" s="524" t="s">
        <v>5452</v>
      </c>
      <c r="K1882" s="524"/>
      <c r="L1882" s="524" t="s">
        <v>6368</v>
      </c>
      <c r="M1882" s="524" t="s">
        <v>6370</v>
      </c>
      <c r="N1882" s="524"/>
      <c r="O1882" s="524"/>
    </row>
    <row r="1883" spans="1:15" ht="58" hidden="1">
      <c r="A1883" s="524">
        <v>99009</v>
      </c>
      <c r="B1883" s="524"/>
      <c r="C1883" s="524" t="s">
        <v>388</v>
      </c>
      <c r="D1883" s="524" t="s">
        <v>1337</v>
      </c>
      <c r="E1883" s="524" t="s">
        <v>1338</v>
      </c>
      <c r="F1883" s="524" t="s">
        <v>1338</v>
      </c>
      <c r="G1883" s="524" t="s">
        <v>1338</v>
      </c>
      <c r="H1883" s="524" t="s">
        <v>1338</v>
      </c>
      <c r="I1883" s="524" t="s">
        <v>8128</v>
      </c>
      <c r="J1883" s="524" t="s">
        <v>1337</v>
      </c>
      <c r="K1883" s="524" t="s">
        <v>6359</v>
      </c>
      <c r="L1883" s="524" t="s">
        <v>6379</v>
      </c>
      <c r="M1883" s="524" t="s">
        <v>6979</v>
      </c>
      <c r="N1883" s="524"/>
      <c r="O1883" s="524"/>
    </row>
    <row r="1884" spans="1:15" ht="101.5" hidden="1">
      <c r="A1884" s="527">
        <v>99009</v>
      </c>
      <c r="B1884" s="527"/>
      <c r="C1884" s="527" t="s">
        <v>388</v>
      </c>
      <c r="D1884" s="527" t="s">
        <v>387</v>
      </c>
      <c r="E1884" s="527" t="s">
        <v>1337</v>
      </c>
      <c r="F1884" s="527" t="s">
        <v>1338</v>
      </c>
      <c r="G1884" s="527">
        <v>451</v>
      </c>
      <c r="H1884" s="527" t="s">
        <v>387</v>
      </c>
      <c r="I1884" s="527" t="s">
        <v>2324</v>
      </c>
      <c r="J1884" s="527" t="s">
        <v>2889</v>
      </c>
      <c r="K1884" s="527" t="s">
        <v>2889</v>
      </c>
      <c r="L1884" s="527" t="s">
        <v>8129</v>
      </c>
      <c r="M1884" s="524"/>
      <c r="N1884" s="524"/>
      <c r="O1884" s="524"/>
    </row>
    <row r="1885" spans="1:15" ht="58" hidden="1">
      <c r="A1885" s="525">
        <v>99010</v>
      </c>
      <c r="B1885" s="525"/>
      <c r="C1885" s="524" t="s">
        <v>33</v>
      </c>
      <c r="D1885" s="524" t="s">
        <v>1817</v>
      </c>
      <c r="E1885" s="524" t="s">
        <v>689</v>
      </c>
      <c r="F1885" s="524" t="s">
        <v>689</v>
      </c>
      <c r="G1885" s="524" t="s">
        <v>689</v>
      </c>
      <c r="H1885" s="524" t="s">
        <v>689</v>
      </c>
      <c r="I1885" s="524" t="s">
        <v>8130</v>
      </c>
      <c r="J1885" s="524" t="s">
        <v>1817</v>
      </c>
      <c r="K1885" s="524" t="s">
        <v>6359</v>
      </c>
      <c r="L1885" s="524" t="s">
        <v>6368</v>
      </c>
      <c r="M1885" s="524" t="s">
        <v>6370</v>
      </c>
      <c r="N1885" s="524"/>
      <c r="O1885" s="524"/>
    </row>
    <row r="1886" spans="1:15" ht="87" hidden="1">
      <c r="A1886" s="527">
        <v>99010</v>
      </c>
      <c r="B1886" s="527"/>
      <c r="C1886" s="527" t="s">
        <v>33</v>
      </c>
      <c r="D1886" s="527" t="s">
        <v>676</v>
      </c>
      <c r="E1886" s="527" t="s">
        <v>1817</v>
      </c>
      <c r="F1886" s="527" t="s">
        <v>689</v>
      </c>
      <c r="G1886" s="527">
        <v>9</v>
      </c>
      <c r="H1886" s="527" t="s">
        <v>0</v>
      </c>
      <c r="I1886" s="527" t="s">
        <v>674</v>
      </c>
      <c r="J1886" s="527" t="s">
        <v>2889</v>
      </c>
      <c r="K1886" s="527" t="s">
        <v>2889</v>
      </c>
      <c r="L1886" s="527" t="s">
        <v>8131</v>
      </c>
      <c r="M1886" s="524"/>
      <c r="N1886" s="524"/>
      <c r="O1886" s="524"/>
    </row>
    <row r="1887" spans="1:15" ht="29" hidden="1">
      <c r="A1887" s="525">
        <v>99012</v>
      </c>
      <c r="B1887" s="525"/>
      <c r="C1887" s="524" t="s">
        <v>34</v>
      </c>
      <c r="D1887" s="524" t="s">
        <v>1352</v>
      </c>
      <c r="E1887" s="524" t="s">
        <v>1353</v>
      </c>
      <c r="F1887" s="524" t="s">
        <v>1353</v>
      </c>
      <c r="G1887" s="524" t="s">
        <v>1353</v>
      </c>
      <c r="H1887" s="524" t="s">
        <v>1353</v>
      </c>
      <c r="I1887" s="524" t="s">
        <v>8132</v>
      </c>
      <c r="J1887" s="524" t="s">
        <v>1352</v>
      </c>
      <c r="K1887" s="524"/>
      <c r="L1887" s="524" t="s">
        <v>6368</v>
      </c>
      <c r="M1887" s="524" t="s">
        <v>6370</v>
      </c>
      <c r="N1887" s="524"/>
      <c r="O1887" s="524"/>
    </row>
    <row r="1888" spans="1:15" ht="72.5" hidden="1">
      <c r="A1888" s="527">
        <v>99012</v>
      </c>
      <c r="B1888" s="527"/>
      <c r="C1888" s="527" t="s">
        <v>34</v>
      </c>
      <c r="D1888" s="527" t="s">
        <v>4703</v>
      </c>
      <c r="E1888" s="527" t="s">
        <v>1352</v>
      </c>
      <c r="F1888" s="527" t="s">
        <v>1353</v>
      </c>
      <c r="G1888" s="527">
        <v>283</v>
      </c>
      <c r="H1888" s="527" t="s">
        <v>4705</v>
      </c>
      <c r="I1888" s="527" t="s">
        <v>4704</v>
      </c>
      <c r="J1888" s="527" t="s">
        <v>2890</v>
      </c>
      <c r="K1888" s="527" t="s">
        <v>2890</v>
      </c>
      <c r="L1888" s="527" t="s">
        <v>8133</v>
      </c>
      <c r="M1888" s="524"/>
      <c r="N1888" s="524"/>
      <c r="O1888" s="524"/>
    </row>
    <row r="1889" spans="1:15" ht="58" hidden="1">
      <c r="A1889" s="525">
        <v>99013</v>
      </c>
      <c r="B1889" s="525"/>
      <c r="C1889" s="524" t="s">
        <v>48</v>
      </c>
      <c r="D1889" s="524" t="s">
        <v>1372</v>
      </c>
      <c r="E1889" s="524" t="s">
        <v>1373</v>
      </c>
      <c r="F1889" s="524" t="s">
        <v>1373</v>
      </c>
      <c r="G1889" s="524" t="s">
        <v>1373</v>
      </c>
      <c r="H1889" s="524" t="s">
        <v>1373</v>
      </c>
      <c r="I1889" s="524" t="s">
        <v>8134</v>
      </c>
      <c r="J1889" s="524" t="s">
        <v>1372</v>
      </c>
      <c r="K1889" s="524"/>
      <c r="L1889" s="524" t="s">
        <v>6368</v>
      </c>
      <c r="M1889" s="524" t="s">
        <v>6370</v>
      </c>
      <c r="N1889" s="524"/>
      <c r="O1889" s="524"/>
    </row>
    <row r="1890" spans="1:15" ht="130.5" hidden="1">
      <c r="A1890" s="527">
        <v>99013</v>
      </c>
      <c r="B1890" s="527"/>
      <c r="C1890" s="527" t="s">
        <v>48</v>
      </c>
      <c r="D1890" s="527" t="s">
        <v>676</v>
      </c>
      <c r="E1890" s="527" t="s">
        <v>1372</v>
      </c>
      <c r="F1890" s="527" t="s">
        <v>1373</v>
      </c>
      <c r="G1890" s="527">
        <v>9</v>
      </c>
      <c r="H1890" s="527" t="s">
        <v>0</v>
      </c>
      <c r="I1890" s="527" t="s">
        <v>674</v>
      </c>
      <c r="J1890" s="527" t="s">
        <v>2889</v>
      </c>
      <c r="K1890" s="527" t="s">
        <v>2889</v>
      </c>
      <c r="L1890" s="527" t="s">
        <v>8135</v>
      </c>
      <c r="M1890" s="524"/>
      <c r="N1890" s="524"/>
      <c r="O1890" s="524"/>
    </row>
    <row r="1891" spans="1:15" ht="58" hidden="1">
      <c r="A1891" s="525">
        <v>99014</v>
      </c>
      <c r="B1891" s="525"/>
      <c r="C1891" s="524" t="s">
        <v>5310</v>
      </c>
      <c r="D1891" s="524" t="s">
        <v>1376</v>
      </c>
      <c r="E1891" s="524" t="s">
        <v>1377</v>
      </c>
      <c r="F1891" s="524" t="s">
        <v>1377</v>
      </c>
      <c r="G1891" s="524" t="s">
        <v>1377</v>
      </c>
      <c r="H1891" s="524" t="s">
        <v>1377</v>
      </c>
      <c r="I1891" s="524" t="s">
        <v>8136</v>
      </c>
      <c r="J1891" s="524" t="s">
        <v>1376</v>
      </c>
      <c r="K1891" s="524"/>
      <c r="L1891" s="524" t="s">
        <v>6402</v>
      </c>
      <c r="M1891" s="524" t="s">
        <v>6403</v>
      </c>
      <c r="N1891" s="524"/>
      <c r="O1891" s="524"/>
    </row>
    <row r="1892" spans="1:15" ht="101.5" hidden="1">
      <c r="A1892" s="527">
        <v>99014</v>
      </c>
      <c r="B1892" s="527"/>
      <c r="C1892" s="527" t="s">
        <v>363</v>
      </c>
      <c r="D1892" s="527" t="s">
        <v>4703</v>
      </c>
      <c r="E1892" s="527" t="s">
        <v>1376</v>
      </c>
      <c r="F1892" s="527" t="s">
        <v>1377</v>
      </c>
      <c r="G1892" s="527">
        <v>283</v>
      </c>
      <c r="H1892" s="527" t="s">
        <v>4705</v>
      </c>
      <c r="I1892" s="527" t="s">
        <v>4704</v>
      </c>
      <c r="J1892" s="527" t="s">
        <v>2890</v>
      </c>
      <c r="K1892" s="527" t="s">
        <v>2890</v>
      </c>
      <c r="L1892" s="527" t="s">
        <v>8137</v>
      </c>
      <c r="M1892" s="524"/>
      <c r="N1892" s="524"/>
      <c r="O1892" s="524"/>
    </row>
    <row r="1893" spans="1:15" ht="43.5" hidden="1">
      <c r="A1893" s="524">
        <v>99015</v>
      </c>
      <c r="B1893" s="524"/>
      <c r="C1893" s="524" t="s">
        <v>5357</v>
      </c>
      <c r="D1893" s="524" t="s">
        <v>5356</v>
      </c>
      <c r="E1893" s="524" t="s">
        <v>5355</v>
      </c>
      <c r="F1893" s="524" t="s">
        <v>5355</v>
      </c>
      <c r="G1893" s="524" t="s">
        <v>5355</v>
      </c>
      <c r="H1893" s="524" t="s">
        <v>5355</v>
      </c>
      <c r="I1893" s="524" t="s">
        <v>8138</v>
      </c>
      <c r="J1893" s="524" t="s">
        <v>5356</v>
      </c>
      <c r="K1893" s="524"/>
      <c r="L1893" s="524" t="s">
        <v>6368</v>
      </c>
      <c r="M1893" s="524" t="s">
        <v>6370</v>
      </c>
      <c r="N1893" s="524"/>
      <c r="O1893" s="524"/>
    </row>
    <row r="1894" spans="1:15" ht="43.5" hidden="1">
      <c r="A1894" s="525">
        <v>99018</v>
      </c>
      <c r="B1894" s="525"/>
      <c r="C1894" s="524" t="s">
        <v>365</v>
      </c>
      <c r="D1894" s="524" t="s">
        <v>1378</v>
      </c>
      <c r="E1894" s="524" t="s">
        <v>1379</v>
      </c>
      <c r="F1894" s="524" t="s">
        <v>1379</v>
      </c>
      <c r="G1894" s="524" t="s">
        <v>1379</v>
      </c>
      <c r="H1894" s="524" t="s">
        <v>1379</v>
      </c>
      <c r="I1894" s="524" t="s">
        <v>1378</v>
      </c>
      <c r="J1894" s="524" t="s">
        <v>1378</v>
      </c>
      <c r="K1894" s="524"/>
      <c r="L1894" s="524" t="s">
        <v>6397</v>
      </c>
      <c r="M1894" s="524" t="s">
        <v>1</v>
      </c>
      <c r="N1894" s="524"/>
      <c r="O1894" s="524"/>
    </row>
    <row r="1895" spans="1:15" ht="58" hidden="1">
      <c r="A1895" s="527">
        <v>99018</v>
      </c>
      <c r="B1895" s="527"/>
      <c r="C1895" s="527" t="s">
        <v>365</v>
      </c>
      <c r="D1895" s="527" t="s">
        <v>4703</v>
      </c>
      <c r="E1895" s="527" t="s">
        <v>1378</v>
      </c>
      <c r="F1895" s="527" t="s">
        <v>1379</v>
      </c>
      <c r="G1895" s="527">
        <v>283</v>
      </c>
      <c r="H1895" s="527" t="s">
        <v>4705</v>
      </c>
      <c r="I1895" s="527" t="s">
        <v>4704</v>
      </c>
      <c r="J1895" s="527" t="s">
        <v>2890</v>
      </c>
      <c r="K1895" s="527" t="s">
        <v>2890</v>
      </c>
      <c r="L1895" s="527" t="s">
        <v>6371</v>
      </c>
      <c r="M1895" s="524"/>
      <c r="N1895" s="524"/>
      <c r="O1895" s="524"/>
    </row>
    <row r="1896" spans="1:15" ht="72.5" hidden="1">
      <c r="A1896" s="525">
        <v>99020</v>
      </c>
      <c r="B1896" s="525"/>
      <c r="C1896" s="524" t="s">
        <v>1389</v>
      </c>
      <c r="D1896" s="524" t="s">
        <v>1390</v>
      </c>
      <c r="E1896" s="524" t="s">
        <v>1391</v>
      </c>
      <c r="F1896" s="524" t="s">
        <v>1391</v>
      </c>
      <c r="G1896" s="524" t="s">
        <v>1391</v>
      </c>
      <c r="H1896" s="524" t="s">
        <v>1391</v>
      </c>
      <c r="I1896" s="524" t="s">
        <v>8139</v>
      </c>
      <c r="J1896" s="524" t="s">
        <v>1390</v>
      </c>
      <c r="K1896" s="524" t="s">
        <v>6359</v>
      </c>
      <c r="L1896" s="524" t="s">
        <v>6397</v>
      </c>
      <c r="M1896" s="524" t="s">
        <v>2384</v>
      </c>
      <c r="N1896" s="524"/>
      <c r="O1896" s="524"/>
    </row>
    <row r="1897" spans="1:15" ht="116" hidden="1">
      <c r="A1897" s="527">
        <v>99020</v>
      </c>
      <c r="B1897" s="527"/>
      <c r="C1897" s="527" t="s">
        <v>1389</v>
      </c>
      <c r="D1897" s="527" t="s">
        <v>4703</v>
      </c>
      <c r="E1897" s="527" t="s">
        <v>1390</v>
      </c>
      <c r="F1897" s="527" t="s">
        <v>1391</v>
      </c>
      <c r="G1897" s="527">
        <v>283</v>
      </c>
      <c r="H1897" s="527" t="s">
        <v>4705</v>
      </c>
      <c r="I1897" s="527" t="s">
        <v>4704</v>
      </c>
      <c r="J1897" s="527" t="s">
        <v>2890</v>
      </c>
      <c r="K1897" s="527" t="s">
        <v>2890</v>
      </c>
      <c r="L1897" s="527" t="s">
        <v>8140</v>
      </c>
      <c r="M1897" s="524"/>
      <c r="N1897" s="524"/>
      <c r="O1897" s="524"/>
    </row>
    <row r="1898" spans="1:15" ht="29" hidden="1">
      <c r="A1898" s="524">
        <v>99021</v>
      </c>
      <c r="B1898" s="524"/>
      <c r="C1898" s="524" t="s">
        <v>5270</v>
      </c>
      <c r="D1898" s="524" t="s">
        <v>5270</v>
      </c>
      <c r="E1898" s="524" t="s">
        <v>5270</v>
      </c>
      <c r="F1898" s="524" t="s">
        <v>5270</v>
      </c>
      <c r="G1898" s="524" t="s">
        <v>5270</v>
      </c>
      <c r="H1898" s="524" t="s">
        <v>5270</v>
      </c>
      <c r="I1898" s="524" t="s">
        <v>5270</v>
      </c>
      <c r="J1898" s="524" t="s">
        <v>5270</v>
      </c>
      <c r="K1898" s="524"/>
      <c r="L1898" s="524" t="s">
        <v>6368</v>
      </c>
      <c r="M1898" s="524" t="s">
        <v>2573</v>
      </c>
      <c r="N1898" s="524"/>
      <c r="O1898" s="524"/>
    </row>
    <row r="1899" spans="1:15" ht="43.5" hidden="1">
      <c r="A1899" s="525">
        <v>99022</v>
      </c>
      <c r="B1899" s="525"/>
      <c r="C1899" s="524" t="s">
        <v>924</v>
      </c>
      <c r="D1899" s="524" t="s">
        <v>925</v>
      </c>
      <c r="E1899" s="524" t="s">
        <v>926</v>
      </c>
      <c r="F1899" s="524" t="s">
        <v>926</v>
      </c>
      <c r="G1899" s="524" t="s">
        <v>926</v>
      </c>
      <c r="H1899" s="524" t="s">
        <v>926</v>
      </c>
      <c r="I1899" s="524" t="s">
        <v>7034</v>
      </c>
      <c r="J1899" s="524" t="s">
        <v>925</v>
      </c>
      <c r="K1899" s="524"/>
      <c r="L1899" s="524" t="s">
        <v>6368</v>
      </c>
      <c r="M1899" s="524" t="s">
        <v>2573</v>
      </c>
      <c r="N1899" s="524"/>
      <c r="O1899" s="524"/>
    </row>
    <row r="1900" spans="1:15" ht="29" hidden="1">
      <c r="A1900" s="527">
        <v>99022</v>
      </c>
      <c r="B1900" s="527"/>
      <c r="C1900" s="527" t="s">
        <v>924</v>
      </c>
      <c r="D1900" s="527" t="s">
        <v>891</v>
      </c>
      <c r="E1900" s="527" t="s">
        <v>925</v>
      </c>
      <c r="F1900" s="527" t="s">
        <v>926</v>
      </c>
      <c r="G1900" s="527">
        <v>23</v>
      </c>
      <c r="H1900" s="527" t="s">
        <v>7</v>
      </c>
      <c r="I1900" s="527" t="s">
        <v>890</v>
      </c>
      <c r="J1900" s="527" t="s">
        <v>2890</v>
      </c>
      <c r="K1900" s="527" t="s">
        <v>3150</v>
      </c>
      <c r="L1900" s="527" t="s">
        <v>6371</v>
      </c>
      <c r="M1900" s="524"/>
      <c r="N1900" s="524"/>
      <c r="O1900" s="524"/>
    </row>
    <row r="1901" spans="1:15" ht="58" hidden="1">
      <c r="A1901" s="525">
        <v>99023</v>
      </c>
      <c r="B1901" s="525"/>
      <c r="C1901" s="524" t="s">
        <v>1407</v>
      </c>
      <c r="D1901" s="524" t="s">
        <v>1408</v>
      </c>
      <c r="E1901" s="524" t="s">
        <v>1409</v>
      </c>
      <c r="F1901" s="524" t="s">
        <v>1409</v>
      </c>
      <c r="G1901" s="524" t="s">
        <v>1409</v>
      </c>
      <c r="H1901" s="524" t="s">
        <v>1409</v>
      </c>
      <c r="I1901" s="524" t="s">
        <v>7366</v>
      </c>
      <c r="J1901" s="524" t="s">
        <v>1408</v>
      </c>
      <c r="K1901" s="524" t="s">
        <v>6359</v>
      </c>
      <c r="L1901" s="524" t="s">
        <v>6376</v>
      </c>
      <c r="M1901" s="524" t="s">
        <v>6377</v>
      </c>
      <c r="N1901" s="524"/>
      <c r="O1901" s="524"/>
    </row>
    <row r="1902" spans="1:15" ht="101.5" hidden="1">
      <c r="A1902" s="527">
        <v>99023</v>
      </c>
      <c r="B1902" s="527"/>
      <c r="C1902" s="527" t="s">
        <v>1407</v>
      </c>
      <c r="D1902" s="527" t="s">
        <v>1068</v>
      </c>
      <c r="E1902" s="527" t="s">
        <v>1408</v>
      </c>
      <c r="F1902" s="527" t="s">
        <v>1409</v>
      </c>
      <c r="G1902" s="527">
        <v>88</v>
      </c>
      <c r="H1902" s="527" t="s">
        <v>16</v>
      </c>
      <c r="I1902" s="527" t="s">
        <v>1066</v>
      </c>
      <c r="J1902" s="527" t="s">
        <v>2889</v>
      </c>
      <c r="K1902" s="527" t="s">
        <v>2889</v>
      </c>
      <c r="L1902" s="527" t="s">
        <v>8141</v>
      </c>
      <c r="M1902" s="524"/>
      <c r="N1902" s="524"/>
      <c r="O1902" s="524"/>
    </row>
    <row r="1903" spans="1:15" ht="43.5" hidden="1">
      <c r="A1903" s="525">
        <v>99024</v>
      </c>
      <c r="B1903" s="525"/>
      <c r="C1903" s="524" t="s">
        <v>1071</v>
      </c>
      <c r="D1903" s="524" t="s">
        <v>1072</v>
      </c>
      <c r="E1903" s="524" t="s">
        <v>1073</v>
      </c>
      <c r="F1903" s="524" t="s">
        <v>1073</v>
      </c>
      <c r="G1903" s="524" t="s">
        <v>1073</v>
      </c>
      <c r="H1903" s="524" t="s">
        <v>1073</v>
      </c>
      <c r="I1903" s="524" t="s">
        <v>7371</v>
      </c>
      <c r="J1903" s="524" t="s">
        <v>1072</v>
      </c>
      <c r="K1903" s="524" t="s">
        <v>6359</v>
      </c>
      <c r="L1903" s="524" t="s">
        <v>6365</v>
      </c>
      <c r="M1903" s="524" t="s">
        <v>6366</v>
      </c>
      <c r="N1903" s="524"/>
      <c r="O1903" s="524"/>
    </row>
    <row r="1904" spans="1:15" ht="130.5" hidden="1">
      <c r="A1904" s="527">
        <v>99024</v>
      </c>
      <c r="B1904" s="527"/>
      <c r="C1904" s="527" t="s">
        <v>1071</v>
      </c>
      <c r="D1904" s="527" t="s">
        <v>1068</v>
      </c>
      <c r="E1904" s="527" t="s">
        <v>1072</v>
      </c>
      <c r="F1904" s="527" t="s">
        <v>1073</v>
      </c>
      <c r="G1904" s="527">
        <v>88</v>
      </c>
      <c r="H1904" s="527" t="s">
        <v>16</v>
      </c>
      <c r="I1904" s="527" t="s">
        <v>1066</v>
      </c>
      <c r="J1904" s="527" t="s">
        <v>2889</v>
      </c>
      <c r="K1904" s="527" t="s">
        <v>2889</v>
      </c>
      <c r="L1904" s="527" t="s">
        <v>8142</v>
      </c>
      <c r="M1904" s="524"/>
      <c r="N1904" s="524"/>
      <c r="O1904" s="524"/>
    </row>
    <row r="1905" spans="1:15" ht="29" hidden="1">
      <c r="A1905" s="524">
        <v>99030</v>
      </c>
      <c r="B1905" s="524"/>
      <c r="C1905" s="524" t="s">
        <v>2039</v>
      </c>
      <c r="D1905" s="524" t="s">
        <v>2039</v>
      </c>
      <c r="E1905" s="524" t="s">
        <v>2039</v>
      </c>
      <c r="F1905" s="524" t="s">
        <v>2039</v>
      </c>
      <c r="G1905" s="524" t="s">
        <v>2039</v>
      </c>
      <c r="H1905" s="524" t="s">
        <v>2039</v>
      </c>
      <c r="I1905" s="524" t="s">
        <v>2039</v>
      </c>
      <c r="J1905" s="524" t="s">
        <v>2039</v>
      </c>
      <c r="K1905" s="524"/>
      <c r="L1905" s="524" t="s">
        <v>8143</v>
      </c>
      <c r="M1905" s="524" t="s">
        <v>8144</v>
      </c>
      <c r="N1905" s="524"/>
      <c r="O1905" s="524"/>
    </row>
    <row r="1906" spans="1:15" ht="43.5" hidden="1">
      <c r="A1906" s="527">
        <v>99030</v>
      </c>
      <c r="B1906" s="527"/>
      <c r="C1906" s="527" t="s">
        <v>2039</v>
      </c>
      <c r="D1906" s="527" t="s">
        <v>999</v>
      </c>
      <c r="E1906" s="527" t="s">
        <v>2039</v>
      </c>
      <c r="F1906" s="527" t="s">
        <v>2039</v>
      </c>
      <c r="G1906" s="527">
        <v>36</v>
      </c>
      <c r="H1906" s="527" t="s">
        <v>250</v>
      </c>
      <c r="I1906" s="527" t="s">
        <v>997</v>
      </c>
      <c r="J1906" s="527" t="s">
        <v>2889</v>
      </c>
      <c r="K1906" s="527" t="s">
        <v>2890</v>
      </c>
      <c r="L1906" s="527" t="s">
        <v>6371</v>
      </c>
      <c r="M1906" s="524"/>
      <c r="N1906" s="524"/>
      <c r="O1906" s="524"/>
    </row>
    <row r="1907" spans="1:15" ht="101.5" hidden="1">
      <c r="A1907" s="527">
        <v>99040</v>
      </c>
      <c r="B1907" s="527"/>
      <c r="C1907" s="527" t="s">
        <v>1392</v>
      </c>
      <c r="D1907" s="527" t="s">
        <v>4703</v>
      </c>
      <c r="E1907" s="527" t="s">
        <v>1393</v>
      </c>
      <c r="F1907" s="527" t="s">
        <v>1394</v>
      </c>
      <c r="G1907" s="527">
        <v>283</v>
      </c>
      <c r="H1907" s="527" t="s">
        <v>4705</v>
      </c>
      <c r="I1907" s="527" t="s">
        <v>4704</v>
      </c>
      <c r="J1907" s="527" t="s">
        <v>2890</v>
      </c>
      <c r="K1907" s="527" t="s">
        <v>2890</v>
      </c>
      <c r="L1907" s="527" t="s">
        <v>8145</v>
      </c>
      <c r="M1907" s="524"/>
      <c r="N1907" s="524"/>
      <c r="O1907" s="524"/>
    </row>
    <row r="1908" spans="1:15" ht="29" hidden="1">
      <c r="A1908" s="525">
        <v>99050</v>
      </c>
      <c r="B1908" s="525"/>
      <c r="C1908" s="524" t="s">
        <v>5221</v>
      </c>
      <c r="D1908" s="524" t="s">
        <v>5222</v>
      </c>
      <c r="E1908" s="524" t="s">
        <v>5221</v>
      </c>
      <c r="F1908" s="524" t="s">
        <v>5221</v>
      </c>
      <c r="G1908" s="524" t="s">
        <v>5221</v>
      </c>
      <c r="H1908" s="524" t="s">
        <v>5221</v>
      </c>
      <c r="I1908" s="524" t="s">
        <v>8146</v>
      </c>
      <c r="J1908" s="524" t="s">
        <v>8147</v>
      </c>
      <c r="K1908" s="524"/>
      <c r="L1908" s="524" t="s">
        <v>6368</v>
      </c>
      <c r="M1908" s="524" t="s">
        <v>6370</v>
      </c>
      <c r="N1908" s="524"/>
      <c r="O1908" s="524"/>
    </row>
    <row r="1909" spans="1:15" ht="43.5" hidden="1">
      <c r="A1909" s="524">
        <v>99054</v>
      </c>
      <c r="B1909" s="524"/>
      <c r="C1909" s="524" t="s">
        <v>5195</v>
      </c>
      <c r="D1909" s="524" t="s">
        <v>5194</v>
      </c>
      <c r="E1909" s="524" t="s">
        <v>5193</v>
      </c>
      <c r="F1909" s="524" t="s">
        <v>5193</v>
      </c>
      <c r="G1909" s="524" t="s">
        <v>5193</v>
      </c>
      <c r="H1909" s="524" t="s">
        <v>5193</v>
      </c>
      <c r="I1909" s="524" t="s">
        <v>8148</v>
      </c>
      <c r="J1909" s="524" t="s">
        <v>5194</v>
      </c>
      <c r="K1909" s="524"/>
      <c r="L1909" s="524" t="s">
        <v>6376</v>
      </c>
      <c r="M1909" s="524" t="s">
        <v>6377</v>
      </c>
      <c r="N1909" s="524"/>
      <c r="O1909" s="524"/>
    </row>
    <row r="1910" spans="1:15" ht="43.5" hidden="1">
      <c r="A1910" s="525">
        <v>99055</v>
      </c>
      <c r="B1910" s="525"/>
      <c r="C1910" s="524" t="s">
        <v>8149</v>
      </c>
      <c r="D1910" s="524" t="s">
        <v>5191</v>
      </c>
      <c r="E1910" s="524" t="s">
        <v>5190</v>
      </c>
      <c r="F1910" s="524" t="s">
        <v>5190</v>
      </c>
      <c r="G1910" s="524" t="s">
        <v>5190</v>
      </c>
      <c r="H1910" s="524" t="s">
        <v>5190</v>
      </c>
      <c r="I1910" s="524" t="s">
        <v>8150</v>
      </c>
      <c r="J1910" s="524" t="s">
        <v>5191</v>
      </c>
      <c r="K1910" s="524"/>
      <c r="L1910" s="524" t="s">
        <v>6376</v>
      </c>
      <c r="M1910" s="524" t="s">
        <v>6377</v>
      </c>
      <c r="N1910" s="524" t="s">
        <v>8151</v>
      </c>
      <c r="O1910" s="524"/>
    </row>
    <row r="1911" spans="1:15" ht="43.5" hidden="1">
      <c r="A1911" s="525">
        <v>99056</v>
      </c>
      <c r="B1911" s="525"/>
      <c r="C1911" s="524" t="s">
        <v>8152</v>
      </c>
      <c r="D1911" s="524" t="s">
        <v>5175</v>
      </c>
      <c r="E1911" s="524" t="s">
        <v>5174</v>
      </c>
      <c r="F1911" s="524" t="s">
        <v>5174</v>
      </c>
      <c r="G1911" s="524" t="s">
        <v>5174</v>
      </c>
      <c r="H1911" s="524" t="s">
        <v>5174</v>
      </c>
      <c r="I1911" s="524" t="s">
        <v>8153</v>
      </c>
      <c r="J1911" s="524" t="s">
        <v>5175</v>
      </c>
      <c r="K1911" s="524"/>
      <c r="L1911" s="524" t="s">
        <v>6414</v>
      </c>
      <c r="M1911" s="524" t="s">
        <v>6415</v>
      </c>
      <c r="N1911" s="524"/>
      <c r="O1911" s="524"/>
    </row>
    <row r="1912" spans="1:15" ht="29" hidden="1">
      <c r="A1912" s="524">
        <v>99058</v>
      </c>
      <c r="B1912" s="524"/>
      <c r="C1912" s="524" t="s">
        <v>1417</v>
      </c>
      <c r="D1912" s="524" t="s">
        <v>1418</v>
      </c>
      <c r="E1912" s="524" t="s">
        <v>1419</v>
      </c>
      <c r="F1912" s="524" t="s">
        <v>1419</v>
      </c>
      <c r="G1912" s="524" t="s">
        <v>1419</v>
      </c>
      <c r="H1912" s="524" t="s">
        <v>1419</v>
      </c>
      <c r="I1912" s="524" t="s">
        <v>8154</v>
      </c>
      <c r="J1912" s="524" t="s">
        <v>1418</v>
      </c>
      <c r="K1912" s="524"/>
      <c r="L1912" s="524" t="s">
        <v>6402</v>
      </c>
      <c r="M1912" s="524" t="s">
        <v>6403</v>
      </c>
      <c r="N1912" s="524"/>
      <c r="O1912" s="524"/>
    </row>
    <row r="1913" spans="1:15" ht="58" hidden="1">
      <c r="A1913" s="527">
        <v>99058</v>
      </c>
      <c r="B1913" s="527"/>
      <c r="C1913" s="527" t="s">
        <v>1417</v>
      </c>
      <c r="D1913" s="527" t="s">
        <v>4703</v>
      </c>
      <c r="E1913" s="527" t="s">
        <v>1418</v>
      </c>
      <c r="F1913" s="527" t="s">
        <v>1419</v>
      </c>
      <c r="G1913" s="527">
        <v>283</v>
      </c>
      <c r="H1913" s="527" t="s">
        <v>4705</v>
      </c>
      <c r="I1913" s="527" t="s">
        <v>4704</v>
      </c>
      <c r="J1913" s="527" t="s">
        <v>2890</v>
      </c>
      <c r="K1913" s="527" t="s">
        <v>2890</v>
      </c>
      <c r="L1913" s="527" t="s">
        <v>6371</v>
      </c>
      <c r="M1913" s="524"/>
      <c r="N1913" s="524"/>
      <c r="O1913" s="524"/>
    </row>
    <row r="1914" spans="1:15" ht="43.5" hidden="1">
      <c r="A1914" s="525">
        <v>99059</v>
      </c>
      <c r="B1914" s="525"/>
      <c r="C1914" s="524" t="s">
        <v>1424</v>
      </c>
      <c r="D1914" s="524" t="s">
        <v>1425</v>
      </c>
      <c r="E1914" s="524" t="s">
        <v>1426</v>
      </c>
      <c r="F1914" s="524" t="s">
        <v>1426</v>
      </c>
      <c r="G1914" s="524" t="s">
        <v>1426</v>
      </c>
      <c r="H1914" s="524" t="s">
        <v>1426</v>
      </c>
      <c r="I1914" s="524" t="s">
        <v>1425</v>
      </c>
      <c r="J1914" s="524" t="s">
        <v>1425</v>
      </c>
      <c r="K1914" s="524"/>
      <c r="L1914" s="524" t="s">
        <v>6402</v>
      </c>
      <c r="M1914" s="524" t="s">
        <v>6403</v>
      </c>
      <c r="N1914" s="524"/>
      <c r="O1914" s="524"/>
    </row>
    <row r="1915" spans="1:15" ht="72.5" hidden="1">
      <c r="A1915" s="527">
        <v>99059</v>
      </c>
      <c r="B1915" s="527"/>
      <c r="C1915" s="527" t="s">
        <v>1424</v>
      </c>
      <c r="D1915" s="527" t="s">
        <v>4703</v>
      </c>
      <c r="E1915" s="527" t="s">
        <v>1425</v>
      </c>
      <c r="F1915" s="527" t="s">
        <v>1426</v>
      </c>
      <c r="G1915" s="527">
        <v>283</v>
      </c>
      <c r="H1915" s="527" t="s">
        <v>4705</v>
      </c>
      <c r="I1915" s="527" t="s">
        <v>4704</v>
      </c>
      <c r="J1915" s="527" t="s">
        <v>2890</v>
      </c>
      <c r="K1915" s="527" t="s">
        <v>2890</v>
      </c>
      <c r="L1915" s="527" t="s">
        <v>8155</v>
      </c>
      <c r="M1915" s="524"/>
      <c r="N1915" s="524"/>
      <c r="O1915" s="524"/>
    </row>
    <row r="1916" spans="1:15" ht="29" hidden="1">
      <c r="A1916" s="525">
        <v>99060</v>
      </c>
      <c r="B1916" s="525"/>
      <c r="C1916" s="524" t="s">
        <v>5135</v>
      </c>
      <c r="D1916" s="524" t="s">
        <v>5135</v>
      </c>
      <c r="E1916" s="524" t="s">
        <v>5135</v>
      </c>
      <c r="F1916" s="524" t="s">
        <v>5135</v>
      </c>
      <c r="G1916" s="524" t="s">
        <v>5135</v>
      </c>
      <c r="H1916" s="524" t="s">
        <v>5135</v>
      </c>
      <c r="I1916" s="524" t="s">
        <v>5135</v>
      </c>
      <c r="J1916" s="524" t="s">
        <v>5135</v>
      </c>
      <c r="K1916" s="524"/>
      <c r="L1916" s="524" t="s">
        <v>6402</v>
      </c>
      <c r="M1916" s="524" t="s">
        <v>6403</v>
      </c>
      <c r="N1916" s="524"/>
      <c r="O1916" s="524"/>
    </row>
    <row r="1917" spans="1:15" ht="43.5" hidden="1">
      <c r="A1917" s="525">
        <v>99070</v>
      </c>
      <c r="B1917" s="525"/>
      <c r="C1917" s="524" t="s">
        <v>1443</v>
      </c>
      <c r="D1917" s="524" t="s">
        <v>1444</v>
      </c>
      <c r="E1917" s="524" t="s">
        <v>1445</v>
      </c>
      <c r="F1917" s="524" t="s">
        <v>1445</v>
      </c>
      <c r="G1917" s="524" t="s">
        <v>1445</v>
      </c>
      <c r="H1917" s="524" t="s">
        <v>1445</v>
      </c>
      <c r="I1917" s="524" t="s">
        <v>8156</v>
      </c>
      <c r="J1917" s="524" t="s">
        <v>1444</v>
      </c>
      <c r="K1917" s="524" t="s">
        <v>6359</v>
      </c>
      <c r="L1917" s="524" t="s">
        <v>6964</v>
      </c>
      <c r="M1917" s="524" t="s">
        <v>6965</v>
      </c>
      <c r="N1917" s="524"/>
      <c r="O1917" s="524"/>
    </row>
    <row r="1918" spans="1:15" ht="72.5" hidden="1">
      <c r="A1918" s="527">
        <v>99070</v>
      </c>
      <c r="B1918" s="527"/>
      <c r="C1918" s="527" t="s">
        <v>1443</v>
      </c>
      <c r="D1918" s="527" t="s">
        <v>4703</v>
      </c>
      <c r="E1918" s="527" t="s">
        <v>1444</v>
      </c>
      <c r="F1918" s="527" t="s">
        <v>1445</v>
      </c>
      <c r="G1918" s="527">
        <v>283</v>
      </c>
      <c r="H1918" s="527" t="s">
        <v>4705</v>
      </c>
      <c r="I1918" s="527" t="s">
        <v>4704</v>
      </c>
      <c r="J1918" s="527" t="s">
        <v>2890</v>
      </c>
      <c r="K1918" s="527" t="s">
        <v>2889</v>
      </c>
      <c r="L1918" s="527" t="s">
        <v>8157</v>
      </c>
      <c r="M1918" s="524"/>
      <c r="N1918" s="524"/>
      <c r="O1918" s="524"/>
    </row>
    <row r="1919" spans="1:15" ht="29" hidden="1">
      <c r="A1919" s="525">
        <v>99071</v>
      </c>
      <c r="B1919" s="525"/>
      <c r="C1919" s="524" t="s">
        <v>1429</v>
      </c>
      <c r="D1919" s="524" t="s">
        <v>1430</v>
      </c>
      <c r="E1919" s="524" t="s">
        <v>8158</v>
      </c>
      <c r="F1919" s="524" t="s">
        <v>8158</v>
      </c>
      <c r="G1919" s="524" t="s">
        <v>8158</v>
      </c>
      <c r="H1919" s="524" t="s">
        <v>8158</v>
      </c>
      <c r="I1919" s="524" t="s">
        <v>8159</v>
      </c>
      <c r="J1919" s="524" t="s">
        <v>1430</v>
      </c>
      <c r="K1919" s="524"/>
      <c r="L1919" s="524" t="s">
        <v>8160</v>
      </c>
      <c r="M1919" s="524" t="s">
        <v>8161</v>
      </c>
      <c r="N1919" s="524"/>
      <c r="O1919" s="524"/>
    </row>
    <row r="1920" spans="1:15" ht="101.5" hidden="1">
      <c r="A1920" s="527">
        <v>99071</v>
      </c>
      <c r="B1920" s="527"/>
      <c r="C1920" s="527" t="s">
        <v>1429</v>
      </c>
      <c r="D1920" s="527" t="s">
        <v>4703</v>
      </c>
      <c r="E1920" s="527" t="s">
        <v>1430</v>
      </c>
      <c r="F1920" s="527" t="s">
        <v>1431</v>
      </c>
      <c r="G1920" s="527">
        <v>283</v>
      </c>
      <c r="H1920" s="527" t="s">
        <v>4705</v>
      </c>
      <c r="I1920" s="527" t="s">
        <v>4704</v>
      </c>
      <c r="J1920" s="527" t="s">
        <v>2890</v>
      </c>
      <c r="K1920" s="527" t="s">
        <v>3150</v>
      </c>
      <c r="L1920" s="527" t="s">
        <v>8162</v>
      </c>
      <c r="M1920" s="524"/>
      <c r="N1920" s="524"/>
      <c r="O1920" s="524"/>
    </row>
    <row r="1921" spans="1:15" ht="29" hidden="1">
      <c r="A1921" s="524">
        <v>99072</v>
      </c>
      <c r="B1921" s="524"/>
      <c r="C1921" s="524" t="s">
        <v>5083</v>
      </c>
      <c r="D1921" s="524" t="s">
        <v>5082</v>
      </c>
      <c r="E1921" s="524" t="s">
        <v>5081</v>
      </c>
      <c r="F1921" s="524" t="s">
        <v>5081</v>
      </c>
      <c r="G1921" s="524" t="s">
        <v>5081</v>
      </c>
      <c r="H1921" s="524" t="s">
        <v>5081</v>
      </c>
      <c r="I1921" s="524" t="s">
        <v>6449</v>
      </c>
      <c r="J1921" s="524" t="s">
        <v>5082</v>
      </c>
      <c r="K1921" s="524"/>
      <c r="L1921" s="524" t="s">
        <v>6414</v>
      </c>
      <c r="M1921" s="524" t="s">
        <v>6450</v>
      </c>
      <c r="N1921" s="524"/>
      <c r="O1921" s="524"/>
    </row>
    <row r="1922" spans="1:15" ht="43.5" hidden="1">
      <c r="A1922" s="527">
        <v>99072</v>
      </c>
      <c r="B1922" s="527"/>
      <c r="C1922" s="527" t="s">
        <v>5082</v>
      </c>
      <c r="D1922" s="527" t="s">
        <v>1068</v>
      </c>
      <c r="E1922" s="527" t="s">
        <v>5082</v>
      </c>
      <c r="F1922" s="527" t="s">
        <v>5082</v>
      </c>
      <c r="G1922" s="527">
        <v>88</v>
      </c>
      <c r="H1922" s="527" t="s">
        <v>16</v>
      </c>
      <c r="I1922" s="527" t="s">
        <v>1066</v>
      </c>
      <c r="J1922" s="527" t="s">
        <v>2889</v>
      </c>
      <c r="K1922" s="527" t="s">
        <v>2889</v>
      </c>
      <c r="L1922" s="527" t="s">
        <v>8163</v>
      </c>
      <c r="M1922" s="524"/>
      <c r="N1922" s="524"/>
      <c r="O1922" s="524"/>
    </row>
    <row r="1923" spans="1:15" ht="43.5" hidden="1">
      <c r="A1923" s="524">
        <v>99073</v>
      </c>
      <c r="B1923" s="524"/>
      <c r="C1923" s="524" t="s">
        <v>5040</v>
      </c>
      <c r="D1923" s="524" t="s">
        <v>5039</v>
      </c>
      <c r="E1923" s="524" t="s">
        <v>5038</v>
      </c>
      <c r="F1923" s="524" t="s">
        <v>5038</v>
      </c>
      <c r="G1923" s="524" t="s">
        <v>5038</v>
      </c>
      <c r="H1923" s="524" t="s">
        <v>5038</v>
      </c>
      <c r="I1923" s="524" t="s">
        <v>8164</v>
      </c>
      <c r="J1923" s="524" t="s">
        <v>5039</v>
      </c>
      <c r="K1923" s="524" t="s">
        <v>6359</v>
      </c>
      <c r="L1923" s="524" t="s">
        <v>6381</v>
      </c>
      <c r="M1923" s="524" t="s">
        <v>2313</v>
      </c>
      <c r="N1923" s="524"/>
      <c r="O1923" s="524"/>
    </row>
  </sheetData>
  <autoFilter ref="A1:Q1923" xr:uid="{03733DB3-A1EB-442D-A91B-64F6B3E10431}">
    <filterColumn colId="1">
      <filters>
        <filter val="Yes"/>
      </filters>
    </filterColumn>
  </autoFilter>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DD136-9D4B-4023-A919-283749C5F3F3}">
  <dimension ref="A1:K1470"/>
  <sheetViews>
    <sheetView topLeftCell="A86" workbookViewId="0"/>
  </sheetViews>
  <sheetFormatPr defaultColWidth="9.1796875" defaultRowHeight="14.5"/>
  <cols>
    <col min="1" max="1" width="14.26953125" style="385" customWidth="1"/>
    <col min="2" max="2" width="70.54296875" style="385" bestFit="1" customWidth="1"/>
    <col min="3" max="3" width="78.54296875" style="385" bestFit="1" customWidth="1"/>
    <col min="4" max="4" width="71.1796875" style="385" bestFit="1" customWidth="1"/>
    <col min="5" max="5" width="14.81640625" style="385" customWidth="1"/>
    <col min="6" max="6" width="39.453125" style="385" bestFit="1" customWidth="1"/>
    <col min="7" max="7" width="47.26953125" style="385" bestFit="1" customWidth="1"/>
    <col min="8" max="8" width="39.453125" style="385" bestFit="1" customWidth="1"/>
    <col min="9" max="9" width="14.81640625" style="385" customWidth="1"/>
    <col min="10" max="10" width="22.453125" style="385" customWidth="1"/>
    <col min="11" max="16384" width="9.1796875" style="385"/>
  </cols>
  <sheetData>
    <row r="1" spans="1:11">
      <c r="A1" s="385" t="s">
        <v>1915</v>
      </c>
      <c r="B1" s="385" t="s">
        <v>1916</v>
      </c>
      <c r="C1" s="385" t="s">
        <v>1919</v>
      </c>
      <c r="D1" s="385" t="s">
        <v>1921</v>
      </c>
      <c r="E1" s="385" t="s">
        <v>1917</v>
      </c>
      <c r="F1" s="385" t="s">
        <v>1918</v>
      </c>
      <c r="G1" s="385" t="s">
        <v>1920</v>
      </c>
      <c r="H1" s="385" t="s">
        <v>1922</v>
      </c>
      <c r="I1" s="385" t="s">
        <v>5798</v>
      </c>
      <c r="J1" s="385" t="s">
        <v>5797</v>
      </c>
      <c r="K1" s="385" t="s">
        <v>5799</v>
      </c>
    </row>
    <row r="2" spans="1:11" hidden="1">
      <c r="A2" s="385">
        <v>867</v>
      </c>
      <c r="B2" s="385" t="s">
        <v>421</v>
      </c>
      <c r="C2" s="385" t="s">
        <v>1513</v>
      </c>
      <c r="D2" s="385" t="s">
        <v>1514</v>
      </c>
      <c r="E2" s="385">
        <v>391</v>
      </c>
      <c r="F2" s="385" t="s">
        <v>420</v>
      </c>
      <c r="I2" s="385" t="s">
        <v>3477</v>
      </c>
      <c r="J2" s="385" t="s">
        <v>3476</v>
      </c>
      <c r="K2" s="385" t="str">
        <f>VLOOKUP(Table13[[#This Row],[CD_FUNCAO]],'BASE_FUNCOES (hide)'!A:X,2,FALSE)</f>
        <v>Gestão de Home Care</v>
      </c>
    </row>
    <row r="3" spans="1:11" hidden="1">
      <c r="A3" s="385">
        <v>1351</v>
      </c>
      <c r="B3" s="385" t="s">
        <v>343</v>
      </c>
      <c r="C3" s="385" t="s">
        <v>1473</v>
      </c>
      <c r="D3" s="385" t="s">
        <v>1474</v>
      </c>
      <c r="E3" s="385">
        <v>302</v>
      </c>
      <c r="F3" s="385" t="s">
        <v>409</v>
      </c>
      <c r="G3" s="385" t="s">
        <v>1467</v>
      </c>
      <c r="H3" s="385" t="s">
        <v>1469</v>
      </c>
      <c r="I3" s="385" t="s">
        <v>3477</v>
      </c>
      <c r="J3" s="385" t="s">
        <v>3477</v>
      </c>
      <c r="K3" s="385" t="str">
        <f>VLOOKUP(Table13[[#This Row],[CD_FUNCAO]],'BASE_FUNCOES (hide)'!A:X,2,FALSE)</f>
        <v>Controle de Reuniões e Atas</v>
      </c>
    </row>
    <row r="4" spans="1:11">
      <c r="A4" s="385">
        <v>-7000</v>
      </c>
      <c r="B4" s="385" t="s">
        <v>5009</v>
      </c>
      <c r="C4" s="385" t="s">
        <v>5008</v>
      </c>
      <c r="D4" s="385" t="s">
        <v>5007</v>
      </c>
      <c r="E4" s="385">
        <v>283</v>
      </c>
      <c r="F4" s="385" t="s">
        <v>4705</v>
      </c>
      <c r="G4" s="385" t="s">
        <v>4704</v>
      </c>
      <c r="H4" s="385" t="s">
        <v>4703</v>
      </c>
      <c r="I4" s="385" t="s">
        <v>3510</v>
      </c>
      <c r="J4" s="385" t="s">
        <v>3477</v>
      </c>
      <c r="K4" s="385" t="e">
        <f>VLOOKUP(Table13[[#This Row],[CD_FUNCAO]],'BASE_FUNCOES (hide)'!A:X,2,FALSE)</f>
        <v>#N/A</v>
      </c>
    </row>
    <row r="5" spans="1:11" hidden="1">
      <c r="A5" s="385">
        <v>-25</v>
      </c>
      <c r="B5" s="385" t="s">
        <v>410</v>
      </c>
      <c r="C5" s="385" t="s">
        <v>1470</v>
      </c>
      <c r="D5" s="385" t="s">
        <v>410</v>
      </c>
      <c r="E5" s="385">
        <v>302</v>
      </c>
      <c r="F5" s="385" t="s">
        <v>409</v>
      </c>
      <c r="G5" s="385" t="s">
        <v>1467</v>
      </c>
      <c r="H5" s="385" t="s">
        <v>1469</v>
      </c>
      <c r="I5" s="385" t="s">
        <v>3477</v>
      </c>
      <c r="J5" s="385" t="s">
        <v>3476</v>
      </c>
      <c r="K5" s="385" t="str">
        <f>VLOOKUP(Table13[[#This Row],[CD_FUNCAO]],'BASE_FUNCOES (hide)'!A:X,2,FALSE)</f>
        <v>Alertas</v>
      </c>
    </row>
    <row r="6" spans="1:11" hidden="1">
      <c r="A6" s="385">
        <v>-261</v>
      </c>
      <c r="B6" s="385" t="s">
        <v>413</v>
      </c>
      <c r="C6" s="385" t="s">
        <v>1471</v>
      </c>
      <c r="D6" s="385" t="s">
        <v>1472</v>
      </c>
      <c r="E6" s="385">
        <v>302</v>
      </c>
      <c r="F6" s="385" t="s">
        <v>409</v>
      </c>
      <c r="G6" s="385" t="s">
        <v>1467</v>
      </c>
      <c r="H6" s="385" t="s">
        <v>1469</v>
      </c>
      <c r="I6" s="385" t="s">
        <v>3477</v>
      </c>
      <c r="J6" s="385" t="s">
        <v>3477</v>
      </c>
      <c r="K6" s="385" t="str">
        <f>VLOOKUP(Table13[[#This Row],[CD_FUNCAO]],'BASE_FUNCOES (hide)'!A:X,2,FALSE)</f>
        <v>Parâmetros dos Relatórios</v>
      </c>
    </row>
    <row r="7" spans="1:11">
      <c r="A7" s="385">
        <v>-6971</v>
      </c>
      <c r="B7" s="385" t="s">
        <v>5000</v>
      </c>
      <c r="C7" s="385" t="s">
        <v>4999</v>
      </c>
      <c r="D7" s="385" t="s">
        <v>4998</v>
      </c>
      <c r="E7" s="385">
        <v>283</v>
      </c>
      <c r="F7" s="385" t="s">
        <v>4705</v>
      </c>
      <c r="G7" s="385" t="s">
        <v>4704</v>
      </c>
      <c r="H7" s="385" t="s">
        <v>4703</v>
      </c>
      <c r="I7" s="385" t="s">
        <v>3488</v>
      </c>
      <c r="J7" s="385" t="s">
        <v>3477</v>
      </c>
      <c r="K7" s="385" t="e">
        <f>VLOOKUP(Table13[[#This Row],[CD_FUNCAO]],'BASE_FUNCOES (hide)'!A:X,2,FALSE)</f>
        <v>#N/A</v>
      </c>
    </row>
    <row r="8" spans="1:11" hidden="1">
      <c r="A8" s="385">
        <v>0</v>
      </c>
      <c r="B8" s="385" t="s">
        <v>412</v>
      </c>
      <c r="C8" s="385" t="s">
        <v>1475</v>
      </c>
      <c r="D8" s="385" t="s">
        <v>1476</v>
      </c>
      <c r="E8" s="385">
        <v>302</v>
      </c>
      <c r="F8" s="385" t="s">
        <v>409</v>
      </c>
      <c r="G8" s="385" t="s">
        <v>1467</v>
      </c>
      <c r="H8" s="385" t="s">
        <v>1469</v>
      </c>
      <c r="I8" s="385" t="s">
        <v>3477</v>
      </c>
      <c r="J8" s="385" t="s">
        <v>3477</v>
      </c>
      <c r="K8" s="385" t="str">
        <f>VLOOKUP(Table13[[#This Row],[CD_FUNCAO]],'BASE_FUNCOES (hide)'!A:X,2,FALSE)</f>
        <v>Menu do Sistema</v>
      </c>
    </row>
    <row r="9" spans="1:11" hidden="1">
      <c r="A9" s="385">
        <v>3120</v>
      </c>
      <c r="B9" s="385" t="s">
        <v>411</v>
      </c>
      <c r="C9" s="385" t="s">
        <v>1466</v>
      </c>
      <c r="D9" s="385" t="s">
        <v>1468</v>
      </c>
      <c r="E9" s="385">
        <v>302</v>
      </c>
      <c r="F9" s="385" t="s">
        <v>409</v>
      </c>
      <c r="G9" s="385" t="s">
        <v>1467</v>
      </c>
      <c r="H9" s="385" t="s">
        <v>1469</v>
      </c>
      <c r="I9" s="385" t="s">
        <v>3477</v>
      </c>
      <c r="K9" s="385" t="str">
        <f>VLOOKUP(Table13[[#This Row],[CD_FUNCAO]],'BASE_FUNCOES (hide)'!A:X,2,FALSE)</f>
        <v>Gerenciamento da telefonia</v>
      </c>
    </row>
    <row r="10" spans="1:11">
      <c r="A10" s="385">
        <v>-6970</v>
      </c>
      <c r="B10" s="385" t="s">
        <v>5012</v>
      </c>
      <c r="C10" s="385" t="s">
        <v>5011</v>
      </c>
      <c r="D10" s="385" t="s">
        <v>5010</v>
      </c>
      <c r="E10" s="385">
        <v>283</v>
      </c>
      <c r="F10" s="385" t="s">
        <v>4705</v>
      </c>
      <c r="G10" s="385" t="s">
        <v>4704</v>
      </c>
      <c r="H10" s="385" t="s">
        <v>4703</v>
      </c>
      <c r="I10" s="385" t="s">
        <v>3510</v>
      </c>
      <c r="J10" s="385" t="s">
        <v>3476</v>
      </c>
      <c r="K10" s="385" t="e">
        <f>VLOOKUP(Table13[[#This Row],[CD_FUNCAO]],'BASE_FUNCOES (hide)'!A:X,2,FALSE)</f>
        <v>#N/A</v>
      </c>
    </row>
    <row r="11" spans="1:11">
      <c r="A11" s="385">
        <v>-6960</v>
      </c>
      <c r="B11" s="385" t="s">
        <v>5015</v>
      </c>
      <c r="C11" s="385" t="s">
        <v>5014</v>
      </c>
      <c r="D11" s="385" t="s">
        <v>5013</v>
      </c>
      <c r="E11" s="385">
        <v>283</v>
      </c>
      <c r="F11" s="385" t="s">
        <v>4705</v>
      </c>
      <c r="G11" s="385" t="s">
        <v>4704</v>
      </c>
      <c r="H11" s="385" t="s">
        <v>4703</v>
      </c>
      <c r="I11" s="385" t="s">
        <v>3488</v>
      </c>
      <c r="J11" s="385" t="s">
        <v>3477</v>
      </c>
      <c r="K11" s="385" t="e">
        <f>VLOOKUP(Table13[[#This Row],[CD_FUNCAO]],'BASE_FUNCOES (hide)'!A:X,2,FALSE)</f>
        <v>#N/A</v>
      </c>
    </row>
    <row r="12" spans="1:11" hidden="1">
      <c r="A12" s="385">
        <v>7041</v>
      </c>
      <c r="B12" s="385" t="s">
        <v>416</v>
      </c>
      <c r="C12" s="385" t="s">
        <v>1499</v>
      </c>
      <c r="D12" s="385" t="s">
        <v>1500</v>
      </c>
      <c r="E12" s="385">
        <v>322</v>
      </c>
      <c r="F12" s="385" t="s">
        <v>415</v>
      </c>
      <c r="I12" s="385" t="s">
        <v>3477</v>
      </c>
      <c r="J12" s="385" t="s">
        <v>3477</v>
      </c>
      <c r="K12" s="385" t="str">
        <f>VLOOKUP(Table13[[#This Row],[CD_FUNCAO]],'BASE_FUNCOES (hide)'!A:X,2,FALSE)</f>
        <v>Gestão de Treinamento</v>
      </c>
    </row>
    <row r="13" spans="1:11" hidden="1">
      <c r="A13" s="385">
        <v>7004</v>
      </c>
      <c r="B13" s="385" t="s">
        <v>417</v>
      </c>
      <c r="C13" s="385" t="s">
        <v>1497</v>
      </c>
      <c r="D13" s="385" t="s">
        <v>1498</v>
      </c>
      <c r="E13" s="385">
        <v>322</v>
      </c>
      <c r="F13" s="385" t="s">
        <v>415</v>
      </c>
      <c r="I13" s="385" t="s">
        <v>3477</v>
      </c>
      <c r="J13" s="385" t="s">
        <v>3476</v>
      </c>
      <c r="K13" s="385" t="str">
        <f>VLOOKUP(Table13[[#This Row],[CD_FUNCAO]],'BASE_FUNCOES (hide)'!A:X,2,FALSE)</f>
        <v>Treinamento</v>
      </c>
    </row>
    <row r="14" spans="1:11" hidden="1">
      <c r="A14" s="385">
        <v>1301</v>
      </c>
      <c r="B14" s="385" t="s">
        <v>414</v>
      </c>
      <c r="C14" s="385" t="s">
        <v>1495</v>
      </c>
      <c r="D14" s="385" t="s">
        <v>1496</v>
      </c>
      <c r="E14" s="385">
        <v>312</v>
      </c>
      <c r="F14" s="385" t="s">
        <v>414</v>
      </c>
      <c r="I14" s="385" t="s">
        <v>3477</v>
      </c>
      <c r="J14" s="385" t="s">
        <v>3476</v>
      </c>
      <c r="K14" s="385" t="str">
        <f>VLOOKUP(Table13[[#This Row],[CD_FUNCAO]],'BASE_FUNCOES (hide)'!A:X,2,FALSE)</f>
        <v>Rouparia</v>
      </c>
    </row>
    <row r="15" spans="1:11" hidden="1">
      <c r="A15" s="385">
        <v>215</v>
      </c>
      <c r="B15" s="385" t="s">
        <v>1483</v>
      </c>
      <c r="C15" s="385" t="s">
        <v>1484</v>
      </c>
      <c r="D15" s="385" t="s">
        <v>1485</v>
      </c>
      <c r="E15" s="385">
        <v>304</v>
      </c>
      <c r="F15" s="385" t="s">
        <v>1478</v>
      </c>
      <c r="G15" s="385" t="s">
        <v>1480</v>
      </c>
      <c r="H15" s="385" t="s">
        <v>1482</v>
      </c>
      <c r="I15" s="385" t="s">
        <v>3477</v>
      </c>
      <c r="J15" s="385" t="s">
        <v>3476</v>
      </c>
      <c r="K15" s="385" t="str">
        <f>VLOOKUP(Table13[[#This Row],[CD_FUNCAO]],'BASE_FUNCOES (hide)'!A:X,2,FALSE)</f>
        <v>Gestão de Vendas Philips</v>
      </c>
    </row>
    <row r="16" spans="1:11" hidden="1">
      <c r="A16" s="385">
        <v>992</v>
      </c>
      <c r="B16" s="385" t="s">
        <v>1477</v>
      </c>
      <c r="C16" s="385" t="s">
        <v>1479</v>
      </c>
      <c r="D16" s="385" t="s">
        <v>1481</v>
      </c>
      <c r="E16" s="385">
        <v>304</v>
      </c>
      <c r="F16" s="385" t="s">
        <v>1478</v>
      </c>
      <c r="G16" s="385" t="s">
        <v>1480</v>
      </c>
      <c r="H16" s="385" t="s">
        <v>1482</v>
      </c>
      <c r="I16" s="385" t="s">
        <v>3477</v>
      </c>
      <c r="J16" s="385" t="s">
        <v>3476</v>
      </c>
      <c r="K16" s="385" t="str">
        <f>VLOOKUP(Table13[[#This Row],[CD_FUNCAO]],'BASE_FUNCOES (hide)'!A:X,2,FALSE)</f>
        <v>Gestão Comercial Philips</v>
      </c>
    </row>
    <row r="17" spans="1:11">
      <c r="A17" s="385">
        <v>-6937</v>
      </c>
      <c r="B17" s="385" t="s">
        <v>5313</v>
      </c>
      <c r="C17" s="385" t="s">
        <v>5312</v>
      </c>
      <c r="D17" s="385" t="s">
        <v>5311</v>
      </c>
      <c r="E17" s="385">
        <v>283</v>
      </c>
      <c r="F17" s="385" t="s">
        <v>4705</v>
      </c>
      <c r="G17" s="385" t="s">
        <v>4704</v>
      </c>
      <c r="H17" s="385" t="s">
        <v>4703</v>
      </c>
      <c r="I17" s="385" t="s">
        <v>3510</v>
      </c>
      <c r="J17" s="385" t="s">
        <v>3476</v>
      </c>
      <c r="K17" s="385" t="e">
        <f>VLOOKUP(Table13[[#This Row],[CD_FUNCAO]],'BASE_FUNCOES (hide)'!A:X,2,FALSE)</f>
        <v>#N/A</v>
      </c>
    </row>
    <row r="18" spans="1:11">
      <c r="A18" s="385">
        <v>-6935</v>
      </c>
      <c r="B18" s="385" t="s">
        <v>5299</v>
      </c>
      <c r="C18" s="385" t="s">
        <v>5300</v>
      </c>
      <c r="D18" s="385" t="s">
        <v>5299</v>
      </c>
      <c r="E18" s="385">
        <v>283</v>
      </c>
      <c r="F18" s="385" t="s">
        <v>4705</v>
      </c>
      <c r="G18" s="385" t="s">
        <v>4704</v>
      </c>
      <c r="H18" s="385" t="s">
        <v>4703</v>
      </c>
      <c r="I18" s="385" t="s">
        <v>3510</v>
      </c>
      <c r="J18" s="385" t="s">
        <v>3477</v>
      </c>
      <c r="K18" s="385" t="e">
        <f>VLOOKUP(Table13[[#This Row],[CD_FUNCAO]],'BASE_FUNCOES (hide)'!A:X,2,FALSE)</f>
        <v>#N/A</v>
      </c>
    </row>
    <row r="19" spans="1:11" hidden="1">
      <c r="A19" s="385">
        <v>7002</v>
      </c>
      <c r="B19" s="385" t="s">
        <v>5781</v>
      </c>
      <c r="C19" s="385" t="s">
        <v>5780</v>
      </c>
      <c r="D19" s="385" t="s">
        <v>5779</v>
      </c>
      <c r="E19" s="385">
        <v>305</v>
      </c>
      <c r="F19" s="385" t="s">
        <v>1487</v>
      </c>
      <c r="G19" s="385" t="s">
        <v>1489</v>
      </c>
      <c r="H19" s="385" t="s">
        <v>1491</v>
      </c>
      <c r="I19" s="385" t="s">
        <v>3477</v>
      </c>
      <c r="J19" s="385" t="s">
        <v>3476</v>
      </c>
      <c r="K19" s="385" t="str">
        <f>VLOOKUP(Table13[[#This Row],[CD_FUNCAO]],'BASE_FUNCOES (hide)'!A:X,2,FALSE)</f>
        <v>Gestão de Viagens</v>
      </c>
    </row>
    <row r="20" spans="1:11">
      <c r="A20" s="385">
        <v>-6930</v>
      </c>
      <c r="B20" s="385" t="s">
        <v>5366</v>
      </c>
      <c r="C20" s="385" t="s">
        <v>5365</v>
      </c>
      <c r="D20" s="385" t="s">
        <v>5364</v>
      </c>
      <c r="E20" s="385">
        <v>283</v>
      </c>
      <c r="F20" s="385" t="s">
        <v>4705</v>
      </c>
      <c r="G20" s="385" t="s">
        <v>4704</v>
      </c>
      <c r="H20" s="385" t="s">
        <v>4703</v>
      </c>
      <c r="I20" s="385" t="s">
        <v>3488</v>
      </c>
      <c r="J20" s="385" t="s">
        <v>3476</v>
      </c>
      <c r="K20" s="385" t="e">
        <f>VLOOKUP(Table13[[#This Row],[CD_FUNCAO]],'BASE_FUNCOES (hide)'!A:X,2,FALSE)</f>
        <v>#N/A</v>
      </c>
    </row>
    <row r="21" spans="1:11" hidden="1">
      <c r="A21" s="385">
        <v>1905</v>
      </c>
      <c r="B21" s="385" t="s">
        <v>1486</v>
      </c>
      <c r="C21" s="385" t="s">
        <v>5775</v>
      </c>
      <c r="D21" s="385" t="s">
        <v>1490</v>
      </c>
      <c r="E21" s="385">
        <v>305</v>
      </c>
      <c r="F21" s="385" t="s">
        <v>1487</v>
      </c>
      <c r="G21" s="385" t="s">
        <v>1489</v>
      </c>
      <c r="H21" s="385" t="s">
        <v>1491</v>
      </c>
      <c r="I21" s="385" t="s">
        <v>3477</v>
      </c>
      <c r="J21" s="385" t="s">
        <v>3476</v>
      </c>
      <c r="K21" s="385" t="str">
        <f>VLOOKUP(Table13[[#This Row],[CD_FUNCAO]],'BASE_FUNCOES (hide)'!A:X,2,FALSE)</f>
        <v>Currículo</v>
      </c>
    </row>
    <row r="22" spans="1:11">
      <c r="A22" s="385">
        <v>-6700</v>
      </c>
      <c r="B22" s="385" t="s">
        <v>5093</v>
      </c>
      <c r="C22" s="385" t="s">
        <v>5094</v>
      </c>
      <c r="D22" s="385" t="s">
        <v>5093</v>
      </c>
      <c r="E22" s="385">
        <v>283</v>
      </c>
      <c r="F22" s="385" t="s">
        <v>4705</v>
      </c>
      <c r="G22" s="385" t="s">
        <v>4704</v>
      </c>
      <c r="H22" s="385" t="s">
        <v>4703</v>
      </c>
      <c r="I22" s="385" t="s">
        <v>3510</v>
      </c>
      <c r="J22" s="385" t="s">
        <v>3477</v>
      </c>
      <c r="K22" s="385" t="e">
        <f>VLOOKUP(Table13[[#This Row],[CD_FUNCAO]],'BASE_FUNCOES (hide)'!A:X,2,FALSE)</f>
        <v>#N/A</v>
      </c>
    </row>
    <row r="23" spans="1:11" hidden="1">
      <c r="A23" s="385">
        <v>9061</v>
      </c>
      <c r="B23" s="385" t="s">
        <v>379</v>
      </c>
      <c r="C23" s="385" t="s">
        <v>1253</v>
      </c>
      <c r="D23" s="385" t="s">
        <v>1254</v>
      </c>
      <c r="E23" s="385">
        <v>331</v>
      </c>
      <c r="F23" s="385" t="s">
        <v>3084</v>
      </c>
      <c r="G23" s="385" t="s">
        <v>1502</v>
      </c>
      <c r="H23" s="385" t="s">
        <v>1502</v>
      </c>
      <c r="I23" s="385" t="s">
        <v>3477</v>
      </c>
      <c r="K23" s="385" t="str">
        <f>VLOOKUP(Table13[[#This Row],[CD_FUNCAO]],'BASE_FUNCOES (hide)'!A:X,2,FALSE)</f>
        <v>Marcação agenda paciente Web</v>
      </c>
    </row>
    <row r="24" spans="1:11" hidden="1">
      <c r="A24" s="385">
        <v>305</v>
      </c>
      <c r="B24" s="385" t="s">
        <v>375</v>
      </c>
      <c r="C24" s="385" t="s">
        <v>1262</v>
      </c>
      <c r="D24" s="385" t="s">
        <v>1263</v>
      </c>
      <c r="E24" s="385">
        <v>331</v>
      </c>
      <c r="F24" s="385" t="s">
        <v>3084</v>
      </c>
      <c r="G24" s="385" t="s">
        <v>1502</v>
      </c>
      <c r="H24" s="385" t="s">
        <v>1502</v>
      </c>
      <c r="I24" s="385" t="s">
        <v>3477</v>
      </c>
      <c r="K24" s="385" t="str">
        <f>VLOOKUP(Table13[[#This Row],[CD_FUNCAO]],'BASE_FUNCOES (hide)'!A:X,2,FALSE)</f>
        <v>Impressão de Relatórios Web</v>
      </c>
    </row>
    <row r="25" spans="1:11" hidden="1">
      <c r="A25" s="385">
        <v>9060</v>
      </c>
      <c r="B25" s="385" t="s">
        <v>333</v>
      </c>
      <c r="C25" s="385" t="s">
        <v>1511</v>
      </c>
      <c r="D25" s="385" t="s">
        <v>1512</v>
      </c>
      <c r="E25" s="385">
        <v>331</v>
      </c>
      <c r="F25" s="385" t="s">
        <v>3084</v>
      </c>
      <c r="G25" s="385" t="s">
        <v>1502</v>
      </c>
      <c r="H25" s="385" t="s">
        <v>1502</v>
      </c>
      <c r="I25" s="385" t="s">
        <v>3477</v>
      </c>
      <c r="K25" s="385" t="str">
        <f>VLOOKUP(Table13[[#This Row],[CD_FUNCAO]],'BASE_FUNCOES (hide)'!A:X,2,FALSE)</f>
        <v>Consulta agendamento médico Web</v>
      </c>
    </row>
    <row r="26" spans="1:11" hidden="1">
      <c r="A26" s="385">
        <v>9046</v>
      </c>
      <c r="B26" s="385" t="s">
        <v>326</v>
      </c>
      <c r="C26" s="385" t="s">
        <v>1505</v>
      </c>
      <c r="D26" s="385" t="s">
        <v>1506</v>
      </c>
      <c r="E26" s="385">
        <v>331</v>
      </c>
      <c r="F26" s="385" t="s">
        <v>3084</v>
      </c>
      <c r="G26" s="385" t="s">
        <v>1502</v>
      </c>
      <c r="H26" s="385" t="s">
        <v>1502</v>
      </c>
      <c r="I26" s="385" t="s">
        <v>3477</v>
      </c>
      <c r="K26" s="385" t="str">
        <f>VLOOKUP(Table13[[#This Row],[CD_FUNCAO]],'BASE_FUNCOES (hide)'!A:X,2,FALSE)</f>
        <v>Boletim Ocorrência Web</v>
      </c>
    </row>
    <row r="27" spans="1:11">
      <c r="A27" s="385">
        <v>-3010</v>
      </c>
      <c r="B27" s="385" t="s">
        <v>5420</v>
      </c>
      <c r="C27" s="385" t="s">
        <v>5419</v>
      </c>
      <c r="D27" s="385" t="s">
        <v>5418</v>
      </c>
      <c r="E27" s="385">
        <v>283</v>
      </c>
      <c r="F27" s="385" t="s">
        <v>4705</v>
      </c>
      <c r="G27" s="385" t="s">
        <v>4704</v>
      </c>
      <c r="H27" s="385" t="s">
        <v>4703</v>
      </c>
      <c r="I27" s="385" t="s">
        <v>3488</v>
      </c>
      <c r="J27" s="385" t="s">
        <v>3477</v>
      </c>
      <c r="K27" s="385" t="e">
        <f>VLOOKUP(Table13[[#This Row],[CD_FUNCAO]],'BASE_FUNCOES (hide)'!A:X,2,FALSE)</f>
        <v>#N/A</v>
      </c>
    </row>
    <row r="28" spans="1:11">
      <c r="A28" s="385">
        <v>-3005</v>
      </c>
      <c r="B28" s="385" t="s">
        <v>5381</v>
      </c>
      <c r="C28" s="385" t="s">
        <v>5380</v>
      </c>
      <c r="D28" s="385" t="s">
        <v>5379</v>
      </c>
      <c r="E28" s="385">
        <v>283</v>
      </c>
      <c r="F28" s="385" t="s">
        <v>4705</v>
      </c>
      <c r="G28" s="385" t="s">
        <v>4704</v>
      </c>
      <c r="H28" s="385" t="s">
        <v>4703</v>
      </c>
      <c r="I28" s="385" t="s">
        <v>3488</v>
      </c>
      <c r="J28" s="385" t="s">
        <v>3477</v>
      </c>
      <c r="K28" s="385" t="e">
        <f>VLOOKUP(Table13[[#This Row],[CD_FUNCAO]],'BASE_FUNCOES (hide)'!A:X,2,FALSE)</f>
        <v>#N/A</v>
      </c>
    </row>
    <row r="29" spans="1:11">
      <c r="A29" s="385">
        <v>-3004</v>
      </c>
      <c r="B29" s="385" t="s">
        <v>5473</v>
      </c>
      <c r="C29" s="385" t="s">
        <v>5472</v>
      </c>
      <c r="D29" s="385" t="s">
        <v>5471</v>
      </c>
      <c r="E29" s="385">
        <v>283</v>
      </c>
      <c r="F29" s="385" t="s">
        <v>4705</v>
      </c>
      <c r="G29" s="385" t="s">
        <v>4704</v>
      </c>
      <c r="H29" s="385" t="s">
        <v>4703</v>
      </c>
      <c r="I29" s="385" t="s">
        <v>3510</v>
      </c>
      <c r="J29" s="385" t="s">
        <v>3477</v>
      </c>
      <c r="K29" s="385" t="e">
        <f>VLOOKUP(Table13[[#This Row],[CD_FUNCAO]],'BASE_FUNCOES (hide)'!A:X,2,FALSE)</f>
        <v>#N/A</v>
      </c>
    </row>
    <row r="30" spans="1:11">
      <c r="A30" s="385">
        <v>-3003</v>
      </c>
      <c r="B30" s="385" t="s">
        <v>5653</v>
      </c>
      <c r="C30" s="385" t="s">
        <v>5652</v>
      </c>
      <c r="D30" s="385" t="s">
        <v>5651</v>
      </c>
      <c r="E30" s="385">
        <v>283</v>
      </c>
      <c r="F30" s="385" t="s">
        <v>4705</v>
      </c>
      <c r="G30" s="385" t="s">
        <v>4704</v>
      </c>
      <c r="H30" s="385" t="s">
        <v>4703</v>
      </c>
      <c r="I30" s="385" t="s">
        <v>3510</v>
      </c>
      <c r="J30" s="385" t="s">
        <v>3477</v>
      </c>
      <c r="K30" s="385" t="e">
        <f>VLOOKUP(Table13[[#This Row],[CD_FUNCAO]],'BASE_FUNCOES (hide)'!A:X,2,FALSE)</f>
        <v>#N/A</v>
      </c>
    </row>
    <row r="31" spans="1:11">
      <c r="A31" s="385">
        <v>-3002</v>
      </c>
      <c r="B31" s="385" t="s">
        <v>3511</v>
      </c>
      <c r="C31" s="385" t="s">
        <v>3512</v>
      </c>
      <c r="D31" s="385" t="s">
        <v>3511</v>
      </c>
      <c r="E31" s="385">
        <v>671</v>
      </c>
      <c r="F31" s="385" t="s">
        <v>3509</v>
      </c>
      <c r="I31" s="385" t="s">
        <v>3510</v>
      </c>
      <c r="J31" s="385" t="s">
        <v>3477</v>
      </c>
      <c r="K31" s="385" t="e">
        <f>VLOOKUP(Table13[[#This Row],[CD_FUNCAO]],'BASE_FUNCOES (hide)'!A:X,2,FALSE)</f>
        <v>#N/A</v>
      </c>
    </row>
    <row r="32" spans="1:11">
      <c r="A32" s="385">
        <v>-3001</v>
      </c>
      <c r="B32" s="385" t="s">
        <v>5650</v>
      </c>
      <c r="C32" s="385" t="s">
        <v>5649</v>
      </c>
      <c r="D32" s="385" t="s">
        <v>5648</v>
      </c>
      <c r="E32" s="385">
        <v>283</v>
      </c>
      <c r="F32" s="385" t="s">
        <v>4705</v>
      </c>
      <c r="G32" s="385" t="s">
        <v>4704</v>
      </c>
      <c r="H32" s="385" t="s">
        <v>4703</v>
      </c>
      <c r="I32" s="385" t="s">
        <v>3510</v>
      </c>
      <c r="J32" s="385" t="s">
        <v>3477</v>
      </c>
      <c r="K32" s="385" t="e">
        <f>VLOOKUP(Table13[[#This Row],[CD_FUNCAO]],'BASE_FUNCOES (hide)'!A:X,2,FALSE)</f>
        <v>#N/A</v>
      </c>
    </row>
    <row r="33" spans="1:11">
      <c r="A33" s="385">
        <v>-3000</v>
      </c>
      <c r="B33" s="385" t="s">
        <v>5647</v>
      </c>
      <c r="C33" s="385" t="s">
        <v>5646</v>
      </c>
      <c r="D33" s="385" t="s">
        <v>5645</v>
      </c>
      <c r="E33" s="385">
        <v>283</v>
      </c>
      <c r="F33" s="385" t="s">
        <v>4705</v>
      </c>
      <c r="G33" s="385" t="s">
        <v>4704</v>
      </c>
      <c r="H33" s="385" t="s">
        <v>4703</v>
      </c>
      <c r="I33" s="385" t="s">
        <v>3510</v>
      </c>
      <c r="J33" s="385" t="s">
        <v>3477</v>
      </c>
      <c r="K33" s="385" t="e">
        <f>VLOOKUP(Table13[[#This Row],[CD_FUNCAO]],'BASE_FUNCOES (hide)'!A:X,2,FALSE)</f>
        <v>#N/A</v>
      </c>
    </row>
    <row r="34" spans="1:11" hidden="1">
      <c r="A34" s="385">
        <v>80</v>
      </c>
      <c r="B34" s="385" t="s">
        <v>1507</v>
      </c>
      <c r="C34" s="385" t="s">
        <v>1508</v>
      </c>
      <c r="D34" s="385" t="s">
        <v>1509</v>
      </c>
      <c r="E34" s="385">
        <v>331</v>
      </c>
      <c r="F34" s="385" t="s">
        <v>3084</v>
      </c>
      <c r="G34" s="385" t="s">
        <v>1502</v>
      </c>
      <c r="H34" s="385" t="s">
        <v>1502</v>
      </c>
      <c r="I34" s="385" t="s">
        <v>3477</v>
      </c>
      <c r="J34" s="385" t="s">
        <v>3476</v>
      </c>
      <c r="K34" s="385" t="str">
        <f>VLOOKUP(Table13[[#This Row],[CD_FUNCAO]],'BASE_FUNCOES (hide)'!A:X,2,FALSE)</f>
        <v>Laboratório Web</v>
      </c>
    </row>
    <row r="35" spans="1:11" hidden="1">
      <c r="A35" s="385">
        <v>121</v>
      </c>
      <c r="B35" s="385" t="s">
        <v>419</v>
      </c>
      <c r="C35" s="385" t="s">
        <v>1510</v>
      </c>
      <c r="D35" s="385" t="s">
        <v>419</v>
      </c>
      <c r="E35" s="385">
        <v>331</v>
      </c>
      <c r="F35" s="385" t="s">
        <v>3084</v>
      </c>
      <c r="G35" s="385" t="s">
        <v>1502</v>
      </c>
      <c r="H35" s="385" t="s">
        <v>1502</v>
      </c>
      <c r="I35" s="385" t="s">
        <v>3477</v>
      </c>
      <c r="K35" s="385" t="str">
        <f>VLOOKUP(Table13[[#This Row],[CD_FUNCAO]],'BASE_FUNCOES (hide)'!A:X,2,FALSE)</f>
        <v>Portal Compras Web</v>
      </c>
    </row>
    <row r="36" spans="1:11">
      <c r="A36" s="385">
        <v>-2999</v>
      </c>
      <c r="B36" s="385" t="s">
        <v>5289</v>
      </c>
      <c r="C36" s="385" t="s">
        <v>5289</v>
      </c>
      <c r="D36" s="385" t="s">
        <v>5289</v>
      </c>
      <c r="E36" s="385">
        <v>283</v>
      </c>
      <c r="F36" s="385" t="s">
        <v>4705</v>
      </c>
      <c r="G36" s="385" t="s">
        <v>4704</v>
      </c>
      <c r="H36" s="385" t="s">
        <v>4703</v>
      </c>
      <c r="I36" s="385" t="s">
        <v>3510</v>
      </c>
      <c r="J36" s="385" t="s">
        <v>3477</v>
      </c>
      <c r="K36" s="385" t="e">
        <f>VLOOKUP(Table13[[#This Row],[CD_FUNCAO]],'BASE_FUNCOES (hide)'!A:X,2,FALSE)</f>
        <v>#N/A</v>
      </c>
    </row>
    <row r="37" spans="1:11" hidden="1">
      <c r="A37" s="385">
        <v>9045</v>
      </c>
      <c r="B37" s="385" t="s">
        <v>325</v>
      </c>
      <c r="C37" s="385" t="s">
        <v>1501</v>
      </c>
      <c r="D37" s="385" t="s">
        <v>1503</v>
      </c>
      <c r="E37" s="385">
        <v>331</v>
      </c>
      <c r="F37" s="385" t="s">
        <v>3084</v>
      </c>
      <c r="G37" s="385" t="s">
        <v>1502</v>
      </c>
      <c r="H37" s="385" t="s">
        <v>1502</v>
      </c>
      <c r="I37" s="385" t="s">
        <v>3477</v>
      </c>
      <c r="J37" s="385" t="s">
        <v>3477</v>
      </c>
      <c r="K37" s="385" t="str">
        <f>VLOOKUP(Table13[[#This Row],[CD_FUNCAO]],'BASE_FUNCOES (hide)'!A:X,2,FALSE)</f>
        <v>Avaliação Paciente Web</v>
      </c>
    </row>
    <row r="38" spans="1:11">
      <c r="A38" s="385">
        <v>-2400</v>
      </c>
      <c r="B38" s="385" t="s">
        <v>3525</v>
      </c>
      <c r="C38" s="385" t="s">
        <v>3524</v>
      </c>
      <c r="D38" s="385" t="s">
        <v>3523</v>
      </c>
      <c r="E38" s="385">
        <v>904</v>
      </c>
      <c r="F38" s="385" t="s">
        <v>2294</v>
      </c>
      <c r="G38" s="385" t="s">
        <v>1878</v>
      </c>
      <c r="H38" s="385" t="s">
        <v>1878</v>
      </c>
      <c r="I38" s="385" t="s">
        <v>3488</v>
      </c>
      <c r="J38" s="385" t="s">
        <v>3477</v>
      </c>
      <c r="K38" s="385" t="e">
        <f>VLOOKUP(Table13[[#This Row],[CD_FUNCAO]],'BASE_FUNCOES (hide)'!A:X,2,FALSE)</f>
        <v>#N/A</v>
      </c>
    </row>
    <row r="39" spans="1:11">
      <c r="A39" s="385">
        <v>-2301</v>
      </c>
      <c r="B39" s="385" t="s">
        <v>3517</v>
      </c>
      <c r="C39" s="385" t="s">
        <v>3518</v>
      </c>
      <c r="D39" s="385" t="s">
        <v>3517</v>
      </c>
      <c r="E39" s="385">
        <v>904</v>
      </c>
      <c r="F39" s="385" t="s">
        <v>2294</v>
      </c>
      <c r="G39" s="385" t="s">
        <v>1878</v>
      </c>
      <c r="H39" s="385" t="s">
        <v>1878</v>
      </c>
      <c r="I39" s="385" t="s">
        <v>3488</v>
      </c>
      <c r="J39" s="385" t="s">
        <v>3477</v>
      </c>
      <c r="K39" s="385" t="e">
        <f>VLOOKUP(Table13[[#This Row],[CD_FUNCAO]],'BASE_FUNCOES (hide)'!A:X,2,FALSE)</f>
        <v>#N/A</v>
      </c>
    </row>
    <row r="40" spans="1:11">
      <c r="A40" s="385">
        <v>-2300</v>
      </c>
      <c r="B40" s="385" t="s">
        <v>3522</v>
      </c>
      <c r="C40" s="385" t="s">
        <v>3521</v>
      </c>
      <c r="D40" s="385" t="s">
        <v>3520</v>
      </c>
      <c r="E40" s="385">
        <v>904</v>
      </c>
      <c r="F40" s="385" t="s">
        <v>2294</v>
      </c>
      <c r="G40" s="385" t="s">
        <v>1878</v>
      </c>
      <c r="H40" s="385" t="s">
        <v>1878</v>
      </c>
      <c r="I40" s="385" t="s">
        <v>3488</v>
      </c>
      <c r="J40" s="385" t="s">
        <v>3477</v>
      </c>
      <c r="K40" s="385" t="e">
        <f>VLOOKUP(Table13[[#This Row],[CD_FUNCAO]],'BASE_FUNCOES (hide)'!A:X,2,FALSE)</f>
        <v>#N/A</v>
      </c>
    </row>
    <row r="41" spans="1:11" hidden="1">
      <c r="A41" s="385">
        <v>-993</v>
      </c>
      <c r="B41" s="385" t="s">
        <v>395</v>
      </c>
      <c r="C41" s="385" t="s">
        <v>1273</v>
      </c>
      <c r="D41" s="385" t="s">
        <v>1274</v>
      </c>
      <c r="E41" s="385">
        <v>283</v>
      </c>
      <c r="F41" s="385" t="s">
        <v>4705</v>
      </c>
      <c r="G41" s="385" t="s">
        <v>4704</v>
      </c>
      <c r="H41" s="385" t="s">
        <v>4703</v>
      </c>
      <c r="I41" s="385" t="s">
        <v>3477</v>
      </c>
      <c r="J41" s="385" t="s">
        <v>3477</v>
      </c>
      <c r="K41" s="385" t="str">
        <f>VLOOKUP(Table13[[#This Row],[CD_FUNCAO]],'BASE_FUNCOES (hide)'!A:X,2,FALSE)</f>
        <v>Propriedades do Usuário</v>
      </c>
    </row>
    <row r="42" spans="1:11" hidden="1">
      <c r="A42" s="385">
        <v>-147</v>
      </c>
      <c r="B42" s="385" t="s">
        <v>378</v>
      </c>
      <c r="C42" s="385" t="s">
        <v>1248</v>
      </c>
      <c r="D42" s="385" t="s">
        <v>5739</v>
      </c>
      <c r="E42" s="385">
        <v>283</v>
      </c>
      <c r="F42" s="385" t="s">
        <v>4705</v>
      </c>
      <c r="G42" s="385" t="s">
        <v>4704</v>
      </c>
      <c r="H42" s="385" t="s">
        <v>4703</v>
      </c>
      <c r="I42" s="385" t="s">
        <v>3477</v>
      </c>
      <c r="J42" s="385" t="s">
        <v>3476</v>
      </c>
      <c r="K42" s="385" t="str">
        <f>VLOOKUP(Table13[[#This Row],[CD_FUNCAO]],'BASE_FUNCOES (hide)'!A:X,2,FALSE)</f>
        <v>Localizar Solicitação de compra</v>
      </c>
    </row>
    <row r="43" spans="1:11">
      <c r="A43" s="385">
        <v>-2255</v>
      </c>
      <c r="B43" s="385" t="s">
        <v>5447</v>
      </c>
      <c r="C43" s="385" t="s">
        <v>5446</v>
      </c>
      <c r="D43" s="385" t="s">
        <v>5445</v>
      </c>
      <c r="E43" s="385">
        <v>283</v>
      </c>
      <c r="F43" s="385" t="s">
        <v>4705</v>
      </c>
      <c r="G43" s="385" t="s">
        <v>4704</v>
      </c>
      <c r="H43" s="385" t="s">
        <v>4703</v>
      </c>
      <c r="I43" s="385" t="s">
        <v>3488</v>
      </c>
      <c r="J43" s="385" t="s">
        <v>3476</v>
      </c>
      <c r="K43" s="385" t="e">
        <f>VLOOKUP(Table13[[#This Row],[CD_FUNCAO]],'BASE_FUNCOES (hide)'!A:X,2,FALSE)</f>
        <v>#N/A</v>
      </c>
    </row>
    <row r="44" spans="1:11">
      <c r="A44" s="385">
        <v>-2245</v>
      </c>
      <c r="B44" s="385" t="s">
        <v>5507</v>
      </c>
      <c r="C44" s="385" t="s">
        <v>5506</v>
      </c>
      <c r="D44" s="385" t="s">
        <v>5505</v>
      </c>
      <c r="E44" s="385">
        <v>283</v>
      </c>
      <c r="F44" s="385" t="s">
        <v>4705</v>
      </c>
      <c r="G44" s="385" t="s">
        <v>4704</v>
      </c>
      <c r="H44" s="385" t="s">
        <v>4703</v>
      </c>
      <c r="I44" s="385" t="s">
        <v>3510</v>
      </c>
      <c r="K44" s="385" t="e">
        <f>VLOOKUP(Table13[[#This Row],[CD_FUNCAO]],'BASE_FUNCOES (hide)'!A:X,2,FALSE)</f>
        <v>#N/A</v>
      </c>
    </row>
    <row r="45" spans="1:11">
      <c r="A45" s="385">
        <v>-2235</v>
      </c>
      <c r="B45" s="385" t="s">
        <v>5578</v>
      </c>
      <c r="C45" s="385" t="s">
        <v>5577</v>
      </c>
      <c r="D45" s="385" t="s">
        <v>5576</v>
      </c>
      <c r="E45" s="385">
        <v>283</v>
      </c>
      <c r="F45" s="385" t="s">
        <v>4705</v>
      </c>
      <c r="G45" s="385" t="s">
        <v>4704</v>
      </c>
      <c r="H45" s="385" t="s">
        <v>4703</v>
      </c>
      <c r="I45" s="385" t="s">
        <v>3485</v>
      </c>
      <c r="K45" s="385" t="e">
        <f>VLOOKUP(Table13[[#This Row],[CD_FUNCAO]],'BASE_FUNCOES (hide)'!A:X,2,FALSE)</f>
        <v>#N/A</v>
      </c>
    </row>
    <row r="46" spans="1:11" hidden="1">
      <c r="A46" s="385">
        <v>-296</v>
      </c>
      <c r="B46" s="385" t="s">
        <v>1241</v>
      </c>
      <c r="C46" s="385" t="s">
        <v>1242</v>
      </c>
      <c r="D46" s="385" t="s">
        <v>1243</v>
      </c>
      <c r="E46" s="385">
        <v>283</v>
      </c>
      <c r="F46" s="385" t="s">
        <v>4705</v>
      </c>
      <c r="G46" s="385" t="s">
        <v>4704</v>
      </c>
      <c r="H46" s="385" t="s">
        <v>4703</v>
      </c>
      <c r="I46" s="385" t="s">
        <v>3488</v>
      </c>
      <c r="J46" s="385" t="s">
        <v>3476</v>
      </c>
      <c r="K46" s="385" t="str">
        <f>VLOOKUP(Table13[[#This Row],[CD_FUNCAO]],'BASE_FUNCOES (hide)'!A:X,2,FALSE)</f>
        <v>Histórico equipamento</v>
      </c>
    </row>
    <row r="47" spans="1:11">
      <c r="A47" s="385">
        <v>-2230</v>
      </c>
      <c r="B47" s="385" t="s">
        <v>5673</v>
      </c>
      <c r="C47" s="385" t="s">
        <v>5672</v>
      </c>
      <c r="D47" s="385" t="s">
        <v>5671</v>
      </c>
      <c r="E47" s="385">
        <v>283</v>
      </c>
      <c r="F47" s="385" t="s">
        <v>4705</v>
      </c>
      <c r="G47" s="385" t="s">
        <v>4704</v>
      </c>
      <c r="H47" s="385" t="s">
        <v>4703</v>
      </c>
      <c r="I47" s="385" t="s">
        <v>3488</v>
      </c>
      <c r="K47" s="385" t="e">
        <f>VLOOKUP(Table13[[#This Row],[CD_FUNCAO]],'BASE_FUNCOES (hide)'!A:X,2,FALSE)</f>
        <v>#N/A</v>
      </c>
    </row>
    <row r="48" spans="1:11">
      <c r="A48" s="385">
        <v>-2226</v>
      </c>
      <c r="B48" s="385" t="s">
        <v>4743</v>
      </c>
      <c r="C48" s="385" t="s">
        <v>4742</v>
      </c>
      <c r="D48" s="385" t="s">
        <v>4741</v>
      </c>
      <c r="E48" s="385">
        <v>283</v>
      </c>
      <c r="F48" s="385" t="s">
        <v>4705</v>
      </c>
      <c r="G48" s="385" t="s">
        <v>4704</v>
      </c>
      <c r="H48" s="385" t="s">
        <v>4703</v>
      </c>
      <c r="I48" s="385" t="s">
        <v>3488</v>
      </c>
      <c r="J48" s="385" t="s">
        <v>3476</v>
      </c>
      <c r="K48" s="385" t="e">
        <f>VLOOKUP(Table13[[#This Row],[CD_FUNCAO]],'BASE_FUNCOES (hide)'!A:X,2,FALSE)</f>
        <v>#N/A</v>
      </c>
    </row>
    <row r="49" spans="1:11">
      <c r="A49" s="385">
        <v>-2224</v>
      </c>
      <c r="B49" s="385" t="s">
        <v>5630</v>
      </c>
      <c r="C49" s="385" t="s">
        <v>5629</v>
      </c>
      <c r="D49" s="385" t="s">
        <v>5628</v>
      </c>
      <c r="E49" s="385">
        <v>283</v>
      </c>
      <c r="F49" s="385" t="s">
        <v>4705</v>
      </c>
      <c r="G49" s="385" t="s">
        <v>4704</v>
      </c>
      <c r="H49" s="385" t="s">
        <v>4703</v>
      </c>
      <c r="I49" s="385" t="s">
        <v>3488</v>
      </c>
      <c r="J49" s="385" t="s">
        <v>3476</v>
      </c>
      <c r="K49" s="385" t="e">
        <f>VLOOKUP(Table13[[#This Row],[CD_FUNCAO]],'BASE_FUNCOES (hide)'!A:X,2,FALSE)</f>
        <v>#N/A</v>
      </c>
    </row>
    <row r="50" spans="1:11" hidden="1">
      <c r="A50" s="385">
        <v>1752</v>
      </c>
      <c r="B50" s="385" t="s">
        <v>359</v>
      </c>
      <c r="C50" s="385" t="s">
        <v>1297</v>
      </c>
      <c r="D50" s="385" t="s">
        <v>1298</v>
      </c>
      <c r="E50" s="385">
        <v>283</v>
      </c>
      <c r="F50" s="385" t="s">
        <v>4705</v>
      </c>
      <c r="G50" s="385" t="s">
        <v>4704</v>
      </c>
      <c r="H50" s="385" t="s">
        <v>4703</v>
      </c>
      <c r="I50" s="385" t="s">
        <v>3477</v>
      </c>
      <c r="J50" s="385" t="s">
        <v>3476</v>
      </c>
      <c r="K50" s="385" t="str">
        <f>VLOOKUP(Table13[[#This Row],[CD_FUNCAO]],'BASE_FUNCOES (hide)'!A:X,2,FALSE)</f>
        <v>Gerenciamento para integração - Solicitação</v>
      </c>
    </row>
    <row r="51" spans="1:11">
      <c r="A51" s="385">
        <v>-2223</v>
      </c>
      <c r="B51" s="385" t="s">
        <v>4894</v>
      </c>
      <c r="C51" s="385" t="s">
        <v>4895</v>
      </c>
      <c r="D51" s="385" t="s">
        <v>4894</v>
      </c>
      <c r="E51" s="385">
        <v>283</v>
      </c>
      <c r="F51" s="385" t="s">
        <v>4705</v>
      </c>
      <c r="G51" s="385" t="s">
        <v>4704</v>
      </c>
      <c r="H51" s="385" t="s">
        <v>4703</v>
      </c>
      <c r="I51" s="385" t="s">
        <v>3510</v>
      </c>
      <c r="J51" s="385" t="s">
        <v>3477</v>
      </c>
      <c r="K51" s="385" t="e">
        <f>VLOOKUP(Table13[[#This Row],[CD_FUNCAO]],'BASE_FUNCOES (hide)'!A:X,2,FALSE)</f>
        <v>#N/A</v>
      </c>
    </row>
    <row r="52" spans="1:11">
      <c r="A52" s="385">
        <v>-2222</v>
      </c>
      <c r="B52" s="385" t="s">
        <v>4199</v>
      </c>
      <c r="C52" s="385" t="s">
        <v>4198</v>
      </c>
      <c r="D52" s="385" t="s">
        <v>4197</v>
      </c>
      <c r="E52" s="385">
        <v>8</v>
      </c>
      <c r="F52" s="385" t="s">
        <v>188</v>
      </c>
      <c r="I52" s="385" t="s">
        <v>3488</v>
      </c>
      <c r="J52" s="385" t="s">
        <v>3476</v>
      </c>
      <c r="K52" s="385" t="e">
        <f>VLOOKUP(Table13[[#This Row],[CD_FUNCAO]],'BASE_FUNCOES (hide)'!A:X,2,FALSE)</f>
        <v>#N/A</v>
      </c>
    </row>
    <row r="53" spans="1:11" hidden="1">
      <c r="A53" s="385">
        <v>10031</v>
      </c>
      <c r="B53" s="385" t="s">
        <v>356</v>
      </c>
      <c r="C53" s="385" t="s">
        <v>1269</v>
      </c>
      <c r="D53" s="385" t="s">
        <v>1270</v>
      </c>
      <c r="E53" s="385">
        <v>283</v>
      </c>
      <c r="F53" s="385" t="s">
        <v>4705</v>
      </c>
      <c r="G53" s="385" t="s">
        <v>4704</v>
      </c>
      <c r="H53" s="385" t="s">
        <v>4703</v>
      </c>
      <c r="I53" s="385" t="s">
        <v>3477</v>
      </c>
      <c r="J53" s="385" t="s">
        <v>3476</v>
      </c>
      <c r="K53" s="385" t="str">
        <f>VLOOKUP(Table13[[#This Row],[CD_FUNCAO]],'BASE_FUNCOES (hide)'!A:X,2,FALSE)</f>
        <v>Gerador de Resultados de Laudo</v>
      </c>
    </row>
    <row r="54" spans="1:11">
      <c r="A54" s="385">
        <v>-2200</v>
      </c>
      <c r="B54" s="385" t="s">
        <v>5552</v>
      </c>
      <c r="C54" s="385" t="s">
        <v>5551</v>
      </c>
      <c r="D54" s="385" t="s">
        <v>5550</v>
      </c>
      <c r="E54" s="385">
        <v>283</v>
      </c>
      <c r="F54" s="385" t="s">
        <v>4705</v>
      </c>
      <c r="G54" s="385" t="s">
        <v>4704</v>
      </c>
      <c r="H54" s="385" t="s">
        <v>4703</v>
      </c>
      <c r="I54" s="385" t="s">
        <v>3488</v>
      </c>
      <c r="J54" s="385" t="s">
        <v>3476</v>
      </c>
      <c r="K54" s="385" t="e">
        <f>VLOOKUP(Table13[[#This Row],[CD_FUNCAO]],'BASE_FUNCOES (hide)'!A:X,2,FALSE)</f>
        <v>#N/A</v>
      </c>
    </row>
    <row r="55" spans="1:11">
      <c r="A55" s="385">
        <v>-2170</v>
      </c>
      <c r="B55" s="385" t="s">
        <v>4740</v>
      </c>
      <c r="C55" s="385" t="s">
        <v>695</v>
      </c>
      <c r="D55" s="385" t="s">
        <v>4739</v>
      </c>
      <c r="E55" s="385">
        <v>283</v>
      </c>
      <c r="F55" s="385" t="s">
        <v>4705</v>
      </c>
      <c r="G55" s="385" t="s">
        <v>4704</v>
      </c>
      <c r="H55" s="385" t="s">
        <v>4703</v>
      </c>
      <c r="I55" s="385" t="s">
        <v>3488</v>
      </c>
      <c r="J55" s="385" t="s">
        <v>3476</v>
      </c>
      <c r="K55" s="385" t="e">
        <f>VLOOKUP(Table13[[#This Row],[CD_FUNCAO]],'BASE_FUNCOES (hide)'!A:X,2,FALSE)</f>
        <v>#N/A</v>
      </c>
    </row>
    <row r="56" spans="1:11" hidden="1">
      <c r="A56" s="385">
        <v>10032</v>
      </c>
      <c r="B56" s="385" t="s">
        <v>358</v>
      </c>
      <c r="C56" s="385" t="s">
        <v>5724</v>
      </c>
      <c r="D56" s="385" t="s">
        <v>1284</v>
      </c>
      <c r="E56" s="385">
        <v>283</v>
      </c>
      <c r="F56" s="385" t="s">
        <v>4705</v>
      </c>
      <c r="G56" s="385" t="s">
        <v>4704</v>
      </c>
      <c r="H56" s="385" t="s">
        <v>4703</v>
      </c>
      <c r="I56" s="385" t="s">
        <v>3477</v>
      </c>
      <c r="J56" s="385" t="s">
        <v>3476</v>
      </c>
      <c r="K56" s="385" t="str">
        <f>VLOOKUP(Table13[[#This Row],[CD_FUNCAO]],'BASE_FUNCOES (hide)'!A:X,2,FALSE)</f>
        <v>Gerenciamento integração Hemoterapia</v>
      </c>
    </row>
    <row r="57" spans="1:11">
      <c r="A57" s="385">
        <v>-2150</v>
      </c>
      <c r="B57" s="385" t="s">
        <v>4883</v>
      </c>
      <c r="C57" s="385" t="s">
        <v>4882</v>
      </c>
      <c r="D57" s="385" t="s">
        <v>4881</v>
      </c>
      <c r="E57" s="385">
        <v>283</v>
      </c>
      <c r="F57" s="385" t="s">
        <v>4705</v>
      </c>
      <c r="G57" s="385" t="s">
        <v>4704</v>
      </c>
      <c r="H57" s="385" t="s">
        <v>4703</v>
      </c>
      <c r="I57" s="385" t="s">
        <v>3488</v>
      </c>
      <c r="J57" s="385" t="s">
        <v>3476</v>
      </c>
      <c r="K57" s="385" t="e">
        <f>VLOOKUP(Table13[[#This Row],[CD_FUNCAO]],'BASE_FUNCOES (hide)'!A:X,2,FALSE)</f>
        <v>#N/A</v>
      </c>
    </row>
    <row r="58" spans="1:11">
      <c r="A58" s="385">
        <v>-2105</v>
      </c>
      <c r="B58" s="385" t="s">
        <v>5180</v>
      </c>
      <c r="C58" s="385" t="s">
        <v>5179</v>
      </c>
      <c r="D58" s="385" t="s">
        <v>5178</v>
      </c>
      <c r="E58" s="385">
        <v>283</v>
      </c>
      <c r="F58" s="385" t="s">
        <v>4705</v>
      </c>
      <c r="G58" s="385" t="s">
        <v>4704</v>
      </c>
      <c r="H58" s="385" t="s">
        <v>4703</v>
      </c>
      <c r="I58" s="385" t="s">
        <v>3488</v>
      </c>
      <c r="J58" s="385" t="s">
        <v>3477</v>
      </c>
      <c r="K58" s="385" t="e">
        <f>VLOOKUP(Table13[[#This Row],[CD_FUNCAO]],'BASE_FUNCOES (hide)'!A:X,2,FALSE)</f>
        <v>#N/A</v>
      </c>
    </row>
    <row r="59" spans="1:11">
      <c r="A59" s="385">
        <v>-2100</v>
      </c>
      <c r="B59" s="385" t="s">
        <v>4157</v>
      </c>
      <c r="C59" s="385" t="s">
        <v>4156</v>
      </c>
      <c r="D59" s="385" t="s">
        <v>4155</v>
      </c>
      <c r="E59" s="385">
        <v>10</v>
      </c>
      <c r="F59" s="385" t="s">
        <v>213</v>
      </c>
      <c r="I59" s="385" t="s">
        <v>3488</v>
      </c>
      <c r="J59" s="385" t="s">
        <v>3476</v>
      </c>
      <c r="K59" s="385" t="e">
        <f>VLOOKUP(Table13[[#This Row],[CD_FUNCAO]],'BASE_FUNCOES (hide)'!A:X,2,FALSE)</f>
        <v>#N/A</v>
      </c>
    </row>
    <row r="60" spans="1:11">
      <c r="A60" s="385">
        <v>-2050</v>
      </c>
      <c r="B60" s="385" t="s">
        <v>4151</v>
      </c>
      <c r="C60" s="385" t="s">
        <v>4150</v>
      </c>
      <c r="D60" s="385" t="s">
        <v>4149</v>
      </c>
      <c r="E60" s="385">
        <v>10</v>
      </c>
      <c r="F60" s="385" t="s">
        <v>213</v>
      </c>
      <c r="I60" s="385" t="s">
        <v>3488</v>
      </c>
      <c r="J60" s="385" t="s">
        <v>3476</v>
      </c>
      <c r="K60" s="385" t="e">
        <f>VLOOKUP(Table13[[#This Row],[CD_FUNCAO]],'BASE_FUNCOES (hide)'!A:X,2,FALSE)</f>
        <v>#N/A</v>
      </c>
    </row>
    <row r="61" spans="1:11">
      <c r="A61" s="385">
        <v>-2040</v>
      </c>
      <c r="B61" s="385" t="s">
        <v>3903</v>
      </c>
      <c r="C61" s="385" t="s">
        <v>3902</v>
      </c>
      <c r="D61" s="385" t="s">
        <v>3901</v>
      </c>
      <c r="E61" s="385">
        <v>212</v>
      </c>
      <c r="F61" s="385" t="s">
        <v>323</v>
      </c>
      <c r="I61" s="385" t="s">
        <v>3488</v>
      </c>
      <c r="J61" s="385" t="s">
        <v>3476</v>
      </c>
      <c r="K61" s="385" t="e">
        <f>VLOOKUP(Table13[[#This Row],[CD_FUNCAO]],'BASE_FUNCOES (hide)'!A:X,2,FALSE)</f>
        <v>#N/A</v>
      </c>
    </row>
    <row r="62" spans="1:11">
      <c r="A62" s="385">
        <v>-2035</v>
      </c>
      <c r="B62" s="385" t="s">
        <v>4893</v>
      </c>
      <c r="C62" s="385" t="s">
        <v>4892</v>
      </c>
      <c r="D62" s="385" t="s">
        <v>4891</v>
      </c>
      <c r="E62" s="385">
        <v>283</v>
      </c>
      <c r="F62" s="385" t="s">
        <v>4705</v>
      </c>
      <c r="G62" s="385" t="s">
        <v>4704</v>
      </c>
      <c r="H62" s="385" t="s">
        <v>4703</v>
      </c>
      <c r="I62" s="385" t="s">
        <v>3485</v>
      </c>
      <c r="K62" s="385" t="e">
        <f>VLOOKUP(Table13[[#This Row],[CD_FUNCAO]],'BASE_FUNCOES (hide)'!A:X,2,FALSE)</f>
        <v>#N/A</v>
      </c>
    </row>
    <row r="63" spans="1:11">
      <c r="A63" s="385">
        <v>-2030</v>
      </c>
      <c r="B63" s="385" t="s">
        <v>4915</v>
      </c>
      <c r="C63" s="385" t="s">
        <v>4914</v>
      </c>
      <c r="D63" s="385" t="s">
        <v>4913</v>
      </c>
      <c r="E63" s="385">
        <v>283</v>
      </c>
      <c r="F63" s="385" t="s">
        <v>4705</v>
      </c>
      <c r="G63" s="385" t="s">
        <v>4704</v>
      </c>
      <c r="H63" s="385" t="s">
        <v>4703</v>
      </c>
      <c r="I63" s="385" t="s">
        <v>3485</v>
      </c>
      <c r="K63" s="385" t="e">
        <f>VLOOKUP(Table13[[#This Row],[CD_FUNCAO]],'BASE_FUNCOES (hide)'!A:X,2,FALSE)</f>
        <v>#N/A</v>
      </c>
    </row>
    <row r="64" spans="1:11">
      <c r="A64" s="385">
        <v>-2025</v>
      </c>
      <c r="B64" s="385" t="s">
        <v>4006</v>
      </c>
      <c r="C64" s="385" t="s">
        <v>4005</v>
      </c>
      <c r="D64" s="385" t="s">
        <v>4004</v>
      </c>
      <c r="E64" s="385">
        <v>283</v>
      </c>
      <c r="F64" s="385" t="s">
        <v>4705</v>
      </c>
      <c r="G64" s="385" t="s">
        <v>4704</v>
      </c>
      <c r="H64" s="385" t="s">
        <v>4703</v>
      </c>
      <c r="I64" s="385" t="s">
        <v>3488</v>
      </c>
      <c r="J64" s="385" t="s">
        <v>3477</v>
      </c>
      <c r="K64" s="385" t="e">
        <f>VLOOKUP(Table13[[#This Row],[CD_FUNCAO]],'BASE_FUNCOES (hide)'!A:X,2,FALSE)</f>
        <v>#N/A</v>
      </c>
    </row>
    <row r="65" spans="1:11">
      <c r="A65" s="385">
        <v>-2020</v>
      </c>
      <c r="B65" s="385" t="s">
        <v>4289</v>
      </c>
      <c r="C65" s="385" t="s">
        <v>4288</v>
      </c>
      <c r="D65" s="385" t="s">
        <v>4287</v>
      </c>
      <c r="E65" s="385">
        <v>3</v>
      </c>
      <c r="F65" s="385" t="s">
        <v>149</v>
      </c>
      <c r="G65" s="385" t="s">
        <v>468</v>
      </c>
      <c r="H65" s="385" t="s">
        <v>470</v>
      </c>
      <c r="I65" s="385" t="s">
        <v>3488</v>
      </c>
      <c r="J65" s="385" t="s">
        <v>3477</v>
      </c>
      <c r="K65" s="385" t="e">
        <f>VLOOKUP(Table13[[#This Row],[CD_FUNCAO]],'BASE_FUNCOES (hide)'!A:X,2,FALSE)</f>
        <v>#N/A</v>
      </c>
    </row>
    <row r="66" spans="1:11">
      <c r="A66" s="385">
        <v>-2015</v>
      </c>
      <c r="B66" s="385" t="s">
        <v>3633</v>
      </c>
      <c r="C66" s="385" t="s">
        <v>3632</v>
      </c>
      <c r="D66" s="385" t="s">
        <v>3631</v>
      </c>
      <c r="E66" s="385">
        <v>454</v>
      </c>
      <c r="F66" s="385" t="s">
        <v>425</v>
      </c>
      <c r="I66" s="385" t="s">
        <v>3488</v>
      </c>
      <c r="J66" s="385" t="s">
        <v>3476</v>
      </c>
      <c r="K66" s="385" t="e">
        <f>VLOOKUP(Table13[[#This Row],[CD_FUNCAO]],'BASE_FUNCOES (hide)'!A:X,2,FALSE)</f>
        <v>#N/A</v>
      </c>
    </row>
    <row r="67" spans="1:11" hidden="1">
      <c r="A67" s="385">
        <v>1771</v>
      </c>
      <c r="B67" s="385" t="s">
        <v>366</v>
      </c>
      <c r="C67" s="385" t="s">
        <v>1257</v>
      </c>
      <c r="D67" s="385" t="s">
        <v>1258</v>
      </c>
      <c r="E67" s="385">
        <v>283</v>
      </c>
      <c r="F67" s="385" t="s">
        <v>4705</v>
      </c>
      <c r="G67" s="385" t="s">
        <v>4704</v>
      </c>
      <c r="H67" s="385" t="s">
        <v>4703</v>
      </c>
      <c r="I67" s="385" t="s">
        <v>3477</v>
      </c>
      <c r="J67" s="385" t="s">
        <v>3476</v>
      </c>
      <c r="K67" s="385" t="str">
        <f>VLOOKUP(Table13[[#This Row],[CD_FUNCAO]],'BASE_FUNCOES (hide)'!A:X,2,FALSE)</f>
        <v>Gestão de Envio de E-mail do Compras</v>
      </c>
    </row>
    <row r="68" spans="1:11">
      <c r="A68" s="385">
        <v>-2013</v>
      </c>
      <c r="B68" s="385" t="s">
        <v>5578</v>
      </c>
      <c r="C68" s="385" t="s">
        <v>5577</v>
      </c>
      <c r="D68" s="385" t="s">
        <v>5576</v>
      </c>
      <c r="E68" s="385">
        <v>283</v>
      </c>
      <c r="F68" s="385" t="s">
        <v>4705</v>
      </c>
      <c r="G68" s="385" t="s">
        <v>4704</v>
      </c>
      <c r="H68" s="385" t="s">
        <v>4703</v>
      </c>
      <c r="I68" s="385" t="s">
        <v>3488</v>
      </c>
      <c r="K68" s="385" t="e">
        <f>VLOOKUP(Table13[[#This Row],[CD_FUNCAO]],'BASE_FUNCOES (hide)'!A:X,2,FALSE)</f>
        <v>#N/A</v>
      </c>
    </row>
    <row r="69" spans="1:11">
      <c r="A69" s="385">
        <v>-2012</v>
      </c>
      <c r="B69" s="385" t="s">
        <v>4163</v>
      </c>
      <c r="C69" s="385" t="s">
        <v>4162</v>
      </c>
      <c r="D69" s="385" t="s">
        <v>4161</v>
      </c>
      <c r="E69" s="385">
        <v>10</v>
      </c>
      <c r="F69" s="385" t="s">
        <v>213</v>
      </c>
      <c r="I69" s="385" t="s">
        <v>3488</v>
      </c>
      <c r="J69" s="385" t="s">
        <v>3476</v>
      </c>
      <c r="K69" s="385" t="e">
        <f>VLOOKUP(Table13[[#This Row],[CD_FUNCAO]],'BASE_FUNCOES (hide)'!A:X,2,FALSE)</f>
        <v>#N/A</v>
      </c>
    </row>
    <row r="70" spans="1:11">
      <c r="A70" s="385">
        <v>-2011</v>
      </c>
      <c r="B70" s="385" t="s">
        <v>4792</v>
      </c>
      <c r="C70" s="385" t="s">
        <v>4791</v>
      </c>
      <c r="D70" s="385" t="s">
        <v>4790</v>
      </c>
      <c r="E70" s="385">
        <v>283</v>
      </c>
      <c r="F70" s="385" t="s">
        <v>4705</v>
      </c>
      <c r="G70" s="385" t="s">
        <v>4704</v>
      </c>
      <c r="H70" s="385" t="s">
        <v>4703</v>
      </c>
      <c r="I70" s="385" t="s">
        <v>3477</v>
      </c>
      <c r="K70" s="385" t="e">
        <f>VLOOKUP(Table13[[#This Row],[CD_FUNCAO]],'BASE_FUNCOES (hide)'!A:X,2,FALSE)</f>
        <v>#N/A</v>
      </c>
    </row>
    <row r="71" spans="1:11">
      <c r="A71" s="385">
        <v>-2010</v>
      </c>
      <c r="B71" s="385" t="s">
        <v>5742</v>
      </c>
      <c r="C71" s="385" t="s">
        <v>5741</v>
      </c>
      <c r="D71" s="385" t="s">
        <v>5740</v>
      </c>
      <c r="E71" s="385">
        <v>283</v>
      </c>
      <c r="F71" s="385" t="s">
        <v>4705</v>
      </c>
      <c r="G71" s="385" t="s">
        <v>4704</v>
      </c>
      <c r="H71" s="385" t="s">
        <v>4703</v>
      </c>
      <c r="I71" s="385" t="s">
        <v>3488</v>
      </c>
      <c r="J71" s="385" t="s">
        <v>3476</v>
      </c>
      <c r="K71" s="385" t="e">
        <f>VLOOKUP(Table13[[#This Row],[CD_FUNCAO]],'BASE_FUNCOES (hide)'!A:X,2,FALSE)</f>
        <v>#N/A</v>
      </c>
    </row>
    <row r="72" spans="1:11" hidden="1">
      <c r="A72" s="385">
        <v>10040</v>
      </c>
      <c r="B72" s="385" t="s">
        <v>1287</v>
      </c>
      <c r="C72" s="385" t="s">
        <v>1288</v>
      </c>
      <c r="D72" s="385" t="s">
        <v>1289</v>
      </c>
      <c r="E72" s="385">
        <v>283</v>
      </c>
      <c r="F72" s="385" t="s">
        <v>4705</v>
      </c>
      <c r="G72" s="385" t="s">
        <v>4704</v>
      </c>
      <c r="H72" s="385" t="s">
        <v>4703</v>
      </c>
      <c r="I72" s="385" t="s">
        <v>3488</v>
      </c>
      <c r="J72" s="385" t="s">
        <v>3476</v>
      </c>
      <c r="K72" s="385" t="str">
        <f>VLOOKUP(Table13[[#This Row],[CD_FUNCAO]],'BASE_FUNCOES (hide)'!A:X,2,FALSE)</f>
        <v>Antibiograma (Nova)</v>
      </c>
    </row>
    <row r="73" spans="1:11">
      <c r="A73" s="385">
        <v>-2008</v>
      </c>
      <c r="B73" s="385" t="s">
        <v>4777</v>
      </c>
      <c r="C73" s="385" t="s">
        <v>4776</v>
      </c>
      <c r="D73" s="385" t="s">
        <v>4775</v>
      </c>
      <c r="E73" s="385">
        <v>283</v>
      </c>
      <c r="F73" s="385" t="s">
        <v>4705</v>
      </c>
      <c r="G73" s="385" t="s">
        <v>4704</v>
      </c>
      <c r="H73" s="385" t="s">
        <v>4703</v>
      </c>
      <c r="I73" s="385" t="s">
        <v>3488</v>
      </c>
      <c r="J73" s="385" t="s">
        <v>3476</v>
      </c>
      <c r="K73" s="385" t="e">
        <f>VLOOKUP(Table13[[#This Row],[CD_FUNCAO]],'BASE_FUNCOES (hide)'!A:X,2,FALSE)</f>
        <v>#N/A</v>
      </c>
    </row>
    <row r="74" spans="1:11">
      <c r="A74" s="385">
        <v>-2005</v>
      </c>
      <c r="B74" s="385" t="s">
        <v>5711</v>
      </c>
      <c r="C74" s="385" t="s">
        <v>5710</v>
      </c>
      <c r="D74" s="385" t="s">
        <v>5709</v>
      </c>
      <c r="E74" s="385">
        <v>283</v>
      </c>
      <c r="F74" s="385" t="s">
        <v>4705</v>
      </c>
      <c r="G74" s="385" t="s">
        <v>4704</v>
      </c>
      <c r="H74" s="385" t="s">
        <v>4703</v>
      </c>
      <c r="I74" s="385" t="s">
        <v>3488</v>
      </c>
      <c r="J74" s="385" t="s">
        <v>3476</v>
      </c>
      <c r="K74" s="385" t="e">
        <f>VLOOKUP(Table13[[#This Row],[CD_FUNCAO]],'BASE_FUNCOES (hide)'!A:X,2,FALSE)</f>
        <v>#N/A</v>
      </c>
    </row>
    <row r="75" spans="1:11">
      <c r="A75" s="385">
        <v>-2004</v>
      </c>
      <c r="B75" s="385" t="s">
        <v>5519</v>
      </c>
      <c r="C75" s="385" t="s">
        <v>5518</v>
      </c>
      <c r="D75" s="385" t="s">
        <v>5517</v>
      </c>
      <c r="E75" s="385">
        <v>283</v>
      </c>
      <c r="F75" s="385" t="s">
        <v>4705</v>
      </c>
      <c r="G75" s="385" t="s">
        <v>4704</v>
      </c>
      <c r="H75" s="385" t="s">
        <v>4703</v>
      </c>
      <c r="I75" s="385" t="s">
        <v>3488</v>
      </c>
      <c r="J75" s="385" t="s">
        <v>3476</v>
      </c>
      <c r="K75" s="385" t="e">
        <f>VLOOKUP(Table13[[#This Row],[CD_FUNCAO]],'BASE_FUNCOES (hide)'!A:X,2,FALSE)</f>
        <v>#N/A</v>
      </c>
    </row>
    <row r="76" spans="1:11" hidden="1">
      <c r="A76" s="385">
        <v>-613</v>
      </c>
      <c r="B76" s="385" t="s">
        <v>1728</v>
      </c>
      <c r="C76" s="385" t="s">
        <v>1729</v>
      </c>
      <c r="D76" s="385" t="s">
        <v>1730</v>
      </c>
      <c r="E76" s="385">
        <v>283</v>
      </c>
      <c r="F76" s="385" t="s">
        <v>4705</v>
      </c>
      <c r="G76" s="385" t="s">
        <v>4704</v>
      </c>
      <c r="H76" s="385" t="s">
        <v>4703</v>
      </c>
      <c r="I76" s="385" t="s">
        <v>3477</v>
      </c>
      <c r="J76" s="385" t="s">
        <v>3476</v>
      </c>
      <c r="K76" s="385" t="str">
        <f>VLOOKUP(Table13[[#This Row],[CD_FUNCAO]],'BASE_FUNCOES (hide)'!A:X,2,FALSE)</f>
        <v>Relatório de micro-organismo e Culturas (Relatório)</v>
      </c>
    </row>
    <row r="77" spans="1:11" hidden="1">
      <c r="A77" s="385">
        <v>356</v>
      </c>
      <c r="B77" s="385" t="s">
        <v>402</v>
      </c>
      <c r="C77" s="385" t="s">
        <v>1290</v>
      </c>
      <c r="D77" s="385" t="s">
        <v>1291</v>
      </c>
      <c r="E77" s="385">
        <v>283</v>
      </c>
      <c r="F77" s="385" t="s">
        <v>4705</v>
      </c>
      <c r="G77" s="385" t="s">
        <v>4704</v>
      </c>
      <c r="H77" s="385" t="s">
        <v>4703</v>
      </c>
      <c r="I77" s="385" t="s">
        <v>3477</v>
      </c>
      <c r="J77" s="385" t="s">
        <v>3476</v>
      </c>
      <c r="K77" s="385" t="str">
        <f>VLOOKUP(Table13[[#This Row],[CD_FUNCAO]],'BASE_FUNCOES (hide)'!A:X,2,FALSE)</f>
        <v>Requisitos do Sistema</v>
      </c>
    </row>
    <row r="78" spans="1:11">
      <c r="A78" s="385">
        <v>-2003</v>
      </c>
      <c r="B78" s="385" t="s">
        <v>4241</v>
      </c>
      <c r="C78" s="385" t="s">
        <v>4240</v>
      </c>
      <c r="D78" s="385" t="s">
        <v>4239</v>
      </c>
      <c r="E78" s="385">
        <v>6</v>
      </c>
      <c r="F78" s="385" t="s">
        <v>58</v>
      </c>
      <c r="I78" s="385" t="s">
        <v>3488</v>
      </c>
      <c r="J78" s="385" t="s">
        <v>3476</v>
      </c>
      <c r="K78" s="385" t="e">
        <f>VLOOKUP(Table13[[#This Row],[CD_FUNCAO]],'BASE_FUNCOES (hide)'!A:X,2,FALSE)</f>
        <v>#N/A</v>
      </c>
    </row>
    <row r="79" spans="1:11">
      <c r="A79" s="385">
        <v>-2002</v>
      </c>
      <c r="B79" s="385" t="s">
        <v>4844</v>
      </c>
      <c r="C79" s="385" t="s">
        <v>4843</v>
      </c>
      <c r="D79" s="385" t="s">
        <v>4842</v>
      </c>
      <c r="E79" s="385">
        <v>283</v>
      </c>
      <c r="F79" s="385" t="s">
        <v>4705</v>
      </c>
      <c r="G79" s="385" t="s">
        <v>4704</v>
      </c>
      <c r="H79" s="385" t="s">
        <v>4703</v>
      </c>
      <c r="I79" s="385" t="s">
        <v>3510</v>
      </c>
      <c r="J79" s="385" t="s">
        <v>3476</v>
      </c>
      <c r="K79" s="385" t="e">
        <f>VLOOKUP(Table13[[#This Row],[CD_FUNCAO]],'BASE_FUNCOES (hide)'!A:X,2,FALSE)</f>
        <v>#N/A</v>
      </c>
    </row>
    <row r="80" spans="1:11">
      <c r="A80" s="385">
        <v>-1988</v>
      </c>
      <c r="B80" s="385" t="s">
        <v>4994</v>
      </c>
      <c r="C80" s="385" t="s">
        <v>4993</v>
      </c>
      <c r="D80" s="385" t="s">
        <v>4992</v>
      </c>
      <c r="E80" s="385">
        <v>283</v>
      </c>
      <c r="F80" s="385" t="s">
        <v>4705</v>
      </c>
      <c r="G80" s="385" t="s">
        <v>4704</v>
      </c>
      <c r="H80" s="385" t="s">
        <v>4703</v>
      </c>
      <c r="I80" s="385" t="s">
        <v>3485</v>
      </c>
      <c r="J80" s="385" t="s">
        <v>3477</v>
      </c>
      <c r="K80" s="385" t="e">
        <f>VLOOKUP(Table13[[#This Row],[CD_FUNCAO]],'BASE_FUNCOES (hide)'!A:X,2,FALSE)</f>
        <v>#N/A</v>
      </c>
    </row>
    <row r="81" spans="1:11">
      <c r="A81" s="385">
        <v>-1113</v>
      </c>
      <c r="B81" s="385" t="s">
        <v>3921</v>
      </c>
      <c r="C81" s="385" t="s">
        <v>3920</v>
      </c>
      <c r="D81" s="385" t="s">
        <v>3919</v>
      </c>
      <c r="E81" s="385">
        <v>38</v>
      </c>
      <c r="F81" s="385" t="s">
        <v>42</v>
      </c>
      <c r="I81" s="385" t="s">
        <v>3477</v>
      </c>
      <c r="J81" s="385" t="s">
        <v>3476</v>
      </c>
      <c r="K81" s="385" t="e">
        <f>VLOOKUP(Table13[[#This Row],[CD_FUNCAO]],'BASE_FUNCOES (hide)'!A:X,2,FALSE)</f>
        <v>#N/A</v>
      </c>
    </row>
    <row r="82" spans="1:11">
      <c r="A82" s="385">
        <v>-1020</v>
      </c>
      <c r="B82" s="385" t="s">
        <v>5616</v>
      </c>
      <c r="C82" s="385" t="s">
        <v>5615</v>
      </c>
      <c r="D82" s="385" t="s">
        <v>5614</v>
      </c>
      <c r="E82" s="385">
        <v>283</v>
      </c>
      <c r="F82" s="385" t="s">
        <v>4705</v>
      </c>
      <c r="G82" s="385" t="s">
        <v>4704</v>
      </c>
      <c r="H82" s="385" t="s">
        <v>4703</v>
      </c>
      <c r="I82" s="385" t="s">
        <v>3488</v>
      </c>
      <c r="J82" s="385" t="s">
        <v>3476</v>
      </c>
      <c r="K82" s="385" t="e">
        <f>VLOOKUP(Table13[[#This Row],[CD_FUNCAO]],'BASE_FUNCOES (hide)'!A:X,2,FALSE)</f>
        <v>#N/A</v>
      </c>
    </row>
    <row r="83" spans="1:11">
      <c r="A83" s="385">
        <v>-1010</v>
      </c>
      <c r="B83" s="385" t="s">
        <v>5575</v>
      </c>
      <c r="C83" s="385" t="s">
        <v>5574</v>
      </c>
      <c r="D83" s="385" t="s">
        <v>5573</v>
      </c>
      <c r="E83" s="385">
        <v>283</v>
      </c>
      <c r="F83" s="385" t="s">
        <v>4705</v>
      </c>
      <c r="G83" s="385" t="s">
        <v>4704</v>
      </c>
      <c r="H83" s="385" t="s">
        <v>4703</v>
      </c>
      <c r="I83" s="385" t="s">
        <v>3488</v>
      </c>
      <c r="J83" s="385" t="s">
        <v>3476</v>
      </c>
      <c r="K83" s="385" t="e">
        <f>VLOOKUP(Table13[[#This Row],[CD_FUNCAO]],'BASE_FUNCOES (hide)'!A:X,2,FALSE)</f>
        <v>#N/A</v>
      </c>
    </row>
    <row r="84" spans="1:11" hidden="1">
      <c r="A84" s="385">
        <v>10017</v>
      </c>
      <c r="B84" s="385" t="s">
        <v>5674</v>
      </c>
      <c r="C84" s="385" t="s">
        <v>1293</v>
      </c>
      <c r="D84" s="385" t="s">
        <v>1294</v>
      </c>
      <c r="E84" s="385">
        <v>283</v>
      </c>
      <c r="F84" s="385" t="s">
        <v>4705</v>
      </c>
      <c r="G84" s="385" t="s">
        <v>4704</v>
      </c>
      <c r="H84" s="385" t="s">
        <v>4703</v>
      </c>
      <c r="I84" s="385" t="s">
        <v>3477</v>
      </c>
      <c r="J84" s="385" t="s">
        <v>3476</v>
      </c>
      <c r="K84" s="385" t="str">
        <f>VLOOKUP(Table13[[#This Row],[CD_FUNCAO]],'BASE_FUNCOES (hide)'!A:X,2,FALSE)</f>
        <v>Lote da Hemoterapia</v>
      </c>
    </row>
    <row r="85" spans="1:11" hidden="1">
      <c r="A85" s="385">
        <v>10018</v>
      </c>
      <c r="B85" s="385" t="s">
        <v>345</v>
      </c>
      <c r="C85" s="385" t="s">
        <v>1246</v>
      </c>
      <c r="D85" s="385" t="s">
        <v>1247</v>
      </c>
      <c r="E85" s="385">
        <v>283</v>
      </c>
      <c r="F85" s="385" t="s">
        <v>4705</v>
      </c>
      <c r="G85" s="385" t="s">
        <v>4704</v>
      </c>
      <c r="H85" s="385" t="s">
        <v>4703</v>
      </c>
      <c r="I85" s="385" t="s">
        <v>3477</v>
      </c>
      <c r="J85" s="385" t="s">
        <v>3477</v>
      </c>
      <c r="K85" s="385" t="str">
        <f>VLOOKUP(Table13[[#This Row],[CD_FUNCAO]],'BASE_FUNCOES (hide)'!A:X,2,FALSE)</f>
        <v>Corretor Ortográfico</v>
      </c>
    </row>
    <row r="86" spans="1:11">
      <c r="A86" s="385">
        <v>-1009</v>
      </c>
      <c r="B86" s="385" t="s">
        <v>427</v>
      </c>
      <c r="C86" s="385" t="s">
        <v>1519</v>
      </c>
      <c r="D86" s="385" t="s">
        <v>1520</v>
      </c>
      <c r="E86" s="385">
        <v>5</v>
      </c>
      <c r="F86" s="385" t="s">
        <v>177</v>
      </c>
      <c r="G86" s="385" t="s">
        <v>2310</v>
      </c>
      <c r="H86" s="385" t="s">
        <v>2170</v>
      </c>
      <c r="I86" s="385" t="s">
        <v>3485</v>
      </c>
      <c r="K86" s="385" t="e">
        <f>VLOOKUP(Table13[[#This Row],[CD_FUNCAO]],'BASE_FUNCOES (hide)'!A:X,2,FALSE)</f>
        <v>#N/A</v>
      </c>
    </row>
    <row r="87" spans="1:11">
      <c r="A87" s="385">
        <v>-1006</v>
      </c>
      <c r="B87" s="385" t="s">
        <v>4762</v>
      </c>
      <c r="C87" s="385" t="s">
        <v>4761</v>
      </c>
      <c r="D87" s="385" t="s">
        <v>4760</v>
      </c>
      <c r="E87" s="385">
        <v>283</v>
      </c>
      <c r="F87" s="385" t="s">
        <v>4705</v>
      </c>
      <c r="G87" s="385" t="s">
        <v>4704</v>
      </c>
      <c r="H87" s="385" t="s">
        <v>4703</v>
      </c>
      <c r="I87" s="385" t="s">
        <v>3488</v>
      </c>
      <c r="J87" s="385" t="s">
        <v>3476</v>
      </c>
      <c r="K87" s="385" t="e">
        <f>VLOOKUP(Table13[[#This Row],[CD_FUNCAO]],'BASE_FUNCOES (hide)'!A:X,2,FALSE)</f>
        <v>#N/A</v>
      </c>
    </row>
    <row r="88" spans="1:11" hidden="1">
      <c r="A88" s="385">
        <v>9900</v>
      </c>
      <c r="B88" s="385" t="s">
        <v>372</v>
      </c>
      <c r="C88" s="385" t="s">
        <v>1264</v>
      </c>
      <c r="D88" s="385" t="s">
        <v>1265</v>
      </c>
      <c r="E88" s="385">
        <v>283</v>
      </c>
      <c r="F88" s="385" t="s">
        <v>4705</v>
      </c>
      <c r="G88" s="385" t="s">
        <v>4704</v>
      </c>
      <c r="H88" s="385" t="s">
        <v>4703</v>
      </c>
      <c r="I88" s="385" t="s">
        <v>3477</v>
      </c>
      <c r="J88" s="385" t="s">
        <v>3477</v>
      </c>
      <c r="K88" s="385" t="str">
        <f>VLOOKUP(Table13[[#This Row],[CD_FUNCAO]],'BASE_FUNCOES (hide)'!A:X,2,FALSE)</f>
        <v>Gestão do Cadastro de Materiais</v>
      </c>
    </row>
    <row r="89" spans="1:11">
      <c r="A89" s="385">
        <v>-1003</v>
      </c>
      <c r="B89" s="385" t="s">
        <v>4348</v>
      </c>
      <c r="C89" s="385" t="s">
        <v>4347</v>
      </c>
      <c r="D89" s="385" t="s">
        <v>4346</v>
      </c>
      <c r="E89" s="385">
        <v>88</v>
      </c>
      <c r="F89" s="385" t="s">
        <v>16</v>
      </c>
      <c r="G89" s="385" t="s">
        <v>1066</v>
      </c>
      <c r="H89" s="385" t="s">
        <v>1068</v>
      </c>
      <c r="I89" s="385" t="s">
        <v>3485</v>
      </c>
      <c r="K89" s="385" t="e">
        <f>VLOOKUP(Table13[[#This Row],[CD_FUNCAO]],'BASE_FUNCOES (hide)'!A:X,2,FALSE)</f>
        <v>#N/A</v>
      </c>
    </row>
    <row r="90" spans="1:11">
      <c r="A90" s="385">
        <v>-1002</v>
      </c>
      <c r="B90" s="385" t="s">
        <v>1208</v>
      </c>
      <c r="C90" s="385" t="s">
        <v>1209</v>
      </c>
      <c r="D90" s="385" t="s">
        <v>1210</v>
      </c>
      <c r="E90" s="385">
        <v>283</v>
      </c>
      <c r="F90" s="385" t="s">
        <v>4705</v>
      </c>
      <c r="G90" s="385" t="s">
        <v>4704</v>
      </c>
      <c r="H90" s="385" t="s">
        <v>4703</v>
      </c>
      <c r="I90" s="385" t="s">
        <v>3488</v>
      </c>
      <c r="J90" s="385" t="s">
        <v>3476</v>
      </c>
      <c r="K90" s="385" t="e">
        <f>VLOOKUP(Table13[[#This Row],[CD_FUNCAO]],'BASE_FUNCOES (hide)'!A:X,2,FALSE)</f>
        <v>#N/A</v>
      </c>
    </row>
    <row r="91" spans="1:11">
      <c r="A91" s="385">
        <v>-1001</v>
      </c>
      <c r="B91" s="385" t="s">
        <v>5729</v>
      </c>
      <c r="C91" s="385" t="s">
        <v>5730</v>
      </c>
      <c r="D91" s="385" t="s">
        <v>5729</v>
      </c>
      <c r="E91" s="385">
        <v>283</v>
      </c>
      <c r="F91" s="385" t="s">
        <v>4705</v>
      </c>
      <c r="G91" s="385" t="s">
        <v>4704</v>
      </c>
      <c r="H91" s="385" t="s">
        <v>4703</v>
      </c>
      <c r="I91" s="385" t="s">
        <v>3488</v>
      </c>
      <c r="J91" s="385" t="s">
        <v>3476</v>
      </c>
      <c r="K91" s="385" t="e">
        <f>VLOOKUP(Table13[[#This Row],[CD_FUNCAO]],'BASE_FUNCOES (hide)'!A:X,2,FALSE)</f>
        <v>#N/A</v>
      </c>
    </row>
    <row r="92" spans="1:11">
      <c r="A92" s="385">
        <v>-999</v>
      </c>
      <c r="B92" s="385" t="s">
        <v>5572</v>
      </c>
      <c r="C92" s="385" t="s">
        <v>5571</v>
      </c>
      <c r="D92" s="385" t="s">
        <v>5570</v>
      </c>
      <c r="E92" s="385">
        <v>283</v>
      </c>
      <c r="F92" s="385" t="s">
        <v>4705</v>
      </c>
      <c r="G92" s="385" t="s">
        <v>4704</v>
      </c>
      <c r="H92" s="385" t="s">
        <v>4703</v>
      </c>
      <c r="I92" s="385" t="s">
        <v>3488</v>
      </c>
      <c r="K92" s="385" t="e">
        <f>VLOOKUP(Table13[[#This Row],[CD_FUNCAO]],'BASE_FUNCOES (hide)'!A:X,2,FALSE)</f>
        <v>#N/A</v>
      </c>
    </row>
    <row r="93" spans="1:11" hidden="1">
      <c r="A93" s="385">
        <v>7036</v>
      </c>
      <c r="B93" s="385" t="s">
        <v>347</v>
      </c>
      <c r="C93" s="385" t="s">
        <v>1285</v>
      </c>
      <c r="D93" s="385" t="s">
        <v>1286</v>
      </c>
      <c r="E93" s="385">
        <v>283</v>
      </c>
      <c r="F93" s="385" t="s">
        <v>4705</v>
      </c>
      <c r="G93" s="385" t="s">
        <v>4704</v>
      </c>
      <c r="H93" s="385" t="s">
        <v>4703</v>
      </c>
      <c r="I93" s="385" t="s">
        <v>3477</v>
      </c>
      <c r="J93" s="385" t="s">
        <v>3476</v>
      </c>
      <c r="K93" s="385" t="str">
        <f>VLOOKUP(Table13[[#This Row],[CD_FUNCAO]],'BASE_FUNCOES (hide)'!A:X,2,FALSE)</f>
        <v>Emissão de Atendimentos</v>
      </c>
    </row>
    <row r="94" spans="1:11">
      <c r="A94" s="385">
        <v>-998</v>
      </c>
      <c r="B94" s="385" t="s">
        <v>5569</v>
      </c>
      <c r="C94" s="385" t="s">
        <v>5568</v>
      </c>
      <c r="D94" s="385" t="s">
        <v>5567</v>
      </c>
      <c r="E94" s="385">
        <v>283</v>
      </c>
      <c r="F94" s="385" t="s">
        <v>4705</v>
      </c>
      <c r="G94" s="385" t="s">
        <v>4704</v>
      </c>
      <c r="H94" s="385" t="s">
        <v>4703</v>
      </c>
      <c r="I94" s="385" t="s">
        <v>3488</v>
      </c>
      <c r="K94" s="385" t="e">
        <f>VLOOKUP(Table13[[#This Row],[CD_FUNCAO]],'BASE_FUNCOES (hide)'!A:X,2,FALSE)</f>
        <v>#N/A</v>
      </c>
    </row>
    <row r="95" spans="1:11">
      <c r="A95" s="385">
        <v>-997</v>
      </c>
      <c r="B95" s="385" t="s">
        <v>4847</v>
      </c>
      <c r="C95" s="385" t="s">
        <v>4846</v>
      </c>
      <c r="D95" s="385" t="s">
        <v>4845</v>
      </c>
      <c r="E95" s="385">
        <v>283</v>
      </c>
      <c r="F95" s="385" t="s">
        <v>4705</v>
      </c>
      <c r="G95" s="385" t="s">
        <v>4704</v>
      </c>
      <c r="H95" s="385" t="s">
        <v>4703</v>
      </c>
      <c r="I95" s="385" t="s">
        <v>3488</v>
      </c>
      <c r="K95" s="385" t="e">
        <f>VLOOKUP(Table13[[#This Row],[CD_FUNCAO]],'BASE_FUNCOES (hide)'!A:X,2,FALSE)</f>
        <v>#N/A</v>
      </c>
    </row>
    <row r="96" spans="1:11">
      <c r="A96" s="385">
        <v>-992</v>
      </c>
      <c r="B96" s="385" t="s">
        <v>4738</v>
      </c>
      <c r="C96" s="385" t="s">
        <v>4737</v>
      </c>
      <c r="D96" s="385" t="s">
        <v>4736</v>
      </c>
      <c r="E96" s="385">
        <v>283</v>
      </c>
      <c r="F96" s="385" t="s">
        <v>4705</v>
      </c>
      <c r="G96" s="385" t="s">
        <v>4704</v>
      </c>
      <c r="H96" s="385" t="s">
        <v>4703</v>
      </c>
      <c r="I96" s="385" t="s">
        <v>3488</v>
      </c>
      <c r="J96" s="385" t="s">
        <v>3476</v>
      </c>
      <c r="K96" s="385" t="e">
        <f>VLOOKUP(Table13[[#This Row],[CD_FUNCAO]],'BASE_FUNCOES (hide)'!A:X,2,FALSE)</f>
        <v>#N/A</v>
      </c>
    </row>
    <row r="97" spans="1:11">
      <c r="A97" s="385">
        <v>-991</v>
      </c>
      <c r="B97" s="385" t="s">
        <v>3945</v>
      </c>
      <c r="C97" s="385" t="s">
        <v>3944</v>
      </c>
      <c r="D97" s="385" t="s">
        <v>3943</v>
      </c>
      <c r="E97" s="385">
        <v>36</v>
      </c>
      <c r="F97" s="385" t="s">
        <v>250</v>
      </c>
      <c r="I97" s="385" t="s">
        <v>3488</v>
      </c>
      <c r="K97" s="385" t="e">
        <f>VLOOKUP(Table13[[#This Row],[CD_FUNCAO]],'BASE_FUNCOES (hide)'!A:X,2,FALSE)</f>
        <v>#N/A</v>
      </c>
    </row>
    <row r="98" spans="1:11">
      <c r="A98" s="385">
        <v>-990</v>
      </c>
      <c r="B98" s="385" t="s">
        <v>4723</v>
      </c>
      <c r="C98" s="385" t="s">
        <v>4722</v>
      </c>
      <c r="D98" s="385" t="s">
        <v>4721</v>
      </c>
      <c r="E98" s="385">
        <v>283</v>
      </c>
      <c r="F98" s="385" t="s">
        <v>4705</v>
      </c>
      <c r="G98" s="385" t="s">
        <v>4704</v>
      </c>
      <c r="H98" s="385" t="s">
        <v>4703</v>
      </c>
      <c r="I98" s="385" t="s">
        <v>3488</v>
      </c>
      <c r="J98" s="385" t="s">
        <v>3476</v>
      </c>
      <c r="K98" s="385" t="e">
        <f>VLOOKUP(Table13[[#This Row],[CD_FUNCAO]],'BASE_FUNCOES (hide)'!A:X,2,FALSE)</f>
        <v>#N/A</v>
      </c>
    </row>
    <row r="99" spans="1:11">
      <c r="A99" s="385">
        <v>-980</v>
      </c>
      <c r="B99" s="385" t="s">
        <v>4360</v>
      </c>
      <c r="C99" s="385" t="s">
        <v>4359</v>
      </c>
      <c r="D99" s="385" t="s">
        <v>4358</v>
      </c>
      <c r="E99" s="385">
        <v>88</v>
      </c>
      <c r="F99" s="385" t="s">
        <v>16</v>
      </c>
      <c r="G99" s="385" t="s">
        <v>1066</v>
      </c>
      <c r="H99" s="385" t="s">
        <v>1068</v>
      </c>
      <c r="I99" s="385" t="s">
        <v>3488</v>
      </c>
      <c r="J99" s="385" t="s">
        <v>3476</v>
      </c>
      <c r="K99" s="385" t="e">
        <f>VLOOKUP(Table13[[#This Row],[CD_FUNCAO]],'BASE_FUNCOES (hide)'!A:X,2,FALSE)</f>
        <v>#N/A</v>
      </c>
    </row>
    <row r="100" spans="1:11" hidden="1">
      <c r="A100" s="385">
        <v>6542</v>
      </c>
      <c r="B100" s="385" t="s">
        <v>1227</v>
      </c>
      <c r="C100" s="385" t="s">
        <v>1228</v>
      </c>
      <c r="D100" s="385" t="s">
        <v>1229</v>
      </c>
      <c r="E100" s="385">
        <v>283</v>
      </c>
      <c r="F100" s="385" t="s">
        <v>4705</v>
      </c>
      <c r="G100" s="385" t="s">
        <v>4704</v>
      </c>
      <c r="H100" s="385" t="s">
        <v>4703</v>
      </c>
      <c r="I100" s="385" t="s">
        <v>3477</v>
      </c>
      <c r="J100" s="385" t="s">
        <v>3477</v>
      </c>
      <c r="K100" s="385" t="str">
        <f>VLOOKUP(Table13[[#This Row],[CD_FUNCAO]],'BASE_FUNCOES (hide)'!A:X,2,FALSE)</f>
        <v>Medicamentos/procedimentos de rotina oncologia</v>
      </c>
    </row>
    <row r="101" spans="1:11">
      <c r="A101" s="385">
        <v>-975</v>
      </c>
      <c r="B101" s="385" t="s">
        <v>4351</v>
      </c>
      <c r="C101" s="385" t="s">
        <v>4350</v>
      </c>
      <c r="D101" s="385" t="s">
        <v>4349</v>
      </c>
      <c r="E101" s="385">
        <v>88</v>
      </c>
      <c r="F101" s="385" t="s">
        <v>16</v>
      </c>
      <c r="G101" s="385" t="s">
        <v>1066</v>
      </c>
      <c r="H101" s="385" t="s">
        <v>1068</v>
      </c>
      <c r="I101" s="385" t="s">
        <v>3488</v>
      </c>
      <c r="J101" s="385" t="s">
        <v>3476</v>
      </c>
      <c r="K101" s="385" t="e">
        <f>VLOOKUP(Table13[[#This Row],[CD_FUNCAO]],'BASE_FUNCOES (hide)'!A:X,2,FALSE)</f>
        <v>#N/A</v>
      </c>
    </row>
    <row r="102" spans="1:11">
      <c r="A102" s="385">
        <v>-970</v>
      </c>
      <c r="B102" s="385" t="s">
        <v>4354</v>
      </c>
      <c r="C102" s="385" t="s">
        <v>4353</v>
      </c>
      <c r="D102" s="385" t="s">
        <v>4352</v>
      </c>
      <c r="E102" s="385">
        <v>88</v>
      </c>
      <c r="F102" s="385" t="s">
        <v>16</v>
      </c>
      <c r="G102" s="385" t="s">
        <v>1066</v>
      </c>
      <c r="H102" s="385" t="s">
        <v>1068</v>
      </c>
      <c r="I102" s="385" t="s">
        <v>3488</v>
      </c>
      <c r="J102" s="385" t="s">
        <v>3476</v>
      </c>
      <c r="K102" s="385" t="e">
        <f>VLOOKUP(Table13[[#This Row],[CD_FUNCAO]],'BASE_FUNCOES (hide)'!A:X,2,FALSE)</f>
        <v>#N/A</v>
      </c>
    </row>
    <row r="103" spans="1:11">
      <c r="A103" s="385">
        <v>-926</v>
      </c>
      <c r="B103" s="385" t="s">
        <v>4922</v>
      </c>
      <c r="C103" s="385" t="s">
        <v>4923</v>
      </c>
      <c r="D103" s="385" t="s">
        <v>4922</v>
      </c>
      <c r="E103" s="385">
        <v>283</v>
      </c>
      <c r="F103" s="385" t="s">
        <v>4705</v>
      </c>
      <c r="G103" s="385" t="s">
        <v>4704</v>
      </c>
      <c r="H103" s="385" t="s">
        <v>4703</v>
      </c>
      <c r="I103" s="385" t="s">
        <v>3488</v>
      </c>
      <c r="J103" s="385" t="s">
        <v>3476</v>
      </c>
      <c r="K103" s="385" t="e">
        <f>VLOOKUP(Table13[[#This Row],[CD_FUNCAO]],'BASE_FUNCOES (hide)'!A:X,2,FALSE)</f>
        <v>#N/A</v>
      </c>
    </row>
    <row r="104" spans="1:11">
      <c r="A104" s="385">
        <v>-924</v>
      </c>
      <c r="B104" s="385" t="s">
        <v>4166</v>
      </c>
      <c r="C104" s="385" t="s">
        <v>4165</v>
      </c>
      <c r="D104" s="385" t="s">
        <v>4164</v>
      </c>
      <c r="E104" s="385">
        <v>10</v>
      </c>
      <c r="F104" s="385" t="s">
        <v>213</v>
      </c>
      <c r="I104" s="385" t="s">
        <v>3488</v>
      </c>
      <c r="J104" s="385" t="s">
        <v>3476</v>
      </c>
      <c r="K104" s="385" t="e">
        <f>VLOOKUP(Table13[[#This Row],[CD_FUNCAO]],'BASE_FUNCOES (hide)'!A:X,2,FALSE)</f>
        <v>#N/A</v>
      </c>
    </row>
    <row r="105" spans="1:11">
      <c r="A105" s="385">
        <v>-910</v>
      </c>
      <c r="B105" s="385" t="s">
        <v>5516</v>
      </c>
      <c r="C105" s="385" t="s">
        <v>5515</v>
      </c>
      <c r="D105" s="385" t="s">
        <v>5514</v>
      </c>
      <c r="E105" s="385">
        <v>283</v>
      </c>
      <c r="F105" s="385" t="s">
        <v>4705</v>
      </c>
      <c r="G105" s="385" t="s">
        <v>4704</v>
      </c>
      <c r="H105" s="385" t="s">
        <v>4703</v>
      </c>
      <c r="I105" s="385" t="s">
        <v>3488</v>
      </c>
      <c r="K105" s="385" t="e">
        <f>VLOOKUP(Table13[[#This Row],[CD_FUNCAO]],'BASE_FUNCOES (hide)'!A:X,2,FALSE)</f>
        <v>#N/A</v>
      </c>
    </row>
    <row r="106" spans="1:11">
      <c r="A106" s="385">
        <v>-899</v>
      </c>
      <c r="B106" s="385" t="s">
        <v>4786</v>
      </c>
      <c r="C106" s="385" t="s">
        <v>4785</v>
      </c>
      <c r="D106" s="385" t="s">
        <v>4784</v>
      </c>
      <c r="E106" s="385">
        <v>283</v>
      </c>
      <c r="F106" s="385" t="s">
        <v>4705</v>
      </c>
      <c r="G106" s="385" t="s">
        <v>4704</v>
      </c>
      <c r="H106" s="385" t="s">
        <v>4703</v>
      </c>
      <c r="I106" s="385" t="s">
        <v>3488</v>
      </c>
      <c r="J106" s="385" t="s">
        <v>3476</v>
      </c>
      <c r="K106" s="385" t="e">
        <f>VLOOKUP(Table13[[#This Row],[CD_FUNCAO]],'BASE_FUNCOES (hide)'!A:X,2,FALSE)</f>
        <v>#N/A</v>
      </c>
    </row>
    <row r="107" spans="1:11">
      <c r="A107" s="385">
        <v>-855</v>
      </c>
      <c r="B107" s="385" t="s">
        <v>5525</v>
      </c>
      <c r="C107" s="385" t="s">
        <v>5524</v>
      </c>
      <c r="D107" s="385" t="s">
        <v>5523</v>
      </c>
      <c r="E107" s="385">
        <v>283</v>
      </c>
      <c r="F107" s="385" t="s">
        <v>4705</v>
      </c>
      <c r="G107" s="385" t="s">
        <v>4704</v>
      </c>
      <c r="H107" s="385" t="s">
        <v>4703</v>
      </c>
      <c r="I107" s="385" t="s">
        <v>3488</v>
      </c>
      <c r="J107" s="385" t="s">
        <v>3476</v>
      </c>
      <c r="K107" s="385" t="e">
        <f>VLOOKUP(Table13[[#This Row],[CD_FUNCAO]],'BASE_FUNCOES (hide)'!A:X,2,FALSE)</f>
        <v>#N/A</v>
      </c>
    </row>
    <row r="108" spans="1:11" hidden="1">
      <c r="A108" s="385">
        <v>-2225</v>
      </c>
      <c r="B108" s="385" t="s">
        <v>1189</v>
      </c>
      <c r="C108" s="385" t="s">
        <v>1190</v>
      </c>
      <c r="D108" s="385" t="s">
        <v>1191</v>
      </c>
      <c r="E108" s="385">
        <v>283</v>
      </c>
      <c r="F108" s="385" t="s">
        <v>4705</v>
      </c>
      <c r="G108" s="385" t="s">
        <v>4704</v>
      </c>
      <c r="H108" s="385" t="s">
        <v>4703</v>
      </c>
      <c r="I108" s="385" t="s">
        <v>3477</v>
      </c>
      <c r="J108" s="385" t="s">
        <v>3476</v>
      </c>
      <c r="K108" s="385" t="str">
        <f>VLOOKUP(Table13[[#This Row],[CD_FUNCAO]],'BASE_FUNCOES (hide)'!A:X,2,FALSE)</f>
        <v>Medidas padrão</v>
      </c>
    </row>
    <row r="109" spans="1:11">
      <c r="A109" s="385">
        <v>-851</v>
      </c>
      <c r="B109" s="385" t="s">
        <v>4768</v>
      </c>
      <c r="C109" s="385" t="s">
        <v>4767</v>
      </c>
      <c r="D109" s="385" t="s">
        <v>4766</v>
      </c>
      <c r="E109" s="385">
        <v>283</v>
      </c>
      <c r="F109" s="385" t="s">
        <v>4705</v>
      </c>
      <c r="G109" s="385" t="s">
        <v>4704</v>
      </c>
      <c r="H109" s="385" t="s">
        <v>4703</v>
      </c>
      <c r="I109" s="385" t="s">
        <v>3488</v>
      </c>
      <c r="J109" s="385" t="s">
        <v>3476</v>
      </c>
      <c r="K109" s="385" t="e">
        <f>VLOOKUP(Table13[[#This Row],[CD_FUNCAO]],'BASE_FUNCOES (hide)'!A:X,2,FALSE)</f>
        <v>#N/A</v>
      </c>
    </row>
    <row r="110" spans="1:11">
      <c r="A110" s="385">
        <v>-850</v>
      </c>
      <c r="B110" s="385" t="s">
        <v>4756</v>
      </c>
      <c r="C110" s="385" t="s">
        <v>4755</v>
      </c>
      <c r="D110" s="385" t="s">
        <v>4754</v>
      </c>
      <c r="E110" s="385">
        <v>283</v>
      </c>
      <c r="F110" s="385" t="s">
        <v>4705</v>
      </c>
      <c r="G110" s="385" t="s">
        <v>4704</v>
      </c>
      <c r="H110" s="385" t="s">
        <v>4703</v>
      </c>
      <c r="I110" s="385" t="s">
        <v>3488</v>
      </c>
      <c r="J110" s="385" t="s">
        <v>3477</v>
      </c>
      <c r="K110" s="385" t="e">
        <f>VLOOKUP(Table13[[#This Row],[CD_FUNCAO]],'BASE_FUNCOES (hide)'!A:X,2,FALSE)</f>
        <v>#N/A</v>
      </c>
    </row>
    <row r="111" spans="1:11">
      <c r="A111" s="385">
        <v>-821</v>
      </c>
      <c r="B111" s="385" t="s">
        <v>4128</v>
      </c>
      <c r="C111" s="385" t="s">
        <v>4127</v>
      </c>
      <c r="D111" s="385" t="s">
        <v>4126</v>
      </c>
      <c r="E111" s="385">
        <v>12</v>
      </c>
      <c r="F111" s="385" t="s">
        <v>4</v>
      </c>
      <c r="G111" s="385" t="s">
        <v>4119</v>
      </c>
      <c r="H111" s="385" t="s">
        <v>728</v>
      </c>
      <c r="I111" s="385" t="s">
        <v>3488</v>
      </c>
      <c r="J111" s="385" t="s">
        <v>3477</v>
      </c>
      <c r="K111" s="385" t="e">
        <f>VLOOKUP(Table13[[#This Row],[CD_FUNCAO]],'BASE_FUNCOES (hide)'!A:X,2,FALSE)</f>
        <v>#N/A</v>
      </c>
    </row>
    <row r="112" spans="1:11" hidden="1">
      <c r="A112" s="385">
        <v>-996</v>
      </c>
      <c r="B112" s="385" t="s">
        <v>1221</v>
      </c>
      <c r="C112" s="385" t="s">
        <v>1222</v>
      </c>
      <c r="D112" s="385" t="s">
        <v>1223</v>
      </c>
      <c r="E112" s="385">
        <v>283</v>
      </c>
      <c r="F112" s="385" t="s">
        <v>4705</v>
      </c>
      <c r="G112" s="385" t="s">
        <v>4704</v>
      </c>
      <c r="H112" s="385" t="s">
        <v>4703</v>
      </c>
      <c r="I112" s="385" t="s">
        <v>3488</v>
      </c>
      <c r="J112" s="385" t="s">
        <v>3476</v>
      </c>
      <c r="K112" s="385" t="str">
        <f>VLOOKUP(Table13[[#This Row],[CD_FUNCAO]],'BASE_FUNCOES (hide)'!A:X,2,FALSE)</f>
        <v>Prescrição Coletiva</v>
      </c>
    </row>
    <row r="113" spans="1:11" hidden="1">
      <c r="A113" s="385">
        <v>401</v>
      </c>
      <c r="B113" s="385" t="s">
        <v>377</v>
      </c>
      <c r="C113" s="385" t="s">
        <v>1217</v>
      </c>
      <c r="D113" s="385" t="s">
        <v>1218</v>
      </c>
      <c r="E113" s="385">
        <v>283</v>
      </c>
      <c r="F113" s="385" t="s">
        <v>4705</v>
      </c>
      <c r="G113" s="385" t="s">
        <v>4704</v>
      </c>
      <c r="H113" s="385" t="s">
        <v>4703</v>
      </c>
      <c r="I113" s="385" t="s">
        <v>3477</v>
      </c>
      <c r="J113" s="385" t="s">
        <v>3476</v>
      </c>
      <c r="K113" s="385" t="str">
        <f>VLOOKUP(Table13[[#This Row],[CD_FUNCAO]],'BASE_FUNCOES (hide)'!A:X,2,FALSE)</f>
        <v>Localizador de serviços</v>
      </c>
    </row>
    <row r="114" spans="1:11">
      <c r="A114" s="385">
        <v>-820</v>
      </c>
      <c r="B114" s="385" t="s">
        <v>5510</v>
      </c>
      <c r="C114" s="385" t="s">
        <v>5509</v>
      </c>
      <c r="D114" s="385" t="s">
        <v>5508</v>
      </c>
      <c r="E114" s="385">
        <v>283</v>
      </c>
      <c r="F114" s="385" t="s">
        <v>4705</v>
      </c>
      <c r="G114" s="385" t="s">
        <v>4704</v>
      </c>
      <c r="H114" s="385" t="s">
        <v>4703</v>
      </c>
      <c r="I114" s="385" t="s">
        <v>3488</v>
      </c>
      <c r="J114" s="385" t="s">
        <v>3476</v>
      </c>
      <c r="K114" s="385" t="e">
        <f>VLOOKUP(Table13[[#This Row],[CD_FUNCAO]],'BASE_FUNCOES (hide)'!A:X,2,FALSE)</f>
        <v>#N/A</v>
      </c>
    </row>
    <row r="115" spans="1:11">
      <c r="A115" s="385">
        <v>-814</v>
      </c>
      <c r="B115" s="385" t="s">
        <v>5684</v>
      </c>
      <c r="C115" s="385" t="s">
        <v>5683</v>
      </c>
      <c r="D115" s="385" t="s">
        <v>5682</v>
      </c>
      <c r="E115" s="385">
        <v>283</v>
      </c>
      <c r="F115" s="385" t="s">
        <v>4705</v>
      </c>
      <c r="G115" s="385" t="s">
        <v>4704</v>
      </c>
      <c r="H115" s="385" t="s">
        <v>4703</v>
      </c>
      <c r="I115" s="385" t="s">
        <v>3488</v>
      </c>
      <c r="J115" s="385" t="s">
        <v>3476</v>
      </c>
      <c r="K115" s="385" t="e">
        <f>VLOOKUP(Table13[[#This Row],[CD_FUNCAO]],'BASE_FUNCOES (hide)'!A:X,2,FALSE)</f>
        <v>#N/A</v>
      </c>
    </row>
    <row r="116" spans="1:11">
      <c r="A116" s="385">
        <v>-813</v>
      </c>
      <c r="B116" s="385" t="s">
        <v>5697</v>
      </c>
      <c r="C116" s="385" t="s">
        <v>5696</v>
      </c>
      <c r="D116" s="385" t="s">
        <v>5695</v>
      </c>
      <c r="E116" s="385">
        <v>283</v>
      </c>
      <c r="F116" s="385" t="s">
        <v>4705</v>
      </c>
      <c r="G116" s="385" t="s">
        <v>4704</v>
      </c>
      <c r="H116" s="385" t="s">
        <v>4703</v>
      </c>
      <c r="I116" s="385" t="s">
        <v>3488</v>
      </c>
      <c r="J116" s="385" t="s">
        <v>3476</v>
      </c>
      <c r="K116" s="385" t="e">
        <f>VLOOKUP(Table13[[#This Row],[CD_FUNCAO]],'BASE_FUNCOES (hide)'!A:X,2,FALSE)</f>
        <v>#N/A</v>
      </c>
    </row>
    <row r="117" spans="1:11">
      <c r="A117" s="385">
        <v>-812</v>
      </c>
      <c r="B117" s="385" t="s">
        <v>5697</v>
      </c>
      <c r="C117" s="385" t="s">
        <v>5696</v>
      </c>
      <c r="D117" s="385" t="s">
        <v>5695</v>
      </c>
      <c r="E117" s="385">
        <v>283</v>
      </c>
      <c r="F117" s="385" t="s">
        <v>4705</v>
      </c>
      <c r="G117" s="385" t="s">
        <v>4704</v>
      </c>
      <c r="H117" s="385" t="s">
        <v>4703</v>
      </c>
      <c r="I117" s="385" t="s">
        <v>3488</v>
      </c>
      <c r="J117" s="385" t="s">
        <v>3476</v>
      </c>
      <c r="K117" s="385" t="e">
        <f>VLOOKUP(Table13[[#This Row],[CD_FUNCAO]],'BASE_FUNCOES (hide)'!A:X,2,FALSE)</f>
        <v>#N/A</v>
      </c>
    </row>
    <row r="118" spans="1:11">
      <c r="A118" s="385">
        <v>-811</v>
      </c>
      <c r="B118" s="385" t="s">
        <v>5694</v>
      </c>
      <c r="C118" s="385" t="s">
        <v>5693</v>
      </c>
      <c r="D118" s="385" t="s">
        <v>5692</v>
      </c>
      <c r="E118" s="385">
        <v>283</v>
      </c>
      <c r="F118" s="385" t="s">
        <v>4705</v>
      </c>
      <c r="G118" s="385" t="s">
        <v>4704</v>
      </c>
      <c r="H118" s="385" t="s">
        <v>4703</v>
      </c>
      <c r="I118" s="385" t="s">
        <v>3488</v>
      </c>
      <c r="J118" s="385" t="s">
        <v>3476</v>
      </c>
      <c r="K118" s="385" t="e">
        <f>VLOOKUP(Table13[[#This Row],[CD_FUNCAO]],'BASE_FUNCOES (hide)'!A:X,2,FALSE)</f>
        <v>#N/A</v>
      </c>
    </row>
    <row r="119" spans="1:11" hidden="1">
      <c r="A119" s="385">
        <v>1751</v>
      </c>
      <c r="B119" s="385" t="s">
        <v>5601</v>
      </c>
      <c r="C119" s="385" t="s">
        <v>5600</v>
      </c>
      <c r="D119" s="385" t="s">
        <v>5599</v>
      </c>
      <c r="E119" s="385">
        <v>283</v>
      </c>
      <c r="F119" s="385" t="s">
        <v>4705</v>
      </c>
      <c r="G119" s="385" t="s">
        <v>4704</v>
      </c>
      <c r="H119" s="385" t="s">
        <v>4703</v>
      </c>
      <c r="I119" s="385" t="s">
        <v>3477</v>
      </c>
      <c r="J119" s="385" t="s">
        <v>3476</v>
      </c>
      <c r="K119" s="385" t="str">
        <f>VLOOKUP(Table13[[#This Row],[CD_FUNCAO]],'BASE_FUNCOES (hide)'!A:X,2,FALSE)</f>
        <v>Gerenciamento para integração</v>
      </c>
    </row>
    <row r="120" spans="1:11">
      <c r="A120" s="385">
        <v>-809</v>
      </c>
      <c r="B120" s="385" t="s">
        <v>5489</v>
      </c>
      <c r="C120" s="385" t="s">
        <v>1732</v>
      </c>
      <c r="D120" s="385" t="s">
        <v>5488</v>
      </c>
      <c r="E120" s="385">
        <v>283</v>
      </c>
      <c r="F120" s="385" t="s">
        <v>4705</v>
      </c>
      <c r="G120" s="385" t="s">
        <v>4704</v>
      </c>
      <c r="H120" s="385" t="s">
        <v>4703</v>
      </c>
      <c r="I120" s="385" t="s">
        <v>3488</v>
      </c>
      <c r="J120" s="385" t="s">
        <v>3477</v>
      </c>
      <c r="K120" s="385" t="e">
        <f>VLOOKUP(Table13[[#This Row],[CD_FUNCAO]],'BASE_FUNCOES (hide)'!A:X,2,FALSE)</f>
        <v>#N/A</v>
      </c>
    </row>
    <row r="121" spans="1:11">
      <c r="A121" s="385">
        <v>-808</v>
      </c>
      <c r="B121" s="385" t="s">
        <v>4837</v>
      </c>
      <c r="C121" s="385" t="s">
        <v>4836</v>
      </c>
      <c r="D121" s="385" t="s">
        <v>4835</v>
      </c>
      <c r="E121" s="385">
        <v>283</v>
      </c>
      <c r="F121" s="385" t="s">
        <v>4705</v>
      </c>
      <c r="G121" s="385" t="s">
        <v>4704</v>
      </c>
      <c r="H121" s="385" t="s">
        <v>4703</v>
      </c>
      <c r="I121" s="385" t="s">
        <v>3488</v>
      </c>
      <c r="J121" s="385" t="s">
        <v>3476</v>
      </c>
      <c r="K121" s="385" t="e">
        <f>VLOOKUP(Table13[[#This Row],[CD_FUNCAO]],'BASE_FUNCOES (hide)'!A:X,2,FALSE)</f>
        <v>#N/A</v>
      </c>
    </row>
    <row r="122" spans="1:11">
      <c r="A122" s="385">
        <v>-807</v>
      </c>
      <c r="B122" s="385" t="s">
        <v>3997</v>
      </c>
      <c r="C122" s="385" t="s">
        <v>3996</v>
      </c>
      <c r="D122" s="385" t="s">
        <v>3995</v>
      </c>
      <c r="E122" s="385">
        <v>283</v>
      </c>
      <c r="F122" s="385" t="s">
        <v>4705</v>
      </c>
      <c r="G122" s="385" t="s">
        <v>4704</v>
      </c>
      <c r="H122" s="385" t="s">
        <v>4703</v>
      </c>
      <c r="I122" s="385" t="s">
        <v>3488</v>
      </c>
      <c r="J122" s="385" t="s">
        <v>3476</v>
      </c>
      <c r="K122" s="385" t="e">
        <f>VLOOKUP(Table13[[#This Row],[CD_FUNCAO]],'BASE_FUNCOES (hide)'!A:X,2,FALSE)</f>
        <v>#N/A</v>
      </c>
    </row>
    <row r="123" spans="1:11" hidden="1">
      <c r="A123" s="385">
        <v>-4</v>
      </c>
      <c r="B123" s="385" t="s">
        <v>1238</v>
      </c>
      <c r="C123" s="385" t="s">
        <v>5590</v>
      </c>
      <c r="D123" s="385" t="s">
        <v>5589</v>
      </c>
      <c r="E123" s="385">
        <v>283</v>
      </c>
      <c r="F123" s="385" t="s">
        <v>4705</v>
      </c>
      <c r="G123" s="385" t="s">
        <v>4704</v>
      </c>
      <c r="H123" s="385" t="s">
        <v>4703</v>
      </c>
      <c r="I123" s="385" t="s">
        <v>3477</v>
      </c>
      <c r="K123" s="385" t="str">
        <f>VLOOKUP(Table13[[#This Row],[CD_FUNCAO]],'BASE_FUNCOES (hide)'!A:X,2,FALSE)</f>
        <v>Obter setor atendimento</v>
      </c>
    </row>
    <row r="124" spans="1:11">
      <c r="A124" s="385">
        <v>-758</v>
      </c>
      <c r="B124" s="385" t="s">
        <v>5248</v>
      </c>
      <c r="C124" s="385" t="s">
        <v>5247</v>
      </c>
      <c r="D124" s="385" t="s">
        <v>5246</v>
      </c>
      <c r="E124" s="385">
        <v>283</v>
      </c>
      <c r="F124" s="385" t="s">
        <v>4705</v>
      </c>
      <c r="G124" s="385" t="s">
        <v>4704</v>
      </c>
      <c r="H124" s="385" t="s">
        <v>4703</v>
      </c>
      <c r="I124" s="385" t="s">
        <v>3510</v>
      </c>
      <c r="J124" s="385" t="s">
        <v>3477</v>
      </c>
      <c r="K124" s="385" t="e">
        <f>VLOOKUP(Table13[[#This Row],[CD_FUNCAO]],'BASE_FUNCOES (hide)'!A:X,2,FALSE)</f>
        <v>#N/A</v>
      </c>
    </row>
    <row r="125" spans="1:11" hidden="1">
      <c r="A125" s="385">
        <v>4051</v>
      </c>
      <c r="B125" s="385" t="s">
        <v>5586</v>
      </c>
      <c r="C125" s="385" t="s">
        <v>5585</v>
      </c>
      <c r="D125" s="385" t="s">
        <v>5584</v>
      </c>
      <c r="E125" s="385">
        <v>283</v>
      </c>
      <c r="F125" s="385" t="s">
        <v>4705</v>
      </c>
      <c r="G125" s="385" t="s">
        <v>4704</v>
      </c>
      <c r="H125" s="385" t="s">
        <v>4703</v>
      </c>
      <c r="I125" s="385" t="s">
        <v>3485</v>
      </c>
      <c r="J125" s="385" t="s">
        <v>3476</v>
      </c>
      <c r="K125" s="385" t="str">
        <f>VLOOKUP(Table13[[#This Row],[CD_FUNCAO]],'BASE_FUNCOES (hide)'!A:X,2,FALSE)</f>
        <v>Mapa de ocupação da quimioterapia</v>
      </c>
    </row>
    <row r="126" spans="1:11">
      <c r="A126" s="385">
        <v>-728</v>
      </c>
      <c r="B126" s="385" t="s">
        <v>5565</v>
      </c>
      <c r="C126" s="385" t="s">
        <v>5566</v>
      </c>
      <c r="D126" s="385" t="s">
        <v>5565</v>
      </c>
      <c r="E126" s="385">
        <v>283</v>
      </c>
      <c r="F126" s="385" t="s">
        <v>4705</v>
      </c>
      <c r="G126" s="385" t="s">
        <v>4704</v>
      </c>
      <c r="H126" s="385" t="s">
        <v>4703</v>
      </c>
      <c r="I126" s="385" t="s">
        <v>3488</v>
      </c>
      <c r="J126" s="385" t="s">
        <v>3476</v>
      </c>
      <c r="K126" s="385" t="e">
        <f>VLOOKUP(Table13[[#This Row],[CD_FUNCAO]],'BASE_FUNCOES (hide)'!A:X,2,FALSE)</f>
        <v>#N/A</v>
      </c>
    </row>
    <row r="127" spans="1:11" hidden="1">
      <c r="A127" s="385">
        <v>10016</v>
      </c>
      <c r="B127" s="385" t="s">
        <v>354</v>
      </c>
      <c r="C127" s="385" t="s">
        <v>1244</v>
      </c>
      <c r="D127" s="385" t="s">
        <v>1245</v>
      </c>
      <c r="E127" s="385">
        <v>283</v>
      </c>
      <c r="F127" s="385" t="s">
        <v>4705</v>
      </c>
      <c r="G127" s="385" t="s">
        <v>4704</v>
      </c>
      <c r="H127" s="385" t="s">
        <v>4703</v>
      </c>
      <c r="I127" s="385" t="s">
        <v>3477</v>
      </c>
      <c r="J127" s="385" t="s">
        <v>3476</v>
      </c>
      <c r="K127" s="385" t="str">
        <f>VLOOKUP(Table13[[#This Row],[CD_FUNCAO]],'BASE_FUNCOES (hide)'!A:X,2,FALSE)</f>
        <v>Geração de Arquivos do Laboratório</v>
      </c>
    </row>
    <row r="128" spans="1:11">
      <c r="A128" s="385">
        <v>-727</v>
      </c>
      <c r="B128" s="385" t="s">
        <v>5564</v>
      </c>
      <c r="C128" s="385" t="s">
        <v>5563</v>
      </c>
      <c r="D128" s="385" t="s">
        <v>5562</v>
      </c>
      <c r="E128" s="385">
        <v>283</v>
      </c>
      <c r="F128" s="385" t="s">
        <v>4705</v>
      </c>
      <c r="G128" s="385" t="s">
        <v>4704</v>
      </c>
      <c r="H128" s="385" t="s">
        <v>4703</v>
      </c>
      <c r="I128" s="385" t="s">
        <v>3488</v>
      </c>
      <c r="J128" s="385" t="s">
        <v>3476</v>
      </c>
      <c r="K128" s="385" t="e">
        <f>VLOOKUP(Table13[[#This Row],[CD_FUNCAO]],'BASE_FUNCOES (hide)'!A:X,2,FALSE)</f>
        <v>#N/A</v>
      </c>
    </row>
    <row r="129" spans="1:11">
      <c r="A129" s="385">
        <v>-725</v>
      </c>
      <c r="B129" s="385" t="s">
        <v>1289</v>
      </c>
      <c r="C129" s="385" t="s">
        <v>1288</v>
      </c>
      <c r="D129" s="385" t="s">
        <v>1289</v>
      </c>
      <c r="E129" s="385">
        <v>283</v>
      </c>
      <c r="F129" s="385" t="s">
        <v>4705</v>
      </c>
      <c r="G129" s="385" t="s">
        <v>4704</v>
      </c>
      <c r="H129" s="385" t="s">
        <v>4703</v>
      </c>
      <c r="I129" s="385" t="s">
        <v>3485</v>
      </c>
      <c r="K129" s="385" t="e">
        <f>VLOOKUP(Table13[[#This Row],[CD_FUNCAO]],'BASE_FUNCOES (hide)'!A:X,2,FALSE)</f>
        <v>#N/A</v>
      </c>
    </row>
    <row r="130" spans="1:11">
      <c r="A130" s="385">
        <v>-723</v>
      </c>
      <c r="B130" s="385" t="s">
        <v>5561</v>
      </c>
      <c r="C130" s="385" t="s">
        <v>5560</v>
      </c>
      <c r="D130" s="385" t="s">
        <v>5559</v>
      </c>
      <c r="E130" s="385">
        <v>283</v>
      </c>
      <c r="F130" s="385" t="s">
        <v>4705</v>
      </c>
      <c r="G130" s="385" t="s">
        <v>4704</v>
      </c>
      <c r="H130" s="385" t="s">
        <v>4703</v>
      </c>
      <c r="I130" s="385" t="s">
        <v>3488</v>
      </c>
      <c r="J130" s="385" t="s">
        <v>3476</v>
      </c>
      <c r="K130" s="385" t="e">
        <f>VLOOKUP(Table13[[#This Row],[CD_FUNCAO]],'BASE_FUNCOES (hide)'!A:X,2,FALSE)</f>
        <v>#N/A</v>
      </c>
    </row>
    <row r="131" spans="1:11">
      <c r="A131" s="385">
        <v>-715</v>
      </c>
      <c r="B131" s="385" t="s">
        <v>1289</v>
      </c>
      <c r="C131" s="385" t="s">
        <v>1288</v>
      </c>
      <c r="D131" s="385" t="s">
        <v>1289</v>
      </c>
      <c r="E131" s="385">
        <v>283</v>
      </c>
      <c r="F131" s="385" t="s">
        <v>4705</v>
      </c>
      <c r="G131" s="385" t="s">
        <v>4704</v>
      </c>
      <c r="H131" s="385" t="s">
        <v>4703</v>
      </c>
      <c r="I131" s="385" t="s">
        <v>3485</v>
      </c>
      <c r="J131" s="385" t="s">
        <v>3476</v>
      </c>
      <c r="K131" s="385" t="e">
        <f>VLOOKUP(Table13[[#This Row],[CD_FUNCAO]],'BASE_FUNCOES (hide)'!A:X,2,FALSE)</f>
        <v>#N/A</v>
      </c>
    </row>
    <row r="132" spans="1:11">
      <c r="A132" s="385">
        <v>-712</v>
      </c>
      <c r="B132" s="385" t="s">
        <v>4753</v>
      </c>
      <c r="C132" s="385" t="s">
        <v>4752</v>
      </c>
      <c r="D132" s="385" t="s">
        <v>4751</v>
      </c>
      <c r="E132" s="385">
        <v>283</v>
      </c>
      <c r="F132" s="385" t="s">
        <v>4705</v>
      </c>
      <c r="G132" s="385" t="s">
        <v>4704</v>
      </c>
      <c r="H132" s="385" t="s">
        <v>4703</v>
      </c>
      <c r="I132" s="385" t="s">
        <v>3510</v>
      </c>
      <c r="J132" s="385" t="s">
        <v>3476</v>
      </c>
      <c r="K132" s="385" t="e">
        <f>VLOOKUP(Table13[[#This Row],[CD_FUNCAO]],'BASE_FUNCOES (hide)'!A:X,2,FALSE)</f>
        <v>#N/A</v>
      </c>
    </row>
    <row r="133" spans="1:11">
      <c r="A133" s="385">
        <v>-711</v>
      </c>
      <c r="B133" s="385" t="s">
        <v>903</v>
      </c>
      <c r="C133" s="385" t="s">
        <v>904</v>
      </c>
      <c r="D133" s="385" t="s">
        <v>905</v>
      </c>
      <c r="E133" s="385">
        <v>283</v>
      </c>
      <c r="F133" s="385" t="s">
        <v>4705</v>
      </c>
      <c r="G133" s="385" t="s">
        <v>4704</v>
      </c>
      <c r="H133" s="385" t="s">
        <v>4703</v>
      </c>
      <c r="I133" s="385" t="s">
        <v>3488</v>
      </c>
      <c r="J133" s="385" t="s">
        <v>3476</v>
      </c>
      <c r="K133" s="385" t="e">
        <f>VLOOKUP(Table13[[#This Row],[CD_FUNCAO]],'BASE_FUNCOES (hide)'!A:X,2,FALSE)</f>
        <v>#N/A</v>
      </c>
    </row>
    <row r="134" spans="1:11">
      <c r="A134" s="385">
        <v>-709</v>
      </c>
      <c r="B134" s="385" t="s">
        <v>903</v>
      </c>
      <c r="C134" s="385" t="s">
        <v>904</v>
      </c>
      <c r="D134" s="385" t="s">
        <v>905</v>
      </c>
      <c r="E134" s="385">
        <v>283</v>
      </c>
      <c r="F134" s="385" t="s">
        <v>4705</v>
      </c>
      <c r="G134" s="385" t="s">
        <v>4704</v>
      </c>
      <c r="H134" s="385" t="s">
        <v>4703</v>
      </c>
      <c r="I134" s="385" t="s">
        <v>3488</v>
      </c>
      <c r="J134" s="385" t="s">
        <v>3477</v>
      </c>
      <c r="K134" s="385" t="e">
        <f>VLOOKUP(Table13[[#This Row],[CD_FUNCAO]],'BASE_FUNCOES (hide)'!A:X,2,FALSE)</f>
        <v>#N/A</v>
      </c>
    </row>
    <row r="135" spans="1:11">
      <c r="A135" s="385">
        <v>-631</v>
      </c>
      <c r="B135" s="385" t="s">
        <v>5733</v>
      </c>
      <c r="C135" s="385" t="s">
        <v>5732</v>
      </c>
      <c r="D135" s="385" t="s">
        <v>5731</v>
      </c>
      <c r="E135" s="385">
        <v>283</v>
      </c>
      <c r="F135" s="385" t="s">
        <v>4705</v>
      </c>
      <c r="G135" s="385" t="s">
        <v>4704</v>
      </c>
      <c r="H135" s="385" t="s">
        <v>4703</v>
      </c>
      <c r="I135" s="385" t="s">
        <v>3510</v>
      </c>
      <c r="J135" s="385" t="s">
        <v>3476</v>
      </c>
      <c r="K135" s="385" t="e">
        <f>VLOOKUP(Table13[[#This Row],[CD_FUNCAO]],'BASE_FUNCOES (hide)'!A:X,2,FALSE)</f>
        <v>#N/A</v>
      </c>
    </row>
    <row r="136" spans="1:11">
      <c r="A136" s="385">
        <v>-630</v>
      </c>
      <c r="B136" s="385" t="s">
        <v>5408</v>
      </c>
      <c r="C136" s="385" t="s">
        <v>5407</v>
      </c>
      <c r="D136" s="385" t="s">
        <v>5406</v>
      </c>
      <c r="E136" s="385">
        <v>283</v>
      </c>
      <c r="F136" s="385" t="s">
        <v>4705</v>
      </c>
      <c r="G136" s="385" t="s">
        <v>4704</v>
      </c>
      <c r="H136" s="385" t="s">
        <v>4703</v>
      </c>
      <c r="I136" s="385" t="s">
        <v>3488</v>
      </c>
      <c r="J136" s="385" t="s">
        <v>3477</v>
      </c>
      <c r="K136" s="385" t="e">
        <f>VLOOKUP(Table13[[#This Row],[CD_FUNCAO]],'BASE_FUNCOES (hide)'!A:X,2,FALSE)</f>
        <v>#N/A</v>
      </c>
    </row>
    <row r="137" spans="1:11">
      <c r="A137" s="385">
        <v>-629</v>
      </c>
      <c r="B137" s="385" t="s">
        <v>5642</v>
      </c>
      <c r="C137" s="385" t="s">
        <v>5641</v>
      </c>
      <c r="D137" s="385" t="s">
        <v>5640</v>
      </c>
      <c r="E137" s="385">
        <v>283</v>
      </c>
      <c r="F137" s="385" t="s">
        <v>4705</v>
      </c>
      <c r="G137" s="385" t="s">
        <v>4704</v>
      </c>
      <c r="H137" s="385" t="s">
        <v>4703</v>
      </c>
      <c r="I137" s="385" t="s">
        <v>3488</v>
      </c>
      <c r="J137" s="385" t="s">
        <v>3477</v>
      </c>
      <c r="K137" s="385" t="e">
        <f>VLOOKUP(Table13[[#This Row],[CD_FUNCAO]],'BASE_FUNCOES (hide)'!A:X,2,FALSE)</f>
        <v>#N/A</v>
      </c>
    </row>
    <row r="138" spans="1:11">
      <c r="A138" s="385">
        <v>-628</v>
      </c>
      <c r="B138" s="385" t="s">
        <v>5329</v>
      </c>
      <c r="C138" s="385" t="s">
        <v>5328</v>
      </c>
      <c r="D138" s="385" t="s">
        <v>5327</v>
      </c>
      <c r="E138" s="385">
        <v>283</v>
      </c>
      <c r="F138" s="385" t="s">
        <v>4705</v>
      </c>
      <c r="G138" s="385" t="s">
        <v>4704</v>
      </c>
      <c r="H138" s="385" t="s">
        <v>4703</v>
      </c>
      <c r="I138" s="385" t="s">
        <v>3488</v>
      </c>
      <c r="J138" s="385" t="s">
        <v>3477</v>
      </c>
      <c r="K138" s="385" t="e">
        <f>VLOOKUP(Table13[[#This Row],[CD_FUNCAO]],'BASE_FUNCOES (hide)'!A:X,2,FALSE)</f>
        <v>#N/A</v>
      </c>
    </row>
    <row r="139" spans="1:11">
      <c r="A139" s="385">
        <v>-626</v>
      </c>
      <c r="B139" s="385" t="s">
        <v>5639</v>
      </c>
      <c r="C139" s="385" t="s">
        <v>5638</v>
      </c>
      <c r="D139" s="385" t="s">
        <v>5637</v>
      </c>
      <c r="E139" s="385">
        <v>283</v>
      </c>
      <c r="F139" s="385" t="s">
        <v>4705</v>
      </c>
      <c r="G139" s="385" t="s">
        <v>4704</v>
      </c>
      <c r="H139" s="385" t="s">
        <v>4703</v>
      </c>
      <c r="I139" s="385" t="s">
        <v>3488</v>
      </c>
      <c r="J139" s="385" t="s">
        <v>3477</v>
      </c>
      <c r="K139" s="385" t="e">
        <f>VLOOKUP(Table13[[#This Row],[CD_FUNCAO]],'BASE_FUNCOES (hide)'!A:X,2,FALSE)</f>
        <v>#N/A</v>
      </c>
    </row>
    <row r="140" spans="1:11">
      <c r="A140" s="385">
        <v>-624</v>
      </c>
      <c r="B140" s="385" t="s">
        <v>5326</v>
      </c>
      <c r="C140" s="385" t="s">
        <v>5325</v>
      </c>
      <c r="D140" s="385" t="s">
        <v>5324</v>
      </c>
      <c r="E140" s="385">
        <v>283</v>
      </c>
      <c r="F140" s="385" t="s">
        <v>4705</v>
      </c>
      <c r="G140" s="385" t="s">
        <v>4704</v>
      </c>
      <c r="H140" s="385" t="s">
        <v>4703</v>
      </c>
      <c r="I140" s="385" t="s">
        <v>3488</v>
      </c>
      <c r="J140" s="385" t="s">
        <v>3477</v>
      </c>
      <c r="K140" s="385" t="e">
        <f>VLOOKUP(Table13[[#This Row],[CD_FUNCAO]],'BASE_FUNCOES (hide)'!A:X,2,FALSE)</f>
        <v>#N/A</v>
      </c>
    </row>
    <row r="141" spans="1:11">
      <c r="A141" s="385">
        <v>-620</v>
      </c>
      <c r="B141" s="385" t="s">
        <v>5399</v>
      </c>
      <c r="C141" s="385" t="s">
        <v>5398</v>
      </c>
      <c r="D141" s="385" t="s">
        <v>5397</v>
      </c>
      <c r="E141" s="385">
        <v>283</v>
      </c>
      <c r="F141" s="385" t="s">
        <v>4705</v>
      </c>
      <c r="G141" s="385" t="s">
        <v>4704</v>
      </c>
      <c r="H141" s="385" t="s">
        <v>4703</v>
      </c>
      <c r="I141" s="385" t="s">
        <v>3488</v>
      </c>
      <c r="J141" s="385" t="s">
        <v>3477</v>
      </c>
      <c r="K141" s="385" t="e">
        <f>VLOOKUP(Table13[[#This Row],[CD_FUNCAO]],'BASE_FUNCOES (hide)'!A:X,2,FALSE)</f>
        <v>#N/A</v>
      </c>
    </row>
    <row r="142" spans="1:11">
      <c r="A142" s="385">
        <v>-615</v>
      </c>
      <c r="B142" s="385" t="s">
        <v>5636</v>
      </c>
      <c r="C142" s="385" t="s">
        <v>5635</v>
      </c>
      <c r="D142" s="385" t="s">
        <v>5634</v>
      </c>
      <c r="E142" s="385">
        <v>283</v>
      </c>
      <c r="F142" s="385" t="s">
        <v>4705</v>
      </c>
      <c r="G142" s="385" t="s">
        <v>4704</v>
      </c>
      <c r="H142" s="385" t="s">
        <v>4703</v>
      </c>
      <c r="I142" s="385" t="s">
        <v>3488</v>
      </c>
      <c r="J142" s="385" t="s">
        <v>3477</v>
      </c>
      <c r="K142" s="385" t="e">
        <f>VLOOKUP(Table13[[#This Row],[CD_FUNCAO]],'BASE_FUNCOES (hide)'!A:X,2,FALSE)</f>
        <v>#N/A</v>
      </c>
    </row>
    <row r="143" spans="1:11">
      <c r="A143" s="385">
        <v>-614</v>
      </c>
      <c r="B143" s="385" t="s">
        <v>5487</v>
      </c>
      <c r="C143" s="385" t="s">
        <v>5486</v>
      </c>
      <c r="D143" s="385" t="s">
        <v>5485</v>
      </c>
      <c r="E143" s="385">
        <v>283</v>
      </c>
      <c r="F143" s="385" t="s">
        <v>4705</v>
      </c>
      <c r="G143" s="385" t="s">
        <v>4704</v>
      </c>
      <c r="H143" s="385" t="s">
        <v>4703</v>
      </c>
      <c r="I143" s="385" t="s">
        <v>3488</v>
      </c>
      <c r="J143" s="385" t="s">
        <v>3477</v>
      </c>
      <c r="K143" s="385" t="e">
        <f>VLOOKUP(Table13[[#This Row],[CD_FUNCAO]],'BASE_FUNCOES (hide)'!A:X,2,FALSE)</f>
        <v>#N/A</v>
      </c>
    </row>
    <row r="144" spans="1:11">
      <c r="A144" s="385">
        <v>-612</v>
      </c>
      <c r="B144" s="385" t="s">
        <v>5323</v>
      </c>
      <c r="C144" s="385" t="s">
        <v>5322</v>
      </c>
      <c r="D144" s="385" t="s">
        <v>5321</v>
      </c>
      <c r="E144" s="385">
        <v>283</v>
      </c>
      <c r="F144" s="385" t="s">
        <v>4705</v>
      </c>
      <c r="G144" s="385" t="s">
        <v>4704</v>
      </c>
      <c r="H144" s="385" t="s">
        <v>4703</v>
      </c>
      <c r="I144" s="385" t="s">
        <v>3488</v>
      </c>
      <c r="J144" s="385" t="s">
        <v>3477</v>
      </c>
      <c r="K144" s="385" t="e">
        <f>VLOOKUP(Table13[[#This Row],[CD_FUNCAO]],'BASE_FUNCOES (hide)'!A:X,2,FALSE)</f>
        <v>#N/A</v>
      </c>
    </row>
    <row r="145" spans="1:11">
      <c r="A145" s="385">
        <v>-611</v>
      </c>
      <c r="B145" s="385" t="s">
        <v>5484</v>
      </c>
      <c r="C145" s="385" t="s">
        <v>5483</v>
      </c>
      <c r="D145" s="385" t="s">
        <v>5482</v>
      </c>
      <c r="E145" s="385">
        <v>283</v>
      </c>
      <c r="F145" s="385" t="s">
        <v>4705</v>
      </c>
      <c r="G145" s="385" t="s">
        <v>4704</v>
      </c>
      <c r="H145" s="385" t="s">
        <v>4703</v>
      </c>
      <c r="I145" s="385" t="s">
        <v>3488</v>
      </c>
      <c r="J145" s="385" t="s">
        <v>3477</v>
      </c>
      <c r="K145" s="385" t="e">
        <f>VLOOKUP(Table13[[#This Row],[CD_FUNCAO]],'BASE_FUNCOES (hide)'!A:X,2,FALSE)</f>
        <v>#N/A</v>
      </c>
    </row>
    <row r="146" spans="1:11">
      <c r="A146" s="385">
        <v>-605</v>
      </c>
      <c r="B146" s="385" t="s">
        <v>5735</v>
      </c>
      <c r="C146" s="385" t="s">
        <v>5735</v>
      </c>
      <c r="D146" s="385" t="s">
        <v>5735</v>
      </c>
      <c r="E146" s="385">
        <v>283</v>
      </c>
      <c r="F146" s="385" t="s">
        <v>4705</v>
      </c>
      <c r="G146" s="385" t="s">
        <v>4704</v>
      </c>
      <c r="H146" s="385" t="s">
        <v>4703</v>
      </c>
      <c r="I146" s="385" t="s">
        <v>3488</v>
      </c>
      <c r="J146" s="385" t="s">
        <v>3476</v>
      </c>
      <c r="K146" s="385" t="e">
        <f>VLOOKUP(Table13[[#This Row],[CD_FUNCAO]],'BASE_FUNCOES (hide)'!A:X,2,FALSE)</f>
        <v>#N/A</v>
      </c>
    </row>
    <row r="147" spans="1:11">
      <c r="A147" s="385">
        <v>-603</v>
      </c>
      <c r="B147" s="385" t="s">
        <v>5662</v>
      </c>
      <c r="C147" s="385" t="s">
        <v>5661</v>
      </c>
      <c r="D147" s="385" t="s">
        <v>5660</v>
      </c>
      <c r="E147" s="385">
        <v>283</v>
      </c>
      <c r="F147" s="385" t="s">
        <v>4705</v>
      </c>
      <c r="G147" s="385" t="s">
        <v>4704</v>
      </c>
      <c r="H147" s="385" t="s">
        <v>4703</v>
      </c>
      <c r="I147" s="385" t="s">
        <v>3488</v>
      </c>
      <c r="K147" s="385" t="e">
        <f>VLOOKUP(Table13[[#This Row],[CD_FUNCAO]],'BASE_FUNCOES (hide)'!A:X,2,FALSE)</f>
        <v>#N/A</v>
      </c>
    </row>
    <row r="148" spans="1:11">
      <c r="A148" s="385">
        <v>-601</v>
      </c>
      <c r="B148" s="385" t="s">
        <v>5387</v>
      </c>
      <c r="C148" s="385" t="s">
        <v>5386</v>
      </c>
      <c r="D148" s="385" t="s">
        <v>5385</v>
      </c>
      <c r="E148" s="385">
        <v>283</v>
      </c>
      <c r="F148" s="385" t="s">
        <v>4705</v>
      </c>
      <c r="G148" s="385" t="s">
        <v>4704</v>
      </c>
      <c r="H148" s="385" t="s">
        <v>4703</v>
      </c>
      <c r="I148" s="385" t="s">
        <v>3488</v>
      </c>
      <c r="J148" s="385" t="s">
        <v>3476</v>
      </c>
      <c r="K148" s="385" t="e">
        <f>VLOOKUP(Table13[[#This Row],[CD_FUNCAO]],'BASE_FUNCOES (hide)'!A:X,2,FALSE)</f>
        <v>#N/A</v>
      </c>
    </row>
    <row r="149" spans="1:11">
      <c r="A149" s="385">
        <v>-530</v>
      </c>
      <c r="B149" s="385" t="s">
        <v>5624</v>
      </c>
      <c r="C149" s="385" t="s">
        <v>4108</v>
      </c>
      <c r="D149" s="385" t="s">
        <v>5623</v>
      </c>
      <c r="E149" s="385">
        <v>283</v>
      </c>
      <c r="F149" s="385" t="s">
        <v>4705</v>
      </c>
      <c r="G149" s="385" t="s">
        <v>4704</v>
      </c>
      <c r="H149" s="385" t="s">
        <v>4703</v>
      </c>
      <c r="I149" s="385" t="s">
        <v>3488</v>
      </c>
      <c r="J149" s="385" t="s">
        <v>3476</v>
      </c>
      <c r="K149" s="385" t="e">
        <f>VLOOKUP(Table13[[#This Row],[CD_FUNCAO]],'BASE_FUNCOES (hide)'!A:X,2,FALSE)</f>
        <v>#N/A</v>
      </c>
    </row>
    <row r="150" spans="1:11">
      <c r="A150" s="385">
        <v>-524</v>
      </c>
      <c r="B150" s="385" t="s">
        <v>4840</v>
      </c>
      <c r="C150" s="385" t="s">
        <v>4839</v>
      </c>
      <c r="D150" s="385" t="s">
        <v>4838</v>
      </c>
      <c r="E150" s="385">
        <v>283</v>
      </c>
      <c r="F150" s="385" t="s">
        <v>4705</v>
      </c>
      <c r="G150" s="385" t="s">
        <v>4704</v>
      </c>
      <c r="H150" s="385" t="s">
        <v>4703</v>
      </c>
      <c r="I150" s="385" t="s">
        <v>3488</v>
      </c>
      <c r="J150" s="385" t="s">
        <v>3476</v>
      </c>
      <c r="K150" s="385" t="e">
        <f>VLOOKUP(Table13[[#This Row],[CD_FUNCAO]],'BASE_FUNCOES (hide)'!A:X,2,FALSE)</f>
        <v>#N/A</v>
      </c>
    </row>
    <row r="151" spans="1:11">
      <c r="A151" s="385">
        <v>-523</v>
      </c>
      <c r="B151" s="385" t="s">
        <v>4774</v>
      </c>
      <c r="C151" s="385" t="s">
        <v>4773</v>
      </c>
      <c r="D151" s="385" t="s">
        <v>4772</v>
      </c>
      <c r="E151" s="385">
        <v>283</v>
      </c>
      <c r="F151" s="385" t="s">
        <v>4705</v>
      </c>
      <c r="G151" s="385" t="s">
        <v>4704</v>
      </c>
      <c r="H151" s="385" t="s">
        <v>4703</v>
      </c>
      <c r="I151" s="385" t="s">
        <v>3488</v>
      </c>
      <c r="K151" s="385" t="e">
        <f>VLOOKUP(Table13[[#This Row],[CD_FUNCAO]],'BASE_FUNCOES (hide)'!A:X,2,FALSE)</f>
        <v>#N/A</v>
      </c>
    </row>
    <row r="152" spans="1:11">
      <c r="A152" s="385">
        <v>-404</v>
      </c>
      <c r="B152" s="385" t="s">
        <v>5558</v>
      </c>
      <c r="C152" s="385" t="s">
        <v>5557</v>
      </c>
      <c r="D152" s="385" t="s">
        <v>5556</v>
      </c>
      <c r="E152" s="385">
        <v>283</v>
      </c>
      <c r="F152" s="385" t="s">
        <v>4705</v>
      </c>
      <c r="G152" s="385" t="s">
        <v>4704</v>
      </c>
      <c r="H152" s="385" t="s">
        <v>4703</v>
      </c>
      <c r="I152" s="385" t="s">
        <v>3485</v>
      </c>
      <c r="K152" s="385" t="e">
        <f>VLOOKUP(Table13[[#This Row],[CD_FUNCAO]],'BASE_FUNCOES (hide)'!A:X,2,FALSE)</f>
        <v>#N/A</v>
      </c>
    </row>
    <row r="153" spans="1:11">
      <c r="A153" s="385">
        <v>-403</v>
      </c>
      <c r="B153" s="385" t="s">
        <v>4762</v>
      </c>
      <c r="C153" s="385" t="s">
        <v>4761</v>
      </c>
      <c r="D153" s="385" t="s">
        <v>4760</v>
      </c>
      <c r="E153" s="385">
        <v>283</v>
      </c>
      <c r="F153" s="385" t="s">
        <v>4705</v>
      </c>
      <c r="G153" s="385" t="s">
        <v>4704</v>
      </c>
      <c r="H153" s="385" t="s">
        <v>4703</v>
      </c>
      <c r="I153" s="385" t="s">
        <v>3510</v>
      </c>
      <c r="J153" s="385" t="s">
        <v>3476</v>
      </c>
      <c r="K153" s="385" t="e">
        <f>VLOOKUP(Table13[[#This Row],[CD_FUNCAO]],'BASE_FUNCOES (hide)'!A:X,2,FALSE)</f>
        <v>#N/A</v>
      </c>
    </row>
    <row r="154" spans="1:11">
      <c r="A154" s="385">
        <v>-402</v>
      </c>
      <c r="B154" s="385" t="s">
        <v>5555</v>
      </c>
      <c r="C154" s="385" t="s">
        <v>5554</v>
      </c>
      <c r="D154" s="385" t="s">
        <v>5553</v>
      </c>
      <c r="E154" s="385">
        <v>283</v>
      </c>
      <c r="F154" s="385" t="s">
        <v>4705</v>
      </c>
      <c r="G154" s="385" t="s">
        <v>4704</v>
      </c>
      <c r="H154" s="385" t="s">
        <v>4703</v>
      </c>
      <c r="I154" s="385" t="s">
        <v>3485</v>
      </c>
      <c r="K154" s="385" t="e">
        <f>VLOOKUP(Table13[[#This Row],[CD_FUNCAO]],'BASE_FUNCOES (hide)'!A:X,2,FALSE)</f>
        <v>#N/A</v>
      </c>
    </row>
    <row r="155" spans="1:11" hidden="1">
      <c r="A155" s="385">
        <v>-2240</v>
      </c>
      <c r="B155" s="385" t="s">
        <v>376</v>
      </c>
      <c r="C155" s="385" t="s">
        <v>1295</v>
      </c>
      <c r="D155" s="385" t="s">
        <v>1296</v>
      </c>
      <c r="E155" s="385">
        <v>283</v>
      </c>
      <c r="F155" s="385" t="s">
        <v>4705</v>
      </c>
      <c r="G155" s="385" t="s">
        <v>4704</v>
      </c>
      <c r="H155" s="385" t="s">
        <v>4703</v>
      </c>
      <c r="I155" s="385" t="s">
        <v>3477</v>
      </c>
      <c r="K155" s="385" t="str">
        <f>VLOOKUP(Table13[[#This Row],[CD_FUNCAO]],'BASE_FUNCOES (hide)'!A:X,2,FALSE)</f>
        <v>Localizador de perguntas de questionário</v>
      </c>
    </row>
    <row r="156" spans="1:11">
      <c r="A156" s="385">
        <v>-401</v>
      </c>
      <c r="B156" s="385" t="s">
        <v>5552</v>
      </c>
      <c r="C156" s="385" t="s">
        <v>5551</v>
      </c>
      <c r="D156" s="385" t="s">
        <v>5550</v>
      </c>
      <c r="E156" s="385">
        <v>283</v>
      </c>
      <c r="F156" s="385" t="s">
        <v>4705</v>
      </c>
      <c r="G156" s="385" t="s">
        <v>4704</v>
      </c>
      <c r="H156" s="385" t="s">
        <v>4703</v>
      </c>
      <c r="I156" s="385" t="s">
        <v>3485</v>
      </c>
      <c r="J156" s="385" t="s">
        <v>3476</v>
      </c>
      <c r="K156" s="385" t="e">
        <f>VLOOKUP(Table13[[#This Row],[CD_FUNCAO]],'BASE_FUNCOES (hide)'!A:X,2,FALSE)</f>
        <v>#N/A</v>
      </c>
    </row>
    <row r="157" spans="1:11">
      <c r="A157" s="385">
        <v>-400</v>
      </c>
      <c r="B157" s="385" t="s">
        <v>5549</v>
      </c>
      <c r="C157" s="385" t="s">
        <v>5548</v>
      </c>
      <c r="D157" s="385" t="s">
        <v>5547</v>
      </c>
      <c r="E157" s="385">
        <v>283</v>
      </c>
      <c r="F157" s="385" t="s">
        <v>4705</v>
      </c>
      <c r="G157" s="385" t="s">
        <v>4704</v>
      </c>
      <c r="H157" s="385" t="s">
        <v>4703</v>
      </c>
      <c r="I157" s="385" t="s">
        <v>3485</v>
      </c>
      <c r="J157" s="385" t="s">
        <v>3476</v>
      </c>
      <c r="K157" s="385" t="e">
        <f>VLOOKUP(Table13[[#This Row],[CD_FUNCAO]],'BASE_FUNCOES (hide)'!A:X,2,FALSE)</f>
        <v>#N/A</v>
      </c>
    </row>
    <row r="158" spans="1:11" hidden="1">
      <c r="A158" s="385">
        <v>23451</v>
      </c>
      <c r="B158" s="385" t="s">
        <v>392</v>
      </c>
      <c r="C158" s="385" t="s">
        <v>1279</v>
      </c>
      <c r="D158" s="385" t="s">
        <v>1280</v>
      </c>
      <c r="E158" s="385">
        <v>283</v>
      </c>
      <c r="F158" s="385" t="s">
        <v>4705</v>
      </c>
      <c r="G158" s="385" t="s">
        <v>4704</v>
      </c>
      <c r="H158" s="385" t="s">
        <v>4703</v>
      </c>
      <c r="I158" s="385" t="s">
        <v>3477</v>
      </c>
      <c r="J158" s="385" t="s">
        <v>3477</v>
      </c>
      <c r="K158" s="385" t="str">
        <f>VLOOKUP(Table13[[#This Row],[CD_FUNCAO]],'BASE_FUNCOES (hide)'!A:X,2,FALSE)</f>
        <v>Personalização de itens de menu popup</v>
      </c>
    </row>
    <row r="159" spans="1:11">
      <c r="A159" s="385">
        <v>-397</v>
      </c>
      <c r="B159" s="385" t="s">
        <v>4983</v>
      </c>
      <c r="C159" s="385" t="s">
        <v>4982</v>
      </c>
      <c r="D159" s="385" t="s">
        <v>4981</v>
      </c>
      <c r="E159" s="385">
        <v>283</v>
      </c>
      <c r="F159" s="385" t="s">
        <v>4705</v>
      </c>
      <c r="G159" s="385" t="s">
        <v>4704</v>
      </c>
      <c r="H159" s="385" t="s">
        <v>4703</v>
      </c>
      <c r="I159" s="385" t="s">
        <v>3510</v>
      </c>
      <c r="J159" s="385" t="s">
        <v>3476</v>
      </c>
      <c r="K159" s="385" t="e">
        <f>VLOOKUP(Table13[[#This Row],[CD_FUNCAO]],'BASE_FUNCOES (hide)'!A:X,2,FALSE)</f>
        <v>#N/A</v>
      </c>
    </row>
    <row r="160" spans="1:11">
      <c r="A160" s="385">
        <v>-350</v>
      </c>
      <c r="B160" s="385" t="s">
        <v>5333</v>
      </c>
      <c r="C160" s="385" t="s">
        <v>5332</v>
      </c>
      <c r="D160" s="385" t="s">
        <v>5331</v>
      </c>
      <c r="E160" s="385">
        <v>283</v>
      </c>
      <c r="F160" s="385" t="s">
        <v>4705</v>
      </c>
      <c r="G160" s="385" t="s">
        <v>4704</v>
      </c>
      <c r="H160" s="385" t="s">
        <v>4703</v>
      </c>
      <c r="I160" s="385" t="s">
        <v>3488</v>
      </c>
      <c r="J160" s="385" t="s">
        <v>3477</v>
      </c>
      <c r="K160" s="385" t="e">
        <f>VLOOKUP(Table13[[#This Row],[CD_FUNCAO]],'BASE_FUNCOES (hide)'!A:X,2,FALSE)</f>
        <v>#N/A</v>
      </c>
    </row>
    <row r="161" spans="1:11" hidden="1">
      <c r="A161" s="385">
        <v>-2260</v>
      </c>
      <c r="B161" s="385" t="s">
        <v>1304</v>
      </c>
      <c r="C161" s="385" t="s">
        <v>1305</v>
      </c>
      <c r="D161" s="385" t="s">
        <v>1306</v>
      </c>
      <c r="E161" s="385">
        <v>283</v>
      </c>
      <c r="F161" s="385" t="s">
        <v>4705</v>
      </c>
      <c r="G161" s="385" t="s">
        <v>4704</v>
      </c>
      <c r="H161" s="385" t="s">
        <v>4703</v>
      </c>
      <c r="I161" s="385" t="s">
        <v>3477</v>
      </c>
      <c r="J161" s="385" t="s">
        <v>3477</v>
      </c>
      <c r="K161" s="385" t="str">
        <f>VLOOKUP(Table13[[#This Row],[CD_FUNCAO]],'BASE_FUNCOES (hide)'!A:X,2,FALSE)</f>
        <v>Anexos do Atendimento</v>
      </c>
    </row>
    <row r="162" spans="1:11" hidden="1">
      <c r="A162" s="385">
        <v>2707</v>
      </c>
      <c r="B162" s="385" t="s">
        <v>390</v>
      </c>
      <c r="C162" s="385" t="s">
        <v>1307</v>
      </c>
      <c r="D162" s="385" t="s">
        <v>1308</v>
      </c>
      <c r="E162" s="385">
        <v>283</v>
      </c>
      <c r="F162" s="385" t="s">
        <v>4705</v>
      </c>
      <c r="G162" s="385" t="s">
        <v>4704</v>
      </c>
      <c r="H162" s="385" t="s">
        <v>4703</v>
      </c>
      <c r="I162" s="385" t="s">
        <v>3477</v>
      </c>
      <c r="J162" s="385" t="s">
        <v>3477</v>
      </c>
      <c r="K162" s="385" t="str">
        <f>VLOOKUP(Table13[[#This Row],[CD_FUNCAO]],'BASE_FUNCOES (hide)'!A:X,2,FALSE)</f>
        <v>Painel internação</v>
      </c>
    </row>
    <row r="163" spans="1:11" hidden="1">
      <c r="A163" s="385">
        <v>10070</v>
      </c>
      <c r="B163" s="385" t="s">
        <v>367</v>
      </c>
      <c r="C163" s="385" t="s">
        <v>1324</v>
      </c>
      <c r="D163" s="385" t="s">
        <v>1325</v>
      </c>
      <c r="E163" s="385">
        <v>283</v>
      </c>
      <c r="F163" s="385" t="s">
        <v>4705</v>
      </c>
      <c r="G163" s="385" t="s">
        <v>4704</v>
      </c>
      <c r="H163" s="385" t="s">
        <v>4703</v>
      </c>
      <c r="I163" s="385" t="s">
        <v>3477</v>
      </c>
      <c r="J163" s="385" t="s">
        <v>3476</v>
      </c>
      <c r="K163" s="385" t="str">
        <f>VLOOKUP(Table13[[#This Row],[CD_FUNCAO]],'BASE_FUNCOES (hide)'!A:X,2,FALSE)</f>
        <v>Gestão de Ocorrências do Lote de Entrada</v>
      </c>
    </row>
    <row r="164" spans="1:11">
      <c r="A164" s="385">
        <v>-349</v>
      </c>
      <c r="B164" s="385" t="s">
        <v>5025</v>
      </c>
      <c r="C164" s="385" t="s">
        <v>5024</v>
      </c>
      <c r="D164" s="385" t="s">
        <v>5023</v>
      </c>
      <c r="E164" s="385">
        <v>283</v>
      </c>
      <c r="F164" s="385" t="s">
        <v>4705</v>
      </c>
      <c r="G164" s="385" t="s">
        <v>4704</v>
      </c>
      <c r="H164" s="385" t="s">
        <v>4703</v>
      </c>
      <c r="I164" s="385" t="s">
        <v>3488</v>
      </c>
      <c r="J164" s="385" t="s">
        <v>3477</v>
      </c>
      <c r="K164" s="385" t="e">
        <f>VLOOKUP(Table13[[#This Row],[CD_FUNCAO]],'BASE_FUNCOES (hide)'!A:X,2,FALSE)</f>
        <v>#N/A</v>
      </c>
    </row>
    <row r="165" spans="1:11">
      <c r="A165" s="385">
        <v>-318</v>
      </c>
      <c r="B165" s="385" t="s">
        <v>5405</v>
      </c>
      <c r="C165" s="385" t="s">
        <v>5404</v>
      </c>
      <c r="D165" s="385" t="s">
        <v>5403</v>
      </c>
      <c r="E165" s="385">
        <v>283</v>
      </c>
      <c r="F165" s="385" t="s">
        <v>4705</v>
      </c>
      <c r="G165" s="385" t="s">
        <v>4704</v>
      </c>
      <c r="H165" s="385" t="s">
        <v>4703</v>
      </c>
      <c r="I165" s="385" t="s">
        <v>3488</v>
      </c>
      <c r="J165" s="385" t="s">
        <v>3477</v>
      </c>
      <c r="K165" s="385" t="e">
        <f>VLOOKUP(Table13[[#This Row],[CD_FUNCAO]],'BASE_FUNCOES (hide)'!A:X,2,FALSE)</f>
        <v>#N/A</v>
      </c>
    </row>
    <row r="166" spans="1:11">
      <c r="A166" s="385">
        <v>-316</v>
      </c>
      <c r="B166" s="385" t="s">
        <v>5546</v>
      </c>
      <c r="C166" s="385" t="s">
        <v>5545</v>
      </c>
      <c r="D166" s="385" t="s">
        <v>5544</v>
      </c>
      <c r="E166" s="385">
        <v>283</v>
      </c>
      <c r="F166" s="385" t="s">
        <v>4705</v>
      </c>
      <c r="G166" s="385" t="s">
        <v>4704</v>
      </c>
      <c r="H166" s="385" t="s">
        <v>4703</v>
      </c>
      <c r="I166" s="385" t="s">
        <v>3488</v>
      </c>
      <c r="J166" s="385" t="s">
        <v>3476</v>
      </c>
      <c r="K166" s="385" t="e">
        <f>VLOOKUP(Table13[[#This Row],[CD_FUNCAO]],'BASE_FUNCOES (hide)'!A:X,2,FALSE)</f>
        <v>#N/A</v>
      </c>
    </row>
    <row r="167" spans="1:11">
      <c r="A167" s="385">
        <v>-308</v>
      </c>
      <c r="B167" s="385" t="s">
        <v>5659</v>
      </c>
      <c r="C167" s="385" t="s">
        <v>5658</v>
      </c>
      <c r="D167" s="385" t="s">
        <v>5657</v>
      </c>
      <c r="E167" s="385">
        <v>283</v>
      </c>
      <c r="F167" s="385" t="s">
        <v>4705</v>
      </c>
      <c r="G167" s="385" t="s">
        <v>4704</v>
      </c>
      <c r="H167" s="385" t="s">
        <v>4703</v>
      </c>
      <c r="I167" s="385" t="s">
        <v>3488</v>
      </c>
      <c r="J167" s="385" t="s">
        <v>3476</v>
      </c>
      <c r="K167" s="385" t="e">
        <f>VLOOKUP(Table13[[#This Row],[CD_FUNCAO]],'BASE_FUNCOES (hide)'!A:X,2,FALSE)</f>
        <v>#N/A</v>
      </c>
    </row>
    <row r="168" spans="1:11">
      <c r="A168" s="385">
        <v>-299</v>
      </c>
      <c r="B168" s="385" t="s">
        <v>5622</v>
      </c>
      <c r="C168" s="385" t="s">
        <v>5621</v>
      </c>
      <c r="D168" s="385" t="s">
        <v>5620</v>
      </c>
      <c r="E168" s="385">
        <v>283</v>
      </c>
      <c r="F168" s="385" t="s">
        <v>4705</v>
      </c>
      <c r="G168" s="385" t="s">
        <v>4704</v>
      </c>
      <c r="H168" s="385" t="s">
        <v>4703</v>
      </c>
      <c r="I168" s="385" t="s">
        <v>3477</v>
      </c>
      <c r="J168" s="385" t="s">
        <v>3476</v>
      </c>
      <c r="K168" s="385" t="e">
        <f>VLOOKUP(Table13[[#This Row],[CD_FUNCAO]],'BASE_FUNCOES (hide)'!A:X,2,FALSE)</f>
        <v>#N/A</v>
      </c>
    </row>
    <row r="169" spans="1:11" hidden="1">
      <c r="A169" s="385">
        <v>331</v>
      </c>
      <c r="B169" s="385" t="s">
        <v>1731</v>
      </c>
      <c r="C169" s="385" t="s">
        <v>1732</v>
      </c>
      <c r="D169" s="385" t="s">
        <v>1733</v>
      </c>
      <c r="E169" s="385">
        <v>283</v>
      </c>
      <c r="F169" s="385" t="s">
        <v>4705</v>
      </c>
      <c r="G169" s="385" t="s">
        <v>4704</v>
      </c>
      <c r="H169" s="385" t="s">
        <v>4703</v>
      </c>
      <c r="I169" s="385" t="s">
        <v>3477</v>
      </c>
      <c r="J169" s="385" t="s">
        <v>3476</v>
      </c>
      <c r="K169" s="385" t="str">
        <f>VLOOKUP(Table13[[#This Row],[CD_FUNCAO]],'BASE_FUNCOES (hide)'!A:X,2,FALSE)</f>
        <v>Rel de Cheques</v>
      </c>
    </row>
    <row r="170" spans="1:11" hidden="1">
      <c r="A170" s="385">
        <v>335</v>
      </c>
      <c r="B170" s="385" t="s">
        <v>1649</v>
      </c>
      <c r="C170" s="385" t="s">
        <v>1650</v>
      </c>
      <c r="D170" s="385" t="s">
        <v>5232</v>
      </c>
      <c r="E170" s="385">
        <v>283</v>
      </c>
      <c r="F170" s="385" t="s">
        <v>4705</v>
      </c>
      <c r="G170" s="385" t="s">
        <v>4704</v>
      </c>
      <c r="H170" s="385" t="s">
        <v>4703</v>
      </c>
      <c r="I170" s="385" t="s">
        <v>3477</v>
      </c>
      <c r="J170" s="385" t="s">
        <v>3477</v>
      </c>
      <c r="K170" s="385" t="str">
        <f>VLOOKUP(Table13[[#This Row],[CD_FUNCAO]],'BASE_FUNCOES (hide)'!A:X,2,FALSE)</f>
        <v>Rel Protocolo Convênio</v>
      </c>
    </row>
    <row r="171" spans="1:11" hidden="1">
      <c r="A171" s="385">
        <v>-2110</v>
      </c>
      <c r="B171" s="385" t="s">
        <v>1326</v>
      </c>
      <c r="C171" s="385" t="s">
        <v>1327</v>
      </c>
      <c r="D171" s="385" t="s">
        <v>1328</v>
      </c>
      <c r="E171" s="385">
        <v>283</v>
      </c>
      <c r="F171" s="385" t="s">
        <v>4705</v>
      </c>
      <c r="G171" s="385" t="s">
        <v>4704</v>
      </c>
      <c r="H171" s="385" t="s">
        <v>4703</v>
      </c>
      <c r="I171" s="385" t="s">
        <v>3488</v>
      </c>
      <c r="J171" s="385" t="s">
        <v>3477</v>
      </c>
      <c r="K171" s="385" t="str">
        <f>VLOOKUP(Table13[[#This Row],[CD_FUNCAO]],'BASE_FUNCOES (hide)'!A:X,2,FALSE)</f>
        <v>Resumo Protocolo</v>
      </c>
    </row>
    <row r="172" spans="1:11">
      <c r="A172" s="385">
        <v>-298</v>
      </c>
      <c r="B172" s="385" t="s">
        <v>4049</v>
      </c>
      <c r="C172" s="385" t="s">
        <v>4048</v>
      </c>
      <c r="D172" s="385" t="s">
        <v>4047</v>
      </c>
      <c r="E172" s="385">
        <v>18</v>
      </c>
      <c r="F172" s="385" t="s">
        <v>13</v>
      </c>
      <c r="I172" s="385" t="s">
        <v>3488</v>
      </c>
      <c r="J172" s="385" t="s">
        <v>3476</v>
      </c>
      <c r="K172" s="385" t="e">
        <f>VLOOKUP(Table13[[#This Row],[CD_FUNCAO]],'BASE_FUNCOES (hide)'!A:X,2,FALSE)</f>
        <v>#N/A</v>
      </c>
    </row>
    <row r="173" spans="1:11">
      <c r="A173" s="385">
        <v>-297</v>
      </c>
      <c r="B173" s="385" t="s">
        <v>5619</v>
      </c>
      <c r="C173" s="385" t="s">
        <v>5618</v>
      </c>
      <c r="D173" s="385" t="s">
        <v>5617</v>
      </c>
      <c r="E173" s="385">
        <v>283</v>
      </c>
      <c r="F173" s="385" t="s">
        <v>4705</v>
      </c>
      <c r="G173" s="385" t="s">
        <v>4704</v>
      </c>
      <c r="H173" s="385" t="s">
        <v>4703</v>
      </c>
      <c r="I173" s="385" t="s">
        <v>3488</v>
      </c>
      <c r="K173" s="385" t="e">
        <f>VLOOKUP(Table13[[#This Row],[CD_FUNCAO]],'BASE_FUNCOES (hide)'!A:X,2,FALSE)</f>
        <v>#N/A</v>
      </c>
    </row>
    <row r="174" spans="1:11" hidden="1">
      <c r="A174" s="385">
        <v>-617</v>
      </c>
      <c r="B174" s="385" t="s">
        <v>1725</v>
      </c>
      <c r="C174" s="385" t="s">
        <v>1726</v>
      </c>
      <c r="D174" s="385" t="s">
        <v>1727</v>
      </c>
      <c r="E174" s="385">
        <v>283</v>
      </c>
      <c r="F174" s="385" t="s">
        <v>4705</v>
      </c>
      <c r="G174" s="385" t="s">
        <v>4704</v>
      </c>
      <c r="H174" s="385" t="s">
        <v>4703</v>
      </c>
      <c r="I174" s="385" t="s">
        <v>3477</v>
      </c>
      <c r="J174" s="385" t="s">
        <v>3477</v>
      </c>
      <c r="K174" s="385" t="str">
        <f>VLOOKUP(Table13[[#This Row],[CD_FUNCAO]],'BASE_FUNCOES (hide)'!A:X,2,FALSE)</f>
        <v>Relatório de Topografias e Procedimentos</v>
      </c>
    </row>
    <row r="175" spans="1:11">
      <c r="A175" s="385">
        <v>-276</v>
      </c>
      <c r="B175" s="385" t="s">
        <v>5152</v>
      </c>
      <c r="C175" s="385" t="s">
        <v>5151</v>
      </c>
      <c r="D175" s="385" t="s">
        <v>5150</v>
      </c>
      <c r="E175" s="385">
        <v>283</v>
      </c>
      <c r="F175" s="385" t="s">
        <v>4705</v>
      </c>
      <c r="G175" s="385" t="s">
        <v>4704</v>
      </c>
      <c r="H175" s="385" t="s">
        <v>4703</v>
      </c>
      <c r="I175" s="385" t="s">
        <v>3488</v>
      </c>
      <c r="J175" s="385" t="s">
        <v>3477</v>
      </c>
      <c r="K175" s="385" t="e">
        <f>VLOOKUP(Table13[[#This Row],[CD_FUNCAO]],'BASE_FUNCOES (hide)'!A:X,2,FALSE)</f>
        <v>#N/A</v>
      </c>
    </row>
    <row r="176" spans="1:11">
      <c r="A176" s="385">
        <v>-214</v>
      </c>
      <c r="B176" s="385" t="s">
        <v>5531</v>
      </c>
      <c r="C176" s="385" t="s">
        <v>5530</v>
      </c>
      <c r="D176" s="385" t="s">
        <v>5529</v>
      </c>
      <c r="E176" s="385">
        <v>283</v>
      </c>
      <c r="F176" s="385" t="s">
        <v>4705</v>
      </c>
      <c r="G176" s="385" t="s">
        <v>4704</v>
      </c>
      <c r="H176" s="385" t="s">
        <v>4703</v>
      </c>
      <c r="I176" s="385" t="s">
        <v>3488</v>
      </c>
      <c r="K176" s="385" t="e">
        <f>VLOOKUP(Table13[[#This Row],[CD_FUNCAO]],'BASE_FUNCOES (hide)'!A:X,2,FALSE)</f>
        <v>#N/A</v>
      </c>
    </row>
    <row r="177" spans="1:11">
      <c r="A177" s="385">
        <v>-210</v>
      </c>
      <c r="B177" s="385" t="s">
        <v>5543</v>
      </c>
      <c r="C177" s="385" t="s">
        <v>5542</v>
      </c>
      <c r="D177" s="385" t="s">
        <v>5541</v>
      </c>
      <c r="E177" s="385">
        <v>283</v>
      </c>
      <c r="F177" s="385" t="s">
        <v>4705</v>
      </c>
      <c r="G177" s="385" t="s">
        <v>4704</v>
      </c>
      <c r="H177" s="385" t="s">
        <v>4703</v>
      </c>
      <c r="I177" s="385" t="s">
        <v>3488</v>
      </c>
      <c r="K177" s="385" t="e">
        <f>VLOOKUP(Table13[[#This Row],[CD_FUNCAO]],'BASE_FUNCOES (hide)'!A:X,2,FALSE)</f>
        <v>#N/A</v>
      </c>
    </row>
    <row r="178" spans="1:11" hidden="1">
      <c r="A178" s="385">
        <v>333</v>
      </c>
      <c r="B178" s="385" t="s">
        <v>1652</v>
      </c>
      <c r="C178" s="385" t="s">
        <v>1653</v>
      </c>
      <c r="D178" s="385" t="s">
        <v>5233</v>
      </c>
      <c r="E178" s="385">
        <v>283</v>
      </c>
      <c r="F178" s="385" t="s">
        <v>4705</v>
      </c>
      <c r="G178" s="385" t="s">
        <v>4704</v>
      </c>
      <c r="H178" s="385" t="s">
        <v>4703</v>
      </c>
      <c r="I178" s="385" t="s">
        <v>3477</v>
      </c>
      <c r="J178" s="385" t="s">
        <v>3477</v>
      </c>
      <c r="K178" s="385" t="str">
        <f>VLOOKUP(Table13[[#This Row],[CD_FUNCAO]],'BASE_FUNCOES (hide)'!A:X,2,FALSE)</f>
        <v>Rel Protocolo Convênio (Raio-X)</v>
      </c>
    </row>
    <row r="179" spans="1:11">
      <c r="A179" s="385">
        <v>-209</v>
      </c>
      <c r="B179" s="385" t="s">
        <v>4184</v>
      </c>
      <c r="C179" s="385" t="s">
        <v>4183</v>
      </c>
      <c r="D179" s="385" t="s">
        <v>4182</v>
      </c>
      <c r="E179" s="385">
        <v>9</v>
      </c>
      <c r="F179" s="385" t="s">
        <v>0</v>
      </c>
      <c r="I179" s="385" t="s">
        <v>3488</v>
      </c>
      <c r="J179" s="385" t="s">
        <v>3476</v>
      </c>
      <c r="K179" s="385" t="e">
        <f>VLOOKUP(Table13[[#This Row],[CD_FUNCAO]],'BASE_FUNCOES (hide)'!A:X,2,FALSE)</f>
        <v>#N/A</v>
      </c>
    </row>
    <row r="180" spans="1:11">
      <c r="A180" s="385">
        <v>-208</v>
      </c>
      <c r="B180" s="385" t="s">
        <v>5793</v>
      </c>
      <c r="C180" s="385" t="s">
        <v>5792</v>
      </c>
      <c r="D180" s="385" t="s">
        <v>5791</v>
      </c>
      <c r="E180" s="385">
        <v>302</v>
      </c>
      <c r="F180" s="385" t="s">
        <v>409</v>
      </c>
      <c r="G180" s="385" t="s">
        <v>1467</v>
      </c>
      <c r="H180" s="385" t="s">
        <v>1469</v>
      </c>
      <c r="I180" s="385" t="s">
        <v>3488</v>
      </c>
      <c r="J180" s="385" t="s">
        <v>3476</v>
      </c>
      <c r="K180" s="385" t="e">
        <f>VLOOKUP(Table13[[#This Row],[CD_FUNCAO]],'BASE_FUNCOES (hide)'!A:X,2,FALSE)</f>
        <v>#N/A</v>
      </c>
    </row>
    <row r="181" spans="1:11">
      <c r="A181" s="385">
        <v>-206</v>
      </c>
      <c r="B181" s="385" t="s">
        <v>4834</v>
      </c>
      <c r="C181" s="385" t="s">
        <v>4833</v>
      </c>
      <c r="D181" s="385" t="s">
        <v>4832</v>
      </c>
      <c r="E181" s="385">
        <v>283</v>
      </c>
      <c r="F181" s="385" t="s">
        <v>4705</v>
      </c>
      <c r="G181" s="385" t="s">
        <v>4704</v>
      </c>
      <c r="H181" s="385" t="s">
        <v>4703</v>
      </c>
      <c r="I181" s="385" t="s">
        <v>3488</v>
      </c>
      <c r="J181" s="385" t="s">
        <v>3476</v>
      </c>
      <c r="K181" s="385" t="e">
        <f>VLOOKUP(Table13[[#This Row],[CD_FUNCAO]],'BASE_FUNCOES (hide)'!A:X,2,FALSE)</f>
        <v>#N/A</v>
      </c>
    </row>
    <row r="182" spans="1:11">
      <c r="A182" s="385">
        <v>-204</v>
      </c>
      <c r="B182" s="385" t="s">
        <v>331</v>
      </c>
      <c r="C182" s="385" t="s">
        <v>4205</v>
      </c>
      <c r="D182" s="385" t="s">
        <v>331</v>
      </c>
      <c r="E182" s="385">
        <v>8</v>
      </c>
      <c r="F182" s="385" t="s">
        <v>188</v>
      </c>
      <c r="I182" s="385" t="s">
        <v>3488</v>
      </c>
      <c r="J182" s="385" t="s">
        <v>3476</v>
      </c>
      <c r="K182" s="385" t="e">
        <f>VLOOKUP(Table13[[#This Row],[CD_FUNCAO]],'BASE_FUNCOES (hide)'!A:X,2,FALSE)</f>
        <v>#N/A</v>
      </c>
    </row>
    <row r="183" spans="1:11">
      <c r="A183" s="385">
        <v>-201</v>
      </c>
      <c r="B183" s="385" t="s">
        <v>5555</v>
      </c>
      <c r="C183" s="385" t="s">
        <v>5554</v>
      </c>
      <c r="D183" s="385" t="s">
        <v>5553</v>
      </c>
      <c r="E183" s="385">
        <v>283</v>
      </c>
      <c r="F183" s="385" t="s">
        <v>4705</v>
      </c>
      <c r="G183" s="385" t="s">
        <v>4704</v>
      </c>
      <c r="H183" s="385" t="s">
        <v>4703</v>
      </c>
      <c r="I183" s="385" t="s">
        <v>3488</v>
      </c>
      <c r="J183" s="385" t="s">
        <v>3476</v>
      </c>
      <c r="K183" s="385" t="e">
        <f>VLOOKUP(Table13[[#This Row],[CD_FUNCAO]],'BASE_FUNCOES (hide)'!A:X,2,FALSE)</f>
        <v>#N/A</v>
      </c>
    </row>
    <row r="184" spans="1:11">
      <c r="A184" s="385">
        <v>-195</v>
      </c>
      <c r="B184" s="385" t="s">
        <v>5667</v>
      </c>
      <c r="C184" s="385" t="s">
        <v>5666</v>
      </c>
      <c r="D184" s="385" t="s">
        <v>5665</v>
      </c>
      <c r="E184" s="385">
        <v>283</v>
      </c>
      <c r="F184" s="385" t="s">
        <v>4705</v>
      </c>
      <c r="G184" s="385" t="s">
        <v>4704</v>
      </c>
      <c r="H184" s="385" t="s">
        <v>4703</v>
      </c>
      <c r="I184" s="385" t="s">
        <v>3488</v>
      </c>
      <c r="J184" s="385" t="s">
        <v>3476</v>
      </c>
      <c r="K184" s="385" t="e">
        <f>VLOOKUP(Table13[[#This Row],[CD_FUNCAO]],'BASE_FUNCOES (hide)'!A:X,2,FALSE)</f>
        <v>#N/A</v>
      </c>
    </row>
    <row r="185" spans="1:11">
      <c r="A185" s="385">
        <v>-192</v>
      </c>
      <c r="B185" s="385" t="s">
        <v>5411</v>
      </c>
      <c r="C185" s="385" t="s">
        <v>5410</v>
      </c>
      <c r="D185" s="385" t="s">
        <v>5409</v>
      </c>
      <c r="E185" s="385">
        <v>283</v>
      </c>
      <c r="F185" s="385" t="s">
        <v>4705</v>
      </c>
      <c r="G185" s="385" t="s">
        <v>4704</v>
      </c>
      <c r="H185" s="385" t="s">
        <v>4703</v>
      </c>
      <c r="I185" s="385" t="s">
        <v>3488</v>
      </c>
      <c r="J185" s="385" t="s">
        <v>3477</v>
      </c>
      <c r="K185" s="385" t="e">
        <f>VLOOKUP(Table13[[#This Row],[CD_FUNCAO]],'BASE_FUNCOES (hide)'!A:X,2,FALSE)</f>
        <v>#N/A</v>
      </c>
    </row>
    <row r="186" spans="1:11" hidden="1">
      <c r="A186" s="385">
        <v>10080</v>
      </c>
      <c r="B186" s="385" t="s">
        <v>391</v>
      </c>
      <c r="C186" s="385" t="s">
        <v>1329</v>
      </c>
      <c r="D186" s="385" t="s">
        <v>1330</v>
      </c>
      <c r="E186" s="385">
        <v>283</v>
      </c>
      <c r="F186" s="385" t="s">
        <v>4705</v>
      </c>
      <c r="G186" s="385" t="s">
        <v>4704</v>
      </c>
      <c r="H186" s="385" t="s">
        <v>4703</v>
      </c>
      <c r="I186" s="385" t="s">
        <v>3477</v>
      </c>
      <c r="J186" s="385" t="s">
        <v>3477</v>
      </c>
      <c r="K186" s="385" t="str">
        <f>VLOOKUP(Table13[[#This Row],[CD_FUNCAO]],'BASE_FUNCOES (hide)'!A:X,2,FALSE)</f>
        <v>Parâmetros do Laboratório</v>
      </c>
    </row>
    <row r="187" spans="1:11">
      <c r="A187" s="385">
        <v>-187</v>
      </c>
      <c r="B187" s="385" t="s">
        <v>5664</v>
      </c>
      <c r="C187" s="385" t="s">
        <v>1752</v>
      </c>
      <c r="D187" s="385" t="s">
        <v>5663</v>
      </c>
      <c r="E187" s="385">
        <v>283</v>
      </c>
      <c r="F187" s="385" t="s">
        <v>4705</v>
      </c>
      <c r="G187" s="385" t="s">
        <v>4704</v>
      </c>
      <c r="H187" s="385" t="s">
        <v>4703</v>
      </c>
      <c r="I187" s="385" t="s">
        <v>3510</v>
      </c>
      <c r="K187" s="385" t="e">
        <f>VLOOKUP(Table13[[#This Row],[CD_FUNCAO]],'BASE_FUNCOES (hide)'!A:X,2,FALSE)</f>
        <v>#N/A</v>
      </c>
    </row>
    <row r="188" spans="1:11" hidden="1">
      <c r="A188" s="385">
        <v>816</v>
      </c>
      <c r="B188" s="385" t="s">
        <v>1230</v>
      </c>
      <c r="C188" s="385" t="s">
        <v>1231</v>
      </c>
      <c r="D188" s="385" t="s">
        <v>1232</v>
      </c>
      <c r="E188" s="385">
        <v>283</v>
      </c>
      <c r="F188" s="385" t="s">
        <v>4705</v>
      </c>
      <c r="G188" s="385" t="s">
        <v>4704</v>
      </c>
      <c r="H188" s="385" t="s">
        <v>4703</v>
      </c>
      <c r="I188" s="385" t="s">
        <v>3477</v>
      </c>
      <c r="J188" s="385" t="s">
        <v>3477</v>
      </c>
      <c r="K188" s="385" t="str">
        <f>VLOOKUP(Table13[[#This Row],[CD_FUNCAO]],'BASE_FUNCOES (hide)'!A:X,2,FALSE)</f>
        <v>Regras de Automação de Transação Financeira</v>
      </c>
    </row>
    <row r="189" spans="1:11">
      <c r="A189" s="385">
        <v>-175</v>
      </c>
      <c r="B189" s="385" t="s">
        <v>4771</v>
      </c>
      <c r="C189" s="385" t="s">
        <v>4770</v>
      </c>
      <c r="D189" s="385" t="s">
        <v>4769</v>
      </c>
      <c r="E189" s="385">
        <v>283</v>
      </c>
      <c r="F189" s="385" t="s">
        <v>4705</v>
      </c>
      <c r="G189" s="385" t="s">
        <v>4704</v>
      </c>
      <c r="H189" s="385" t="s">
        <v>4703</v>
      </c>
      <c r="I189" s="385" t="s">
        <v>3488</v>
      </c>
      <c r="K189" s="385" t="e">
        <f>VLOOKUP(Table13[[#This Row],[CD_FUNCAO]],'BASE_FUNCOES (hide)'!A:X,2,FALSE)</f>
        <v>#N/A</v>
      </c>
    </row>
    <row r="190" spans="1:11" hidden="1">
      <c r="A190" s="385">
        <v>10050</v>
      </c>
      <c r="B190" s="385" t="s">
        <v>371</v>
      </c>
      <c r="C190" s="385" t="s">
        <v>1333</v>
      </c>
      <c r="D190" s="385" t="s">
        <v>1334</v>
      </c>
      <c r="E190" s="385">
        <v>283</v>
      </c>
      <c r="F190" s="385" t="s">
        <v>4705</v>
      </c>
      <c r="G190" s="385" t="s">
        <v>4704</v>
      </c>
      <c r="H190" s="385" t="s">
        <v>4703</v>
      </c>
      <c r="I190" s="385" t="s">
        <v>3477</v>
      </c>
      <c r="J190" s="385" t="s">
        <v>3477</v>
      </c>
      <c r="K190" s="385" t="str">
        <f>VLOOKUP(Table13[[#This Row],[CD_FUNCAO]],'BASE_FUNCOES (hide)'!A:X,2,FALSE)</f>
        <v>Gestão de Transporte de Pacientes</v>
      </c>
    </row>
    <row r="191" spans="1:11" hidden="1">
      <c r="A191" s="385">
        <v>10060</v>
      </c>
      <c r="B191" s="385" t="s">
        <v>373</v>
      </c>
      <c r="C191" s="385" t="s">
        <v>1339</v>
      </c>
      <c r="D191" s="385" t="s">
        <v>1340</v>
      </c>
      <c r="E191" s="385">
        <v>283</v>
      </c>
      <c r="F191" s="385" t="s">
        <v>4705</v>
      </c>
      <c r="G191" s="385" t="s">
        <v>4704</v>
      </c>
      <c r="H191" s="385" t="s">
        <v>4703</v>
      </c>
      <c r="I191" s="385" t="s">
        <v>3477</v>
      </c>
      <c r="J191" s="385" t="s">
        <v>3476</v>
      </c>
      <c r="K191" s="385" t="str">
        <f>VLOOKUP(Table13[[#This Row],[CD_FUNCAO]],'BASE_FUNCOES (hide)'!A:X,2,FALSE)</f>
        <v>Gestão Laboratorial de Triagem Neonatal</v>
      </c>
    </row>
    <row r="192" spans="1:11">
      <c r="A192" s="385">
        <v>-151</v>
      </c>
      <c r="B192" s="385" t="s">
        <v>4858</v>
      </c>
      <c r="C192" s="385" t="s">
        <v>4857</v>
      </c>
      <c r="D192" s="385" t="s">
        <v>4856</v>
      </c>
      <c r="E192" s="385">
        <v>283</v>
      </c>
      <c r="F192" s="385" t="s">
        <v>4705</v>
      </c>
      <c r="G192" s="385" t="s">
        <v>4704</v>
      </c>
      <c r="H192" s="385" t="s">
        <v>4703</v>
      </c>
      <c r="I192" s="385" t="s">
        <v>3488</v>
      </c>
      <c r="J192" s="385" t="s">
        <v>3476</v>
      </c>
      <c r="K192" s="385" t="e">
        <f>VLOOKUP(Table13[[#This Row],[CD_FUNCAO]],'BASE_FUNCOES (hide)'!A:X,2,FALSE)</f>
        <v>#N/A</v>
      </c>
    </row>
    <row r="193" spans="1:11">
      <c r="A193" s="385">
        <v>-150</v>
      </c>
      <c r="B193" s="385" t="s">
        <v>5728</v>
      </c>
      <c r="C193" s="385" t="s">
        <v>5727</v>
      </c>
      <c r="D193" s="385" t="s">
        <v>5726</v>
      </c>
      <c r="E193" s="385">
        <v>283</v>
      </c>
      <c r="F193" s="385" t="s">
        <v>4705</v>
      </c>
      <c r="G193" s="385" t="s">
        <v>4704</v>
      </c>
      <c r="H193" s="385" t="s">
        <v>4703</v>
      </c>
      <c r="I193" s="385" t="s">
        <v>3488</v>
      </c>
      <c r="J193" s="385" t="s">
        <v>3476</v>
      </c>
      <c r="K193" s="385" t="e">
        <f>VLOOKUP(Table13[[#This Row],[CD_FUNCAO]],'BASE_FUNCOES (hide)'!A:X,2,FALSE)</f>
        <v>#N/A</v>
      </c>
    </row>
    <row r="194" spans="1:11">
      <c r="A194" s="385">
        <v>-148</v>
      </c>
      <c r="B194" s="385" t="s">
        <v>4063</v>
      </c>
      <c r="C194" s="385" t="s">
        <v>4062</v>
      </c>
      <c r="D194" s="385" t="s">
        <v>4062</v>
      </c>
      <c r="E194" s="385">
        <v>283</v>
      </c>
      <c r="F194" s="385" t="s">
        <v>4705</v>
      </c>
      <c r="G194" s="385" t="s">
        <v>4704</v>
      </c>
      <c r="H194" s="385" t="s">
        <v>4703</v>
      </c>
      <c r="I194" s="385" t="s">
        <v>3488</v>
      </c>
      <c r="J194" s="385" t="s">
        <v>3476</v>
      </c>
      <c r="K194" s="385" t="e">
        <f>VLOOKUP(Table13[[#This Row],[CD_FUNCAO]],'BASE_FUNCOES (hide)'!A:X,2,FALSE)</f>
        <v>#N/A</v>
      </c>
    </row>
    <row r="195" spans="1:11">
      <c r="A195" s="385">
        <v>-146</v>
      </c>
      <c r="B195" s="385" t="s">
        <v>5540</v>
      </c>
      <c r="C195" s="385" t="s">
        <v>5539</v>
      </c>
      <c r="D195" s="385" t="s">
        <v>5538</v>
      </c>
      <c r="E195" s="385">
        <v>283</v>
      </c>
      <c r="F195" s="385" t="s">
        <v>4705</v>
      </c>
      <c r="G195" s="385" t="s">
        <v>4704</v>
      </c>
      <c r="H195" s="385" t="s">
        <v>4703</v>
      </c>
      <c r="I195" s="385" t="s">
        <v>3488</v>
      </c>
      <c r="J195" s="385" t="s">
        <v>3476</v>
      </c>
      <c r="K195" s="385" t="e">
        <f>VLOOKUP(Table13[[#This Row],[CD_FUNCAO]],'BASE_FUNCOES (hide)'!A:X,2,FALSE)</f>
        <v>#N/A</v>
      </c>
    </row>
    <row r="196" spans="1:11">
      <c r="A196" s="385">
        <v>-130</v>
      </c>
      <c r="B196" s="385" t="s">
        <v>4829</v>
      </c>
      <c r="C196" s="385" t="s">
        <v>4828</v>
      </c>
      <c r="D196" s="385" t="s">
        <v>4827</v>
      </c>
      <c r="E196" s="385">
        <v>283</v>
      </c>
      <c r="F196" s="385" t="s">
        <v>4705</v>
      </c>
      <c r="G196" s="385" t="s">
        <v>4704</v>
      </c>
      <c r="H196" s="385" t="s">
        <v>4703</v>
      </c>
      <c r="I196" s="385" t="s">
        <v>3488</v>
      </c>
      <c r="J196" s="385" t="s">
        <v>3476</v>
      </c>
      <c r="K196" s="385" t="e">
        <f>VLOOKUP(Table13[[#This Row],[CD_FUNCAO]],'BASE_FUNCOES (hide)'!A:X,2,FALSE)</f>
        <v>#N/A</v>
      </c>
    </row>
    <row r="197" spans="1:11">
      <c r="A197" s="385">
        <v>-128</v>
      </c>
      <c r="B197" s="385" t="s">
        <v>4063</v>
      </c>
      <c r="C197" s="385" t="s">
        <v>4062</v>
      </c>
      <c r="D197" s="385" t="s">
        <v>4062</v>
      </c>
      <c r="E197" s="385">
        <v>16</v>
      </c>
      <c r="F197" s="385" t="s">
        <v>3</v>
      </c>
      <c r="G197" s="385" t="s">
        <v>795</v>
      </c>
      <c r="H197" s="385" t="s">
        <v>797</v>
      </c>
      <c r="I197" s="385" t="s">
        <v>3488</v>
      </c>
      <c r="J197" s="385" t="s">
        <v>3476</v>
      </c>
      <c r="K197" s="385" t="e">
        <f>VLOOKUP(Table13[[#This Row],[CD_FUNCAO]],'BASE_FUNCOES (hide)'!A:X,2,FALSE)</f>
        <v>#N/A</v>
      </c>
    </row>
    <row r="198" spans="1:11">
      <c r="A198" s="385">
        <v>-124</v>
      </c>
      <c r="B198" s="385" t="s">
        <v>4296</v>
      </c>
      <c r="C198" s="385" t="s">
        <v>4295</v>
      </c>
      <c r="D198" s="385" t="s">
        <v>4294</v>
      </c>
      <c r="E198" s="385">
        <v>3</v>
      </c>
      <c r="F198" s="385" t="s">
        <v>149</v>
      </c>
      <c r="G198" s="385" t="s">
        <v>468</v>
      </c>
      <c r="H198" s="385" t="s">
        <v>470</v>
      </c>
      <c r="I198" s="385" t="s">
        <v>3488</v>
      </c>
      <c r="J198" s="385" t="s">
        <v>3477</v>
      </c>
      <c r="K198" s="385" t="e">
        <f>VLOOKUP(Table13[[#This Row],[CD_FUNCAO]],'BASE_FUNCOES (hide)'!A:X,2,FALSE)</f>
        <v>#N/A</v>
      </c>
    </row>
    <row r="199" spans="1:11">
      <c r="A199" s="385">
        <v>-123</v>
      </c>
      <c r="B199" s="385" t="s">
        <v>5528</v>
      </c>
      <c r="C199" s="385" t="s">
        <v>5527</v>
      </c>
      <c r="D199" s="385" t="s">
        <v>5526</v>
      </c>
      <c r="E199" s="385">
        <v>283</v>
      </c>
      <c r="F199" s="385" t="s">
        <v>4705</v>
      </c>
      <c r="G199" s="385" t="s">
        <v>4704</v>
      </c>
      <c r="H199" s="385" t="s">
        <v>4703</v>
      </c>
      <c r="I199" s="385" t="s">
        <v>3488</v>
      </c>
      <c r="K199" s="385" t="e">
        <f>VLOOKUP(Table13[[#This Row],[CD_FUNCAO]],'BASE_FUNCOES (hide)'!A:X,2,FALSE)</f>
        <v>#N/A</v>
      </c>
    </row>
    <row r="200" spans="1:11">
      <c r="A200" s="385">
        <v>-122</v>
      </c>
      <c r="B200" s="385" t="s">
        <v>4783</v>
      </c>
      <c r="C200" s="385" t="s">
        <v>4782</v>
      </c>
      <c r="D200" s="385" t="s">
        <v>4781</v>
      </c>
      <c r="E200" s="385">
        <v>283</v>
      </c>
      <c r="F200" s="385" t="s">
        <v>4705</v>
      </c>
      <c r="G200" s="385" t="s">
        <v>4704</v>
      </c>
      <c r="H200" s="385" t="s">
        <v>4703</v>
      </c>
      <c r="I200" s="385" t="s">
        <v>3488</v>
      </c>
      <c r="J200" s="385" t="s">
        <v>3476</v>
      </c>
      <c r="K200" s="385" t="e">
        <f>VLOOKUP(Table13[[#This Row],[CD_FUNCAO]],'BASE_FUNCOES (hide)'!A:X,2,FALSE)</f>
        <v>#N/A</v>
      </c>
    </row>
    <row r="201" spans="1:11">
      <c r="A201" s="385">
        <v>-119</v>
      </c>
      <c r="B201" s="385" t="s">
        <v>4148</v>
      </c>
      <c r="C201" s="385" t="s">
        <v>4147</v>
      </c>
      <c r="D201" s="385" t="s">
        <v>4146</v>
      </c>
      <c r="E201" s="385">
        <v>10</v>
      </c>
      <c r="F201" s="385" t="s">
        <v>213</v>
      </c>
      <c r="I201" s="385" t="s">
        <v>3485</v>
      </c>
      <c r="J201" s="385" t="s">
        <v>3476</v>
      </c>
      <c r="K201" s="385" t="e">
        <f>VLOOKUP(Table13[[#This Row],[CD_FUNCAO]],'BASE_FUNCOES (hide)'!A:X,2,FALSE)</f>
        <v>#N/A</v>
      </c>
    </row>
    <row r="202" spans="1:11">
      <c r="A202" s="385">
        <v>-112</v>
      </c>
      <c r="B202" s="385" t="s">
        <v>4780</v>
      </c>
      <c r="C202" s="385" t="s">
        <v>4779</v>
      </c>
      <c r="D202" s="385" t="s">
        <v>4778</v>
      </c>
      <c r="E202" s="385">
        <v>283</v>
      </c>
      <c r="F202" s="385" t="s">
        <v>4705</v>
      </c>
      <c r="G202" s="385" t="s">
        <v>4704</v>
      </c>
      <c r="H202" s="385" t="s">
        <v>4703</v>
      </c>
      <c r="I202" s="385" t="s">
        <v>3488</v>
      </c>
      <c r="J202" s="385" t="s">
        <v>3476</v>
      </c>
      <c r="K202" s="385" t="e">
        <f>VLOOKUP(Table13[[#This Row],[CD_FUNCAO]],'BASE_FUNCOES (hide)'!A:X,2,FALSE)</f>
        <v>#N/A</v>
      </c>
    </row>
    <row r="203" spans="1:11">
      <c r="A203" s="385">
        <v>-111</v>
      </c>
      <c r="B203" s="385" t="s">
        <v>4061</v>
      </c>
      <c r="C203" s="385" t="s">
        <v>4060</v>
      </c>
      <c r="D203" s="385" t="s">
        <v>4059</v>
      </c>
      <c r="E203" s="385">
        <v>16</v>
      </c>
      <c r="F203" s="385" t="s">
        <v>3</v>
      </c>
      <c r="G203" s="385" t="s">
        <v>795</v>
      </c>
      <c r="H203" s="385" t="s">
        <v>797</v>
      </c>
      <c r="I203" s="385" t="s">
        <v>3485</v>
      </c>
      <c r="J203" s="385" t="s">
        <v>3476</v>
      </c>
      <c r="K203" s="385" t="e">
        <f>VLOOKUP(Table13[[#This Row],[CD_FUNCAO]],'BASE_FUNCOES (hide)'!A:X,2,FALSE)</f>
        <v>#N/A</v>
      </c>
    </row>
    <row r="204" spans="1:11">
      <c r="A204" s="385">
        <v>-110</v>
      </c>
      <c r="B204" s="385" t="s">
        <v>4292</v>
      </c>
      <c r="C204" s="385" t="s">
        <v>4291</v>
      </c>
      <c r="D204" s="385" t="s">
        <v>4290</v>
      </c>
      <c r="E204" s="385">
        <v>3</v>
      </c>
      <c r="F204" s="385" t="s">
        <v>149</v>
      </c>
      <c r="G204" s="385" t="s">
        <v>468</v>
      </c>
      <c r="H204" s="385" t="s">
        <v>470</v>
      </c>
      <c r="I204" s="385" t="s">
        <v>3488</v>
      </c>
      <c r="J204" s="385" t="s">
        <v>3477</v>
      </c>
      <c r="K204" s="385" t="e">
        <f>VLOOKUP(Table13[[#This Row],[CD_FUNCAO]],'BASE_FUNCOES (hide)'!A:X,2,FALSE)</f>
        <v>#N/A</v>
      </c>
    </row>
    <row r="205" spans="1:11">
      <c r="A205" s="385">
        <v>-107</v>
      </c>
      <c r="B205" s="385" t="s">
        <v>5183</v>
      </c>
      <c r="C205" s="385" t="s">
        <v>5182</v>
      </c>
      <c r="D205" s="385" t="s">
        <v>5181</v>
      </c>
      <c r="E205" s="385">
        <v>283</v>
      </c>
      <c r="F205" s="385" t="s">
        <v>4705</v>
      </c>
      <c r="G205" s="385" t="s">
        <v>4704</v>
      </c>
      <c r="H205" s="385" t="s">
        <v>4703</v>
      </c>
      <c r="I205" s="385" t="s">
        <v>3510</v>
      </c>
      <c r="J205" s="385" t="s">
        <v>3477</v>
      </c>
      <c r="K205" s="385" t="e">
        <f>VLOOKUP(Table13[[#This Row],[CD_FUNCAO]],'BASE_FUNCOES (hide)'!A:X,2,FALSE)</f>
        <v>#N/A</v>
      </c>
    </row>
    <row r="206" spans="1:11">
      <c r="A206" s="385">
        <v>-102</v>
      </c>
      <c r="B206" s="385" t="s">
        <v>4266</v>
      </c>
      <c r="C206" s="385" t="s">
        <v>4265</v>
      </c>
      <c r="D206" s="385" t="s">
        <v>4264</v>
      </c>
      <c r="E206" s="385">
        <v>5</v>
      </c>
      <c r="F206" s="385" t="s">
        <v>177</v>
      </c>
      <c r="G206" s="385" t="s">
        <v>2310</v>
      </c>
      <c r="H206" s="385" t="s">
        <v>2170</v>
      </c>
      <c r="I206" s="385" t="s">
        <v>3488</v>
      </c>
      <c r="J206" s="385" t="s">
        <v>3476</v>
      </c>
      <c r="K206" s="385" t="e">
        <f>VLOOKUP(Table13[[#This Row],[CD_FUNCAO]],'BASE_FUNCOES (hide)'!A:X,2,FALSE)</f>
        <v>#N/A</v>
      </c>
    </row>
    <row r="207" spans="1:11">
      <c r="A207" s="385">
        <v>-88</v>
      </c>
      <c r="B207" s="385" t="s">
        <v>1646</v>
      </c>
      <c r="C207" s="385" t="s">
        <v>1647</v>
      </c>
      <c r="D207" s="385" t="s">
        <v>1648</v>
      </c>
      <c r="E207" s="385">
        <v>283</v>
      </c>
      <c r="F207" s="385" t="s">
        <v>4705</v>
      </c>
      <c r="G207" s="385" t="s">
        <v>4704</v>
      </c>
      <c r="H207" s="385" t="s">
        <v>4703</v>
      </c>
      <c r="I207" s="385" t="s">
        <v>3488</v>
      </c>
      <c r="J207" s="385" t="s">
        <v>3476</v>
      </c>
      <c r="K207" s="385" t="e">
        <f>VLOOKUP(Table13[[#This Row],[CD_FUNCAO]],'BASE_FUNCOES (hide)'!A:X,2,FALSE)</f>
        <v>#N/A</v>
      </c>
    </row>
    <row r="208" spans="1:11">
      <c r="A208" s="385">
        <v>-86</v>
      </c>
      <c r="B208" s="385" t="s">
        <v>1646</v>
      </c>
      <c r="C208" s="385" t="s">
        <v>1647</v>
      </c>
      <c r="D208" s="385" t="s">
        <v>1648</v>
      </c>
      <c r="E208" s="385">
        <v>283</v>
      </c>
      <c r="F208" s="385" t="s">
        <v>4705</v>
      </c>
      <c r="G208" s="385" t="s">
        <v>4704</v>
      </c>
      <c r="H208" s="385" t="s">
        <v>4703</v>
      </c>
      <c r="I208" s="385" t="s">
        <v>3510</v>
      </c>
      <c r="J208" s="385" t="s">
        <v>3477</v>
      </c>
      <c r="K208" s="385" t="e">
        <f>VLOOKUP(Table13[[#This Row],[CD_FUNCAO]],'BASE_FUNCOES (hide)'!A:X,2,FALSE)</f>
        <v>#N/A</v>
      </c>
    </row>
    <row r="209" spans="1:11">
      <c r="A209" s="385">
        <v>-85</v>
      </c>
      <c r="B209" s="385" t="s">
        <v>5402</v>
      </c>
      <c r="C209" s="385" t="s">
        <v>5401</v>
      </c>
      <c r="D209" s="385" t="s">
        <v>5400</v>
      </c>
      <c r="E209" s="385">
        <v>283</v>
      </c>
      <c r="F209" s="385" t="s">
        <v>4705</v>
      </c>
      <c r="G209" s="385" t="s">
        <v>4704</v>
      </c>
      <c r="H209" s="385" t="s">
        <v>4703</v>
      </c>
      <c r="I209" s="385" t="s">
        <v>3488</v>
      </c>
      <c r="J209" s="385" t="s">
        <v>3477</v>
      </c>
      <c r="K209" s="385" t="e">
        <f>VLOOKUP(Table13[[#This Row],[CD_FUNCAO]],'BASE_FUNCOES (hide)'!A:X,2,FALSE)</f>
        <v>#N/A</v>
      </c>
    </row>
    <row r="210" spans="1:11">
      <c r="A210" s="385">
        <v>-81</v>
      </c>
      <c r="B210" s="385" t="s">
        <v>1643</v>
      </c>
      <c r="C210" s="385" t="s">
        <v>1644</v>
      </c>
      <c r="D210" s="385" t="s">
        <v>5231</v>
      </c>
      <c r="E210" s="385">
        <v>283</v>
      </c>
      <c r="F210" s="385" t="s">
        <v>4705</v>
      </c>
      <c r="G210" s="385" t="s">
        <v>4704</v>
      </c>
      <c r="H210" s="385" t="s">
        <v>4703</v>
      </c>
      <c r="I210" s="385" t="s">
        <v>3510</v>
      </c>
      <c r="J210" s="385" t="s">
        <v>3477</v>
      </c>
      <c r="K210" s="385" t="e">
        <f>VLOOKUP(Table13[[#This Row],[CD_FUNCAO]],'BASE_FUNCOES (hide)'!A:X,2,FALSE)</f>
        <v>#N/A</v>
      </c>
    </row>
    <row r="211" spans="1:11" hidden="1">
      <c r="A211" s="385">
        <v>875</v>
      </c>
      <c r="B211" s="385" t="s">
        <v>362</v>
      </c>
      <c r="C211" s="385" t="s">
        <v>1302</v>
      </c>
      <c r="D211" s="385" t="s">
        <v>1303</v>
      </c>
      <c r="E211" s="385">
        <v>283</v>
      </c>
      <c r="F211" s="385" t="s">
        <v>4705</v>
      </c>
      <c r="G211" s="385" t="s">
        <v>4704</v>
      </c>
      <c r="H211" s="385" t="s">
        <v>4703</v>
      </c>
      <c r="I211" s="385" t="s">
        <v>3477</v>
      </c>
      <c r="J211" s="385" t="s">
        <v>3477</v>
      </c>
      <c r="K211" s="385" t="str">
        <f>VLOOKUP(Table13[[#This Row],[CD_FUNCAO]],'BASE_FUNCOES (hide)'!A:X,2,FALSE)</f>
        <v>Gestão das Etapas do Agendamento - GETA</v>
      </c>
    </row>
    <row r="212" spans="1:11">
      <c r="A212" s="385">
        <v>-80</v>
      </c>
      <c r="B212" s="385" t="s">
        <v>4227</v>
      </c>
      <c r="C212" s="385" t="s">
        <v>4226</v>
      </c>
      <c r="D212" s="385" t="s">
        <v>4225</v>
      </c>
      <c r="E212" s="385">
        <v>6</v>
      </c>
      <c r="F212" s="385" t="s">
        <v>58</v>
      </c>
      <c r="I212" s="385" t="s">
        <v>3488</v>
      </c>
      <c r="J212" s="385" t="s">
        <v>3476</v>
      </c>
      <c r="K212" s="385" t="e">
        <f>VLOOKUP(Table13[[#This Row],[CD_FUNCAO]],'BASE_FUNCOES (hide)'!A:X,2,FALSE)</f>
        <v>#N/A</v>
      </c>
    </row>
    <row r="213" spans="1:11">
      <c r="A213" s="385">
        <v>-77</v>
      </c>
      <c r="B213" s="385" t="s">
        <v>5396</v>
      </c>
      <c r="C213" s="385" t="s">
        <v>5395</v>
      </c>
      <c r="D213" s="385" t="s">
        <v>5394</v>
      </c>
      <c r="E213" s="385">
        <v>283</v>
      </c>
      <c r="F213" s="385" t="s">
        <v>4705</v>
      </c>
      <c r="G213" s="385" t="s">
        <v>4704</v>
      </c>
      <c r="H213" s="385" t="s">
        <v>4703</v>
      </c>
      <c r="I213" s="385" t="s">
        <v>3488</v>
      </c>
      <c r="J213" s="385" t="s">
        <v>3477</v>
      </c>
      <c r="K213" s="385" t="e">
        <f>VLOOKUP(Table13[[#This Row],[CD_FUNCAO]],'BASE_FUNCOES (hide)'!A:X,2,FALSE)</f>
        <v>#N/A</v>
      </c>
    </row>
    <row r="214" spans="1:11">
      <c r="A214" s="385">
        <v>-75</v>
      </c>
      <c r="B214" s="385" t="s">
        <v>5549</v>
      </c>
      <c r="C214" s="385" t="s">
        <v>5548</v>
      </c>
      <c r="D214" s="385" t="s">
        <v>5547</v>
      </c>
      <c r="E214" s="385">
        <v>283</v>
      </c>
      <c r="F214" s="385" t="s">
        <v>4705</v>
      </c>
      <c r="G214" s="385" t="s">
        <v>4704</v>
      </c>
      <c r="H214" s="385" t="s">
        <v>4703</v>
      </c>
      <c r="I214" s="385" t="s">
        <v>3488</v>
      </c>
      <c r="J214" s="385" t="s">
        <v>3476</v>
      </c>
      <c r="K214" s="385" t="e">
        <f>VLOOKUP(Table13[[#This Row],[CD_FUNCAO]],'BASE_FUNCOES (hide)'!A:X,2,FALSE)</f>
        <v>#N/A</v>
      </c>
    </row>
    <row r="215" spans="1:11">
      <c r="A215" s="385">
        <v>-59</v>
      </c>
      <c r="B215" s="385" t="s">
        <v>5476</v>
      </c>
      <c r="C215" s="385" t="s">
        <v>5475</v>
      </c>
      <c r="D215" s="385" t="s">
        <v>5474</v>
      </c>
      <c r="E215" s="385">
        <v>283</v>
      </c>
      <c r="F215" s="385" t="s">
        <v>4705</v>
      </c>
      <c r="G215" s="385" t="s">
        <v>4704</v>
      </c>
      <c r="H215" s="385" t="s">
        <v>4703</v>
      </c>
      <c r="I215" s="385" t="s">
        <v>3488</v>
      </c>
      <c r="J215" s="385" t="s">
        <v>3477</v>
      </c>
      <c r="K215" s="385" t="e">
        <f>VLOOKUP(Table13[[#This Row],[CD_FUNCAO]],'BASE_FUNCOES (hide)'!A:X,2,FALSE)</f>
        <v>#N/A</v>
      </c>
    </row>
    <row r="216" spans="1:11">
      <c r="A216" s="385">
        <v>-40</v>
      </c>
      <c r="B216" s="385" t="s">
        <v>4191</v>
      </c>
      <c r="C216" s="385" t="s">
        <v>4190</v>
      </c>
      <c r="D216" s="385" t="s">
        <v>4189</v>
      </c>
      <c r="E216" s="385">
        <v>8</v>
      </c>
      <c r="F216" s="385" t="s">
        <v>188</v>
      </c>
      <c r="I216" s="385" t="s">
        <v>3488</v>
      </c>
      <c r="J216" s="385" t="s">
        <v>3476</v>
      </c>
      <c r="K216" s="385" t="e">
        <f>VLOOKUP(Table13[[#This Row],[CD_FUNCAO]],'BASE_FUNCOES (hide)'!A:X,2,FALSE)</f>
        <v>#N/A</v>
      </c>
    </row>
    <row r="217" spans="1:11">
      <c r="A217" s="385">
        <v>-39</v>
      </c>
      <c r="B217" s="385" t="s">
        <v>5096</v>
      </c>
      <c r="C217" s="385" t="s">
        <v>5096</v>
      </c>
      <c r="D217" s="385" t="s">
        <v>5095</v>
      </c>
      <c r="E217" s="385">
        <v>283</v>
      </c>
      <c r="F217" s="385" t="s">
        <v>4705</v>
      </c>
      <c r="G217" s="385" t="s">
        <v>4704</v>
      </c>
      <c r="H217" s="385" t="s">
        <v>4703</v>
      </c>
      <c r="I217" s="385" t="s">
        <v>3510</v>
      </c>
      <c r="J217" s="385" t="s">
        <v>3476</v>
      </c>
      <c r="K217" s="385" t="e">
        <f>VLOOKUP(Table13[[#This Row],[CD_FUNCAO]],'BASE_FUNCOES (hide)'!A:X,2,FALSE)</f>
        <v>#N/A</v>
      </c>
    </row>
    <row r="218" spans="1:11">
      <c r="A218" s="385">
        <v>-38</v>
      </c>
      <c r="B218" s="385" t="s">
        <v>5537</v>
      </c>
      <c r="C218" s="385" t="s">
        <v>5536</v>
      </c>
      <c r="D218" s="385" t="s">
        <v>5535</v>
      </c>
      <c r="E218" s="385">
        <v>283</v>
      </c>
      <c r="F218" s="385" t="s">
        <v>4705</v>
      </c>
      <c r="G218" s="385" t="s">
        <v>4704</v>
      </c>
      <c r="H218" s="385" t="s">
        <v>4703</v>
      </c>
      <c r="I218" s="385" t="s">
        <v>3488</v>
      </c>
      <c r="J218" s="385" t="s">
        <v>3476</v>
      </c>
      <c r="K218" s="385" t="e">
        <f>VLOOKUP(Table13[[#This Row],[CD_FUNCAO]],'BASE_FUNCOES (hide)'!A:X,2,FALSE)</f>
        <v>#N/A</v>
      </c>
    </row>
    <row r="219" spans="1:11" hidden="1">
      <c r="A219" s="385">
        <v>10100</v>
      </c>
      <c r="B219" s="385" t="s">
        <v>1344</v>
      </c>
      <c r="C219" s="385" t="s">
        <v>1345</v>
      </c>
      <c r="D219" s="385" t="s">
        <v>1346</v>
      </c>
      <c r="E219" s="385">
        <v>283</v>
      </c>
      <c r="F219" s="385" t="s">
        <v>4705</v>
      </c>
      <c r="G219" s="385" t="s">
        <v>4704</v>
      </c>
      <c r="H219" s="385" t="s">
        <v>4703</v>
      </c>
      <c r="I219" s="385" t="s">
        <v>3477</v>
      </c>
      <c r="J219" s="385" t="s">
        <v>3476</v>
      </c>
      <c r="K219" s="385" t="str">
        <f>VLOOKUP(Table13[[#This Row],[CD_FUNCAO]],'BASE_FUNCOES (hide)'!A:X,2,FALSE)</f>
        <v>Gestão de contingências de integrações</v>
      </c>
    </row>
    <row r="220" spans="1:11" hidden="1">
      <c r="A220" s="385">
        <v>8045</v>
      </c>
      <c r="B220" s="385" t="s">
        <v>1312</v>
      </c>
      <c r="C220" s="385" t="s">
        <v>1313</v>
      </c>
      <c r="D220" s="385" t="s">
        <v>1314</v>
      </c>
      <c r="E220" s="385">
        <v>283</v>
      </c>
      <c r="F220" s="385" t="s">
        <v>4705</v>
      </c>
      <c r="G220" s="385" t="s">
        <v>4704</v>
      </c>
      <c r="H220" s="385" t="s">
        <v>4703</v>
      </c>
      <c r="I220" s="385" t="s">
        <v>3477</v>
      </c>
      <c r="J220" s="385" t="s">
        <v>3477</v>
      </c>
      <c r="K220" s="385" t="str">
        <f>VLOOKUP(Table13[[#This Row],[CD_FUNCAO]],'BASE_FUNCOES (hide)'!A:X,2,FALSE)</f>
        <v>Painel de Indicadores de Desenvolvimento e Tecnologia</v>
      </c>
    </row>
    <row r="221" spans="1:11" hidden="1">
      <c r="A221" s="385">
        <v>10091</v>
      </c>
      <c r="B221" s="385" t="s">
        <v>384</v>
      </c>
      <c r="C221" s="385" t="s">
        <v>1347</v>
      </c>
      <c r="D221" s="385" t="s">
        <v>1348</v>
      </c>
      <c r="E221" s="385">
        <v>283</v>
      </c>
      <c r="F221" s="385" t="s">
        <v>4705</v>
      </c>
      <c r="G221" s="385" t="s">
        <v>4704</v>
      </c>
      <c r="H221" s="385" t="s">
        <v>4703</v>
      </c>
      <c r="I221" s="385" t="s">
        <v>3477</v>
      </c>
      <c r="J221" s="385" t="s">
        <v>3477</v>
      </c>
      <c r="K221" s="385" t="str">
        <f>VLOOKUP(Table13[[#This Row],[CD_FUNCAO]],'BASE_FUNCOES (hide)'!A:X,2,FALSE)</f>
        <v>Organograma</v>
      </c>
    </row>
    <row r="222" spans="1:11">
      <c r="A222" s="385">
        <v>-26</v>
      </c>
      <c r="B222" s="385" t="s">
        <v>4169</v>
      </c>
      <c r="C222" s="385" t="s">
        <v>4168</v>
      </c>
      <c r="D222" s="385" t="s">
        <v>4167</v>
      </c>
      <c r="E222" s="385">
        <v>10</v>
      </c>
      <c r="F222" s="385" t="s">
        <v>213</v>
      </c>
      <c r="I222" s="385" t="s">
        <v>3488</v>
      </c>
      <c r="J222" s="385" t="s">
        <v>3476</v>
      </c>
      <c r="K222" s="385" t="e">
        <f>VLOOKUP(Table13[[#This Row],[CD_FUNCAO]],'BASE_FUNCOES (hide)'!A:X,2,FALSE)</f>
        <v>#N/A</v>
      </c>
    </row>
    <row r="223" spans="1:11">
      <c r="A223" s="385">
        <v>-19</v>
      </c>
      <c r="B223" s="385" t="s">
        <v>5610</v>
      </c>
      <c r="C223" s="385" t="s">
        <v>5609</v>
      </c>
      <c r="D223" s="385" t="s">
        <v>5608</v>
      </c>
      <c r="E223" s="385">
        <v>283</v>
      </c>
      <c r="F223" s="385" t="s">
        <v>4705</v>
      </c>
      <c r="G223" s="385" t="s">
        <v>4704</v>
      </c>
      <c r="H223" s="385" t="s">
        <v>4703</v>
      </c>
      <c r="I223" s="385" t="s">
        <v>3488</v>
      </c>
      <c r="J223" s="385" t="s">
        <v>3476</v>
      </c>
      <c r="K223" s="385" t="e">
        <f>VLOOKUP(Table13[[#This Row],[CD_FUNCAO]],'BASE_FUNCOES (hide)'!A:X,2,FALSE)</f>
        <v>#N/A</v>
      </c>
    </row>
    <row r="224" spans="1:11">
      <c r="A224" s="385">
        <v>-17</v>
      </c>
      <c r="B224" s="385" t="s">
        <v>4765</v>
      </c>
      <c r="C224" s="385" t="s">
        <v>4764</v>
      </c>
      <c r="D224" s="385" t="s">
        <v>4763</v>
      </c>
      <c r="E224" s="385">
        <v>283</v>
      </c>
      <c r="F224" s="385" t="s">
        <v>4705</v>
      </c>
      <c r="G224" s="385" t="s">
        <v>4704</v>
      </c>
      <c r="H224" s="385" t="s">
        <v>4703</v>
      </c>
      <c r="I224" s="385" t="s">
        <v>3488</v>
      </c>
      <c r="K224" s="385" t="e">
        <f>VLOOKUP(Table13[[#This Row],[CD_FUNCAO]],'BASE_FUNCOES (hide)'!A:X,2,FALSE)</f>
        <v>#N/A</v>
      </c>
    </row>
    <row r="225" spans="1:11">
      <c r="A225" s="385">
        <v>-14</v>
      </c>
      <c r="B225" s="385" t="s">
        <v>4864</v>
      </c>
      <c r="C225" s="385" t="s">
        <v>4865</v>
      </c>
      <c r="D225" s="385" t="s">
        <v>4864</v>
      </c>
      <c r="E225" s="385">
        <v>283</v>
      </c>
      <c r="F225" s="385" t="s">
        <v>4705</v>
      </c>
      <c r="G225" s="385" t="s">
        <v>4704</v>
      </c>
      <c r="H225" s="385" t="s">
        <v>4703</v>
      </c>
      <c r="I225" s="385" t="s">
        <v>3488</v>
      </c>
      <c r="J225" s="385" t="s">
        <v>3476</v>
      </c>
      <c r="K225" s="385" t="e">
        <f>VLOOKUP(Table13[[#This Row],[CD_FUNCAO]],'BASE_FUNCOES (hide)'!A:X,2,FALSE)</f>
        <v>#N/A</v>
      </c>
    </row>
    <row r="226" spans="1:11" hidden="1">
      <c r="A226" s="385">
        <v>1141</v>
      </c>
      <c r="B226" s="385" t="s">
        <v>364</v>
      </c>
      <c r="C226" s="385" t="s">
        <v>1349</v>
      </c>
      <c r="D226" s="385" t="s">
        <v>1349</v>
      </c>
      <c r="E226" s="385">
        <v>283</v>
      </c>
      <c r="F226" s="385" t="s">
        <v>4705</v>
      </c>
      <c r="G226" s="385" t="s">
        <v>4704</v>
      </c>
      <c r="H226" s="385" t="s">
        <v>4703</v>
      </c>
      <c r="I226" s="385" t="s">
        <v>3477</v>
      </c>
      <c r="J226" s="385" t="s">
        <v>3477</v>
      </c>
      <c r="K226" s="385" t="str">
        <f>VLOOKUP(Table13[[#This Row],[CD_FUNCAO]],'BASE_FUNCOES (hide)'!A:X,2,FALSE)</f>
        <v>Gestão de Atualizações SUS</v>
      </c>
    </row>
    <row r="227" spans="1:11">
      <c r="A227" s="385">
        <v>-13</v>
      </c>
      <c r="B227" s="385" t="s">
        <v>5593</v>
      </c>
      <c r="C227" s="385" t="s">
        <v>5592</v>
      </c>
      <c r="D227" s="385" t="s">
        <v>5591</v>
      </c>
      <c r="E227" s="385">
        <v>283</v>
      </c>
      <c r="F227" s="385" t="s">
        <v>4705</v>
      </c>
      <c r="G227" s="385" t="s">
        <v>4704</v>
      </c>
      <c r="H227" s="385" t="s">
        <v>4703</v>
      </c>
      <c r="I227" s="385" t="s">
        <v>3488</v>
      </c>
      <c r="J227" s="385" t="s">
        <v>3476</v>
      </c>
      <c r="K227" s="385" t="e">
        <f>VLOOKUP(Table13[[#This Row],[CD_FUNCAO]],'BASE_FUNCOES (hide)'!A:X,2,FALSE)</f>
        <v>#N/A</v>
      </c>
    </row>
    <row r="228" spans="1:11" hidden="1">
      <c r="A228" s="385">
        <v>9043</v>
      </c>
      <c r="B228" s="385" t="s">
        <v>383</v>
      </c>
      <c r="C228" s="385" t="s">
        <v>1354</v>
      </c>
      <c r="D228" s="385" t="s">
        <v>1355</v>
      </c>
      <c r="E228" s="385">
        <v>283</v>
      </c>
      <c r="F228" s="385" t="s">
        <v>4705</v>
      </c>
      <c r="G228" s="385" t="s">
        <v>4704</v>
      </c>
      <c r="H228" s="385" t="s">
        <v>4703</v>
      </c>
      <c r="I228" s="385" t="s">
        <v>3477</v>
      </c>
      <c r="J228" s="385" t="s">
        <v>3477</v>
      </c>
      <c r="K228" s="385" t="str">
        <f>VLOOKUP(Table13[[#This Row],[CD_FUNCAO]],'BASE_FUNCOES (hide)'!A:X,2,FALSE)</f>
        <v>Ordem serviço web</v>
      </c>
    </row>
    <row r="229" spans="1:11" hidden="1">
      <c r="A229" s="385">
        <v>99012</v>
      </c>
      <c r="B229" s="385" t="s">
        <v>34</v>
      </c>
      <c r="C229" s="385" t="s">
        <v>1352</v>
      </c>
      <c r="D229" s="385" t="s">
        <v>1353</v>
      </c>
      <c r="E229" s="385">
        <v>283</v>
      </c>
      <c r="F229" s="385" t="s">
        <v>4705</v>
      </c>
      <c r="G229" s="385" t="s">
        <v>4704</v>
      </c>
      <c r="H229" s="385" t="s">
        <v>4703</v>
      </c>
      <c r="I229" s="385" t="s">
        <v>3477</v>
      </c>
      <c r="J229" s="385" t="s">
        <v>3477</v>
      </c>
      <c r="K229" s="385" t="str">
        <f>VLOOKUP(Table13[[#This Row],[CD_FUNCAO]],'BASE_FUNCOES (hide)'!A:X,2,FALSE)</f>
        <v>Ficha Médica</v>
      </c>
    </row>
    <row r="230" spans="1:11" hidden="1">
      <c r="A230" s="385">
        <v>2105</v>
      </c>
      <c r="B230" s="385" t="s">
        <v>397</v>
      </c>
      <c r="C230" s="385" t="s">
        <v>397</v>
      </c>
      <c r="D230" s="385" t="s">
        <v>397</v>
      </c>
      <c r="E230" s="385">
        <v>283</v>
      </c>
      <c r="F230" s="385" t="s">
        <v>4705</v>
      </c>
      <c r="G230" s="385" t="s">
        <v>4704</v>
      </c>
      <c r="H230" s="385" t="s">
        <v>4703</v>
      </c>
      <c r="I230" s="385" t="s">
        <v>3477</v>
      </c>
      <c r="J230" s="385" t="s">
        <v>3477</v>
      </c>
      <c r="K230" s="385" t="str">
        <f>VLOOKUP(Table13[[#This Row],[CD_FUNCAO]],'BASE_FUNCOES (hide)'!A:X,2,FALSE)</f>
        <v>Query Builder</v>
      </c>
    </row>
    <row r="231" spans="1:11">
      <c r="A231" s="385">
        <v>-9</v>
      </c>
      <c r="B231" s="385" t="s">
        <v>4006</v>
      </c>
      <c r="C231" s="385" t="s">
        <v>4005</v>
      </c>
      <c r="D231" s="385" t="s">
        <v>4004</v>
      </c>
      <c r="E231" s="385">
        <v>26</v>
      </c>
      <c r="F231" s="385" t="s">
        <v>237</v>
      </c>
      <c r="I231" s="385" t="s">
        <v>3488</v>
      </c>
      <c r="J231" s="385" t="s">
        <v>3476</v>
      </c>
      <c r="K231" s="385" t="e">
        <f>VLOOKUP(Table13[[#This Row],[CD_FUNCAO]],'BASE_FUNCOES (hide)'!A:X,2,FALSE)</f>
        <v>#N/A</v>
      </c>
    </row>
    <row r="232" spans="1:11" hidden="1">
      <c r="A232" s="385">
        <v>3014</v>
      </c>
      <c r="B232" s="385" t="s">
        <v>1380</v>
      </c>
      <c r="C232" s="385" t="s">
        <v>1381</v>
      </c>
      <c r="D232" s="385" t="s">
        <v>1382</v>
      </c>
      <c r="E232" s="385">
        <v>283</v>
      </c>
      <c r="F232" s="385" t="s">
        <v>4705</v>
      </c>
      <c r="G232" s="385" t="s">
        <v>4704</v>
      </c>
      <c r="H232" s="385" t="s">
        <v>4703</v>
      </c>
      <c r="I232" s="385" t="s">
        <v>3477</v>
      </c>
      <c r="J232" s="385" t="s">
        <v>3477</v>
      </c>
      <c r="K232" s="385" t="str">
        <f>VLOOKUP(Table13[[#This Row],[CD_FUNCAO]],'BASE_FUNCOES (hide)'!A:X,2,FALSE)</f>
        <v>Controle de Remessa</v>
      </c>
    </row>
    <row r="233" spans="1:11">
      <c r="A233" s="385">
        <v>-8</v>
      </c>
      <c r="B233" s="385" t="s">
        <v>3951</v>
      </c>
      <c r="C233" s="385" t="s">
        <v>3950</v>
      </c>
      <c r="D233" s="385" t="s">
        <v>3949</v>
      </c>
      <c r="E233" s="385">
        <v>36</v>
      </c>
      <c r="F233" s="385" t="s">
        <v>250</v>
      </c>
      <c r="I233" s="385" t="s">
        <v>3488</v>
      </c>
      <c r="K233" s="385" t="e">
        <f>VLOOKUP(Table13[[#This Row],[CD_FUNCAO]],'BASE_FUNCOES (hide)'!A:X,2,FALSE)</f>
        <v>#N/A</v>
      </c>
    </row>
    <row r="234" spans="1:11">
      <c r="A234" s="385">
        <v>-6</v>
      </c>
      <c r="B234" s="385" t="s">
        <v>4279</v>
      </c>
      <c r="C234" s="385" t="s">
        <v>4278</v>
      </c>
      <c r="D234" s="385" t="s">
        <v>4277</v>
      </c>
      <c r="E234" s="385">
        <v>3</v>
      </c>
      <c r="F234" s="385" t="s">
        <v>149</v>
      </c>
      <c r="G234" s="385" t="s">
        <v>468</v>
      </c>
      <c r="H234" s="385" t="s">
        <v>470</v>
      </c>
      <c r="I234" s="385" t="s">
        <v>3488</v>
      </c>
      <c r="J234" s="385" t="s">
        <v>3477</v>
      </c>
      <c r="K234" s="385" t="e">
        <f>VLOOKUP(Table13[[#This Row],[CD_FUNCAO]],'BASE_FUNCOES (hide)'!A:X,2,FALSE)</f>
        <v>#N/A</v>
      </c>
    </row>
    <row r="235" spans="1:11" hidden="1">
      <c r="A235" s="385">
        <v>99018</v>
      </c>
      <c r="B235" s="385" t="s">
        <v>365</v>
      </c>
      <c r="C235" s="385" t="s">
        <v>1378</v>
      </c>
      <c r="D235" s="385" t="s">
        <v>1379</v>
      </c>
      <c r="E235" s="385">
        <v>283</v>
      </c>
      <c r="F235" s="385" t="s">
        <v>4705</v>
      </c>
      <c r="G235" s="385" t="s">
        <v>4704</v>
      </c>
      <c r="H235" s="385" t="s">
        <v>4703</v>
      </c>
      <c r="I235" s="385" t="s">
        <v>3477</v>
      </c>
      <c r="J235" s="385" t="s">
        <v>3477</v>
      </c>
      <c r="K235" s="385" t="str">
        <f>VLOOKUP(Table13[[#This Row],[CD_FUNCAO]],'BASE_FUNCOES (hide)'!A:X,2,FALSE)</f>
        <v>Gestão de Consultórios</v>
      </c>
    </row>
    <row r="236" spans="1:11">
      <c r="A236" s="385">
        <v>-5</v>
      </c>
      <c r="B236" s="385" t="s">
        <v>4066</v>
      </c>
      <c r="C236" s="385" t="s">
        <v>4065</v>
      </c>
      <c r="D236" s="385" t="s">
        <v>4064</v>
      </c>
      <c r="E236" s="385">
        <v>16</v>
      </c>
      <c r="F236" s="385" t="s">
        <v>3</v>
      </c>
      <c r="G236" s="385" t="s">
        <v>795</v>
      </c>
      <c r="H236" s="385" t="s">
        <v>797</v>
      </c>
      <c r="I236" s="385" t="s">
        <v>3488</v>
      </c>
      <c r="J236" s="385" t="s">
        <v>3477</v>
      </c>
      <c r="K236" s="385" t="e">
        <f>VLOOKUP(Table13[[#This Row],[CD_FUNCAO]],'BASE_FUNCOES (hide)'!A:X,2,FALSE)</f>
        <v>#N/A</v>
      </c>
    </row>
    <row r="237" spans="1:11">
      <c r="A237" s="385">
        <v>-2</v>
      </c>
      <c r="B237" s="385" t="s">
        <v>4286</v>
      </c>
      <c r="C237" s="385" t="s">
        <v>4285</v>
      </c>
      <c r="D237" s="385" t="s">
        <v>4284</v>
      </c>
      <c r="E237" s="385">
        <v>3</v>
      </c>
      <c r="F237" s="385" t="s">
        <v>149</v>
      </c>
      <c r="G237" s="385" t="s">
        <v>468</v>
      </c>
      <c r="H237" s="385" t="s">
        <v>470</v>
      </c>
      <c r="I237" s="385" t="s">
        <v>3488</v>
      </c>
      <c r="J237" s="385" t="s">
        <v>3477</v>
      </c>
      <c r="K237" s="385" t="e">
        <f>VLOOKUP(Table13[[#This Row],[CD_FUNCAO]],'BASE_FUNCOES (hide)'!A:X,2,FALSE)</f>
        <v>#N/A</v>
      </c>
    </row>
    <row r="238" spans="1:11">
      <c r="A238" s="385">
        <v>2</v>
      </c>
      <c r="B238" s="385" t="s">
        <v>5747</v>
      </c>
      <c r="C238" s="385" t="s">
        <v>5746</v>
      </c>
      <c r="D238" s="385" t="s">
        <v>5746</v>
      </c>
      <c r="E238" s="385">
        <v>331</v>
      </c>
      <c r="F238" s="385" t="s">
        <v>3084</v>
      </c>
      <c r="G238" s="385" t="s">
        <v>1502</v>
      </c>
      <c r="H238" s="385" t="s">
        <v>1502</v>
      </c>
      <c r="I238" s="385" t="s">
        <v>3488</v>
      </c>
      <c r="J238" s="385" t="s">
        <v>3477</v>
      </c>
      <c r="K238" s="385" t="e">
        <f>VLOOKUP(Table13[[#This Row],[CD_FUNCAO]],'BASE_FUNCOES (hide)'!A:X,2,FALSE)</f>
        <v>#N/A</v>
      </c>
    </row>
    <row r="239" spans="1:11">
      <c r="A239" s="385">
        <v>3</v>
      </c>
      <c r="B239" s="385" t="s">
        <v>5251</v>
      </c>
      <c r="C239" s="385" t="s">
        <v>5250</v>
      </c>
      <c r="D239" s="385" t="s">
        <v>5249</v>
      </c>
      <c r="E239" s="385">
        <v>283</v>
      </c>
      <c r="F239" s="385" t="s">
        <v>4705</v>
      </c>
      <c r="G239" s="385" t="s">
        <v>4704</v>
      </c>
      <c r="H239" s="385" t="s">
        <v>4703</v>
      </c>
      <c r="I239" s="385" t="s">
        <v>3510</v>
      </c>
      <c r="J239" s="385" t="s">
        <v>3477</v>
      </c>
      <c r="K239" s="385" t="e">
        <f>VLOOKUP(Table13[[#This Row],[CD_FUNCAO]],'BASE_FUNCOES (hide)'!A:X,2,FALSE)</f>
        <v>#N/A</v>
      </c>
    </row>
    <row r="240" spans="1:11">
      <c r="A240" s="385">
        <v>7</v>
      </c>
      <c r="B240" s="385" t="s">
        <v>3817</v>
      </c>
      <c r="C240" s="385" t="s">
        <v>3816</v>
      </c>
      <c r="D240" s="385" t="s">
        <v>3815</v>
      </c>
      <c r="E240" s="385">
        <v>691</v>
      </c>
      <c r="F240" s="385" t="s">
        <v>3799</v>
      </c>
      <c r="I240" s="385" t="s">
        <v>3506</v>
      </c>
      <c r="J240" s="385" t="s">
        <v>3513</v>
      </c>
      <c r="K240" s="385" t="e">
        <f>VLOOKUP(Table13[[#This Row],[CD_FUNCAO]],'BASE_FUNCOES (hide)'!A:X,2,FALSE)</f>
        <v>#N/A</v>
      </c>
    </row>
    <row r="241" spans="1:11">
      <c r="A241" s="385">
        <v>8</v>
      </c>
      <c r="B241" s="385" t="s">
        <v>4517</v>
      </c>
      <c r="C241" s="385" t="s">
        <v>4516</v>
      </c>
      <c r="D241" s="385" t="s">
        <v>4515</v>
      </c>
      <c r="E241" s="385">
        <v>379</v>
      </c>
      <c r="F241" s="385" t="s">
        <v>4502</v>
      </c>
      <c r="I241" s="385" t="s">
        <v>3506</v>
      </c>
      <c r="J241" s="385" t="s">
        <v>3513</v>
      </c>
      <c r="K241" s="385" t="e">
        <f>VLOOKUP(Table13[[#This Row],[CD_FUNCAO]],'BASE_FUNCOES (hide)'!A:X,2,FALSE)</f>
        <v>#N/A</v>
      </c>
    </row>
    <row r="242" spans="1:11">
      <c r="A242" s="385">
        <v>10</v>
      </c>
      <c r="B242" s="385" t="s">
        <v>5687</v>
      </c>
      <c r="C242" s="385" t="s">
        <v>5686</v>
      </c>
      <c r="D242" s="385" t="s">
        <v>5685</v>
      </c>
      <c r="E242" s="385">
        <v>283</v>
      </c>
      <c r="F242" s="385" t="s">
        <v>4705</v>
      </c>
      <c r="G242" s="385" t="s">
        <v>4704</v>
      </c>
      <c r="H242" s="385" t="s">
        <v>4703</v>
      </c>
      <c r="I242" s="385" t="s">
        <v>3510</v>
      </c>
      <c r="J242" s="385" t="s">
        <v>3477</v>
      </c>
      <c r="K242" s="385" t="e">
        <f>VLOOKUP(Table13[[#This Row],[CD_FUNCAO]],'BASE_FUNCOES (hide)'!A:X,2,FALSE)</f>
        <v>#N/A</v>
      </c>
    </row>
    <row r="243" spans="1:11">
      <c r="A243" s="385">
        <v>11</v>
      </c>
      <c r="B243" s="385" t="s">
        <v>4826</v>
      </c>
      <c r="C243" s="385" t="s">
        <v>4825</v>
      </c>
      <c r="D243" s="385" t="s">
        <v>4824</v>
      </c>
      <c r="E243" s="385">
        <v>283</v>
      </c>
      <c r="F243" s="385" t="s">
        <v>4705</v>
      </c>
      <c r="G243" s="385" t="s">
        <v>4704</v>
      </c>
      <c r="H243" s="385" t="s">
        <v>4703</v>
      </c>
      <c r="I243" s="385" t="s">
        <v>3485</v>
      </c>
      <c r="J243" s="385" t="s">
        <v>3477</v>
      </c>
      <c r="K243" s="385" t="e">
        <f>VLOOKUP(Table13[[#This Row],[CD_FUNCAO]],'BASE_FUNCOES (hide)'!A:X,2,FALSE)</f>
        <v>#N/A</v>
      </c>
    </row>
    <row r="244" spans="1:11" hidden="1">
      <c r="A244" s="385">
        <v>20002</v>
      </c>
      <c r="B244" s="385" t="s">
        <v>408</v>
      </c>
      <c r="C244" s="385" t="s">
        <v>408</v>
      </c>
      <c r="D244" s="385" t="s">
        <v>1383</v>
      </c>
      <c r="E244" s="385">
        <v>283</v>
      </c>
      <c r="F244" s="385" t="s">
        <v>4705</v>
      </c>
      <c r="G244" s="385" t="s">
        <v>4704</v>
      </c>
      <c r="H244" s="385" t="s">
        <v>4703</v>
      </c>
      <c r="I244" s="385" t="s">
        <v>3477</v>
      </c>
      <c r="J244" s="385" t="s">
        <v>3477</v>
      </c>
      <c r="K244" s="385" t="str">
        <f>VLOOKUP(Table13[[#This Row],[CD_FUNCAO]],'BASE_FUNCOES (hide)'!A:X,2,FALSE)</f>
        <v>Xiris RIS</v>
      </c>
    </row>
    <row r="245" spans="1:11">
      <c r="A245" s="385">
        <v>12</v>
      </c>
      <c r="B245" s="385" t="s">
        <v>4735</v>
      </c>
      <c r="C245" s="385" t="s">
        <v>4734</v>
      </c>
      <c r="D245" s="385" t="s">
        <v>4733</v>
      </c>
      <c r="E245" s="385">
        <v>283</v>
      </c>
      <c r="F245" s="385" t="s">
        <v>4705</v>
      </c>
      <c r="G245" s="385" t="s">
        <v>4704</v>
      </c>
      <c r="H245" s="385" t="s">
        <v>4703</v>
      </c>
      <c r="I245" s="385" t="s">
        <v>3510</v>
      </c>
      <c r="K245" s="385" t="e">
        <f>VLOOKUP(Table13[[#This Row],[CD_FUNCAO]],'BASE_FUNCOES (hide)'!A:X,2,FALSE)</f>
        <v>#N/A</v>
      </c>
    </row>
    <row r="246" spans="1:11">
      <c r="A246" s="385">
        <v>14</v>
      </c>
      <c r="B246" s="385" t="s">
        <v>4859</v>
      </c>
      <c r="C246" s="385" t="s">
        <v>4860</v>
      </c>
      <c r="D246" s="385" t="s">
        <v>4859</v>
      </c>
      <c r="E246" s="385">
        <v>283</v>
      </c>
      <c r="F246" s="385" t="s">
        <v>4705</v>
      </c>
      <c r="G246" s="385" t="s">
        <v>4704</v>
      </c>
      <c r="H246" s="385" t="s">
        <v>4703</v>
      </c>
      <c r="I246" s="385" t="s">
        <v>3485</v>
      </c>
      <c r="J246" s="385" t="s">
        <v>3476</v>
      </c>
      <c r="K246" s="385" t="e">
        <f>VLOOKUP(Table13[[#This Row],[CD_FUNCAO]],'BASE_FUNCOES (hide)'!A:X,2,FALSE)</f>
        <v>#N/A</v>
      </c>
    </row>
    <row r="247" spans="1:11">
      <c r="A247" s="385">
        <v>16</v>
      </c>
      <c r="B247" s="385" t="s">
        <v>5504</v>
      </c>
      <c r="C247" s="385" t="s">
        <v>5503</v>
      </c>
      <c r="D247" s="385" t="s">
        <v>5502</v>
      </c>
      <c r="E247" s="385">
        <v>283</v>
      </c>
      <c r="F247" s="385" t="s">
        <v>4705</v>
      </c>
      <c r="G247" s="385" t="s">
        <v>4704</v>
      </c>
      <c r="H247" s="385" t="s">
        <v>4703</v>
      </c>
      <c r="I247" s="385" t="s">
        <v>3510</v>
      </c>
      <c r="K247" s="385" t="e">
        <f>VLOOKUP(Table13[[#This Row],[CD_FUNCAO]],'BASE_FUNCOES (hide)'!A:X,2,FALSE)</f>
        <v>#N/A</v>
      </c>
    </row>
    <row r="248" spans="1:11">
      <c r="A248" s="385">
        <v>19</v>
      </c>
      <c r="B248" s="385" t="s">
        <v>3974</v>
      </c>
      <c r="C248" s="385" t="s">
        <v>3975</v>
      </c>
      <c r="D248" s="385" t="s">
        <v>3974</v>
      </c>
      <c r="E248" s="385">
        <v>31</v>
      </c>
      <c r="F248" s="385" t="s">
        <v>245</v>
      </c>
      <c r="I248" s="385" t="s">
        <v>3485</v>
      </c>
      <c r="J248" s="385" t="s">
        <v>3476</v>
      </c>
      <c r="K248" s="385" t="e">
        <f>VLOOKUP(Table13[[#This Row],[CD_FUNCAO]],'BASE_FUNCOES (hide)'!A:X,2,FALSE)</f>
        <v>#N/A</v>
      </c>
    </row>
    <row r="249" spans="1:11">
      <c r="A249" s="385">
        <v>20</v>
      </c>
      <c r="B249" s="385" t="s">
        <v>3973</v>
      </c>
      <c r="C249" s="385" t="s">
        <v>3972</v>
      </c>
      <c r="D249" s="385" t="s">
        <v>3971</v>
      </c>
      <c r="E249" s="385">
        <v>31</v>
      </c>
      <c r="F249" s="385" t="s">
        <v>245</v>
      </c>
      <c r="I249" s="385" t="s">
        <v>3485</v>
      </c>
      <c r="J249" s="385" t="s">
        <v>3476</v>
      </c>
      <c r="K249" s="385" t="e">
        <f>VLOOKUP(Table13[[#This Row],[CD_FUNCAO]],'BASE_FUNCOES (hide)'!A:X,2,FALSE)</f>
        <v>#N/A</v>
      </c>
    </row>
    <row r="250" spans="1:11">
      <c r="A250" s="385">
        <v>21</v>
      </c>
      <c r="B250" s="385" t="s">
        <v>4711</v>
      </c>
      <c r="C250" s="385" t="s">
        <v>4710</v>
      </c>
      <c r="D250" s="385" t="s">
        <v>4709</v>
      </c>
      <c r="E250" s="385">
        <v>283</v>
      </c>
      <c r="F250" s="385" t="s">
        <v>4705</v>
      </c>
      <c r="G250" s="385" t="s">
        <v>4704</v>
      </c>
      <c r="H250" s="385" t="s">
        <v>4703</v>
      </c>
      <c r="I250" s="385" t="s">
        <v>3485</v>
      </c>
      <c r="K250" s="385" t="e">
        <f>VLOOKUP(Table13[[#This Row],[CD_FUNCAO]],'BASE_FUNCOES (hide)'!A:X,2,FALSE)</f>
        <v>#N/A</v>
      </c>
    </row>
    <row r="251" spans="1:11" hidden="1">
      <c r="A251" s="385">
        <v>-6936</v>
      </c>
      <c r="B251" s="385" t="s">
        <v>1365</v>
      </c>
      <c r="C251" s="385" t="s">
        <v>5317</v>
      </c>
      <c r="D251" s="385" t="s">
        <v>1367</v>
      </c>
      <c r="E251" s="385">
        <v>283</v>
      </c>
      <c r="F251" s="385" t="s">
        <v>4705</v>
      </c>
      <c r="G251" s="385" t="s">
        <v>4704</v>
      </c>
      <c r="H251" s="385" t="s">
        <v>4703</v>
      </c>
      <c r="I251" s="385" t="s">
        <v>3477</v>
      </c>
      <c r="J251" s="385" t="s">
        <v>3477</v>
      </c>
      <c r="K251" s="385" t="str">
        <f>VLOOKUP(Table13[[#This Row],[CD_FUNCAO]],'BASE_FUNCOES (hide)'!A:X,2,FALSE)</f>
        <v>Digitalização de documentos</v>
      </c>
    </row>
    <row r="252" spans="1:11">
      <c r="A252" s="385">
        <v>22</v>
      </c>
      <c r="B252" s="385" t="s">
        <v>4708</v>
      </c>
      <c r="C252" s="385" t="s">
        <v>4707</v>
      </c>
      <c r="D252" s="385" t="s">
        <v>4706</v>
      </c>
      <c r="E252" s="385">
        <v>283</v>
      </c>
      <c r="F252" s="385" t="s">
        <v>4705</v>
      </c>
      <c r="G252" s="385" t="s">
        <v>4704</v>
      </c>
      <c r="H252" s="385" t="s">
        <v>4703</v>
      </c>
      <c r="I252" s="385" t="s">
        <v>3485</v>
      </c>
      <c r="J252" s="385" t="s">
        <v>3476</v>
      </c>
      <c r="K252" s="385" t="e">
        <f>VLOOKUP(Table13[[#This Row],[CD_FUNCAO]],'BASE_FUNCOES (hide)'!A:X,2,FALSE)</f>
        <v>#N/A</v>
      </c>
    </row>
    <row r="253" spans="1:11">
      <c r="A253" s="385">
        <v>23</v>
      </c>
      <c r="B253" s="385" t="s">
        <v>3912</v>
      </c>
      <c r="C253" s="385" t="s">
        <v>3911</v>
      </c>
      <c r="D253" s="385" t="s">
        <v>3910</v>
      </c>
      <c r="E253" s="385">
        <v>38</v>
      </c>
      <c r="F253" s="385" t="s">
        <v>42</v>
      </c>
      <c r="I253" s="385" t="s">
        <v>3485</v>
      </c>
      <c r="J253" s="385" t="s">
        <v>3476</v>
      </c>
      <c r="K253" s="385" t="e">
        <f>VLOOKUP(Table13[[#This Row],[CD_FUNCAO]],'BASE_FUNCOES (hide)'!A:X,2,FALSE)</f>
        <v>#N/A</v>
      </c>
    </row>
    <row r="254" spans="1:11" hidden="1">
      <c r="A254" s="385">
        <v>99014</v>
      </c>
      <c r="B254" s="385" t="s">
        <v>5310</v>
      </c>
      <c r="C254" s="385" t="s">
        <v>1376</v>
      </c>
      <c r="D254" s="385" t="s">
        <v>1377</v>
      </c>
      <c r="E254" s="385">
        <v>283</v>
      </c>
      <c r="F254" s="385" t="s">
        <v>4705</v>
      </c>
      <c r="G254" s="385" t="s">
        <v>4704</v>
      </c>
      <c r="H254" s="385" t="s">
        <v>4703</v>
      </c>
      <c r="I254" s="385" t="s">
        <v>3477</v>
      </c>
      <c r="J254" s="385" t="s">
        <v>3476</v>
      </c>
      <c r="K254" s="385" t="str">
        <f>VLOOKUP(Table13[[#This Row],[CD_FUNCAO]],'BASE_FUNCOES (hide)'!A:X,2,FALSE)</f>
        <v>Gestão das OS's Pendentes</v>
      </c>
    </row>
    <row r="255" spans="1:11" hidden="1">
      <c r="A255" s="385">
        <v>10034</v>
      </c>
      <c r="B255" s="385" t="s">
        <v>350</v>
      </c>
      <c r="C255" s="385" t="s">
        <v>1368</v>
      </c>
      <c r="D255" s="385" t="s">
        <v>1369</v>
      </c>
      <c r="E255" s="385">
        <v>283</v>
      </c>
      <c r="F255" s="385" t="s">
        <v>4705</v>
      </c>
      <c r="G255" s="385" t="s">
        <v>4704</v>
      </c>
      <c r="H255" s="385" t="s">
        <v>4703</v>
      </c>
      <c r="I255" s="385" t="s">
        <v>3477</v>
      </c>
      <c r="J255" s="385" t="s">
        <v>3476</v>
      </c>
      <c r="K255" s="385" t="str">
        <f>VLOOKUP(Table13[[#This Row],[CD_FUNCAO]],'BASE_FUNCOES (hide)'!A:X,2,FALSE)</f>
        <v>Emissão de Requisições Laboratoriais</v>
      </c>
    </row>
    <row r="256" spans="1:11">
      <c r="A256" s="385">
        <v>26</v>
      </c>
      <c r="B256" s="385" t="s">
        <v>5360</v>
      </c>
      <c r="C256" s="385" t="s">
        <v>5359</v>
      </c>
      <c r="D256" s="385" t="s">
        <v>5358</v>
      </c>
      <c r="E256" s="385">
        <v>283</v>
      </c>
      <c r="F256" s="385" t="s">
        <v>4705</v>
      </c>
      <c r="G256" s="385" t="s">
        <v>4704</v>
      </c>
      <c r="H256" s="385" t="s">
        <v>4703</v>
      </c>
      <c r="I256" s="385" t="s">
        <v>3485</v>
      </c>
      <c r="J256" s="385" t="s">
        <v>3477</v>
      </c>
      <c r="K256" s="385" t="e">
        <f>VLOOKUP(Table13[[#This Row],[CD_FUNCAO]],'BASE_FUNCOES (hide)'!A:X,2,FALSE)</f>
        <v>#N/A</v>
      </c>
    </row>
    <row r="257" spans="1:11">
      <c r="A257" s="385">
        <v>29</v>
      </c>
      <c r="B257" s="385" t="s">
        <v>4053</v>
      </c>
      <c r="C257" s="385" t="s">
        <v>4052</v>
      </c>
      <c r="D257" s="385" t="s">
        <v>4051</v>
      </c>
      <c r="E257" s="385">
        <v>16</v>
      </c>
      <c r="F257" s="385" t="s">
        <v>3</v>
      </c>
      <c r="G257" s="385" t="s">
        <v>795</v>
      </c>
      <c r="H257" s="385" t="s">
        <v>797</v>
      </c>
      <c r="I257" s="385" t="s">
        <v>3485</v>
      </c>
      <c r="J257" s="385" t="s">
        <v>3476</v>
      </c>
      <c r="K257" s="385" t="e">
        <f>VLOOKUP(Table13[[#This Row],[CD_FUNCAO]],'BASE_FUNCOES (hide)'!A:X,2,FALSE)</f>
        <v>#N/A</v>
      </c>
    </row>
    <row r="258" spans="1:11" hidden="1">
      <c r="A258" s="385">
        <v>9935</v>
      </c>
      <c r="B258" s="385" t="s">
        <v>1724</v>
      </c>
      <c r="C258" s="385" t="s">
        <v>1724</v>
      </c>
      <c r="D258" s="385" t="s">
        <v>1724</v>
      </c>
      <c r="E258" s="385">
        <v>283</v>
      </c>
      <c r="F258" s="385" t="s">
        <v>4705</v>
      </c>
      <c r="G258" s="385" t="s">
        <v>4704</v>
      </c>
      <c r="H258" s="385" t="s">
        <v>4703</v>
      </c>
      <c r="I258" s="385" t="s">
        <v>3477</v>
      </c>
      <c r="J258" s="385" t="s">
        <v>3477</v>
      </c>
      <c r="K258" s="385" t="str">
        <f>VLOOKUP(Table13[[#This Row],[CD_FUNCAO]],'BASE_FUNCOES (hide)'!A:X,2,FALSE)</f>
        <v>Health Fitness Program</v>
      </c>
    </row>
    <row r="259" spans="1:11" hidden="1">
      <c r="A259" s="385">
        <v>10212</v>
      </c>
      <c r="B259" s="385" t="s">
        <v>349</v>
      </c>
      <c r="C259" s="385" t="s">
        <v>1370</v>
      </c>
      <c r="D259" s="385" t="s">
        <v>1371</v>
      </c>
      <c r="E259" s="385">
        <v>283</v>
      </c>
      <c r="F259" s="385" t="s">
        <v>4705</v>
      </c>
      <c r="G259" s="385" t="s">
        <v>4704</v>
      </c>
      <c r="H259" s="385" t="s">
        <v>4703</v>
      </c>
      <c r="I259" s="385" t="s">
        <v>3477</v>
      </c>
      <c r="J259" s="385" t="s">
        <v>3476</v>
      </c>
      <c r="K259" s="385" t="str">
        <f>VLOOKUP(Table13[[#This Row],[CD_FUNCAO]],'BASE_FUNCOES (hide)'!A:X,2,FALSE)</f>
        <v>Emissão de relatório Gestão de Exame</v>
      </c>
    </row>
    <row r="260" spans="1:11">
      <c r="A260" s="385">
        <v>30</v>
      </c>
      <c r="B260" s="385" t="s">
        <v>3909</v>
      </c>
      <c r="C260" s="385" t="s">
        <v>3908</v>
      </c>
      <c r="D260" s="385" t="s">
        <v>3907</v>
      </c>
      <c r="E260" s="385">
        <v>38</v>
      </c>
      <c r="F260" s="385" t="s">
        <v>42</v>
      </c>
      <c r="I260" s="385" t="s">
        <v>3485</v>
      </c>
      <c r="J260" s="385" t="s">
        <v>3476</v>
      </c>
      <c r="K260" s="385" t="e">
        <f>VLOOKUP(Table13[[#This Row],[CD_FUNCAO]],'BASE_FUNCOES (hide)'!A:X,2,FALSE)</f>
        <v>#N/A</v>
      </c>
    </row>
    <row r="261" spans="1:11">
      <c r="A261" s="385">
        <v>31</v>
      </c>
      <c r="B261" s="385" t="s">
        <v>4906</v>
      </c>
      <c r="C261" s="385" t="s">
        <v>2584</v>
      </c>
      <c r="D261" s="385" t="s">
        <v>4905</v>
      </c>
      <c r="E261" s="385">
        <v>283</v>
      </c>
      <c r="F261" s="385" t="s">
        <v>4705</v>
      </c>
      <c r="G261" s="385" t="s">
        <v>4704</v>
      </c>
      <c r="H261" s="385" t="s">
        <v>4703</v>
      </c>
      <c r="I261" s="385" t="s">
        <v>3485</v>
      </c>
      <c r="J261" s="385" t="s">
        <v>3476</v>
      </c>
      <c r="K261" s="385" t="e">
        <f>VLOOKUP(Table13[[#This Row],[CD_FUNCAO]],'BASE_FUNCOES (hide)'!A:X,2,FALSE)</f>
        <v>#N/A</v>
      </c>
    </row>
    <row r="262" spans="1:11">
      <c r="A262" s="385">
        <v>33</v>
      </c>
      <c r="B262" s="385" t="s">
        <v>5138</v>
      </c>
      <c r="C262" s="385" t="s">
        <v>5137</v>
      </c>
      <c r="D262" s="385" t="s">
        <v>5136</v>
      </c>
      <c r="E262" s="385">
        <v>283</v>
      </c>
      <c r="F262" s="385" t="s">
        <v>4705</v>
      </c>
      <c r="G262" s="385" t="s">
        <v>4704</v>
      </c>
      <c r="H262" s="385" t="s">
        <v>4703</v>
      </c>
      <c r="I262" s="385" t="s">
        <v>3488</v>
      </c>
      <c r="J262" s="385" t="s">
        <v>3477</v>
      </c>
      <c r="K262" s="385" t="e">
        <f>VLOOKUP(Table13[[#This Row],[CD_FUNCAO]],'BASE_FUNCOES (hide)'!A:X,2,FALSE)</f>
        <v>#N/A</v>
      </c>
    </row>
    <row r="263" spans="1:11" hidden="1">
      <c r="A263" s="385">
        <v>10211</v>
      </c>
      <c r="B263" s="385" t="s">
        <v>398</v>
      </c>
      <c r="C263" s="385" t="s">
        <v>1356</v>
      </c>
      <c r="D263" s="385" t="s">
        <v>1357</v>
      </c>
      <c r="E263" s="385">
        <v>283</v>
      </c>
      <c r="F263" s="385" t="s">
        <v>4705</v>
      </c>
      <c r="G263" s="385" t="s">
        <v>4704</v>
      </c>
      <c r="H263" s="385" t="s">
        <v>4703</v>
      </c>
      <c r="I263" s="385" t="s">
        <v>3477</v>
      </c>
      <c r="J263" s="385" t="s">
        <v>3477</v>
      </c>
      <c r="K263" s="385" t="str">
        <f>VLOOKUP(Table13[[#This Row],[CD_FUNCAO]],'BASE_FUNCOES (hide)'!A:X,2,FALSE)</f>
        <v>Questionário Eletrônico do Paciente</v>
      </c>
    </row>
    <row r="264" spans="1:11">
      <c r="A264" s="385">
        <v>35</v>
      </c>
      <c r="B264" s="385" t="s">
        <v>543</v>
      </c>
      <c r="C264" s="385" t="s">
        <v>544</v>
      </c>
      <c r="D264" s="385" t="s">
        <v>545</v>
      </c>
      <c r="E264" s="385">
        <v>283</v>
      </c>
      <c r="F264" s="385" t="s">
        <v>4705</v>
      </c>
      <c r="G264" s="385" t="s">
        <v>4704</v>
      </c>
      <c r="H264" s="385" t="s">
        <v>4703</v>
      </c>
      <c r="I264" s="385" t="s">
        <v>3510</v>
      </c>
      <c r="J264" s="385" t="s">
        <v>3477</v>
      </c>
      <c r="K264" s="385" t="e">
        <f>VLOOKUP(Table13[[#This Row],[CD_FUNCAO]],'BASE_FUNCOES (hide)'!A:X,2,FALSE)</f>
        <v>#N/A</v>
      </c>
    </row>
    <row r="265" spans="1:11" hidden="1">
      <c r="A265" s="385">
        <v>2811</v>
      </c>
      <c r="B265" s="385" t="s">
        <v>5292</v>
      </c>
      <c r="C265" s="385" t="s">
        <v>5291</v>
      </c>
      <c r="D265" s="385" t="s">
        <v>5290</v>
      </c>
      <c r="E265" s="385">
        <v>283</v>
      </c>
      <c r="F265" s="385" t="s">
        <v>4705</v>
      </c>
      <c r="G265" s="385" t="s">
        <v>4704</v>
      </c>
      <c r="H265" s="385" t="s">
        <v>4703</v>
      </c>
      <c r="I265" s="385" t="s">
        <v>3477</v>
      </c>
      <c r="J265" s="385" t="s">
        <v>3477</v>
      </c>
      <c r="K265" s="385" t="str">
        <f>VLOOKUP(Table13[[#This Row],[CD_FUNCAO]],'BASE_FUNCOES (hide)'!A:X,2,FALSE)</f>
        <v>Sumário Eletrônico do Paciente - SUEP</v>
      </c>
    </row>
    <row r="266" spans="1:11">
      <c r="A266" s="385">
        <v>37</v>
      </c>
      <c r="B266" s="385" t="s">
        <v>5245</v>
      </c>
      <c r="C266" s="385" t="s">
        <v>5244</v>
      </c>
      <c r="D266" s="385" t="s">
        <v>5244</v>
      </c>
      <c r="E266" s="385">
        <v>283</v>
      </c>
      <c r="F266" s="385" t="s">
        <v>4705</v>
      </c>
      <c r="G266" s="385" t="s">
        <v>4704</v>
      </c>
      <c r="H266" s="385" t="s">
        <v>4703</v>
      </c>
      <c r="I266" s="385" t="s">
        <v>3485</v>
      </c>
      <c r="J266" s="385" t="s">
        <v>3477</v>
      </c>
      <c r="K266" s="385" t="e">
        <f>VLOOKUP(Table13[[#This Row],[CD_FUNCAO]],'BASE_FUNCOES (hide)'!A:X,2,FALSE)</f>
        <v>#N/A</v>
      </c>
    </row>
    <row r="267" spans="1:11">
      <c r="A267" s="385">
        <v>38</v>
      </c>
      <c r="B267" s="385" t="s">
        <v>1557</v>
      </c>
      <c r="C267" s="385" t="s">
        <v>2330</v>
      </c>
      <c r="D267" s="385" t="s">
        <v>2177</v>
      </c>
      <c r="E267" s="385">
        <v>283</v>
      </c>
      <c r="F267" s="385" t="s">
        <v>4705</v>
      </c>
      <c r="G267" s="385" t="s">
        <v>4704</v>
      </c>
      <c r="H267" s="385" t="s">
        <v>4703</v>
      </c>
      <c r="I267" s="385" t="s">
        <v>3485</v>
      </c>
      <c r="J267" s="385" t="s">
        <v>3477</v>
      </c>
      <c r="K267" s="385" t="e">
        <f>VLOOKUP(Table13[[#This Row],[CD_FUNCAO]],'BASE_FUNCOES (hide)'!A:X,2,FALSE)</f>
        <v>#N/A</v>
      </c>
    </row>
    <row r="268" spans="1:11">
      <c r="A268" s="385">
        <v>39</v>
      </c>
      <c r="B268" s="385" t="s">
        <v>4372</v>
      </c>
      <c r="C268" s="385" t="s">
        <v>4371</v>
      </c>
      <c r="D268" s="385" t="s">
        <v>4370</v>
      </c>
      <c r="E268" s="385">
        <v>87</v>
      </c>
      <c r="F268" s="385" t="s">
        <v>3475</v>
      </c>
      <c r="G268" s="385" t="s">
        <v>852</v>
      </c>
      <c r="H268" s="385" t="s">
        <v>1</v>
      </c>
      <c r="I268" s="385" t="s">
        <v>3510</v>
      </c>
      <c r="J268" s="385" t="s">
        <v>3476</v>
      </c>
      <c r="K268" s="385" t="e">
        <f>VLOOKUP(Table13[[#This Row],[CD_FUNCAO]],'BASE_FUNCOES (hide)'!A:X,2,FALSE)</f>
        <v>#N/A</v>
      </c>
    </row>
    <row r="269" spans="1:11">
      <c r="A269" s="385">
        <v>41</v>
      </c>
      <c r="B269" s="385" t="s">
        <v>4904</v>
      </c>
      <c r="C269" s="385" t="s">
        <v>4903</v>
      </c>
      <c r="D269" s="385" t="s">
        <v>4902</v>
      </c>
      <c r="E269" s="385">
        <v>283</v>
      </c>
      <c r="F269" s="385" t="s">
        <v>4705</v>
      </c>
      <c r="G269" s="385" t="s">
        <v>4704</v>
      </c>
      <c r="H269" s="385" t="s">
        <v>4703</v>
      </c>
      <c r="I269" s="385" t="s">
        <v>3485</v>
      </c>
      <c r="K269" s="385" t="e">
        <f>VLOOKUP(Table13[[#This Row],[CD_FUNCAO]],'BASE_FUNCOES (hide)'!A:X,2,FALSE)</f>
        <v>#N/A</v>
      </c>
    </row>
    <row r="270" spans="1:11" hidden="1">
      <c r="A270" s="385">
        <v>108</v>
      </c>
      <c r="B270" s="385" t="s">
        <v>1709</v>
      </c>
      <c r="C270" s="385" t="s">
        <v>4008</v>
      </c>
      <c r="D270" s="385" t="s">
        <v>1711</v>
      </c>
      <c r="E270" s="385">
        <v>283</v>
      </c>
      <c r="F270" s="385" t="s">
        <v>4705</v>
      </c>
      <c r="G270" s="385" t="s">
        <v>4704</v>
      </c>
      <c r="H270" s="385" t="s">
        <v>4703</v>
      </c>
      <c r="I270" s="385" t="s">
        <v>3477</v>
      </c>
      <c r="J270" s="385" t="s">
        <v>3476</v>
      </c>
      <c r="K270" s="385" t="str">
        <f>VLOOKUP(Table13[[#This Row],[CD_FUNCAO]],'BASE_FUNCOES (hide)'!A:X,2,FALSE)</f>
        <v>Relação das cirurgias</v>
      </c>
    </row>
    <row r="271" spans="1:11">
      <c r="A271" s="385">
        <v>43</v>
      </c>
      <c r="B271" s="385" t="s">
        <v>4945</v>
      </c>
      <c r="C271" s="385" t="s">
        <v>4944</v>
      </c>
      <c r="D271" s="385" t="s">
        <v>4943</v>
      </c>
      <c r="E271" s="385">
        <v>283</v>
      </c>
      <c r="F271" s="385" t="s">
        <v>4705</v>
      </c>
      <c r="G271" s="385" t="s">
        <v>4704</v>
      </c>
      <c r="H271" s="385" t="s">
        <v>4703</v>
      </c>
      <c r="I271" s="385" t="s">
        <v>3510</v>
      </c>
      <c r="J271" s="385" t="s">
        <v>3476</v>
      </c>
      <c r="K271" s="385" t="e">
        <f>VLOOKUP(Table13[[#This Row],[CD_FUNCAO]],'BASE_FUNCOES (hide)'!A:X,2,FALSE)</f>
        <v>#N/A</v>
      </c>
    </row>
    <row r="272" spans="1:11" hidden="1">
      <c r="A272" s="385">
        <v>20003</v>
      </c>
      <c r="B272" s="385" t="s">
        <v>1423</v>
      </c>
      <c r="C272" s="385" t="s">
        <v>1423</v>
      </c>
      <c r="D272" s="385" t="s">
        <v>1423</v>
      </c>
      <c r="E272" s="385">
        <v>283</v>
      </c>
      <c r="F272" s="385" t="s">
        <v>4705</v>
      </c>
      <c r="G272" s="385" t="s">
        <v>4704</v>
      </c>
      <c r="H272" s="385" t="s">
        <v>4703</v>
      </c>
      <c r="I272" s="385" t="s">
        <v>3477</v>
      </c>
      <c r="J272" s="385" t="s">
        <v>3477</v>
      </c>
      <c r="K272" s="385" t="str">
        <f>VLOOKUP(Table13[[#This Row],[CD_FUNCAO]],'BASE_FUNCOES (hide)'!A:X,2,FALSE)</f>
        <v>ISP - Intellispace Portal</v>
      </c>
    </row>
    <row r="273" spans="1:11">
      <c r="A273" s="385">
        <v>50</v>
      </c>
      <c r="B273" s="385" t="s">
        <v>5262</v>
      </c>
      <c r="C273" s="385" t="s">
        <v>5263</v>
      </c>
      <c r="D273" s="385" t="s">
        <v>5262</v>
      </c>
      <c r="E273" s="385">
        <v>283</v>
      </c>
      <c r="F273" s="385" t="s">
        <v>4705</v>
      </c>
      <c r="G273" s="385" t="s">
        <v>4704</v>
      </c>
      <c r="H273" s="385" t="s">
        <v>4703</v>
      </c>
      <c r="I273" s="385" t="s">
        <v>3510</v>
      </c>
      <c r="J273" s="385" t="s">
        <v>3477</v>
      </c>
      <c r="K273" s="385" t="e">
        <f>VLOOKUP(Table13[[#This Row],[CD_FUNCAO]],'BASE_FUNCOES (hide)'!A:X,2,FALSE)</f>
        <v>#N/A</v>
      </c>
    </row>
    <row r="274" spans="1:11" hidden="1">
      <c r="A274" s="385">
        <v>114</v>
      </c>
      <c r="B274" s="385" t="s">
        <v>5282</v>
      </c>
      <c r="C274" s="385" t="s">
        <v>1707</v>
      </c>
      <c r="D274" s="385" t="s">
        <v>4270</v>
      </c>
      <c r="E274" s="385">
        <v>283</v>
      </c>
      <c r="F274" s="385" t="s">
        <v>4705</v>
      </c>
      <c r="G274" s="385" t="s">
        <v>4704</v>
      </c>
      <c r="H274" s="385" t="s">
        <v>4703</v>
      </c>
      <c r="I274" s="385" t="s">
        <v>3477</v>
      </c>
      <c r="J274" s="385" t="s">
        <v>3477</v>
      </c>
      <c r="K274" s="385" t="str">
        <f>VLOOKUP(Table13[[#This Row],[CD_FUNCAO]],'BASE_FUNCOES (hide)'!A:X,2,FALSE)</f>
        <v>Rel Saldo de Estoque</v>
      </c>
    </row>
    <row r="275" spans="1:11" hidden="1">
      <c r="A275" s="385">
        <v>115</v>
      </c>
      <c r="B275" s="385" t="s">
        <v>5281</v>
      </c>
      <c r="C275" s="385" t="s">
        <v>5280</v>
      </c>
      <c r="D275" s="385" t="s">
        <v>5279</v>
      </c>
      <c r="E275" s="385">
        <v>283</v>
      </c>
      <c r="F275" s="385" t="s">
        <v>4705</v>
      </c>
      <c r="G275" s="385" t="s">
        <v>4704</v>
      </c>
      <c r="H275" s="385" t="s">
        <v>4703</v>
      </c>
      <c r="I275" s="385" t="s">
        <v>3477</v>
      </c>
      <c r="J275" s="385" t="s">
        <v>3477</v>
      </c>
      <c r="K275" s="385" t="str">
        <f>VLOOKUP(Table13[[#This Row],[CD_FUNCAO]],'BASE_FUNCOES (hide)'!A:X,2,FALSE)</f>
        <v>Rel Notas Digitadas</v>
      </c>
    </row>
    <row r="276" spans="1:11" hidden="1">
      <c r="A276" s="385">
        <v>117</v>
      </c>
      <c r="B276" s="385" t="s">
        <v>5278</v>
      </c>
      <c r="C276" s="385" t="s">
        <v>1701</v>
      </c>
      <c r="D276" s="385" t="s">
        <v>4216</v>
      </c>
      <c r="E276" s="385">
        <v>283</v>
      </c>
      <c r="F276" s="385" t="s">
        <v>4705</v>
      </c>
      <c r="G276" s="385" t="s">
        <v>4704</v>
      </c>
      <c r="H276" s="385" t="s">
        <v>4703</v>
      </c>
      <c r="I276" s="385" t="s">
        <v>3477</v>
      </c>
      <c r="J276" s="385" t="s">
        <v>3477</v>
      </c>
      <c r="K276" s="385" t="str">
        <f>VLOOKUP(Table13[[#This Row],[CD_FUNCAO]],'BASE_FUNCOES (hide)'!A:X,2,FALSE)</f>
        <v>Rel Compras por Fornecedor</v>
      </c>
    </row>
    <row r="277" spans="1:11" hidden="1">
      <c r="A277" s="385">
        <v>118</v>
      </c>
      <c r="B277" s="385" t="s">
        <v>1697</v>
      </c>
      <c r="C277" s="385" t="s">
        <v>1698</v>
      </c>
      <c r="D277" s="385" t="s">
        <v>1699</v>
      </c>
      <c r="E277" s="385">
        <v>283</v>
      </c>
      <c r="F277" s="385" t="s">
        <v>4705</v>
      </c>
      <c r="G277" s="385" t="s">
        <v>4704</v>
      </c>
      <c r="H277" s="385" t="s">
        <v>4703</v>
      </c>
      <c r="I277" s="385" t="s">
        <v>3477</v>
      </c>
      <c r="J277" s="385" t="s">
        <v>3477</v>
      </c>
      <c r="K277" s="385" t="str">
        <f>VLOOKUP(Table13[[#This Row],[CD_FUNCAO]],'BASE_FUNCOES (hide)'!A:X,2,FALSE)</f>
        <v>Rel. Razão de Estoque Consignado</v>
      </c>
    </row>
    <row r="278" spans="1:11" hidden="1">
      <c r="A278" s="385">
        <v>129</v>
      </c>
      <c r="B278" s="385" t="s">
        <v>5277</v>
      </c>
      <c r="C278" s="385" t="s">
        <v>1695</v>
      </c>
      <c r="D278" s="385" t="s">
        <v>4276</v>
      </c>
      <c r="E278" s="385">
        <v>283</v>
      </c>
      <c r="F278" s="385" t="s">
        <v>4705</v>
      </c>
      <c r="G278" s="385" t="s">
        <v>4704</v>
      </c>
      <c r="H278" s="385" t="s">
        <v>4703</v>
      </c>
      <c r="I278" s="385" t="s">
        <v>3477</v>
      </c>
      <c r="J278" s="385" t="s">
        <v>3477</v>
      </c>
      <c r="K278" s="385" t="str">
        <f>VLOOKUP(Table13[[#This Row],[CD_FUNCAO]],'BASE_FUNCOES (hide)'!A:X,2,FALSE)</f>
        <v>Rel. de Inventário</v>
      </c>
    </row>
    <row r="279" spans="1:11">
      <c r="A279" s="385">
        <v>51</v>
      </c>
      <c r="B279" s="385" t="s">
        <v>5243</v>
      </c>
      <c r="C279" s="385" t="s">
        <v>5243</v>
      </c>
      <c r="D279" s="385" t="s">
        <v>5243</v>
      </c>
      <c r="E279" s="385">
        <v>283</v>
      </c>
      <c r="F279" s="385" t="s">
        <v>4705</v>
      </c>
      <c r="G279" s="385" t="s">
        <v>4704</v>
      </c>
      <c r="H279" s="385" t="s">
        <v>4703</v>
      </c>
      <c r="I279" s="385" t="s">
        <v>3485</v>
      </c>
      <c r="J279" s="385" t="s">
        <v>3477</v>
      </c>
      <c r="K279" s="385" t="e">
        <f>VLOOKUP(Table13[[#This Row],[CD_FUNCAO]],'BASE_FUNCOES (hide)'!A:X,2,FALSE)</f>
        <v>#N/A</v>
      </c>
    </row>
    <row r="280" spans="1:11">
      <c r="A280" s="385">
        <v>52</v>
      </c>
      <c r="B280" s="385" t="s">
        <v>4948</v>
      </c>
      <c r="C280" s="385" t="s">
        <v>4947</v>
      </c>
      <c r="D280" s="385" t="s">
        <v>4946</v>
      </c>
      <c r="E280" s="385">
        <v>283</v>
      </c>
      <c r="F280" s="385" t="s">
        <v>4705</v>
      </c>
      <c r="G280" s="385" t="s">
        <v>4704</v>
      </c>
      <c r="H280" s="385" t="s">
        <v>4703</v>
      </c>
      <c r="I280" s="385" t="s">
        <v>3485</v>
      </c>
      <c r="J280" s="385" t="s">
        <v>3476</v>
      </c>
      <c r="K280" s="385" t="e">
        <f>VLOOKUP(Table13[[#This Row],[CD_FUNCAO]],'BASE_FUNCOES (hide)'!A:X,2,FALSE)</f>
        <v>#N/A</v>
      </c>
    </row>
    <row r="281" spans="1:11" hidden="1">
      <c r="A281" s="385">
        <v>99020</v>
      </c>
      <c r="B281" s="385" t="s">
        <v>1389</v>
      </c>
      <c r="C281" s="385" t="s">
        <v>1390</v>
      </c>
      <c r="D281" s="385" t="s">
        <v>1391</v>
      </c>
      <c r="E281" s="385">
        <v>283</v>
      </c>
      <c r="F281" s="385" t="s">
        <v>4705</v>
      </c>
      <c r="G281" s="385" t="s">
        <v>4704</v>
      </c>
      <c r="H281" s="385" t="s">
        <v>4703</v>
      </c>
      <c r="I281" s="385" t="s">
        <v>3477</v>
      </c>
      <c r="J281" s="385" t="s">
        <v>3477</v>
      </c>
      <c r="K281" s="385" t="str">
        <f>VLOOKUP(Table13[[#This Row],[CD_FUNCAO]],'BASE_FUNCOES (hide)'!A:X,2,FALSE)</f>
        <v>Conferência de exames da prescrição</v>
      </c>
    </row>
    <row r="282" spans="1:11">
      <c r="A282" s="385">
        <v>54</v>
      </c>
      <c r="B282" s="385" t="s">
        <v>5242</v>
      </c>
      <c r="C282" s="385" t="s">
        <v>5242</v>
      </c>
      <c r="D282" s="385" t="s">
        <v>5241</v>
      </c>
      <c r="E282" s="385">
        <v>283</v>
      </c>
      <c r="F282" s="385" t="s">
        <v>4705</v>
      </c>
      <c r="G282" s="385" t="s">
        <v>4704</v>
      </c>
      <c r="H282" s="385" t="s">
        <v>4703</v>
      </c>
      <c r="I282" s="385" t="s">
        <v>3485</v>
      </c>
      <c r="J282" s="385" t="s">
        <v>3477</v>
      </c>
      <c r="K282" s="385" t="e">
        <f>VLOOKUP(Table13[[#This Row],[CD_FUNCAO]],'BASE_FUNCOES (hide)'!A:X,2,FALSE)</f>
        <v>#N/A</v>
      </c>
    </row>
    <row r="283" spans="1:11">
      <c r="A283" s="385">
        <v>55</v>
      </c>
      <c r="B283" s="385" t="s">
        <v>5240</v>
      </c>
      <c r="C283" s="385" t="s">
        <v>5240</v>
      </c>
      <c r="D283" s="385" t="s">
        <v>5240</v>
      </c>
      <c r="E283" s="385">
        <v>283</v>
      </c>
      <c r="F283" s="385" t="s">
        <v>4705</v>
      </c>
      <c r="G283" s="385" t="s">
        <v>4704</v>
      </c>
      <c r="H283" s="385" t="s">
        <v>4703</v>
      </c>
      <c r="I283" s="385" t="s">
        <v>3485</v>
      </c>
      <c r="J283" s="385" t="s">
        <v>3477</v>
      </c>
      <c r="K283" s="385" t="e">
        <f>VLOOKUP(Table13[[#This Row],[CD_FUNCAO]],'BASE_FUNCOES (hide)'!A:X,2,FALSE)</f>
        <v>#N/A</v>
      </c>
    </row>
    <row r="284" spans="1:11">
      <c r="A284" s="385">
        <v>59</v>
      </c>
      <c r="B284" s="385" t="s">
        <v>4714</v>
      </c>
      <c r="C284" s="385" t="s">
        <v>4713</v>
      </c>
      <c r="D284" s="385" t="s">
        <v>4712</v>
      </c>
      <c r="E284" s="385">
        <v>283</v>
      </c>
      <c r="F284" s="385" t="s">
        <v>4705</v>
      </c>
      <c r="G284" s="385" t="s">
        <v>4704</v>
      </c>
      <c r="H284" s="385" t="s">
        <v>4703</v>
      </c>
      <c r="I284" s="385" t="s">
        <v>3485</v>
      </c>
      <c r="J284" s="385" t="s">
        <v>3476</v>
      </c>
      <c r="K284" s="385" t="e">
        <f>VLOOKUP(Table13[[#This Row],[CD_FUNCAO]],'BASE_FUNCOES (hide)'!A:X,2,FALSE)</f>
        <v>#N/A</v>
      </c>
    </row>
    <row r="285" spans="1:11">
      <c r="A285" s="385">
        <v>60</v>
      </c>
      <c r="B285" s="385" t="s">
        <v>3648</v>
      </c>
      <c r="C285" s="385" t="s">
        <v>3647</v>
      </c>
      <c r="D285" s="385" t="s">
        <v>3646</v>
      </c>
      <c r="E285" s="385">
        <v>511</v>
      </c>
      <c r="F285" s="385" t="s">
        <v>429</v>
      </c>
      <c r="G285" s="385" t="s">
        <v>1526</v>
      </c>
      <c r="H285" s="385" t="s">
        <v>1528</v>
      </c>
      <c r="I285" s="385" t="s">
        <v>3485</v>
      </c>
      <c r="K285" s="385" t="e">
        <f>VLOOKUP(Table13[[#This Row],[CD_FUNCAO]],'BASE_FUNCOES (hide)'!A:X,2,FALSE)</f>
        <v>#N/A</v>
      </c>
    </row>
    <row r="286" spans="1:11">
      <c r="A286" s="385">
        <v>64</v>
      </c>
      <c r="B286" s="385" t="s">
        <v>1557</v>
      </c>
      <c r="C286" s="385" t="s">
        <v>2330</v>
      </c>
      <c r="D286" s="385" t="s">
        <v>2177</v>
      </c>
      <c r="E286" s="385">
        <v>283</v>
      </c>
      <c r="F286" s="385" t="s">
        <v>4705</v>
      </c>
      <c r="G286" s="385" t="s">
        <v>4704</v>
      </c>
      <c r="H286" s="385" t="s">
        <v>4703</v>
      </c>
      <c r="I286" s="385" t="s">
        <v>3485</v>
      </c>
      <c r="J286" s="385" t="s">
        <v>3477</v>
      </c>
      <c r="K286" s="385" t="e">
        <f>VLOOKUP(Table13[[#This Row],[CD_FUNCAO]],'BASE_FUNCOES (hide)'!A:X,2,FALSE)</f>
        <v>#N/A</v>
      </c>
    </row>
    <row r="287" spans="1:11">
      <c r="A287" s="385">
        <v>68</v>
      </c>
      <c r="B287" s="385" t="s">
        <v>4310</v>
      </c>
      <c r="C287" s="385" t="s">
        <v>4309</v>
      </c>
      <c r="D287" s="385" t="s">
        <v>4308</v>
      </c>
      <c r="E287" s="385">
        <v>102</v>
      </c>
      <c r="F287" s="385" t="s">
        <v>21</v>
      </c>
      <c r="I287" s="385" t="s">
        <v>3485</v>
      </c>
      <c r="J287" s="385" t="s">
        <v>3476</v>
      </c>
      <c r="K287" s="385" t="e">
        <f>VLOOKUP(Table13[[#This Row],[CD_FUNCAO]],'BASE_FUNCOES (hide)'!A:X,2,FALSE)</f>
        <v>#N/A</v>
      </c>
    </row>
    <row r="288" spans="1:11">
      <c r="A288" s="385">
        <v>70</v>
      </c>
      <c r="B288" s="385" t="s">
        <v>1557</v>
      </c>
      <c r="C288" s="385" t="s">
        <v>2330</v>
      </c>
      <c r="D288" s="385" t="s">
        <v>2177</v>
      </c>
      <c r="E288" s="385">
        <v>283</v>
      </c>
      <c r="F288" s="385" t="s">
        <v>4705</v>
      </c>
      <c r="G288" s="385" t="s">
        <v>4704</v>
      </c>
      <c r="H288" s="385" t="s">
        <v>4703</v>
      </c>
      <c r="I288" s="385" t="s">
        <v>3485</v>
      </c>
      <c r="J288" s="385" t="s">
        <v>3477</v>
      </c>
      <c r="K288" s="385" t="e">
        <f>VLOOKUP(Table13[[#This Row],[CD_FUNCAO]],'BASE_FUNCOES (hide)'!A:X,2,FALSE)</f>
        <v>#N/A</v>
      </c>
    </row>
    <row r="289" spans="1:11" hidden="1">
      <c r="A289" s="385">
        <v>10230</v>
      </c>
      <c r="B289" s="385" t="s">
        <v>401</v>
      </c>
      <c r="C289" s="385" t="s">
        <v>1358</v>
      </c>
      <c r="D289" s="385" t="s">
        <v>5255</v>
      </c>
      <c r="E289" s="385">
        <v>283</v>
      </c>
      <c r="F289" s="385" t="s">
        <v>4705</v>
      </c>
      <c r="G289" s="385" t="s">
        <v>4704</v>
      </c>
      <c r="H289" s="385" t="s">
        <v>4703</v>
      </c>
      <c r="I289" s="385" t="s">
        <v>3477</v>
      </c>
      <c r="J289" s="385" t="s">
        <v>3477</v>
      </c>
      <c r="K289" s="385" t="str">
        <f>VLOOKUP(Table13[[#This Row],[CD_FUNCAO]],'BASE_FUNCOES (hide)'!A:X,2,FALSE)</f>
        <v>Regulação de atendimentos</v>
      </c>
    </row>
    <row r="290" spans="1:11" hidden="1">
      <c r="A290" s="385">
        <v>10250</v>
      </c>
      <c r="B290" s="385" t="s">
        <v>1718</v>
      </c>
      <c r="C290" s="385" t="s">
        <v>1719</v>
      </c>
      <c r="D290" s="385" t="s">
        <v>4259</v>
      </c>
      <c r="E290" s="385">
        <v>283</v>
      </c>
      <c r="F290" s="385" t="s">
        <v>4705</v>
      </c>
      <c r="G290" s="385" t="s">
        <v>4704</v>
      </c>
      <c r="H290" s="385" t="s">
        <v>4703</v>
      </c>
      <c r="I290" s="385" t="s">
        <v>3477</v>
      </c>
      <c r="J290" s="385" t="s">
        <v>3476</v>
      </c>
      <c r="K290" s="385" t="str">
        <f>VLOOKUP(Table13[[#This Row],[CD_FUNCAO]],'BASE_FUNCOES (hide)'!A:X,2,FALSE)</f>
        <v>Rel Atendimentos</v>
      </c>
    </row>
    <row r="291" spans="1:11">
      <c r="A291" s="385">
        <v>71</v>
      </c>
      <c r="B291" s="385" t="s">
        <v>1557</v>
      </c>
      <c r="C291" s="385" t="s">
        <v>2330</v>
      </c>
      <c r="D291" s="385" t="s">
        <v>2177</v>
      </c>
      <c r="E291" s="385">
        <v>283</v>
      </c>
      <c r="F291" s="385" t="s">
        <v>4705</v>
      </c>
      <c r="G291" s="385" t="s">
        <v>4704</v>
      </c>
      <c r="H291" s="385" t="s">
        <v>4703</v>
      </c>
      <c r="I291" s="385" t="s">
        <v>3485</v>
      </c>
      <c r="J291" s="385" t="s">
        <v>3477</v>
      </c>
      <c r="K291" s="385" t="e">
        <f>VLOOKUP(Table13[[#This Row],[CD_FUNCAO]],'BASE_FUNCOES (hide)'!A:X,2,FALSE)</f>
        <v>#N/A</v>
      </c>
    </row>
    <row r="292" spans="1:11" hidden="1">
      <c r="A292" s="385">
        <v>57</v>
      </c>
      <c r="B292" s="385" t="s">
        <v>1208</v>
      </c>
      <c r="C292" s="385" t="s">
        <v>1209</v>
      </c>
      <c r="D292" s="385" t="s">
        <v>1210</v>
      </c>
      <c r="E292" s="385">
        <v>283</v>
      </c>
      <c r="F292" s="385" t="s">
        <v>4705</v>
      </c>
      <c r="G292" s="385" t="s">
        <v>4704</v>
      </c>
      <c r="H292" s="385" t="s">
        <v>4703</v>
      </c>
      <c r="I292" s="385" t="s">
        <v>3477</v>
      </c>
      <c r="J292" s="385" t="s">
        <v>3476</v>
      </c>
      <c r="K292" s="385" t="str">
        <f>VLOOKUP(Table13[[#This Row],[CD_FUNCAO]],'BASE_FUNCOES (hide)'!A:X,2,FALSE)</f>
        <v>Cadastros de Enfermagem</v>
      </c>
    </row>
    <row r="293" spans="1:11">
      <c r="A293" s="385">
        <v>73</v>
      </c>
      <c r="B293" s="385" t="s">
        <v>5708</v>
      </c>
      <c r="C293" s="385" t="s">
        <v>5707</v>
      </c>
      <c r="D293" s="385" t="s">
        <v>5706</v>
      </c>
      <c r="E293" s="385">
        <v>283</v>
      </c>
      <c r="F293" s="385" t="s">
        <v>4705</v>
      </c>
      <c r="G293" s="385" t="s">
        <v>4704</v>
      </c>
      <c r="H293" s="385" t="s">
        <v>4703</v>
      </c>
      <c r="I293" s="385" t="s">
        <v>3510</v>
      </c>
      <c r="J293" s="385" t="s">
        <v>3476</v>
      </c>
      <c r="K293" s="385" t="e">
        <f>VLOOKUP(Table13[[#This Row],[CD_FUNCAO]],'BASE_FUNCOES (hide)'!A:X,2,FALSE)</f>
        <v>#N/A</v>
      </c>
    </row>
    <row r="294" spans="1:11">
      <c r="A294" s="385">
        <v>74</v>
      </c>
      <c r="B294" s="385" t="s">
        <v>5254</v>
      </c>
      <c r="C294" s="385" t="s">
        <v>5253</v>
      </c>
      <c r="D294" s="385" t="s">
        <v>5252</v>
      </c>
      <c r="E294" s="385">
        <v>283</v>
      </c>
      <c r="F294" s="385" t="s">
        <v>4705</v>
      </c>
      <c r="G294" s="385" t="s">
        <v>4704</v>
      </c>
      <c r="H294" s="385" t="s">
        <v>4703</v>
      </c>
      <c r="I294" s="385" t="s">
        <v>3510</v>
      </c>
      <c r="J294" s="385" t="s">
        <v>3477</v>
      </c>
      <c r="K294" s="385" t="e">
        <f>VLOOKUP(Table13[[#This Row],[CD_FUNCAO]],'BASE_FUNCOES (hide)'!A:X,2,FALSE)</f>
        <v>#N/A</v>
      </c>
    </row>
    <row r="295" spans="1:11">
      <c r="A295" s="385">
        <v>76</v>
      </c>
      <c r="B295" s="385" t="s">
        <v>5236</v>
      </c>
      <c r="C295" s="385" t="s">
        <v>5236</v>
      </c>
      <c r="D295" s="385" t="s">
        <v>5236</v>
      </c>
      <c r="E295" s="385">
        <v>283</v>
      </c>
      <c r="F295" s="385" t="s">
        <v>4705</v>
      </c>
      <c r="G295" s="385" t="s">
        <v>4704</v>
      </c>
      <c r="H295" s="385" t="s">
        <v>4703</v>
      </c>
      <c r="I295" s="385" t="s">
        <v>3510</v>
      </c>
      <c r="J295" s="385" t="s">
        <v>3477</v>
      </c>
      <c r="K295" s="385" t="e">
        <f>VLOOKUP(Table13[[#This Row],[CD_FUNCAO]],'BASE_FUNCOES (hide)'!A:X,2,FALSE)</f>
        <v>#N/A</v>
      </c>
    </row>
    <row r="296" spans="1:11">
      <c r="A296" s="385">
        <v>78</v>
      </c>
      <c r="B296" s="385" t="s">
        <v>3720</v>
      </c>
      <c r="C296" s="385" t="s">
        <v>3719</v>
      </c>
      <c r="D296" s="385" t="s">
        <v>3719</v>
      </c>
      <c r="E296" s="385">
        <v>835</v>
      </c>
      <c r="F296" s="385" t="s">
        <v>3714</v>
      </c>
      <c r="I296" s="385" t="s">
        <v>3477</v>
      </c>
      <c r="J296" s="385" t="s">
        <v>3513</v>
      </c>
      <c r="K296" s="385" t="str">
        <f>VLOOKUP(Table13[[#This Row],[CD_FUNCAO]],'BASE_FUNCOES (hide)'!A:X,2,FALSE)</f>
        <v>OPS - Fatura de Uso Geral (A580)</v>
      </c>
    </row>
    <row r="297" spans="1:11" hidden="1">
      <c r="A297" s="385">
        <v>10251</v>
      </c>
      <c r="B297" s="385" t="s">
        <v>1721</v>
      </c>
      <c r="C297" s="385" t="s">
        <v>1722</v>
      </c>
      <c r="D297" s="385" t="s">
        <v>1723</v>
      </c>
      <c r="E297" s="385">
        <v>283</v>
      </c>
      <c r="F297" s="385" t="s">
        <v>4705</v>
      </c>
      <c r="G297" s="385" t="s">
        <v>4704</v>
      </c>
      <c r="H297" s="385" t="s">
        <v>4703</v>
      </c>
      <c r="I297" s="385" t="s">
        <v>3477</v>
      </c>
      <c r="J297" s="385" t="s">
        <v>3476</v>
      </c>
      <c r="K297" s="385" t="str">
        <f>VLOOKUP(Table13[[#This Row],[CD_FUNCAO]],'BASE_FUNCOES (hide)'!A:X,2,FALSE)</f>
        <v>Rel Atendimento Setor</v>
      </c>
    </row>
    <row r="298" spans="1:11">
      <c r="A298" s="385">
        <v>81</v>
      </c>
      <c r="B298" s="385" t="s">
        <v>4230</v>
      </c>
      <c r="C298" s="385" t="s">
        <v>4229</v>
      </c>
      <c r="D298" s="385" t="s">
        <v>4228</v>
      </c>
      <c r="E298" s="385">
        <v>6</v>
      </c>
      <c r="F298" s="385" t="s">
        <v>58</v>
      </c>
      <c r="I298" s="385" t="s">
        <v>3485</v>
      </c>
      <c r="J298" s="385" t="s">
        <v>3476</v>
      </c>
      <c r="K298" s="385" t="e">
        <f>VLOOKUP(Table13[[#This Row],[CD_FUNCAO]],'BASE_FUNCOES (hide)'!A:X,2,FALSE)</f>
        <v>#N/A</v>
      </c>
    </row>
    <row r="299" spans="1:11" hidden="1">
      <c r="A299" s="385">
        <v>10207</v>
      </c>
      <c r="B299" s="385" t="s">
        <v>1386</v>
      </c>
      <c r="C299" s="385" t="s">
        <v>1387</v>
      </c>
      <c r="D299" s="385" t="s">
        <v>1388</v>
      </c>
      <c r="E299" s="385">
        <v>283</v>
      </c>
      <c r="F299" s="385" t="s">
        <v>4705</v>
      </c>
      <c r="G299" s="385" t="s">
        <v>4704</v>
      </c>
      <c r="H299" s="385" t="s">
        <v>4703</v>
      </c>
      <c r="I299" s="385" t="s">
        <v>3477</v>
      </c>
      <c r="J299" s="385" t="s">
        <v>3476</v>
      </c>
      <c r="K299" s="385" t="str">
        <f>VLOOKUP(Table13[[#This Row],[CD_FUNCAO]],'BASE_FUNCOES (hide)'!A:X,2,FALSE)</f>
        <v>Digitação e Aprovação de Resultados de Exames Laboratoriais</v>
      </c>
    </row>
    <row r="300" spans="1:11">
      <c r="A300" s="385">
        <v>93</v>
      </c>
      <c r="B300" s="385" t="s">
        <v>129</v>
      </c>
      <c r="C300" s="385" t="s">
        <v>723</v>
      </c>
      <c r="D300" s="385" t="s">
        <v>724</v>
      </c>
      <c r="E300" s="385">
        <v>283</v>
      </c>
      <c r="F300" s="385" t="s">
        <v>4705</v>
      </c>
      <c r="G300" s="385" t="s">
        <v>4704</v>
      </c>
      <c r="H300" s="385" t="s">
        <v>4703</v>
      </c>
      <c r="I300" s="385" t="s">
        <v>3510</v>
      </c>
      <c r="J300" s="385" t="s">
        <v>3476</v>
      </c>
      <c r="K300" s="385" t="e">
        <f>VLOOKUP(Table13[[#This Row],[CD_FUNCAO]],'BASE_FUNCOES (hide)'!A:X,2,FALSE)</f>
        <v>#N/A</v>
      </c>
    </row>
    <row r="301" spans="1:11">
      <c r="A301" s="385">
        <v>95</v>
      </c>
      <c r="B301" s="385" t="s">
        <v>4174</v>
      </c>
      <c r="C301" s="385" t="s">
        <v>4175</v>
      </c>
      <c r="D301" s="385" t="s">
        <v>4174</v>
      </c>
      <c r="E301" s="385">
        <v>9</v>
      </c>
      <c r="F301" s="385" t="s">
        <v>0</v>
      </c>
      <c r="I301" s="385" t="s">
        <v>3485</v>
      </c>
      <c r="J301" s="385" t="s">
        <v>3476</v>
      </c>
      <c r="K301" s="385" t="e">
        <f>VLOOKUP(Table13[[#This Row],[CD_FUNCAO]],'BASE_FUNCOES (hide)'!A:X,2,FALSE)</f>
        <v>#N/A</v>
      </c>
    </row>
    <row r="302" spans="1:11">
      <c r="A302" s="385">
        <v>98</v>
      </c>
      <c r="B302" s="385" t="s">
        <v>4160</v>
      </c>
      <c r="C302" s="385" t="s">
        <v>4159</v>
      </c>
      <c r="D302" s="385" t="s">
        <v>4158</v>
      </c>
      <c r="E302" s="385">
        <v>10</v>
      </c>
      <c r="F302" s="385" t="s">
        <v>213</v>
      </c>
      <c r="I302" s="385" t="s">
        <v>3485</v>
      </c>
      <c r="J302" s="385" t="s">
        <v>3476</v>
      </c>
      <c r="K302" s="385" t="e">
        <f>VLOOKUP(Table13[[#This Row],[CD_FUNCAO]],'BASE_FUNCOES (hide)'!A:X,2,FALSE)</f>
        <v>#N/A</v>
      </c>
    </row>
    <row r="303" spans="1:11">
      <c r="A303" s="385">
        <v>99</v>
      </c>
      <c r="B303" s="385" t="s">
        <v>3915</v>
      </c>
      <c r="C303" s="385" t="s">
        <v>3914</v>
      </c>
      <c r="D303" s="385" t="s">
        <v>3913</v>
      </c>
      <c r="E303" s="385">
        <v>38</v>
      </c>
      <c r="F303" s="385" t="s">
        <v>42</v>
      </c>
      <c r="I303" s="385" t="s">
        <v>3485</v>
      </c>
      <c r="K303" s="385" t="e">
        <f>VLOOKUP(Table13[[#This Row],[CD_FUNCAO]],'BASE_FUNCOES (hide)'!A:X,2,FALSE)</f>
        <v>#N/A</v>
      </c>
    </row>
    <row r="304" spans="1:11">
      <c r="A304" s="385">
        <v>102</v>
      </c>
      <c r="B304" s="385" t="s">
        <v>5285</v>
      </c>
      <c r="C304" s="385" t="s">
        <v>5285</v>
      </c>
      <c r="D304" s="385" t="s">
        <v>5285</v>
      </c>
      <c r="E304" s="385">
        <v>283</v>
      </c>
      <c r="F304" s="385" t="s">
        <v>4705</v>
      </c>
      <c r="G304" s="385" t="s">
        <v>4704</v>
      </c>
      <c r="H304" s="385" t="s">
        <v>4703</v>
      </c>
      <c r="I304" s="385" t="s">
        <v>3510</v>
      </c>
      <c r="J304" s="385" t="s">
        <v>3477</v>
      </c>
      <c r="K304" s="385" t="e">
        <f>VLOOKUP(Table13[[#This Row],[CD_FUNCAO]],'BASE_FUNCOES (hide)'!A:X,2,FALSE)</f>
        <v>#N/A</v>
      </c>
    </row>
    <row r="305" spans="1:11">
      <c r="A305" s="385">
        <v>107</v>
      </c>
      <c r="B305" s="385" t="s">
        <v>4558</v>
      </c>
      <c r="C305" s="385" t="s">
        <v>4557</v>
      </c>
      <c r="D305" s="385" t="s">
        <v>4557</v>
      </c>
      <c r="E305" s="385">
        <v>377</v>
      </c>
      <c r="F305" s="385" t="s">
        <v>4538</v>
      </c>
      <c r="I305" s="385" t="s">
        <v>3477</v>
      </c>
      <c r="J305" s="385" t="s">
        <v>3513</v>
      </c>
      <c r="K305" s="385" t="str">
        <f>VLOOKUP(Table13[[#This Row],[CD_FUNCAO]],'BASE_FUNCOES (hide)'!A:X,2,FALSE)</f>
        <v>OPS - Pagamentos de Prestadores</v>
      </c>
    </row>
    <row r="306" spans="1:11">
      <c r="A306" s="385">
        <v>110</v>
      </c>
      <c r="B306" s="385" t="s">
        <v>4436</v>
      </c>
      <c r="C306" s="385" t="s">
        <v>4437</v>
      </c>
      <c r="D306" s="385" t="s">
        <v>4436</v>
      </c>
      <c r="E306" s="385">
        <v>381</v>
      </c>
      <c r="F306" s="385" t="s">
        <v>4377</v>
      </c>
      <c r="I306" s="385" t="s">
        <v>3477</v>
      </c>
      <c r="J306" s="385" t="s">
        <v>3513</v>
      </c>
      <c r="K306" s="385" t="str">
        <f>VLOOKUP(Table13[[#This Row],[CD_FUNCAO]],'BASE_FUNCOES (hide)'!A:X,2,FALSE)</f>
        <v>OPS - Portal Web</v>
      </c>
    </row>
    <row r="307" spans="1:11">
      <c r="A307" s="385">
        <v>111</v>
      </c>
      <c r="B307" s="385" t="s">
        <v>5284</v>
      </c>
      <c r="C307" s="385" t="s">
        <v>5284</v>
      </c>
      <c r="D307" s="385" t="s">
        <v>5284</v>
      </c>
      <c r="E307" s="385">
        <v>283</v>
      </c>
      <c r="F307" s="385" t="s">
        <v>4705</v>
      </c>
      <c r="G307" s="385" t="s">
        <v>4704</v>
      </c>
      <c r="H307" s="385" t="s">
        <v>4703</v>
      </c>
      <c r="I307" s="385" t="s">
        <v>3485</v>
      </c>
      <c r="J307" s="385" t="s">
        <v>3477</v>
      </c>
      <c r="K307" s="385" t="e">
        <f>VLOOKUP(Table13[[#This Row],[CD_FUNCAO]],'BASE_FUNCOES (hide)'!A:X,2,FALSE)</f>
        <v>#N/A</v>
      </c>
    </row>
    <row r="308" spans="1:11">
      <c r="A308" s="385">
        <v>112</v>
      </c>
      <c r="B308" s="385" t="s">
        <v>4273</v>
      </c>
      <c r="C308" s="385" t="s">
        <v>4272</v>
      </c>
      <c r="D308" s="385" t="s">
        <v>4271</v>
      </c>
      <c r="E308" s="385">
        <v>4</v>
      </c>
      <c r="F308" s="385" t="s">
        <v>10</v>
      </c>
      <c r="I308" s="385" t="s">
        <v>3485</v>
      </c>
      <c r="J308" s="385" t="s">
        <v>3476</v>
      </c>
      <c r="K308" s="385" t="e">
        <f>VLOOKUP(Table13[[#This Row],[CD_FUNCAO]],'BASE_FUNCOES (hide)'!A:X,2,FALSE)</f>
        <v>#N/A</v>
      </c>
    </row>
    <row r="309" spans="1:11">
      <c r="A309" s="385">
        <v>113</v>
      </c>
      <c r="B309" s="385" t="s">
        <v>5283</v>
      </c>
      <c r="C309" s="385" t="s">
        <v>5283</v>
      </c>
      <c r="D309" s="385" t="s">
        <v>5283</v>
      </c>
      <c r="E309" s="385">
        <v>283</v>
      </c>
      <c r="F309" s="385" t="s">
        <v>4705</v>
      </c>
      <c r="G309" s="385" t="s">
        <v>4704</v>
      </c>
      <c r="H309" s="385" t="s">
        <v>4703</v>
      </c>
      <c r="I309" s="385" t="s">
        <v>3485</v>
      </c>
      <c r="J309" s="385" t="s">
        <v>3477</v>
      </c>
      <c r="K309" s="385" t="e">
        <f>VLOOKUP(Table13[[#This Row],[CD_FUNCAO]],'BASE_FUNCOES (hide)'!A:X,2,FALSE)</f>
        <v>#N/A</v>
      </c>
    </row>
    <row r="310" spans="1:11">
      <c r="A310" s="385">
        <v>125</v>
      </c>
      <c r="B310" s="385" t="s">
        <v>5670</v>
      </c>
      <c r="C310" s="385" t="s">
        <v>5669</v>
      </c>
      <c r="D310" s="385" t="s">
        <v>5668</v>
      </c>
      <c r="E310" s="385">
        <v>283</v>
      </c>
      <c r="F310" s="385" t="s">
        <v>4705</v>
      </c>
      <c r="G310" s="385" t="s">
        <v>4704</v>
      </c>
      <c r="H310" s="385" t="s">
        <v>4703</v>
      </c>
      <c r="I310" s="385" t="s">
        <v>3488</v>
      </c>
      <c r="K310" s="385" t="e">
        <f>VLOOKUP(Table13[[#This Row],[CD_FUNCAO]],'BASE_FUNCOES (hide)'!A:X,2,FALSE)</f>
        <v>#N/A</v>
      </c>
    </row>
    <row r="311" spans="1:11">
      <c r="A311" s="385">
        <v>128</v>
      </c>
      <c r="B311" s="385" t="s">
        <v>5790</v>
      </c>
      <c r="C311" s="385" t="s">
        <v>5789</v>
      </c>
      <c r="D311" s="385" t="s">
        <v>5788</v>
      </c>
      <c r="E311" s="385">
        <v>302</v>
      </c>
      <c r="F311" s="385" t="s">
        <v>409</v>
      </c>
      <c r="G311" s="385" t="s">
        <v>1467</v>
      </c>
      <c r="H311" s="385" t="s">
        <v>1469</v>
      </c>
      <c r="I311" s="385" t="s">
        <v>3485</v>
      </c>
      <c r="K311" s="385" t="e">
        <f>VLOOKUP(Table13[[#This Row],[CD_FUNCAO]],'BASE_FUNCOES (hide)'!A:X,2,FALSE)</f>
        <v>#N/A</v>
      </c>
    </row>
    <row r="312" spans="1:11" hidden="1">
      <c r="A312" s="385">
        <v>77</v>
      </c>
      <c r="B312" s="385" t="s">
        <v>1715</v>
      </c>
      <c r="C312" s="385" t="s">
        <v>1716</v>
      </c>
      <c r="D312" s="385" t="s">
        <v>1717</v>
      </c>
      <c r="E312" s="385">
        <v>283</v>
      </c>
      <c r="F312" s="385" t="s">
        <v>4705</v>
      </c>
      <c r="G312" s="385" t="s">
        <v>4704</v>
      </c>
      <c r="H312" s="385" t="s">
        <v>4703</v>
      </c>
      <c r="I312" s="385" t="s">
        <v>3477</v>
      </c>
      <c r="J312" s="385" t="s">
        <v>3476</v>
      </c>
      <c r="K312" s="385" t="str">
        <f>VLOOKUP(Table13[[#This Row],[CD_FUNCAO]],'BASE_FUNCOES (hide)'!A:X,2,FALSE)</f>
        <v>Rel Utilização Material/Medicamento</v>
      </c>
    </row>
    <row r="313" spans="1:11" hidden="1">
      <c r="A313" s="385">
        <v>214</v>
      </c>
      <c r="B313" s="385" t="s">
        <v>1676</v>
      </c>
      <c r="C313" s="385" t="s">
        <v>1677</v>
      </c>
      <c r="D313" s="385" t="s">
        <v>1678</v>
      </c>
      <c r="E313" s="385">
        <v>283</v>
      </c>
      <c r="F313" s="385" t="s">
        <v>4705</v>
      </c>
      <c r="G313" s="385" t="s">
        <v>4704</v>
      </c>
      <c r="H313" s="385" t="s">
        <v>4703</v>
      </c>
      <c r="I313" s="385" t="s">
        <v>3477</v>
      </c>
      <c r="J313" s="385" t="s">
        <v>3476</v>
      </c>
      <c r="K313" s="385" t="str">
        <f>VLOOKUP(Table13[[#This Row],[CD_FUNCAO]],'BASE_FUNCOES (hide)'!A:X,2,FALSE)</f>
        <v>Rel Receitas</v>
      </c>
    </row>
    <row r="314" spans="1:11" hidden="1">
      <c r="A314" s="385">
        <v>217</v>
      </c>
      <c r="B314" s="385" t="s">
        <v>1673</v>
      </c>
      <c r="C314" s="385" t="s">
        <v>1674</v>
      </c>
      <c r="D314" s="385" t="s">
        <v>4013</v>
      </c>
      <c r="E314" s="385">
        <v>283</v>
      </c>
      <c r="F314" s="385" t="s">
        <v>4705</v>
      </c>
      <c r="G314" s="385" t="s">
        <v>4704</v>
      </c>
      <c r="H314" s="385" t="s">
        <v>4703</v>
      </c>
      <c r="I314" s="385" t="s">
        <v>3477</v>
      </c>
      <c r="J314" s="385" t="s">
        <v>3476</v>
      </c>
      <c r="K314" s="385" t="str">
        <f>VLOOKUP(Table13[[#This Row],[CD_FUNCAO]],'BASE_FUNCOES (hide)'!A:X,2,FALSE)</f>
        <v>Rel. Mat/Med Consumidos por Cirurgia</v>
      </c>
    </row>
    <row r="315" spans="1:11" hidden="1">
      <c r="A315" s="385">
        <v>219</v>
      </c>
      <c r="B315" s="385" t="s">
        <v>1670</v>
      </c>
      <c r="C315" s="385" t="s">
        <v>1671</v>
      </c>
      <c r="D315" s="385" t="s">
        <v>4234</v>
      </c>
      <c r="E315" s="385">
        <v>283</v>
      </c>
      <c r="F315" s="385" t="s">
        <v>4705</v>
      </c>
      <c r="G315" s="385" t="s">
        <v>4704</v>
      </c>
      <c r="H315" s="385" t="s">
        <v>4703</v>
      </c>
      <c r="I315" s="385" t="s">
        <v>3477</v>
      </c>
      <c r="J315" s="385" t="s">
        <v>3476</v>
      </c>
      <c r="K315" s="385" t="str">
        <f>VLOOKUP(Table13[[#This Row],[CD_FUNCAO]],'BASE_FUNCOES (hide)'!A:X,2,FALSE)</f>
        <v>Rel Materiais Sem Preço</v>
      </c>
    </row>
    <row r="316" spans="1:11" hidden="1">
      <c r="A316" s="385">
        <v>222</v>
      </c>
      <c r="B316" s="385" t="s">
        <v>1667</v>
      </c>
      <c r="C316" s="385" t="s">
        <v>1668</v>
      </c>
      <c r="D316" s="385" t="s">
        <v>4236</v>
      </c>
      <c r="E316" s="385">
        <v>283</v>
      </c>
      <c r="F316" s="385" t="s">
        <v>4705</v>
      </c>
      <c r="G316" s="385" t="s">
        <v>4704</v>
      </c>
      <c r="H316" s="385" t="s">
        <v>4703</v>
      </c>
      <c r="I316" s="385" t="s">
        <v>3477</v>
      </c>
      <c r="J316" s="385" t="s">
        <v>3476</v>
      </c>
      <c r="K316" s="385" t="str">
        <f>VLOOKUP(Table13[[#This Row],[CD_FUNCAO]],'BASE_FUNCOES (hide)'!A:X,2,FALSE)</f>
        <v>Rel Preço Material por Convênio</v>
      </c>
    </row>
    <row r="317" spans="1:11" hidden="1">
      <c r="A317" s="385">
        <v>224</v>
      </c>
      <c r="B317" s="385" t="s">
        <v>1664</v>
      </c>
      <c r="C317" s="385" t="s">
        <v>1665</v>
      </c>
      <c r="D317" s="385" t="s">
        <v>1666</v>
      </c>
      <c r="E317" s="385">
        <v>283</v>
      </c>
      <c r="F317" s="385" t="s">
        <v>4705</v>
      </c>
      <c r="G317" s="385" t="s">
        <v>4704</v>
      </c>
      <c r="H317" s="385" t="s">
        <v>4703</v>
      </c>
      <c r="I317" s="385" t="s">
        <v>3477</v>
      </c>
      <c r="J317" s="385" t="s">
        <v>3476</v>
      </c>
      <c r="K317" s="385" t="str">
        <f>VLOOKUP(Table13[[#This Row],[CD_FUNCAO]],'BASE_FUNCOES (hide)'!A:X,2,FALSE)</f>
        <v>Rel. de Rentabilidade de Pacote</v>
      </c>
    </row>
    <row r="318" spans="1:11" hidden="1">
      <c r="A318" s="385">
        <v>225</v>
      </c>
      <c r="B318" s="385" t="s">
        <v>1661</v>
      </c>
      <c r="C318" s="385" t="s">
        <v>1662</v>
      </c>
      <c r="D318" s="385" t="s">
        <v>1663</v>
      </c>
      <c r="E318" s="385">
        <v>283</v>
      </c>
      <c r="F318" s="385" t="s">
        <v>4705</v>
      </c>
      <c r="G318" s="385" t="s">
        <v>4704</v>
      </c>
      <c r="H318" s="385" t="s">
        <v>4703</v>
      </c>
      <c r="I318" s="385" t="s">
        <v>3477</v>
      </c>
      <c r="J318" s="385" t="s">
        <v>3476</v>
      </c>
      <c r="K318" s="385" t="str">
        <f>VLOOKUP(Table13[[#This Row],[CD_FUNCAO]],'BASE_FUNCOES (hide)'!A:X,2,FALSE)</f>
        <v>Rel. Resumo Setor Faturamento</v>
      </c>
    </row>
    <row r="319" spans="1:11" hidden="1">
      <c r="A319" s="385">
        <v>226</v>
      </c>
      <c r="B319" s="385" t="s">
        <v>1658</v>
      </c>
      <c r="C319" s="385" t="s">
        <v>1659</v>
      </c>
      <c r="D319" s="385" t="s">
        <v>1660</v>
      </c>
      <c r="E319" s="385">
        <v>283</v>
      </c>
      <c r="F319" s="385" t="s">
        <v>4705</v>
      </c>
      <c r="G319" s="385" t="s">
        <v>4704</v>
      </c>
      <c r="H319" s="385" t="s">
        <v>4703</v>
      </c>
      <c r="I319" s="385" t="s">
        <v>3477</v>
      </c>
      <c r="J319" s="385" t="s">
        <v>3476</v>
      </c>
      <c r="K319" s="385" t="str">
        <f>VLOOKUP(Table13[[#This Row],[CD_FUNCAO]],'BASE_FUNCOES (hide)'!A:X,2,FALSE)</f>
        <v>Rel. Receita por Grupo de Receita Sint.</v>
      </c>
    </row>
    <row r="320" spans="1:11" hidden="1">
      <c r="A320" s="385">
        <v>227</v>
      </c>
      <c r="B320" s="385" t="s">
        <v>1655</v>
      </c>
      <c r="C320" s="385" t="s">
        <v>1656</v>
      </c>
      <c r="D320" s="385" t="s">
        <v>1657</v>
      </c>
      <c r="E320" s="385">
        <v>283</v>
      </c>
      <c r="F320" s="385" t="s">
        <v>4705</v>
      </c>
      <c r="G320" s="385" t="s">
        <v>4704</v>
      </c>
      <c r="H320" s="385" t="s">
        <v>4703</v>
      </c>
      <c r="I320" s="385" t="s">
        <v>3477</v>
      </c>
      <c r="J320" s="385" t="s">
        <v>3476</v>
      </c>
      <c r="K320" s="385" t="str">
        <f>VLOOKUP(Table13[[#This Row],[CD_FUNCAO]],'BASE_FUNCOES (hide)'!A:X,2,FALSE)</f>
        <v>Rel.Controle de Honorários Médicos</v>
      </c>
    </row>
    <row r="321" spans="1:11" hidden="1">
      <c r="A321" s="385">
        <v>228</v>
      </c>
      <c r="B321" s="385" t="s">
        <v>1652</v>
      </c>
      <c r="C321" s="385" t="s">
        <v>1653</v>
      </c>
      <c r="D321" s="385" t="s">
        <v>5233</v>
      </c>
      <c r="E321" s="385">
        <v>283</v>
      </c>
      <c r="F321" s="385" t="s">
        <v>4705</v>
      </c>
      <c r="G321" s="385" t="s">
        <v>4704</v>
      </c>
      <c r="H321" s="385" t="s">
        <v>4703</v>
      </c>
      <c r="I321" s="385" t="s">
        <v>3477</v>
      </c>
      <c r="J321" s="385" t="s">
        <v>3476</v>
      </c>
      <c r="K321" s="385" t="str">
        <f>VLOOKUP(Table13[[#This Row],[CD_FUNCAO]],'BASE_FUNCOES (hide)'!A:X,2,FALSE)</f>
        <v>Rel Protocolo Convênio (Raio-X)</v>
      </c>
    </row>
    <row r="322" spans="1:11" hidden="1">
      <c r="A322" s="385">
        <v>229</v>
      </c>
      <c r="B322" s="385" t="s">
        <v>1649</v>
      </c>
      <c r="C322" s="385" t="s">
        <v>1650</v>
      </c>
      <c r="D322" s="385" t="s">
        <v>5232</v>
      </c>
      <c r="E322" s="385">
        <v>283</v>
      </c>
      <c r="F322" s="385" t="s">
        <v>4705</v>
      </c>
      <c r="G322" s="385" t="s">
        <v>4704</v>
      </c>
      <c r="H322" s="385" t="s">
        <v>4703</v>
      </c>
      <c r="I322" s="385" t="s">
        <v>3477</v>
      </c>
      <c r="J322" s="385" t="s">
        <v>3476</v>
      </c>
      <c r="K322" s="385" t="str">
        <f>VLOOKUP(Table13[[#This Row],[CD_FUNCAO]],'BASE_FUNCOES (hide)'!A:X,2,FALSE)</f>
        <v>Rel Protocolo Convênio</v>
      </c>
    </row>
    <row r="323" spans="1:11" hidden="1">
      <c r="A323" s="385">
        <v>231</v>
      </c>
      <c r="B323" s="385" t="s">
        <v>1646</v>
      </c>
      <c r="C323" s="385" t="s">
        <v>1647</v>
      </c>
      <c r="D323" s="385" t="s">
        <v>1648</v>
      </c>
      <c r="E323" s="385">
        <v>283</v>
      </c>
      <c r="F323" s="385" t="s">
        <v>4705</v>
      </c>
      <c r="G323" s="385" t="s">
        <v>4704</v>
      </c>
      <c r="H323" s="385" t="s">
        <v>4703</v>
      </c>
      <c r="I323" s="385" t="s">
        <v>3477</v>
      </c>
      <c r="J323" s="385" t="s">
        <v>3476</v>
      </c>
      <c r="K323" s="385" t="str">
        <f>VLOOKUP(Table13[[#This Row],[CD_FUNCAO]],'BASE_FUNCOES (hide)'!A:X,2,FALSE)</f>
        <v>Relatório de Guias do Protocolo</v>
      </c>
    </row>
    <row r="324" spans="1:11" hidden="1">
      <c r="A324" s="385">
        <v>233</v>
      </c>
      <c r="B324" s="385" t="s">
        <v>1643</v>
      </c>
      <c r="C324" s="385" t="s">
        <v>1644</v>
      </c>
      <c r="D324" s="385" t="s">
        <v>5231</v>
      </c>
      <c r="E324" s="385">
        <v>283</v>
      </c>
      <c r="F324" s="385" t="s">
        <v>4705</v>
      </c>
      <c r="G324" s="385" t="s">
        <v>4704</v>
      </c>
      <c r="H324" s="385" t="s">
        <v>4703</v>
      </c>
      <c r="I324" s="385" t="s">
        <v>3477</v>
      </c>
      <c r="J324" s="385" t="s">
        <v>3476</v>
      </c>
      <c r="K324" s="385" t="str">
        <f>VLOOKUP(Table13[[#This Row],[CD_FUNCAO]],'BASE_FUNCOES (hide)'!A:X,2,FALSE)</f>
        <v>Relatório de valores pendentes</v>
      </c>
    </row>
    <row r="325" spans="1:11" hidden="1">
      <c r="A325" s="385">
        <v>234</v>
      </c>
      <c r="B325" s="385" t="s">
        <v>1640</v>
      </c>
      <c r="C325" s="385" t="s">
        <v>4220</v>
      </c>
      <c r="D325" s="385" t="s">
        <v>1642</v>
      </c>
      <c r="E325" s="385">
        <v>283</v>
      </c>
      <c r="F325" s="385" t="s">
        <v>4705</v>
      </c>
      <c r="G325" s="385" t="s">
        <v>4704</v>
      </c>
      <c r="H325" s="385" t="s">
        <v>4703</v>
      </c>
      <c r="I325" s="385" t="s">
        <v>3477</v>
      </c>
      <c r="J325" s="385" t="s">
        <v>3476</v>
      </c>
      <c r="K325" s="385" t="str">
        <f>VLOOKUP(Table13[[#This Row],[CD_FUNCAO]],'BASE_FUNCOES (hide)'!A:X,2,FALSE)</f>
        <v>Rel. Resultado Atendimentos</v>
      </c>
    </row>
    <row r="326" spans="1:11" hidden="1">
      <c r="A326" s="385">
        <v>235</v>
      </c>
      <c r="B326" s="385" t="s">
        <v>1637</v>
      </c>
      <c r="C326" s="385" t="s">
        <v>1638</v>
      </c>
      <c r="D326" s="385" t="s">
        <v>4177</v>
      </c>
      <c r="E326" s="385">
        <v>283</v>
      </c>
      <c r="F326" s="385" t="s">
        <v>4705</v>
      </c>
      <c r="G326" s="385" t="s">
        <v>4704</v>
      </c>
      <c r="H326" s="385" t="s">
        <v>4703</v>
      </c>
      <c r="I326" s="385" t="s">
        <v>3477</v>
      </c>
      <c r="J326" s="385" t="s">
        <v>3476</v>
      </c>
      <c r="K326" s="385" t="str">
        <f>VLOOKUP(Table13[[#This Row],[CD_FUNCAO]],'BASE_FUNCOES (hide)'!A:X,2,FALSE)</f>
        <v>Rel Exames Realizados</v>
      </c>
    </row>
    <row r="327" spans="1:11" hidden="1">
      <c r="A327" s="385">
        <v>236</v>
      </c>
      <c r="B327" s="385" t="s">
        <v>1634</v>
      </c>
      <c r="C327" s="385" t="s">
        <v>1635</v>
      </c>
      <c r="D327" s="385" t="s">
        <v>4192</v>
      </c>
      <c r="E327" s="385">
        <v>283</v>
      </c>
      <c r="F327" s="385" t="s">
        <v>4705</v>
      </c>
      <c r="G327" s="385" t="s">
        <v>4704</v>
      </c>
      <c r="H327" s="385" t="s">
        <v>4703</v>
      </c>
      <c r="I327" s="385" t="s">
        <v>3477</v>
      </c>
      <c r="J327" s="385" t="s">
        <v>3476</v>
      </c>
      <c r="K327" s="385" t="str">
        <f>VLOOKUP(Table13[[#This Row],[CD_FUNCAO]],'BASE_FUNCOES (hide)'!A:X,2,FALSE)</f>
        <v>Rel Medic/Mat Utilizados</v>
      </c>
    </row>
    <row r="328" spans="1:11" hidden="1">
      <c r="A328" s="385">
        <v>237</v>
      </c>
      <c r="B328" s="385" t="s">
        <v>1631</v>
      </c>
      <c r="C328" s="385" t="s">
        <v>1632</v>
      </c>
      <c r="D328" s="385" t="s">
        <v>4238</v>
      </c>
      <c r="E328" s="385">
        <v>283</v>
      </c>
      <c r="F328" s="385" t="s">
        <v>4705</v>
      </c>
      <c r="G328" s="385" t="s">
        <v>4704</v>
      </c>
      <c r="H328" s="385" t="s">
        <v>4703</v>
      </c>
      <c r="I328" s="385" t="s">
        <v>3477</v>
      </c>
      <c r="J328" s="385" t="s">
        <v>3476</v>
      </c>
      <c r="K328" s="385" t="str">
        <f>VLOOKUP(Table13[[#This Row],[CD_FUNCAO]],'BASE_FUNCOES (hide)'!A:X,2,FALSE)</f>
        <v>Rel Materiais/Medic por Atendimento</v>
      </c>
    </row>
    <row r="329" spans="1:11" hidden="1">
      <c r="A329" s="385">
        <v>238</v>
      </c>
      <c r="B329" s="385" t="s">
        <v>1628</v>
      </c>
      <c r="C329" s="385" t="s">
        <v>4237</v>
      </c>
      <c r="D329" s="385" t="s">
        <v>1630</v>
      </c>
      <c r="E329" s="385">
        <v>283</v>
      </c>
      <c r="F329" s="385" t="s">
        <v>4705</v>
      </c>
      <c r="G329" s="385" t="s">
        <v>4704</v>
      </c>
      <c r="H329" s="385" t="s">
        <v>4703</v>
      </c>
      <c r="I329" s="385" t="s">
        <v>3477</v>
      </c>
      <c r="J329" s="385" t="s">
        <v>3476</v>
      </c>
      <c r="K329" s="385" t="str">
        <f>VLOOKUP(Table13[[#This Row],[CD_FUNCAO]],'BASE_FUNCOES (hide)'!A:X,2,FALSE)</f>
        <v>Rel Ortese, Protese e Material Especial</v>
      </c>
    </row>
    <row r="330" spans="1:11" hidden="1">
      <c r="A330" s="385">
        <v>99040</v>
      </c>
      <c r="B330" s="385" t="s">
        <v>1392</v>
      </c>
      <c r="C330" s="385" t="s">
        <v>1393</v>
      </c>
      <c r="D330" s="385" t="s">
        <v>1394</v>
      </c>
      <c r="E330" s="385">
        <v>283</v>
      </c>
      <c r="F330" s="385" t="s">
        <v>4705</v>
      </c>
      <c r="G330" s="385" t="s">
        <v>4704</v>
      </c>
      <c r="H330" s="385" t="s">
        <v>4703</v>
      </c>
      <c r="I330" s="385" t="s">
        <v>3477</v>
      </c>
      <c r="J330" s="385" t="s">
        <v>3477</v>
      </c>
      <c r="K330" s="385" t="str">
        <f>VLOOKUP(Table13[[#This Row],[CD_FUNCAO]],'BASE_FUNCOES (hide)'!A:X,2,FALSE)</f>
        <v>Validador de Integrações</v>
      </c>
    </row>
    <row r="331" spans="1:11">
      <c r="A331" s="385">
        <v>131</v>
      </c>
      <c r="B331" s="385" t="s">
        <v>3968</v>
      </c>
      <c r="C331" s="385" t="s">
        <v>3968</v>
      </c>
      <c r="D331" s="385" t="s">
        <v>3968</v>
      </c>
      <c r="E331" s="385">
        <v>31</v>
      </c>
      <c r="F331" s="385" t="s">
        <v>245</v>
      </c>
      <c r="I331" s="385" t="s">
        <v>3485</v>
      </c>
      <c r="J331" s="385" t="s">
        <v>3476</v>
      </c>
      <c r="K331" s="385" t="e">
        <f>VLOOKUP(Table13[[#This Row],[CD_FUNCAO]],'BASE_FUNCOES (hide)'!A:X,2,FALSE)</f>
        <v>#N/A</v>
      </c>
    </row>
    <row r="332" spans="1:11">
      <c r="A332" s="385">
        <v>134</v>
      </c>
      <c r="B332" s="385" t="s">
        <v>3967</v>
      </c>
      <c r="C332" s="385" t="s">
        <v>3966</v>
      </c>
      <c r="D332" s="385" t="s">
        <v>3965</v>
      </c>
      <c r="E332" s="385">
        <v>31</v>
      </c>
      <c r="F332" s="385" t="s">
        <v>245</v>
      </c>
      <c r="I332" s="385" t="s">
        <v>3485</v>
      </c>
      <c r="J332" s="385" t="s">
        <v>3476</v>
      </c>
      <c r="K332" s="385" t="e">
        <f>VLOOKUP(Table13[[#This Row],[CD_FUNCAO]],'BASE_FUNCOES (hide)'!A:X,2,FALSE)</f>
        <v>#N/A</v>
      </c>
    </row>
    <row r="333" spans="1:11">
      <c r="A333" s="385">
        <v>136</v>
      </c>
      <c r="B333" s="385" t="s">
        <v>3958</v>
      </c>
      <c r="C333" s="385" t="s">
        <v>3957</v>
      </c>
      <c r="D333" s="385" t="s">
        <v>3956</v>
      </c>
      <c r="E333" s="385">
        <v>32</v>
      </c>
      <c r="F333" s="385" t="s">
        <v>248</v>
      </c>
      <c r="I333" s="385" t="s">
        <v>3485</v>
      </c>
      <c r="J333" s="385" t="s">
        <v>3476</v>
      </c>
      <c r="K333" s="385" t="e">
        <f>VLOOKUP(Table13[[#This Row],[CD_FUNCAO]],'BASE_FUNCOES (hide)'!A:X,2,FALSE)</f>
        <v>#N/A</v>
      </c>
    </row>
    <row r="334" spans="1:11">
      <c r="A334" s="385">
        <v>140</v>
      </c>
      <c r="B334" s="385" t="s">
        <v>4056</v>
      </c>
      <c r="C334" s="385" t="s">
        <v>4055</v>
      </c>
      <c r="D334" s="385" t="s">
        <v>4054</v>
      </c>
      <c r="E334" s="385">
        <v>16</v>
      </c>
      <c r="F334" s="385" t="s">
        <v>3</v>
      </c>
      <c r="G334" s="385" t="s">
        <v>795</v>
      </c>
      <c r="H334" s="385" t="s">
        <v>797</v>
      </c>
      <c r="I334" s="385" t="s">
        <v>3488</v>
      </c>
      <c r="J334" s="385" t="s">
        <v>3476</v>
      </c>
      <c r="K334" s="385" t="e">
        <f>VLOOKUP(Table13[[#This Row],[CD_FUNCAO]],'BASE_FUNCOES (hide)'!A:X,2,FALSE)</f>
        <v>#N/A</v>
      </c>
    </row>
    <row r="335" spans="1:11" hidden="1">
      <c r="A335" s="385">
        <v>27065</v>
      </c>
      <c r="B335" s="385" t="s">
        <v>1402</v>
      </c>
      <c r="C335" s="385" t="s">
        <v>1403</v>
      </c>
      <c r="D335" s="385" t="s">
        <v>1404</v>
      </c>
      <c r="E335" s="385">
        <v>283</v>
      </c>
      <c r="F335" s="385" t="s">
        <v>4705</v>
      </c>
      <c r="G335" s="385" t="s">
        <v>4704</v>
      </c>
      <c r="H335" s="385" t="s">
        <v>4703</v>
      </c>
      <c r="I335" s="385" t="s">
        <v>3477</v>
      </c>
      <c r="J335" s="385" t="s">
        <v>3477</v>
      </c>
      <c r="K335" s="385" t="str">
        <f>VLOOKUP(Table13[[#This Row],[CD_FUNCAO]],'BASE_FUNCOES (hide)'!A:X,2,FALSE)</f>
        <v>MOB - Notificação</v>
      </c>
    </row>
    <row r="336" spans="1:11">
      <c r="A336" s="385">
        <v>144</v>
      </c>
      <c r="B336" s="385" t="s">
        <v>3955</v>
      </c>
      <c r="C336" s="385" t="s">
        <v>3954</v>
      </c>
      <c r="D336" s="385" t="s">
        <v>3953</v>
      </c>
      <c r="E336" s="385">
        <v>32</v>
      </c>
      <c r="F336" s="385" t="s">
        <v>248</v>
      </c>
      <c r="I336" s="385" t="s">
        <v>3485</v>
      </c>
      <c r="J336" s="385" t="s">
        <v>3476</v>
      </c>
      <c r="K336" s="385" t="e">
        <f>VLOOKUP(Table13[[#This Row],[CD_FUNCAO]],'BASE_FUNCOES (hide)'!A:X,2,FALSE)</f>
        <v>#N/A</v>
      </c>
    </row>
    <row r="337" spans="1:11">
      <c r="A337" s="385">
        <v>150</v>
      </c>
      <c r="B337" s="385" t="s">
        <v>3486</v>
      </c>
      <c r="C337" s="385" t="s">
        <v>3487</v>
      </c>
      <c r="D337" s="385" t="s">
        <v>3486</v>
      </c>
      <c r="E337" s="385">
        <v>944</v>
      </c>
      <c r="F337" s="385" t="s">
        <v>3086</v>
      </c>
      <c r="I337" s="385" t="s">
        <v>3485</v>
      </c>
      <c r="J337" s="385" t="s">
        <v>3477</v>
      </c>
      <c r="K337" s="385" t="e">
        <f>VLOOKUP(Table13[[#This Row],[CD_FUNCAO]],'BASE_FUNCOES (hide)'!A:X,2,FALSE)</f>
        <v>#N/A</v>
      </c>
    </row>
    <row r="338" spans="1:11" hidden="1">
      <c r="A338" s="385">
        <v>99058</v>
      </c>
      <c r="B338" s="385" t="s">
        <v>1417</v>
      </c>
      <c r="C338" s="385" t="s">
        <v>1418</v>
      </c>
      <c r="D338" s="385" t="s">
        <v>1419</v>
      </c>
      <c r="E338" s="385">
        <v>283</v>
      </c>
      <c r="F338" s="385" t="s">
        <v>4705</v>
      </c>
      <c r="G338" s="385" t="s">
        <v>4704</v>
      </c>
      <c r="H338" s="385" t="s">
        <v>4703</v>
      </c>
      <c r="I338" s="385" t="s">
        <v>3477</v>
      </c>
      <c r="J338" s="385" t="s">
        <v>3477</v>
      </c>
      <c r="K338" s="385" t="str">
        <f>VLOOKUP(Table13[[#This Row],[CD_FUNCAO]],'BASE_FUNCOES (hide)'!A:X,2,FALSE)</f>
        <v>Treinamentos - Philips</v>
      </c>
    </row>
    <row r="339" spans="1:11">
      <c r="A339" s="385">
        <v>167</v>
      </c>
      <c r="B339" s="385" t="s">
        <v>4951</v>
      </c>
      <c r="C339" s="385" t="s">
        <v>4950</v>
      </c>
      <c r="D339" s="385" t="s">
        <v>4949</v>
      </c>
      <c r="E339" s="385">
        <v>283</v>
      </c>
      <c r="F339" s="385" t="s">
        <v>4705</v>
      </c>
      <c r="G339" s="385" t="s">
        <v>4704</v>
      </c>
      <c r="H339" s="385" t="s">
        <v>4703</v>
      </c>
      <c r="I339" s="385" t="s">
        <v>3485</v>
      </c>
      <c r="J339" s="385" t="s">
        <v>3476</v>
      </c>
      <c r="K339" s="385" t="e">
        <f>VLOOKUP(Table13[[#This Row],[CD_FUNCAO]],'BASE_FUNCOES (hide)'!A:X,2,FALSE)</f>
        <v>#N/A</v>
      </c>
    </row>
    <row r="340" spans="1:11">
      <c r="A340" s="385">
        <v>168</v>
      </c>
      <c r="B340" s="385" t="s">
        <v>3657</v>
      </c>
      <c r="C340" s="385" t="s">
        <v>3656</v>
      </c>
      <c r="D340" s="385" t="s">
        <v>3655</v>
      </c>
      <c r="E340" s="385">
        <v>511</v>
      </c>
      <c r="F340" s="385" t="s">
        <v>429</v>
      </c>
      <c r="G340" s="385" t="s">
        <v>1526</v>
      </c>
      <c r="H340" s="385" t="s">
        <v>1528</v>
      </c>
      <c r="I340" s="385" t="s">
        <v>3485</v>
      </c>
      <c r="J340" s="385" t="s">
        <v>3476</v>
      </c>
      <c r="K340" s="385" t="e">
        <f>VLOOKUP(Table13[[#This Row],[CD_FUNCAO]],'BASE_FUNCOES (hide)'!A:X,2,FALSE)</f>
        <v>#N/A</v>
      </c>
    </row>
    <row r="341" spans="1:11">
      <c r="A341" s="385">
        <v>169</v>
      </c>
      <c r="B341" s="385" t="s">
        <v>4889</v>
      </c>
      <c r="C341" s="385" t="s">
        <v>4888</v>
      </c>
      <c r="D341" s="385" t="s">
        <v>4887</v>
      </c>
      <c r="E341" s="385">
        <v>283</v>
      </c>
      <c r="F341" s="385" t="s">
        <v>4705</v>
      </c>
      <c r="G341" s="385" t="s">
        <v>4704</v>
      </c>
      <c r="H341" s="385" t="s">
        <v>4703</v>
      </c>
      <c r="I341" s="385" t="s">
        <v>3510</v>
      </c>
      <c r="J341" s="385" t="s">
        <v>3476</v>
      </c>
      <c r="K341" s="385" t="e">
        <f>VLOOKUP(Table13[[#This Row],[CD_FUNCAO]],'BASE_FUNCOES (hide)'!A:X,2,FALSE)</f>
        <v>#N/A</v>
      </c>
    </row>
    <row r="342" spans="1:11">
      <c r="A342" s="385">
        <v>173</v>
      </c>
      <c r="B342" s="385" t="s">
        <v>5225</v>
      </c>
      <c r="C342" s="385" t="s">
        <v>5225</v>
      </c>
      <c r="D342" s="385" t="s">
        <v>5225</v>
      </c>
      <c r="E342" s="385">
        <v>283</v>
      </c>
      <c r="F342" s="385" t="s">
        <v>4705</v>
      </c>
      <c r="G342" s="385" t="s">
        <v>4704</v>
      </c>
      <c r="H342" s="385" t="s">
        <v>4703</v>
      </c>
      <c r="I342" s="385" t="s">
        <v>3510</v>
      </c>
      <c r="J342" s="385" t="s">
        <v>3477</v>
      </c>
      <c r="K342" s="385" t="e">
        <f>VLOOKUP(Table13[[#This Row],[CD_FUNCAO]],'BASE_FUNCOES (hide)'!A:X,2,FALSE)</f>
        <v>#N/A</v>
      </c>
    </row>
    <row r="343" spans="1:11" hidden="1">
      <c r="A343" s="385">
        <v>133</v>
      </c>
      <c r="B343" s="385" t="s">
        <v>5211</v>
      </c>
      <c r="C343" s="385" t="s">
        <v>4275</v>
      </c>
      <c r="D343" s="385" t="s">
        <v>4274</v>
      </c>
      <c r="E343" s="385">
        <v>283</v>
      </c>
      <c r="F343" s="385" t="s">
        <v>4705</v>
      </c>
      <c r="G343" s="385" t="s">
        <v>4704</v>
      </c>
      <c r="H343" s="385" t="s">
        <v>4703</v>
      </c>
      <c r="I343" s="385" t="s">
        <v>3477</v>
      </c>
      <c r="J343" s="385" t="s">
        <v>3477</v>
      </c>
      <c r="K343" s="385" t="str">
        <f>VLOOKUP(Table13[[#This Row],[CD_FUNCAO]],'BASE_FUNCOES (hide)'!A:X,2,FALSE)</f>
        <v>Rel Consumo Mensal por Centro de Custo</v>
      </c>
    </row>
    <row r="344" spans="1:11" hidden="1">
      <c r="A344" s="385">
        <v>141</v>
      </c>
      <c r="B344" s="385" t="s">
        <v>5210</v>
      </c>
      <c r="C344" s="385" t="s">
        <v>1689</v>
      </c>
      <c r="D344" s="385" t="s">
        <v>4269</v>
      </c>
      <c r="E344" s="385">
        <v>283</v>
      </c>
      <c r="F344" s="385" t="s">
        <v>4705</v>
      </c>
      <c r="G344" s="385" t="s">
        <v>4704</v>
      </c>
      <c r="H344" s="385" t="s">
        <v>4703</v>
      </c>
      <c r="I344" s="385" t="s">
        <v>3477</v>
      </c>
      <c r="J344" s="385" t="s">
        <v>3477</v>
      </c>
      <c r="K344" s="385" t="str">
        <f>VLOOKUP(Table13[[#This Row],[CD_FUNCAO]],'BASE_FUNCOES (hide)'!A:X,2,FALSE)</f>
        <v>Rel Movimento Estoque</v>
      </c>
    </row>
    <row r="345" spans="1:11" hidden="1">
      <c r="A345" s="385">
        <v>142</v>
      </c>
      <c r="B345" s="385" t="s">
        <v>5209</v>
      </c>
      <c r="C345" s="385" t="s">
        <v>1686</v>
      </c>
      <c r="D345" s="385" t="s">
        <v>4137</v>
      </c>
      <c r="E345" s="385">
        <v>283</v>
      </c>
      <c r="F345" s="385" t="s">
        <v>4705</v>
      </c>
      <c r="G345" s="385" t="s">
        <v>4704</v>
      </c>
      <c r="H345" s="385" t="s">
        <v>4703</v>
      </c>
      <c r="I345" s="385" t="s">
        <v>3477</v>
      </c>
      <c r="J345" s="385" t="s">
        <v>3477</v>
      </c>
      <c r="K345" s="385" t="str">
        <f>VLOOKUP(Table13[[#This Row],[CD_FUNCAO]],'BASE_FUNCOES (hide)'!A:X,2,FALSE)</f>
        <v>Rel Movto Sintético Operação</v>
      </c>
    </row>
    <row r="346" spans="1:11" hidden="1">
      <c r="A346" s="385">
        <v>149</v>
      </c>
      <c r="B346" s="385" t="s">
        <v>5208</v>
      </c>
      <c r="C346" s="385" t="s">
        <v>1683</v>
      </c>
      <c r="D346" s="385" t="s">
        <v>4268</v>
      </c>
      <c r="E346" s="385">
        <v>283</v>
      </c>
      <c r="F346" s="385" t="s">
        <v>4705</v>
      </c>
      <c r="G346" s="385" t="s">
        <v>4704</v>
      </c>
      <c r="H346" s="385" t="s">
        <v>4703</v>
      </c>
      <c r="I346" s="385" t="s">
        <v>3477</v>
      </c>
      <c r="J346" s="385" t="s">
        <v>3477</v>
      </c>
      <c r="K346" s="385" t="str">
        <f>VLOOKUP(Table13[[#This Row],[CD_FUNCAO]],'BASE_FUNCOES (hide)'!A:X,2,FALSE)</f>
        <v>Rel Razão do Estoque</v>
      </c>
    </row>
    <row r="347" spans="1:11" hidden="1">
      <c r="A347" s="385">
        <v>158</v>
      </c>
      <c r="B347" s="385" t="s">
        <v>5207</v>
      </c>
      <c r="C347" s="385" t="s">
        <v>1680</v>
      </c>
      <c r="D347" s="385" t="s">
        <v>4267</v>
      </c>
      <c r="E347" s="385">
        <v>283</v>
      </c>
      <c r="F347" s="385" t="s">
        <v>4705</v>
      </c>
      <c r="G347" s="385" t="s">
        <v>4704</v>
      </c>
      <c r="H347" s="385" t="s">
        <v>4703</v>
      </c>
      <c r="I347" s="385" t="s">
        <v>3477</v>
      </c>
      <c r="J347" s="385" t="s">
        <v>3477</v>
      </c>
      <c r="K347" s="385" t="str">
        <f>VLOOKUP(Table13[[#This Row],[CD_FUNCAO]],'BASE_FUNCOES (hide)'!A:X,2,FALSE)</f>
        <v>Rel Saldo Estoque Consignados</v>
      </c>
    </row>
    <row r="348" spans="1:11" hidden="1">
      <c r="A348" s="385">
        <v>161</v>
      </c>
      <c r="B348" s="385" t="s">
        <v>5206</v>
      </c>
      <c r="C348" s="385" t="s">
        <v>5205</v>
      </c>
      <c r="D348" s="385" t="s">
        <v>5204</v>
      </c>
      <c r="E348" s="385">
        <v>283</v>
      </c>
      <c r="F348" s="385" t="s">
        <v>4705</v>
      </c>
      <c r="G348" s="385" t="s">
        <v>4704</v>
      </c>
      <c r="H348" s="385" t="s">
        <v>4703</v>
      </c>
      <c r="I348" s="385" t="s">
        <v>3477</v>
      </c>
      <c r="J348" s="385" t="s">
        <v>3477</v>
      </c>
      <c r="K348" s="385" t="str">
        <f>VLOOKUP(Table13[[#This Row],[CD_FUNCAO]],'BASE_FUNCOES (hide)'!A:X,2,FALSE)</f>
        <v>Rel Notas por Conta Contábil</v>
      </c>
    </row>
    <row r="349" spans="1:11">
      <c r="A349" s="385">
        <v>174</v>
      </c>
      <c r="B349" s="385" t="s">
        <v>5185</v>
      </c>
      <c r="C349" s="385" t="s">
        <v>5185</v>
      </c>
      <c r="D349" s="385" t="s">
        <v>5185</v>
      </c>
      <c r="E349" s="385">
        <v>283</v>
      </c>
      <c r="F349" s="385" t="s">
        <v>4705</v>
      </c>
      <c r="G349" s="385" t="s">
        <v>4704</v>
      </c>
      <c r="H349" s="385" t="s">
        <v>4703</v>
      </c>
      <c r="I349" s="385" t="s">
        <v>3485</v>
      </c>
      <c r="J349" s="385" t="s">
        <v>3477</v>
      </c>
      <c r="K349" s="385" t="e">
        <f>VLOOKUP(Table13[[#This Row],[CD_FUNCAO]],'BASE_FUNCOES (hide)'!A:X,2,FALSE)</f>
        <v>#N/A</v>
      </c>
    </row>
    <row r="350" spans="1:11">
      <c r="A350" s="385">
        <v>176</v>
      </c>
      <c r="B350" s="385" t="s">
        <v>4083</v>
      </c>
      <c r="C350" s="385" t="s">
        <v>4082</v>
      </c>
      <c r="D350" s="385" t="s">
        <v>4081</v>
      </c>
      <c r="E350" s="385">
        <v>13</v>
      </c>
      <c r="F350" s="385" t="s">
        <v>11</v>
      </c>
      <c r="I350" s="385" t="s">
        <v>3485</v>
      </c>
      <c r="J350" s="385" t="s">
        <v>3476</v>
      </c>
      <c r="K350" s="385" t="e">
        <f>VLOOKUP(Table13[[#This Row],[CD_FUNCAO]],'BASE_FUNCOES (hide)'!A:X,2,FALSE)</f>
        <v>#N/A</v>
      </c>
    </row>
    <row r="351" spans="1:11">
      <c r="A351" s="385">
        <v>177</v>
      </c>
      <c r="B351" s="385" t="s">
        <v>3964</v>
      </c>
      <c r="C351" s="385" t="s">
        <v>3963</v>
      </c>
      <c r="D351" s="385" t="s">
        <v>3962</v>
      </c>
      <c r="E351" s="385">
        <v>32</v>
      </c>
      <c r="F351" s="385" t="s">
        <v>248</v>
      </c>
      <c r="I351" s="385" t="s">
        <v>3485</v>
      </c>
      <c r="J351" s="385" t="s">
        <v>3476</v>
      </c>
      <c r="K351" s="385" t="e">
        <f>VLOOKUP(Table13[[#This Row],[CD_FUNCAO]],'BASE_FUNCOES (hide)'!A:X,2,FALSE)</f>
        <v>#N/A</v>
      </c>
    </row>
    <row r="352" spans="1:11">
      <c r="A352" s="385">
        <v>191</v>
      </c>
      <c r="B352" s="385" t="s">
        <v>5189</v>
      </c>
      <c r="C352" s="385" t="s">
        <v>5188</v>
      </c>
      <c r="D352" s="385" t="s">
        <v>5187</v>
      </c>
      <c r="E352" s="385">
        <v>283</v>
      </c>
      <c r="F352" s="385" t="s">
        <v>4705</v>
      </c>
      <c r="G352" s="385" t="s">
        <v>4704</v>
      </c>
      <c r="H352" s="385" t="s">
        <v>4703</v>
      </c>
      <c r="I352" s="385" t="s">
        <v>3488</v>
      </c>
      <c r="J352" s="385" t="s">
        <v>3477</v>
      </c>
      <c r="K352" s="385" t="e">
        <f>VLOOKUP(Table13[[#This Row],[CD_FUNCAO]],'BASE_FUNCOES (hide)'!A:X,2,FALSE)</f>
        <v>#N/A</v>
      </c>
    </row>
    <row r="353" spans="1:11" hidden="1">
      <c r="A353" s="385">
        <v>239</v>
      </c>
      <c r="B353" s="385" t="s">
        <v>1626</v>
      </c>
      <c r="C353" s="385" t="s">
        <v>1626</v>
      </c>
      <c r="D353" s="385" t="s">
        <v>1626</v>
      </c>
      <c r="E353" s="385">
        <v>283</v>
      </c>
      <c r="F353" s="385" t="s">
        <v>4705</v>
      </c>
      <c r="G353" s="385" t="s">
        <v>4704</v>
      </c>
      <c r="H353" s="385" t="s">
        <v>4703</v>
      </c>
      <c r="I353" s="385" t="s">
        <v>3510</v>
      </c>
      <c r="J353" s="385" t="s">
        <v>3477</v>
      </c>
      <c r="K353" s="385" t="str">
        <f>VLOOKUP(Table13[[#This Row],[CD_FUNCAO]],'BASE_FUNCOES (hide)'!A:X,2,FALSE)</f>
        <v>Dashboard HTML5</v>
      </c>
    </row>
    <row r="354" spans="1:11">
      <c r="A354" s="385">
        <v>200</v>
      </c>
      <c r="B354" s="385" t="s">
        <v>5723</v>
      </c>
      <c r="C354" s="385" t="s">
        <v>5722</v>
      </c>
      <c r="D354" s="385" t="s">
        <v>5721</v>
      </c>
      <c r="E354" s="385">
        <v>283</v>
      </c>
      <c r="F354" s="385" t="s">
        <v>4705</v>
      </c>
      <c r="G354" s="385" t="s">
        <v>4704</v>
      </c>
      <c r="H354" s="385" t="s">
        <v>4703</v>
      </c>
      <c r="I354" s="385" t="s">
        <v>3485</v>
      </c>
      <c r="K354" s="385" t="e">
        <f>VLOOKUP(Table13[[#This Row],[CD_FUNCAO]],'BASE_FUNCOES (hide)'!A:X,2,FALSE)</f>
        <v>#N/A</v>
      </c>
    </row>
    <row r="355" spans="1:11">
      <c r="A355" s="385">
        <v>201</v>
      </c>
      <c r="B355" s="385" t="s">
        <v>5720</v>
      </c>
      <c r="C355" s="385" t="s">
        <v>5719</v>
      </c>
      <c r="D355" s="385" t="s">
        <v>5718</v>
      </c>
      <c r="E355" s="385">
        <v>283</v>
      </c>
      <c r="F355" s="385" t="s">
        <v>4705</v>
      </c>
      <c r="G355" s="385" t="s">
        <v>4704</v>
      </c>
      <c r="H355" s="385" t="s">
        <v>4703</v>
      </c>
      <c r="I355" s="385" t="s">
        <v>3485</v>
      </c>
      <c r="J355" s="385" t="s">
        <v>3476</v>
      </c>
      <c r="K355" s="385" t="e">
        <f>VLOOKUP(Table13[[#This Row],[CD_FUNCAO]],'BASE_FUNCOES (hide)'!A:X,2,FALSE)</f>
        <v>#N/A</v>
      </c>
    </row>
    <row r="356" spans="1:11" hidden="1">
      <c r="A356" s="385">
        <v>183</v>
      </c>
      <c r="B356" s="385" t="s">
        <v>1399</v>
      </c>
      <c r="C356" s="385" t="s">
        <v>1400</v>
      </c>
      <c r="D356" s="385" t="s">
        <v>1401</v>
      </c>
      <c r="E356" s="385">
        <v>283</v>
      </c>
      <c r="F356" s="385" t="s">
        <v>4705</v>
      </c>
      <c r="G356" s="385" t="s">
        <v>4704</v>
      </c>
      <c r="H356" s="385" t="s">
        <v>4703</v>
      </c>
      <c r="I356" s="385" t="s">
        <v>3477</v>
      </c>
      <c r="J356" s="385" t="s">
        <v>3477</v>
      </c>
      <c r="K356" s="385" t="str">
        <f>VLOOKUP(Table13[[#This Row],[CD_FUNCAO]],'BASE_FUNCOES (hide)'!A:X,2,FALSE)</f>
        <v>Documentação online</v>
      </c>
    </row>
    <row r="357" spans="1:11">
      <c r="A357" s="385">
        <v>202</v>
      </c>
      <c r="B357" s="385" t="s">
        <v>3961</v>
      </c>
      <c r="C357" s="385" t="s">
        <v>3960</v>
      </c>
      <c r="D357" s="385" t="s">
        <v>3959</v>
      </c>
      <c r="E357" s="385">
        <v>32</v>
      </c>
      <c r="F357" s="385" t="s">
        <v>248</v>
      </c>
      <c r="I357" s="385" t="s">
        <v>3485</v>
      </c>
      <c r="J357" s="385" t="s">
        <v>3476</v>
      </c>
      <c r="K357" s="385" t="e">
        <f>VLOOKUP(Table13[[#This Row],[CD_FUNCAO]],'BASE_FUNCOES (hide)'!A:X,2,FALSE)</f>
        <v>#N/A</v>
      </c>
    </row>
    <row r="358" spans="1:11" hidden="1">
      <c r="A358" s="385">
        <v>251</v>
      </c>
      <c r="B358" s="385" t="s">
        <v>1410</v>
      </c>
      <c r="C358" s="385" t="s">
        <v>1410</v>
      </c>
      <c r="D358" s="385" t="s">
        <v>1410</v>
      </c>
      <c r="E358" s="385">
        <v>283</v>
      </c>
      <c r="F358" s="385" t="s">
        <v>4705</v>
      </c>
      <c r="G358" s="385" t="s">
        <v>4704</v>
      </c>
      <c r="H358" s="385" t="s">
        <v>4703</v>
      </c>
      <c r="I358" s="385" t="s">
        <v>3477</v>
      </c>
      <c r="J358" s="385" t="s">
        <v>3477</v>
      </c>
      <c r="K358" s="385" t="str">
        <f>VLOOKUP(Table13[[#This Row],[CD_FUNCAO]],'BASE_FUNCOES (hide)'!A:X,2,FALSE)</f>
        <v>PMO - Project Management Office</v>
      </c>
    </row>
    <row r="359" spans="1:11" hidden="1">
      <c r="A359" s="385">
        <v>352</v>
      </c>
      <c r="B359" s="385" t="s">
        <v>1435</v>
      </c>
      <c r="C359" s="385" t="s">
        <v>1621</v>
      </c>
      <c r="D359" s="385" t="s">
        <v>5186</v>
      </c>
      <c r="E359" s="385">
        <v>283</v>
      </c>
      <c r="F359" s="385" t="s">
        <v>4705</v>
      </c>
      <c r="G359" s="385" t="s">
        <v>4704</v>
      </c>
      <c r="H359" s="385" t="s">
        <v>4703</v>
      </c>
      <c r="I359" s="385" t="s">
        <v>3477</v>
      </c>
      <c r="J359" s="385" t="s">
        <v>3476</v>
      </c>
      <c r="K359" s="385" t="str">
        <f>VLOOKUP(Table13[[#This Row],[CD_FUNCAO]],'BASE_FUNCOES (hide)'!A:X,2,FALSE)</f>
        <v>Acidente de Trabalho (DALE-UV)</v>
      </c>
    </row>
    <row r="360" spans="1:11">
      <c r="A360" s="385">
        <v>203</v>
      </c>
      <c r="B360" s="385" t="s">
        <v>5581</v>
      </c>
      <c r="C360" s="385" t="s">
        <v>5580</v>
      </c>
      <c r="D360" s="385" t="s">
        <v>5579</v>
      </c>
      <c r="E360" s="385">
        <v>283</v>
      </c>
      <c r="F360" s="385" t="s">
        <v>4705</v>
      </c>
      <c r="G360" s="385" t="s">
        <v>4704</v>
      </c>
      <c r="H360" s="385" t="s">
        <v>4703</v>
      </c>
      <c r="I360" s="385" t="s">
        <v>3485</v>
      </c>
      <c r="J360" s="385" t="s">
        <v>3476</v>
      </c>
      <c r="K360" s="385" t="e">
        <f>VLOOKUP(Table13[[#This Row],[CD_FUNCAO]],'BASE_FUNCOES (hide)'!A:X,2,FALSE)</f>
        <v>#N/A</v>
      </c>
    </row>
    <row r="361" spans="1:11">
      <c r="A361" s="385">
        <v>205</v>
      </c>
      <c r="B361" s="385" t="s">
        <v>3978</v>
      </c>
      <c r="C361" s="385" t="s">
        <v>3977</v>
      </c>
      <c r="D361" s="385" t="s">
        <v>3976</v>
      </c>
      <c r="E361" s="385">
        <v>31</v>
      </c>
      <c r="F361" s="385" t="s">
        <v>245</v>
      </c>
      <c r="I361" s="385" t="s">
        <v>3485</v>
      </c>
      <c r="J361" s="385" t="s">
        <v>3476</v>
      </c>
      <c r="K361" s="385" t="e">
        <f>VLOOKUP(Table13[[#This Row],[CD_FUNCAO]],'BASE_FUNCOES (hide)'!A:X,2,FALSE)</f>
        <v>#N/A</v>
      </c>
    </row>
    <row r="362" spans="1:11">
      <c r="A362" s="385">
        <v>206</v>
      </c>
      <c r="B362" s="385" t="s">
        <v>5203</v>
      </c>
      <c r="C362" s="385" t="s">
        <v>5203</v>
      </c>
      <c r="D362" s="385" t="s">
        <v>5203</v>
      </c>
      <c r="E362" s="385">
        <v>283</v>
      </c>
      <c r="F362" s="385" t="s">
        <v>4705</v>
      </c>
      <c r="G362" s="385" t="s">
        <v>4704</v>
      </c>
      <c r="H362" s="385" t="s">
        <v>4703</v>
      </c>
      <c r="I362" s="385" t="s">
        <v>3485</v>
      </c>
      <c r="J362" s="385" t="s">
        <v>3477</v>
      </c>
      <c r="K362" s="385" t="e">
        <f>VLOOKUP(Table13[[#This Row],[CD_FUNCAO]],'BASE_FUNCOES (hide)'!A:X,2,FALSE)</f>
        <v>#N/A</v>
      </c>
    </row>
    <row r="363" spans="1:11">
      <c r="A363" s="385">
        <v>207</v>
      </c>
      <c r="B363" s="385" t="s">
        <v>5202</v>
      </c>
      <c r="C363" s="385" t="s">
        <v>5201</v>
      </c>
      <c r="D363" s="385" t="s">
        <v>5200</v>
      </c>
      <c r="E363" s="385">
        <v>283</v>
      </c>
      <c r="F363" s="385" t="s">
        <v>4705</v>
      </c>
      <c r="G363" s="385" t="s">
        <v>4704</v>
      </c>
      <c r="H363" s="385" t="s">
        <v>4703</v>
      </c>
      <c r="I363" s="385" t="s">
        <v>3510</v>
      </c>
      <c r="J363" s="385" t="s">
        <v>3476</v>
      </c>
      <c r="K363" s="385" t="e">
        <f>VLOOKUP(Table13[[#This Row],[CD_FUNCAO]],'BASE_FUNCOES (hide)'!A:X,2,FALSE)</f>
        <v>#N/A</v>
      </c>
    </row>
    <row r="364" spans="1:11">
      <c r="A364" s="385">
        <v>208</v>
      </c>
      <c r="B364" s="385" t="s">
        <v>5199</v>
      </c>
      <c r="C364" s="385" t="s">
        <v>5199</v>
      </c>
      <c r="D364" s="385" t="s">
        <v>5199</v>
      </c>
      <c r="E364" s="385">
        <v>283</v>
      </c>
      <c r="F364" s="385" t="s">
        <v>4705</v>
      </c>
      <c r="G364" s="385" t="s">
        <v>4704</v>
      </c>
      <c r="H364" s="385" t="s">
        <v>4703</v>
      </c>
      <c r="I364" s="385" t="s">
        <v>3485</v>
      </c>
      <c r="J364" s="385" t="s">
        <v>3477</v>
      </c>
      <c r="K364" s="385" t="e">
        <f>VLOOKUP(Table13[[#This Row],[CD_FUNCAO]],'BASE_FUNCOES (hide)'!A:X,2,FALSE)</f>
        <v>#N/A</v>
      </c>
    </row>
    <row r="365" spans="1:11">
      <c r="A365" s="385">
        <v>209</v>
      </c>
      <c r="B365" s="385" t="s">
        <v>3779</v>
      </c>
      <c r="C365" s="385" t="s">
        <v>3778</v>
      </c>
      <c r="D365" s="385" t="s">
        <v>3777</v>
      </c>
      <c r="E365" s="385">
        <v>693</v>
      </c>
      <c r="F365" s="385" t="s">
        <v>1568</v>
      </c>
      <c r="I365" s="385" t="s">
        <v>3477</v>
      </c>
      <c r="J365" s="385" t="s">
        <v>3477</v>
      </c>
      <c r="K365" s="385" t="str">
        <f>VLOOKUP(Table13[[#This Row],[CD_FUNCAO]],'BASE_FUNCOES (hide)'!A:X,2,FALSE)</f>
        <v>OPS - Gestão de Protocolos de Atendimento</v>
      </c>
    </row>
    <row r="366" spans="1:11">
      <c r="A366" s="385">
        <v>210</v>
      </c>
      <c r="B366" s="385" t="s">
        <v>4629</v>
      </c>
      <c r="C366" s="385" t="s">
        <v>4628</v>
      </c>
      <c r="D366" s="385" t="s">
        <v>4627</v>
      </c>
      <c r="E366" s="385">
        <v>375</v>
      </c>
      <c r="F366" s="385" t="s">
        <v>4588</v>
      </c>
      <c r="I366" s="385" t="s">
        <v>3477</v>
      </c>
      <c r="J366" s="385" t="s">
        <v>3513</v>
      </c>
      <c r="K366" s="385" t="str">
        <f>VLOOKUP(Table13[[#This Row],[CD_FUNCAO]],'BASE_FUNCOES (hide)'!A:X,2,FALSE)</f>
        <v>OPS - Reajuste de Preços de Beneficiários (Nova)</v>
      </c>
    </row>
    <row r="367" spans="1:11">
      <c r="A367" s="385">
        <v>242</v>
      </c>
      <c r="B367" s="385" t="s">
        <v>5217</v>
      </c>
      <c r="C367" s="385" t="s">
        <v>5216</v>
      </c>
      <c r="D367" s="385" t="s">
        <v>5215</v>
      </c>
      <c r="E367" s="385">
        <v>283</v>
      </c>
      <c r="F367" s="385" t="s">
        <v>4705</v>
      </c>
      <c r="G367" s="385" t="s">
        <v>4704</v>
      </c>
      <c r="H367" s="385" t="s">
        <v>4703</v>
      </c>
      <c r="I367" s="385" t="s">
        <v>3485</v>
      </c>
      <c r="J367" s="385" t="s">
        <v>3513</v>
      </c>
      <c r="K367" s="385" t="e">
        <f>VLOOKUP(Table13[[#This Row],[CD_FUNCAO]],'BASE_FUNCOES (hide)'!A:X,2,FALSE)</f>
        <v>#N/A</v>
      </c>
    </row>
    <row r="368" spans="1:11">
      <c r="A368" s="385">
        <v>244</v>
      </c>
      <c r="B368" s="385" t="s">
        <v>3882</v>
      </c>
      <c r="C368" s="385" t="s">
        <v>3881</v>
      </c>
      <c r="D368" s="385" t="s">
        <v>3880</v>
      </c>
      <c r="E368" s="385">
        <v>690</v>
      </c>
      <c r="F368" s="385" t="s">
        <v>3854</v>
      </c>
      <c r="I368" s="385" t="s">
        <v>3510</v>
      </c>
      <c r="J368" s="385" t="s">
        <v>3513</v>
      </c>
      <c r="K368" s="385" t="e">
        <f>VLOOKUP(Table13[[#This Row],[CD_FUNCAO]],'BASE_FUNCOES (hide)'!A:X,2,FALSE)</f>
        <v>#N/A</v>
      </c>
    </row>
    <row r="369" spans="1:11" hidden="1">
      <c r="A369" s="385">
        <v>357</v>
      </c>
      <c r="B369" s="385" t="s">
        <v>1618</v>
      </c>
      <c r="C369" s="385" t="s">
        <v>1619</v>
      </c>
      <c r="D369" s="385" t="s">
        <v>1620</v>
      </c>
      <c r="E369" s="385">
        <v>283</v>
      </c>
      <c r="F369" s="385" t="s">
        <v>4705</v>
      </c>
      <c r="G369" s="385" t="s">
        <v>4704</v>
      </c>
      <c r="H369" s="385" t="s">
        <v>4703</v>
      </c>
      <c r="I369" s="385" t="s">
        <v>3477</v>
      </c>
      <c r="J369" s="385" t="s">
        <v>3477</v>
      </c>
      <c r="K369" s="385" t="str">
        <f>VLOOKUP(Table13[[#This Row],[CD_FUNCAO]],'BASE_FUNCOES (hide)'!A:X,2,FALSE)</f>
        <v>Lista de Tarefas</v>
      </c>
    </row>
    <row r="370" spans="1:11">
      <c r="A370" s="385">
        <v>245</v>
      </c>
      <c r="B370" s="385" t="s">
        <v>5227</v>
      </c>
      <c r="C370" s="385" t="s">
        <v>5227</v>
      </c>
      <c r="D370" s="385" t="s">
        <v>5227</v>
      </c>
      <c r="E370" s="385">
        <v>283</v>
      </c>
      <c r="F370" s="385" t="s">
        <v>4705</v>
      </c>
      <c r="G370" s="385" t="s">
        <v>4704</v>
      </c>
      <c r="H370" s="385" t="s">
        <v>4703</v>
      </c>
      <c r="I370" s="385" t="s">
        <v>3510</v>
      </c>
      <c r="J370" s="385" t="s">
        <v>3477</v>
      </c>
      <c r="K370" s="385" t="e">
        <f>VLOOKUP(Table13[[#This Row],[CD_FUNCAO]],'BASE_FUNCOES (hide)'!A:X,2,FALSE)</f>
        <v>#N/A</v>
      </c>
    </row>
    <row r="371" spans="1:11">
      <c r="A371" s="385">
        <v>246</v>
      </c>
      <c r="B371" s="385" t="s">
        <v>5226</v>
      </c>
      <c r="C371" s="385" t="s">
        <v>5226</v>
      </c>
      <c r="D371" s="385" t="s">
        <v>5226</v>
      </c>
      <c r="E371" s="385">
        <v>283</v>
      </c>
      <c r="F371" s="385" t="s">
        <v>4705</v>
      </c>
      <c r="G371" s="385" t="s">
        <v>4704</v>
      </c>
      <c r="H371" s="385" t="s">
        <v>4703</v>
      </c>
      <c r="I371" s="385" t="s">
        <v>3485</v>
      </c>
      <c r="J371" s="385" t="s">
        <v>3477</v>
      </c>
      <c r="K371" s="385" t="e">
        <f>VLOOKUP(Table13[[#This Row],[CD_FUNCAO]],'BASE_FUNCOES (hide)'!A:X,2,FALSE)</f>
        <v>#N/A</v>
      </c>
    </row>
    <row r="372" spans="1:11" hidden="1">
      <c r="A372" s="385">
        <v>359</v>
      </c>
      <c r="B372" s="385" t="s">
        <v>1464</v>
      </c>
      <c r="C372" s="385" t="s">
        <v>1464</v>
      </c>
      <c r="D372" s="385" t="s">
        <v>1465</v>
      </c>
      <c r="E372" s="385">
        <v>283</v>
      </c>
      <c r="F372" s="385" t="s">
        <v>4705</v>
      </c>
      <c r="G372" s="385" t="s">
        <v>4704</v>
      </c>
      <c r="H372" s="385" t="s">
        <v>4703</v>
      </c>
      <c r="I372" s="385" t="s">
        <v>3477</v>
      </c>
      <c r="J372" s="385" t="s">
        <v>3477</v>
      </c>
      <c r="K372" s="385" t="str">
        <f>VLOOKUP(Table13[[#This Row],[CD_FUNCAO]],'BASE_FUNCOES (hide)'!A:X,2,FALSE)</f>
        <v>Clinical Board</v>
      </c>
    </row>
    <row r="373" spans="1:11">
      <c r="A373" s="385">
        <v>247</v>
      </c>
      <c r="B373" s="385" t="s">
        <v>5230</v>
      </c>
      <c r="C373" s="385" t="s">
        <v>5229</v>
      </c>
      <c r="D373" s="385" t="s">
        <v>5228</v>
      </c>
      <c r="E373" s="385">
        <v>283</v>
      </c>
      <c r="F373" s="385" t="s">
        <v>4705</v>
      </c>
      <c r="G373" s="385" t="s">
        <v>4704</v>
      </c>
      <c r="H373" s="385" t="s">
        <v>4703</v>
      </c>
      <c r="I373" s="385" t="s">
        <v>3510</v>
      </c>
      <c r="J373" s="385" t="s">
        <v>3477</v>
      </c>
      <c r="K373" s="385" t="e">
        <f>VLOOKUP(Table13[[#This Row],[CD_FUNCAO]],'BASE_FUNCOES (hide)'!A:X,2,FALSE)</f>
        <v>#N/A</v>
      </c>
    </row>
    <row r="374" spans="1:11">
      <c r="A374" s="385">
        <v>248</v>
      </c>
      <c r="B374" s="385" t="s">
        <v>4440</v>
      </c>
      <c r="C374" s="385" t="s">
        <v>4439</v>
      </c>
      <c r="D374" s="385" t="s">
        <v>4438</v>
      </c>
      <c r="E374" s="385">
        <v>381</v>
      </c>
      <c r="F374" s="385" t="s">
        <v>4377</v>
      </c>
      <c r="I374" s="385" t="s">
        <v>3506</v>
      </c>
      <c r="J374" s="385" t="s">
        <v>3513</v>
      </c>
      <c r="K374" s="385" t="e">
        <f>VLOOKUP(Table13[[#This Row],[CD_FUNCAO]],'BASE_FUNCOES (hide)'!A:X,2,FALSE)</f>
        <v>#N/A</v>
      </c>
    </row>
    <row r="375" spans="1:11">
      <c r="A375" s="385">
        <v>249</v>
      </c>
      <c r="B375" s="385" t="s">
        <v>5177</v>
      </c>
      <c r="C375" s="385" t="s">
        <v>5177</v>
      </c>
      <c r="D375" s="385" t="s">
        <v>5177</v>
      </c>
      <c r="E375" s="385">
        <v>283</v>
      </c>
      <c r="F375" s="385" t="s">
        <v>4705</v>
      </c>
      <c r="G375" s="385" t="s">
        <v>4704</v>
      </c>
      <c r="H375" s="385" t="s">
        <v>4703</v>
      </c>
      <c r="I375" s="385" t="s">
        <v>3485</v>
      </c>
      <c r="J375" s="385" t="s">
        <v>3477</v>
      </c>
      <c r="K375" s="385" t="e">
        <f>VLOOKUP(Table13[[#This Row],[CD_FUNCAO]],'BASE_FUNCOES (hide)'!A:X,2,FALSE)</f>
        <v>#N/A</v>
      </c>
    </row>
    <row r="376" spans="1:11">
      <c r="A376" s="385">
        <v>250</v>
      </c>
      <c r="B376" s="385" t="s">
        <v>3939</v>
      </c>
      <c r="C376" s="385" t="s">
        <v>3938</v>
      </c>
      <c r="D376" s="385" t="s">
        <v>3937</v>
      </c>
      <c r="E376" s="385">
        <v>36</v>
      </c>
      <c r="F376" s="385" t="s">
        <v>250</v>
      </c>
      <c r="I376" s="385" t="s">
        <v>3488</v>
      </c>
      <c r="J376" s="385" t="s">
        <v>3476</v>
      </c>
      <c r="K376" s="385" t="e">
        <f>VLOOKUP(Table13[[#This Row],[CD_FUNCAO]],'BASE_FUNCOES (hide)'!A:X,2,FALSE)</f>
        <v>#N/A</v>
      </c>
    </row>
    <row r="377" spans="1:11">
      <c r="A377" s="385">
        <v>253</v>
      </c>
      <c r="B377" s="385" t="s">
        <v>5224</v>
      </c>
      <c r="C377" s="385" t="s">
        <v>5224</v>
      </c>
      <c r="D377" s="385" t="s">
        <v>5224</v>
      </c>
      <c r="E377" s="385">
        <v>283</v>
      </c>
      <c r="F377" s="385" t="s">
        <v>4705</v>
      </c>
      <c r="G377" s="385" t="s">
        <v>4704</v>
      </c>
      <c r="H377" s="385" t="s">
        <v>4703</v>
      </c>
      <c r="I377" s="385" t="s">
        <v>3510</v>
      </c>
      <c r="J377" s="385" t="s">
        <v>3477</v>
      </c>
      <c r="K377" s="385" t="e">
        <f>VLOOKUP(Table13[[#This Row],[CD_FUNCAO]],'BASE_FUNCOES (hide)'!A:X,2,FALSE)</f>
        <v>#N/A</v>
      </c>
    </row>
    <row r="378" spans="1:11">
      <c r="A378" s="385">
        <v>254</v>
      </c>
      <c r="B378" s="385" t="s">
        <v>3942</v>
      </c>
      <c r="C378" s="385" t="s">
        <v>3941</v>
      </c>
      <c r="D378" s="385" t="s">
        <v>3940</v>
      </c>
      <c r="E378" s="385">
        <v>36</v>
      </c>
      <c r="F378" s="385" t="s">
        <v>250</v>
      </c>
      <c r="I378" s="385" t="s">
        <v>3485</v>
      </c>
      <c r="J378" s="385" t="s">
        <v>3477</v>
      </c>
      <c r="K378" s="385" t="e">
        <f>VLOOKUP(Table13[[#This Row],[CD_FUNCAO]],'BASE_FUNCOES (hide)'!A:X,2,FALSE)</f>
        <v>#N/A</v>
      </c>
    </row>
    <row r="379" spans="1:11">
      <c r="A379" s="385">
        <v>255</v>
      </c>
      <c r="B379" s="385" t="s">
        <v>5223</v>
      </c>
      <c r="C379" s="385" t="s">
        <v>5223</v>
      </c>
      <c r="D379" s="385" t="s">
        <v>5223</v>
      </c>
      <c r="E379" s="385">
        <v>283</v>
      </c>
      <c r="F379" s="385" t="s">
        <v>4705</v>
      </c>
      <c r="G379" s="385" t="s">
        <v>4704</v>
      </c>
      <c r="H379" s="385" t="s">
        <v>4703</v>
      </c>
      <c r="I379" s="385" t="s">
        <v>3485</v>
      </c>
      <c r="J379" s="385" t="s">
        <v>3477</v>
      </c>
      <c r="K379" s="385" t="e">
        <f>VLOOKUP(Table13[[#This Row],[CD_FUNCAO]],'BASE_FUNCOES (hide)'!A:X,2,FALSE)</f>
        <v>#N/A</v>
      </c>
    </row>
    <row r="380" spans="1:11">
      <c r="A380" s="385">
        <v>261</v>
      </c>
      <c r="B380" s="385" t="s">
        <v>4522</v>
      </c>
      <c r="C380" s="385" t="s">
        <v>4521</v>
      </c>
      <c r="D380" s="385" t="s">
        <v>4521</v>
      </c>
      <c r="E380" s="385">
        <v>379</v>
      </c>
      <c r="F380" s="385" t="s">
        <v>4502</v>
      </c>
      <c r="I380" s="385" t="s">
        <v>3477</v>
      </c>
      <c r="J380" s="385" t="s">
        <v>3513</v>
      </c>
      <c r="K380" s="385" t="str">
        <f>VLOOKUP(Table13[[#This Row],[CD_FUNCAO]],'BASE_FUNCOES (hide)'!A:X,2,FALSE)</f>
        <v>OPS - Gestão de Envio de E-mails</v>
      </c>
    </row>
    <row r="381" spans="1:11">
      <c r="A381" s="385">
        <v>262</v>
      </c>
      <c r="B381" s="385" t="s">
        <v>3704</v>
      </c>
      <c r="C381" s="385" t="s">
        <v>3704</v>
      </c>
      <c r="D381" s="385" t="s">
        <v>3704</v>
      </c>
      <c r="E381" s="385">
        <v>836</v>
      </c>
      <c r="F381" s="385" t="s">
        <v>849</v>
      </c>
      <c r="I381" s="385" t="s">
        <v>3477</v>
      </c>
      <c r="J381" s="385" t="s">
        <v>3513</v>
      </c>
      <c r="K381" s="385" t="str">
        <f>VLOOKUP(Table13[[#This Row],[CD_FUNCAO]],'BASE_FUNCOES (hide)'!A:X,2,FALSE)</f>
        <v>OPS - Módulo de Inadimplência (A510)</v>
      </c>
    </row>
    <row r="382" spans="1:11" hidden="1">
      <c r="A382" s="385">
        <v>340</v>
      </c>
      <c r="B382" s="385" t="s">
        <v>1452</v>
      </c>
      <c r="C382" s="385" t="s">
        <v>1453</v>
      </c>
      <c r="D382" s="385" t="s">
        <v>5141</v>
      </c>
      <c r="E382" s="385">
        <v>283</v>
      </c>
      <c r="F382" s="385" t="s">
        <v>4705</v>
      </c>
      <c r="G382" s="385" t="s">
        <v>4704</v>
      </c>
      <c r="H382" s="385" t="s">
        <v>4703</v>
      </c>
      <c r="I382" s="385" t="s">
        <v>3477</v>
      </c>
      <c r="J382" s="385" t="s">
        <v>3477</v>
      </c>
      <c r="K382" s="385" t="str">
        <f>VLOOKUP(Table13[[#This Row],[CD_FUNCAO]],'BASE_FUNCOES (hide)'!A:X,2,FALSE)</f>
        <v>Resumo do Episódio</v>
      </c>
    </row>
    <row r="383" spans="1:11" hidden="1">
      <c r="A383" s="385">
        <v>99071</v>
      </c>
      <c r="B383" s="385" t="s">
        <v>1429</v>
      </c>
      <c r="C383" s="385" t="s">
        <v>1430</v>
      </c>
      <c r="D383" s="385" t="s">
        <v>1431</v>
      </c>
      <c r="E383" s="385">
        <v>283</v>
      </c>
      <c r="F383" s="385" t="s">
        <v>4705</v>
      </c>
      <c r="G383" s="385" t="s">
        <v>4704</v>
      </c>
      <c r="H383" s="385" t="s">
        <v>4703</v>
      </c>
      <c r="I383" s="385" t="s">
        <v>3477</v>
      </c>
      <c r="J383" s="385" t="s">
        <v>3477</v>
      </c>
      <c r="K383" s="385" t="str">
        <f>VLOOKUP(Table13[[#This Row],[CD_FUNCAO]],'BASE_FUNCOES (hide)'!A:X,2,FALSE)</f>
        <v>Faturamento Paciente</v>
      </c>
    </row>
    <row r="384" spans="1:11" hidden="1">
      <c r="A384" s="385">
        <v>351</v>
      </c>
      <c r="B384" s="385" t="s">
        <v>1433</v>
      </c>
      <c r="C384" s="385" t="s">
        <v>1434</v>
      </c>
      <c r="D384" s="385" t="s">
        <v>1434</v>
      </c>
      <c r="E384" s="385">
        <v>283</v>
      </c>
      <c r="F384" s="385" t="s">
        <v>4705</v>
      </c>
      <c r="G384" s="385" t="s">
        <v>4704</v>
      </c>
      <c r="H384" s="385" t="s">
        <v>4703</v>
      </c>
      <c r="I384" s="385" t="s">
        <v>3477</v>
      </c>
      <c r="J384" s="385" t="s">
        <v>3476</v>
      </c>
      <c r="K384" s="385" t="str">
        <f>VLOOKUP(Table13[[#This Row],[CD_FUNCAO]],'BASE_FUNCOES (hide)'!A:X,2,FALSE)</f>
        <v>Troca de Dados com Convênio</v>
      </c>
    </row>
    <row r="385" spans="1:11">
      <c r="A385" s="385">
        <v>265</v>
      </c>
      <c r="B385" s="385" t="s">
        <v>5787</v>
      </c>
      <c r="C385" s="385" t="s">
        <v>5786</v>
      </c>
      <c r="D385" s="385" t="s">
        <v>5785</v>
      </c>
      <c r="E385" s="385">
        <v>304</v>
      </c>
      <c r="F385" s="385" t="s">
        <v>1478</v>
      </c>
      <c r="G385" s="385" t="s">
        <v>1480</v>
      </c>
      <c r="H385" s="385" t="s">
        <v>1482</v>
      </c>
      <c r="I385" s="385" t="s">
        <v>3510</v>
      </c>
      <c r="K385" s="385" t="e">
        <f>VLOOKUP(Table13[[#This Row],[CD_FUNCAO]],'BASE_FUNCOES (hide)'!A:X,2,FALSE)</f>
        <v>#N/A</v>
      </c>
    </row>
    <row r="386" spans="1:11" hidden="1">
      <c r="A386" s="385">
        <v>8726</v>
      </c>
      <c r="B386" s="385" t="s">
        <v>1623</v>
      </c>
      <c r="C386" s="385" t="s">
        <v>1623</v>
      </c>
      <c r="D386" s="385" t="s">
        <v>1623</v>
      </c>
      <c r="E386" s="385">
        <v>283</v>
      </c>
      <c r="F386" s="385" t="s">
        <v>4705</v>
      </c>
      <c r="G386" s="385" t="s">
        <v>4704</v>
      </c>
      <c r="H386" s="385" t="s">
        <v>4703</v>
      </c>
      <c r="I386" s="385" t="s">
        <v>3477</v>
      </c>
      <c r="J386" s="385" t="s">
        <v>3477</v>
      </c>
      <c r="K386" s="385" t="str">
        <f>VLOOKUP(Table13[[#This Row],[CD_FUNCAO]],'BASE_FUNCOES (hide)'!A:X,2,FALSE)</f>
        <v>Dashboard of Targets</v>
      </c>
    </row>
    <row r="387" spans="1:11">
      <c r="A387" s="385">
        <v>266</v>
      </c>
      <c r="B387" s="385" t="s">
        <v>5138</v>
      </c>
      <c r="C387" s="385" t="s">
        <v>5137</v>
      </c>
      <c r="D387" s="385" t="s">
        <v>5136</v>
      </c>
      <c r="E387" s="385">
        <v>283</v>
      </c>
      <c r="F387" s="385" t="s">
        <v>4705</v>
      </c>
      <c r="G387" s="385" t="s">
        <v>4704</v>
      </c>
      <c r="H387" s="385" t="s">
        <v>4703</v>
      </c>
      <c r="I387" s="385" t="s">
        <v>3488</v>
      </c>
      <c r="J387" s="385" t="s">
        <v>3477</v>
      </c>
      <c r="K387" s="385" t="e">
        <f>VLOOKUP(Table13[[#This Row],[CD_FUNCAO]],'BASE_FUNCOES (hide)'!A:X,2,FALSE)</f>
        <v>#N/A</v>
      </c>
    </row>
    <row r="388" spans="1:11">
      <c r="A388" s="385">
        <v>268</v>
      </c>
      <c r="B388" s="385" t="s">
        <v>4624</v>
      </c>
      <c r="C388" s="385" t="s">
        <v>4623</v>
      </c>
      <c r="D388" s="385" t="s">
        <v>4622</v>
      </c>
      <c r="E388" s="385">
        <v>375</v>
      </c>
      <c r="F388" s="385" t="s">
        <v>4588</v>
      </c>
      <c r="I388" s="385" t="s">
        <v>3477</v>
      </c>
      <c r="J388" s="385" t="s">
        <v>3513</v>
      </c>
      <c r="K388" s="385" t="str">
        <f>VLOOKUP(Table13[[#This Row],[CD_FUNCAO]],'BASE_FUNCOES (hide)'!A:X,2,FALSE)</f>
        <v>OPS - Gestão de Rescisão de Contrato</v>
      </c>
    </row>
    <row r="389" spans="1:11">
      <c r="A389" s="385">
        <v>271</v>
      </c>
      <c r="B389" s="385" t="s">
        <v>5149</v>
      </c>
      <c r="C389" s="385" t="s">
        <v>5149</v>
      </c>
      <c r="D389" s="385" t="s">
        <v>5149</v>
      </c>
      <c r="E389" s="385">
        <v>283</v>
      </c>
      <c r="F389" s="385" t="s">
        <v>4705</v>
      </c>
      <c r="G389" s="385" t="s">
        <v>4704</v>
      </c>
      <c r="H389" s="385" t="s">
        <v>4703</v>
      </c>
      <c r="I389" s="385" t="s">
        <v>3477</v>
      </c>
      <c r="J389" s="385" t="s">
        <v>3477</v>
      </c>
      <c r="K389" s="385" t="e">
        <f>VLOOKUP(Table13[[#This Row],[CD_FUNCAO]],'BASE_FUNCOES (hide)'!A:X,2,FALSE)</f>
        <v>#N/A</v>
      </c>
    </row>
    <row r="390" spans="1:11">
      <c r="A390" s="385">
        <v>273</v>
      </c>
      <c r="B390" s="385" t="s">
        <v>5155</v>
      </c>
      <c r="C390" s="385" t="s">
        <v>5154</v>
      </c>
      <c r="D390" s="385" t="s">
        <v>5153</v>
      </c>
      <c r="E390" s="385">
        <v>283</v>
      </c>
      <c r="F390" s="385" t="s">
        <v>4705</v>
      </c>
      <c r="G390" s="385" t="s">
        <v>4704</v>
      </c>
      <c r="H390" s="385" t="s">
        <v>4703</v>
      </c>
      <c r="I390" s="385" t="s">
        <v>3477</v>
      </c>
      <c r="J390" s="385" t="s">
        <v>3476</v>
      </c>
      <c r="K390" s="385" t="e">
        <f>VLOOKUP(Table13[[#This Row],[CD_FUNCAO]],'BASE_FUNCOES (hide)'!A:X,2,FALSE)</f>
        <v>#N/A</v>
      </c>
    </row>
    <row r="391" spans="1:11">
      <c r="A391" s="385">
        <v>278</v>
      </c>
      <c r="B391" s="385" t="s">
        <v>5109</v>
      </c>
      <c r="C391" s="385" t="s">
        <v>5109</v>
      </c>
      <c r="D391" s="385" t="s">
        <v>5109</v>
      </c>
      <c r="E391" s="385">
        <v>283</v>
      </c>
      <c r="F391" s="385" t="s">
        <v>4705</v>
      </c>
      <c r="G391" s="385" t="s">
        <v>4704</v>
      </c>
      <c r="H391" s="385" t="s">
        <v>4703</v>
      </c>
      <c r="I391" s="385" t="s">
        <v>3485</v>
      </c>
      <c r="J391" s="385" t="s">
        <v>3477</v>
      </c>
      <c r="K391" s="385" t="e">
        <f>VLOOKUP(Table13[[#This Row],[CD_FUNCAO]],'BASE_FUNCOES (hide)'!A:X,2,FALSE)</f>
        <v>#N/A</v>
      </c>
    </row>
    <row r="392" spans="1:11">
      <c r="A392" s="385">
        <v>279</v>
      </c>
      <c r="B392" s="385" t="s">
        <v>5131</v>
      </c>
      <c r="C392" s="385" t="s">
        <v>5130</v>
      </c>
      <c r="D392" s="385" t="s">
        <v>5129</v>
      </c>
      <c r="E392" s="385">
        <v>283</v>
      </c>
      <c r="F392" s="385" t="s">
        <v>4705</v>
      </c>
      <c r="G392" s="385" t="s">
        <v>4704</v>
      </c>
      <c r="H392" s="385" t="s">
        <v>4703</v>
      </c>
      <c r="I392" s="385" t="s">
        <v>3488</v>
      </c>
      <c r="J392" s="385" t="s">
        <v>3476</v>
      </c>
      <c r="K392" s="385" t="e">
        <f>VLOOKUP(Table13[[#This Row],[CD_FUNCAO]],'BASE_FUNCOES (hide)'!A:X,2,FALSE)</f>
        <v>#N/A</v>
      </c>
    </row>
    <row r="393" spans="1:11">
      <c r="A393" s="385">
        <v>280</v>
      </c>
      <c r="B393" s="385" t="s">
        <v>4490</v>
      </c>
      <c r="C393" s="385" t="s">
        <v>4490</v>
      </c>
      <c r="D393" s="385" t="s">
        <v>4490</v>
      </c>
      <c r="E393" s="385">
        <v>380</v>
      </c>
      <c r="F393" s="385" t="s">
        <v>4474</v>
      </c>
      <c r="I393" s="385" t="s">
        <v>3477</v>
      </c>
      <c r="J393" s="385" t="s">
        <v>3513</v>
      </c>
      <c r="K393" s="385" t="str">
        <f>VLOOKUP(Table13[[#This Row],[CD_FUNCAO]],'BASE_FUNCOES (hide)'!A:X,2,FALSE)</f>
        <v>OPS - SIB ANS - Sistema de Informação de Beneficiários</v>
      </c>
    </row>
    <row r="394" spans="1:11" hidden="1">
      <c r="A394" s="385">
        <v>350</v>
      </c>
      <c r="B394" s="385" t="s">
        <v>1437</v>
      </c>
      <c r="C394" s="385" t="s">
        <v>1438</v>
      </c>
      <c r="D394" s="385" t="s">
        <v>1439</v>
      </c>
      <c r="E394" s="385">
        <v>283</v>
      </c>
      <c r="F394" s="385" t="s">
        <v>4705</v>
      </c>
      <c r="G394" s="385" t="s">
        <v>4704</v>
      </c>
      <c r="H394" s="385" t="s">
        <v>4703</v>
      </c>
      <c r="I394" s="385" t="s">
        <v>3477</v>
      </c>
      <c r="J394" s="385" t="s">
        <v>3477</v>
      </c>
      <c r="K394" s="385" t="str">
        <f>VLOOKUP(Table13[[#This Row],[CD_FUNCAO]],'BASE_FUNCOES (hide)'!A:X,2,FALSE)</f>
        <v>Grupo de Diagnósticos Relacionados (DRG)</v>
      </c>
    </row>
    <row r="395" spans="1:11" hidden="1">
      <c r="A395" s="385">
        <v>9960</v>
      </c>
      <c r="B395" s="385" t="s">
        <v>1449</v>
      </c>
      <c r="C395" s="385" t="s">
        <v>1450</v>
      </c>
      <c r="D395" s="385" t="s">
        <v>1451</v>
      </c>
      <c r="E395" s="385">
        <v>283</v>
      </c>
      <c r="F395" s="385" t="s">
        <v>4705</v>
      </c>
      <c r="G395" s="385" t="s">
        <v>4704</v>
      </c>
      <c r="H395" s="385" t="s">
        <v>4703</v>
      </c>
      <c r="I395" s="385" t="s">
        <v>3477</v>
      </c>
      <c r="J395" s="385" t="s">
        <v>3477</v>
      </c>
      <c r="K395" s="385" t="str">
        <f>VLOOKUP(Table13[[#This Row],[CD_FUNCAO]],'BASE_FUNCOES (hide)'!A:X,2,FALSE)</f>
        <v>Carta Médica</v>
      </c>
    </row>
    <row r="396" spans="1:11">
      <c r="A396" s="385">
        <v>282</v>
      </c>
      <c r="B396" s="385" t="s">
        <v>5134</v>
      </c>
      <c r="C396" s="385" t="s">
        <v>5133</v>
      </c>
      <c r="D396" s="385" t="s">
        <v>5132</v>
      </c>
      <c r="E396" s="385">
        <v>283</v>
      </c>
      <c r="F396" s="385" t="s">
        <v>4705</v>
      </c>
      <c r="G396" s="385" t="s">
        <v>4704</v>
      </c>
      <c r="H396" s="385" t="s">
        <v>4703</v>
      </c>
      <c r="I396" s="385" t="s">
        <v>3510</v>
      </c>
      <c r="J396" s="385" t="s">
        <v>3477</v>
      </c>
      <c r="K396" s="385" t="e">
        <f>VLOOKUP(Table13[[#This Row],[CD_FUNCAO]],'BASE_FUNCOES (hide)'!A:X,2,FALSE)</f>
        <v>#N/A</v>
      </c>
    </row>
    <row r="397" spans="1:11">
      <c r="A397" s="385">
        <v>285</v>
      </c>
      <c r="B397" s="385" t="s">
        <v>5119</v>
      </c>
      <c r="C397" s="385" t="s">
        <v>5118</v>
      </c>
      <c r="D397" s="385" t="s">
        <v>5117</v>
      </c>
      <c r="E397" s="385">
        <v>283</v>
      </c>
      <c r="F397" s="385" t="s">
        <v>4705</v>
      </c>
      <c r="G397" s="385" t="s">
        <v>4704</v>
      </c>
      <c r="H397" s="385" t="s">
        <v>4703</v>
      </c>
      <c r="I397" s="385" t="s">
        <v>3510</v>
      </c>
      <c r="J397" s="385" t="s">
        <v>3477</v>
      </c>
      <c r="K397" s="385" t="e">
        <f>VLOOKUP(Table13[[#This Row],[CD_FUNCAO]],'BASE_FUNCOES (hide)'!A:X,2,FALSE)</f>
        <v>#N/A</v>
      </c>
    </row>
    <row r="398" spans="1:11">
      <c r="A398" s="385">
        <v>286</v>
      </c>
      <c r="B398" s="385" t="s">
        <v>5745</v>
      </c>
      <c r="C398" s="385" t="s">
        <v>5744</v>
      </c>
      <c r="D398" s="385" t="s">
        <v>5743</v>
      </c>
      <c r="E398" s="385">
        <v>283</v>
      </c>
      <c r="F398" s="385" t="s">
        <v>4705</v>
      </c>
      <c r="G398" s="385" t="s">
        <v>4704</v>
      </c>
      <c r="H398" s="385" t="s">
        <v>4703</v>
      </c>
      <c r="I398" s="385" t="s">
        <v>3488</v>
      </c>
      <c r="J398" s="385" t="s">
        <v>3476</v>
      </c>
      <c r="K398" s="385" t="e">
        <f>VLOOKUP(Table13[[#This Row],[CD_FUNCAO]],'BASE_FUNCOES (hide)'!A:X,2,FALSE)</f>
        <v>#N/A</v>
      </c>
    </row>
    <row r="399" spans="1:11">
      <c r="A399" s="385">
        <v>287</v>
      </c>
      <c r="B399" s="385" t="s">
        <v>5145</v>
      </c>
      <c r="C399" s="385" t="s">
        <v>5145</v>
      </c>
      <c r="D399" s="385" t="s">
        <v>5145</v>
      </c>
      <c r="E399" s="385">
        <v>283</v>
      </c>
      <c r="F399" s="385" t="s">
        <v>4705</v>
      </c>
      <c r="G399" s="385" t="s">
        <v>4704</v>
      </c>
      <c r="H399" s="385" t="s">
        <v>4703</v>
      </c>
      <c r="I399" s="385" t="s">
        <v>3510</v>
      </c>
      <c r="J399" s="385" t="s">
        <v>3477</v>
      </c>
      <c r="K399" s="385" t="e">
        <f>VLOOKUP(Table13[[#This Row],[CD_FUNCAO]],'BASE_FUNCOES (hide)'!A:X,2,FALSE)</f>
        <v>#N/A</v>
      </c>
    </row>
    <row r="400" spans="1:11" hidden="1">
      <c r="A400" s="385">
        <v>99059</v>
      </c>
      <c r="B400" s="385" t="s">
        <v>1424</v>
      </c>
      <c r="C400" s="385" t="s">
        <v>1425</v>
      </c>
      <c r="D400" s="385" t="s">
        <v>1426</v>
      </c>
      <c r="E400" s="385">
        <v>283</v>
      </c>
      <c r="F400" s="385" t="s">
        <v>4705</v>
      </c>
      <c r="G400" s="385" t="s">
        <v>4704</v>
      </c>
      <c r="H400" s="385" t="s">
        <v>4703</v>
      </c>
      <c r="I400" s="385" t="s">
        <v>3477</v>
      </c>
      <c r="J400" s="385" t="s">
        <v>3477</v>
      </c>
      <c r="K400" s="385" t="str">
        <f>VLOOKUP(Table13[[#This Row],[CD_FUNCAO]],'BASE_FUNCOES (hide)'!A:X,2,FALSE)</f>
        <v>Gerenciador do Schematics</v>
      </c>
    </row>
    <row r="401" spans="1:11">
      <c r="A401" s="385">
        <v>288</v>
      </c>
      <c r="B401" s="385" t="s">
        <v>5148</v>
      </c>
      <c r="C401" s="385" t="s">
        <v>5147</v>
      </c>
      <c r="D401" s="385" t="s">
        <v>5146</v>
      </c>
      <c r="E401" s="385">
        <v>283</v>
      </c>
      <c r="F401" s="385" t="s">
        <v>4705</v>
      </c>
      <c r="G401" s="385" t="s">
        <v>4704</v>
      </c>
      <c r="H401" s="385" t="s">
        <v>4703</v>
      </c>
      <c r="I401" s="385" t="s">
        <v>3485</v>
      </c>
      <c r="J401" s="385" t="s">
        <v>3477</v>
      </c>
      <c r="K401" s="385" t="e">
        <f>VLOOKUP(Table13[[#This Row],[CD_FUNCAO]],'BASE_FUNCOES (hide)'!A:X,2,FALSE)</f>
        <v>#N/A</v>
      </c>
    </row>
    <row r="402" spans="1:11" hidden="1">
      <c r="A402" s="385">
        <v>99070</v>
      </c>
      <c r="B402" s="385" t="s">
        <v>1443</v>
      </c>
      <c r="C402" s="385" t="s">
        <v>1444</v>
      </c>
      <c r="D402" s="385" t="s">
        <v>1445</v>
      </c>
      <c r="E402" s="385">
        <v>283</v>
      </c>
      <c r="F402" s="385" t="s">
        <v>4705</v>
      </c>
      <c r="G402" s="385" t="s">
        <v>4704</v>
      </c>
      <c r="H402" s="385" t="s">
        <v>4703</v>
      </c>
      <c r="I402" s="385" t="s">
        <v>3477</v>
      </c>
      <c r="J402" s="385" t="s">
        <v>3477</v>
      </c>
      <c r="K402" s="385" t="str">
        <f>VLOOKUP(Table13[[#This Row],[CD_FUNCAO]],'BASE_FUNCOES (hide)'!A:X,2,FALSE)</f>
        <v>Gestão de Episódios</v>
      </c>
    </row>
    <row r="403" spans="1:11">
      <c r="A403" s="385">
        <v>289</v>
      </c>
      <c r="B403" s="385" t="s">
        <v>4031</v>
      </c>
      <c r="C403" s="385" t="s">
        <v>4030</v>
      </c>
      <c r="D403" s="385" t="s">
        <v>4029</v>
      </c>
      <c r="E403" s="385">
        <v>22</v>
      </c>
      <c r="F403" s="385" t="s">
        <v>2783</v>
      </c>
      <c r="I403" s="385" t="s">
        <v>3485</v>
      </c>
      <c r="J403" s="385" t="s">
        <v>3476</v>
      </c>
      <c r="K403" s="385" t="e">
        <f>VLOOKUP(Table13[[#This Row],[CD_FUNCAO]],'BASE_FUNCOES (hide)'!A:X,2,FALSE)</f>
        <v>#N/A</v>
      </c>
    </row>
    <row r="404" spans="1:11">
      <c r="A404" s="385">
        <v>293</v>
      </c>
      <c r="B404" s="385" t="s">
        <v>140</v>
      </c>
      <c r="C404" s="385" t="s">
        <v>4075</v>
      </c>
      <c r="D404" s="385" t="s">
        <v>764</v>
      </c>
      <c r="E404" s="385">
        <v>302</v>
      </c>
      <c r="F404" s="385" t="s">
        <v>409</v>
      </c>
      <c r="G404" s="385" t="s">
        <v>1467</v>
      </c>
      <c r="H404" s="385" t="s">
        <v>1469</v>
      </c>
      <c r="I404" s="385" t="s">
        <v>3485</v>
      </c>
      <c r="J404" s="385" t="s">
        <v>3476</v>
      </c>
      <c r="K404" s="385" t="e">
        <f>VLOOKUP(Table13[[#This Row],[CD_FUNCAO]],'BASE_FUNCOES (hide)'!A:X,2,FALSE)</f>
        <v>#N/A</v>
      </c>
    </row>
    <row r="405" spans="1:11">
      <c r="A405" s="385">
        <v>303</v>
      </c>
      <c r="B405" s="385" t="s">
        <v>4233</v>
      </c>
      <c r="C405" s="385" t="s">
        <v>4232</v>
      </c>
      <c r="D405" s="385" t="s">
        <v>4231</v>
      </c>
      <c r="E405" s="385">
        <v>6</v>
      </c>
      <c r="F405" s="385" t="s">
        <v>58</v>
      </c>
      <c r="I405" s="385" t="s">
        <v>3485</v>
      </c>
      <c r="J405" s="385" t="s">
        <v>3476</v>
      </c>
      <c r="K405" s="385" t="e">
        <f>VLOOKUP(Table13[[#This Row],[CD_FUNCAO]],'BASE_FUNCOES (hide)'!A:X,2,FALSE)</f>
        <v>#N/A</v>
      </c>
    </row>
    <row r="406" spans="1:11">
      <c r="A406" s="385">
        <v>309</v>
      </c>
      <c r="B406" s="385" t="s">
        <v>5295</v>
      </c>
      <c r="C406" s="385" t="s">
        <v>5294</v>
      </c>
      <c r="D406" s="385" t="s">
        <v>5293</v>
      </c>
      <c r="E406" s="385">
        <v>283</v>
      </c>
      <c r="F406" s="385" t="s">
        <v>4705</v>
      </c>
      <c r="G406" s="385" t="s">
        <v>4704</v>
      </c>
      <c r="H406" s="385" t="s">
        <v>4703</v>
      </c>
      <c r="I406" s="385" t="s">
        <v>3510</v>
      </c>
      <c r="J406" s="385" t="s">
        <v>3477</v>
      </c>
      <c r="K406" s="385" t="e">
        <f>VLOOKUP(Table13[[#This Row],[CD_FUNCAO]],'BASE_FUNCOES (hide)'!A:X,2,FALSE)</f>
        <v>#N/A</v>
      </c>
    </row>
    <row r="407" spans="1:11">
      <c r="A407" s="385">
        <v>316</v>
      </c>
      <c r="B407" s="385" t="s">
        <v>5273</v>
      </c>
      <c r="C407" s="385" t="s">
        <v>5272</v>
      </c>
      <c r="D407" s="385" t="s">
        <v>5271</v>
      </c>
      <c r="E407" s="385">
        <v>283</v>
      </c>
      <c r="F407" s="385" t="s">
        <v>4705</v>
      </c>
      <c r="G407" s="385" t="s">
        <v>4704</v>
      </c>
      <c r="H407" s="385" t="s">
        <v>4703</v>
      </c>
      <c r="I407" s="385" t="s">
        <v>3510</v>
      </c>
      <c r="J407" s="385" t="s">
        <v>3477</v>
      </c>
      <c r="K407" s="385" t="e">
        <f>VLOOKUP(Table13[[#This Row],[CD_FUNCAO]],'BASE_FUNCOES (hide)'!A:X,2,FALSE)</f>
        <v>#N/A</v>
      </c>
    </row>
    <row r="408" spans="1:11">
      <c r="A408" s="385">
        <v>322</v>
      </c>
      <c r="B408" s="385" t="s">
        <v>5144</v>
      </c>
      <c r="C408" s="385" t="s">
        <v>5143</v>
      </c>
      <c r="D408" s="385" t="s">
        <v>5142</v>
      </c>
      <c r="E408" s="385">
        <v>283</v>
      </c>
      <c r="F408" s="385" t="s">
        <v>4705</v>
      </c>
      <c r="G408" s="385" t="s">
        <v>4704</v>
      </c>
      <c r="H408" s="385" t="s">
        <v>4703</v>
      </c>
      <c r="I408" s="385" t="s">
        <v>3510</v>
      </c>
      <c r="J408" s="385" t="s">
        <v>3477</v>
      </c>
      <c r="K408" s="385" t="e">
        <f>VLOOKUP(Table13[[#This Row],[CD_FUNCAO]],'BASE_FUNCOES (hide)'!A:X,2,FALSE)</f>
        <v>#N/A</v>
      </c>
    </row>
    <row r="409" spans="1:11">
      <c r="A409" s="385">
        <v>336</v>
      </c>
      <c r="B409" s="385" t="s">
        <v>3703</v>
      </c>
      <c r="C409" s="385" t="s">
        <v>3703</v>
      </c>
      <c r="D409" s="385" t="s">
        <v>3702</v>
      </c>
      <c r="E409" s="385">
        <v>836</v>
      </c>
      <c r="F409" s="385" t="s">
        <v>849</v>
      </c>
      <c r="I409" s="385" t="s">
        <v>3477</v>
      </c>
      <c r="J409" s="385" t="s">
        <v>3513</v>
      </c>
      <c r="K409" s="385" t="str">
        <f>VLOOKUP(Table13[[#This Row],[CD_FUNCAO]],'BASE_FUNCOES (hide)'!A:X,2,FALSE)</f>
        <v>OPS - Monitoramento Financeiro</v>
      </c>
    </row>
    <row r="410" spans="1:11" hidden="1">
      <c r="A410" s="385">
        <v>366</v>
      </c>
      <c r="B410" s="385" t="s">
        <v>1613</v>
      </c>
      <c r="C410" s="385" t="s">
        <v>5089</v>
      </c>
      <c r="D410" s="385" t="s">
        <v>5088</v>
      </c>
      <c r="E410" s="385">
        <v>283</v>
      </c>
      <c r="F410" s="385" t="s">
        <v>4705</v>
      </c>
      <c r="G410" s="385" t="s">
        <v>4704</v>
      </c>
      <c r="H410" s="385" t="s">
        <v>4703</v>
      </c>
      <c r="I410" s="385" t="s">
        <v>3477</v>
      </c>
      <c r="J410" s="385" t="s">
        <v>3477</v>
      </c>
      <c r="K410" s="385" t="str">
        <f>VLOOKUP(Table13[[#This Row],[CD_FUNCAO]],'BASE_FUNCOES (hide)'!A:X,2,FALSE)</f>
        <v>Lista de espera</v>
      </c>
    </row>
    <row r="411" spans="1:11">
      <c r="A411" s="385">
        <v>337</v>
      </c>
      <c r="B411" s="385" t="s">
        <v>3701</v>
      </c>
      <c r="C411" s="385" t="s">
        <v>3701</v>
      </c>
      <c r="D411" s="385" t="s">
        <v>3701</v>
      </c>
      <c r="E411" s="385">
        <v>836</v>
      </c>
      <c r="F411" s="385" t="s">
        <v>849</v>
      </c>
      <c r="I411" s="385" t="s">
        <v>3477</v>
      </c>
      <c r="J411" s="385" t="s">
        <v>3513</v>
      </c>
      <c r="K411" s="385" t="str">
        <f>VLOOKUP(Table13[[#This Row],[CD_FUNCAO]],'BASE_FUNCOES (hide)'!A:X,2,FALSE)</f>
        <v>OPS - Recursos de Glosas de Empresas</v>
      </c>
    </row>
    <row r="412" spans="1:11" hidden="1">
      <c r="A412" s="385">
        <v>-1040</v>
      </c>
      <c r="B412" s="385" t="s">
        <v>1610</v>
      </c>
      <c r="C412" s="385" t="s">
        <v>1611</v>
      </c>
      <c r="D412" s="385" t="s">
        <v>1612</v>
      </c>
      <c r="E412" s="385">
        <v>283</v>
      </c>
      <c r="F412" s="385" t="s">
        <v>4705</v>
      </c>
      <c r="G412" s="385" t="s">
        <v>4704</v>
      </c>
      <c r="H412" s="385" t="s">
        <v>4703</v>
      </c>
      <c r="I412" s="385" t="s">
        <v>3477</v>
      </c>
      <c r="J412" s="385" t="s">
        <v>3477</v>
      </c>
      <c r="K412" s="385" t="str">
        <f>VLOOKUP(Table13[[#This Row],[CD_FUNCAO]],'BASE_FUNCOES (hide)'!A:X,2,FALSE)</f>
        <v>Localizador de classificação CIF</v>
      </c>
    </row>
    <row r="413" spans="1:11">
      <c r="A413" s="385">
        <v>339</v>
      </c>
      <c r="B413" s="385" t="s">
        <v>5128</v>
      </c>
      <c r="C413" s="385" t="s">
        <v>5127</v>
      </c>
      <c r="D413" s="385" t="s">
        <v>5126</v>
      </c>
      <c r="E413" s="385">
        <v>283</v>
      </c>
      <c r="F413" s="385" t="s">
        <v>4705</v>
      </c>
      <c r="G413" s="385" t="s">
        <v>4704</v>
      </c>
      <c r="H413" s="385" t="s">
        <v>4703</v>
      </c>
      <c r="I413" s="385" t="s">
        <v>3510</v>
      </c>
      <c r="J413" s="385" t="s">
        <v>3477</v>
      </c>
      <c r="K413" s="385" t="e">
        <f>VLOOKUP(Table13[[#This Row],[CD_FUNCAO]],'BASE_FUNCOES (hide)'!A:X,2,FALSE)</f>
        <v>#N/A</v>
      </c>
    </row>
    <row r="414" spans="1:11" hidden="1">
      <c r="A414" s="385">
        <v>99072</v>
      </c>
      <c r="B414" s="385" t="s">
        <v>5083</v>
      </c>
      <c r="C414" s="385" t="s">
        <v>5082</v>
      </c>
      <c r="D414" s="385" t="s">
        <v>5081</v>
      </c>
      <c r="E414" s="385">
        <v>283</v>
      </c>
      <c r="F414" s="385" t="s">
        <v>4705</v>
      </c>
      <c r="G414" s="385" t="s">
        <v>4704</v>
      </c>
      <c r="H414" s="385" t="s">
        <v>4703</v>
      </c>
      <c r="I414" s="385" t="s">
        <v>3488</v>
      </c>
      <c r="J414" s="385" t="s">
        <v>3477</v>
      </c>
      <c r="K414" s="385" t="str">
        <f>VLOOKUP(Table13[[#This Row],[CD_FUNCAO]],'BASE_FUNCOES (hide)'!A:X,2,FALSE)</f>
        <v>Integrações</v>
      </c>
    </row>
    <row r="415" spans="1:11">
      <c r="A415" s="385">
        <v>342</v>
      </c>
      <c r="B415" s="385" t="s">
        <v>5105</v>
      </c>
      <c r="C415" s="385" t="s">
        <v>5104</v>
      </c>
      <c r="D415" s="385" t="s">
        <v>5103</v>
      </c>
      <c r="E415" s="385">
        <v>283</v>
      </c>
      <c r="F415" s="385" t="s">
        <v>4705</v>
      </c>
      <c r="G415" s="385" t="s">
        <v>4704</v>
      </c>
      <c r="H415" s="385" t="s">
        <v>4703</v>
      </c>
      <c r="I415" s="385" t="s">
        <v>3477</v>
      </c>
      <c r="J415" s="385" t="s">
        <v>3477</v>
      </c>
      <c r="K415" s="385" t="e">
        <f>VLOOKUP(Table13[[#This Row],[CD_FUNCAO]],'BASE_FUNCOES (hide)'!A:X,2,FALSE)</f>
        <v>#N/A</v>
      </c>
    </row>
    <row r="416" spans="1:11">
      <c r="A416" s="385">
        <v>343</v>
      </c>
      <c r="B416" s="385" t="s">
        <v>4300</v>
      </c>
      <c r="C416" s="385" t="s">
        <v>4300</v>
      </c>
      <c r="D416" s="385" t="s">
        <v>4300</v>
      </c>
      <c r="E416" s="385">
        <v>1</v>
      </c>
      <c r="F416" s="385" t="s">
        <v>4299</v>
      </c>
      <c r="I416" s="385" t="s">
        <v>3477</v>
      </c>
      <c r="J416" s="385" t="s">
        <v>3513</v>
      </c>
      <c r="K416" s="385" t="str">
        <f>VLOOKUP(Table13[[#This Row],[CD_FUNCAO]],'BASE_FUNCOES (hide)'!A:X,2,FALSE)</f>
        <v>OPS - Gestão de Dados Atuariais</v>
      </c>
    </row>
    <row r="417" spans="1:11">
      <c r="A417" s="385">
        <v>344</v>
      </c>
      <c r="B417" s="385" t="s">
        <v>5108</v>
      </c>
      <c r="C417" s="385" t="s">
        <v>5107</v>
      </c>
      <c r="D417" s="385" t="s">
        <v>5106</v>
      </c>
      <c r="E417" s="385">
        <v>283</v>
      </c>
      <c r="F417" s="385" t="s">
        <v>4705</v>
      </c>
      <c r="G417" s="385" t="s">
        <v>4704</v>
      </c>
      <c r="H417" s="385" t="s">
        <v>4703</v>
      </c>
      <c r="I417" s="385" t="s">
        <v>3488</v>
      </c>
      <c r="J417" s="385" t="s">
        <v>3477</v>
      </c>
      <c r="K417" s="385" t="e">
        <f>VLOOKUP(Table13[[#This Row],[CD_FUNCAO]],'BASE_FUNCOES (hide)'!A:X,2,FALSE)</f>
        <v>#N/A</v>
      </c>
    </row>
    <row r="418" spans="1:11">
      <c r="A418" s="385">
        <v>345</v>
      </c>
      <c r="B418" s="385" t="s">
        <v>5102</v>
      </c>
      <c r="C418" s="385" t="s">
        <v>5101</v>
      </c>
      <c r="D418" s="385" t="s">
        <v>5100</v>
      </c>
      <c r="E418" s="385">
        <v>283</v>
      </c>
      <c r="F418" s="385" t="s">
        <v>4705</v>
      </c>
      <c r="G418" s="385" t="s">
        <v>4704</v>
      </c>
      <c r="H418" s="385" t="s">
        <v>4703</v>
      </c>
      <c r="I418" s="385" t="s">
        <v>3510</v>
      </c>
      <c r="J418" s="385" t="s">
        <v>3477</v>
      </c>
      <c r="K418" s="385" t="e">
        <f>VLOOKUP(Table13[[#This Row],[CD_FUNCAO]],'BASE_FUNCOES (hide)'!A:X,2,FALSE)</f>
        <v>#N/A</v>
      </c>
    </row>
    <row r="419" spans="1:11">
      <c r="A419" s="385">
        <v>346</v>
      </c>
      <c r="B419" s="385" t="s">
        <v>5099</v>
      </c>
      <c r="C419" s="385" t="s">
        <v>5098</v>
      </c>
      <c r="D419" s="385" t="s">
        <v>5097</v>
      </c>
      <c r="E419" s="385">
        <v>283</v>
      </c>
      <c r="F419" s="385" t="s">
        <v>4705</v>
      </c>
      <c r="G419" s="385" t="s">
        <v>4704</v>
      </c>
      <c r="H419" s="385" t="s">
        <v>4703</v>
      </c>
      <c r="I419" s="385" t="s">
        <v>3510</v>
      </c>
      <c r="J419" s="385" t="s">
        <v>3477</v>
      </c>
      <c r="K419" s="385" t="e">
        <f>VLOOKUP(Table13[[#This Row],[CD_FUNCAO]],'BASE_FUNCOES (hide)'!A:X,2,FALSE)</f>
        <v>#N/A</v>
      </c>
    </row>
    <row r="420" spans="1:11">
      <c r="A420" s="385">
        <v>347</v>
      </c>
      <c r="B420" s="385" t="s">
        <v>4626</v>
      </c>
      <c r="C420" s="385" t="s">
        <v>4625</v>
      </c>
      <c r="D420" s="385" t="s">
        <v>4625</v>
      </c>
      <c r="E420" s="385">
        <v>375</v>
      </c>
      <c r="F420" s="385" t="s">
        <v>4588</v>
      </c>
      <c r="I420" s="385" t="s">
        <v>3477</v>
      </c>
      <c r="J420" s="385" t="s">
        <v>3477</v>
      </c>
      <c r="K420" s="385" t="str">
        <f>VLOOKUP(Table13[[#This Row],[CD_FUNCAO]],'BASE_FUNCOES (hide)'!A:X,2,FALSE)</f>
        <v>OPS - Programação de Reajuste Coletivo</v>
      </c>
    </row>
    <row r="421" spans="1:11">
      <c r="A421" s="385">
        <v>348</v>
      </c>
      <c r="B421" s="385" t="s">
        <v>5170</v>
      </c>
      <c r="C421" s="385" t="s">
        <v>5170</v>
      </c>
      <c r="D421" s="385" t="s">
        <v>5169</v>
      </c>
      <c r="E421" s="385">
        <v>283</v>
      </c>
      <c r="F421" s="385" t="s">
        <v>4705</v>
      </c>
      <c r="G421" s="385" t="s">
        <v>4704</v>
      </c>
      <c r="H421" s="385" t="s">
        <v>4703</v>
      </c>
      <c r="I421" s="385" t="s">
        <v>3510</v>
      </c>
      <c r="J421" s="385" t="s">
        <v>3477</v>
      </c>
      <c r="K421" s="385" t="e">
        <f>VLOOKUP(Table13[[#This Row],[CD_FUNCAO]],'BASE_FUNCOES (hide)'!A:X,2,FALSE)</f>
        <v>#N/A</v>
      </c>
    </row>
    <row r="422" spans="1:11">
      <c r="A422" s="385">
        <v>349</v>
      </c>
      <c r="B422" s="385" t="s">
        <v>3700</v>
      </c>
      <c r="C422" s="385" t="s">
        <v>3700</v>
      </c>
      <c r="D422" s="385" t="s">
        <v>3700</v>
      </c>
      <c r="E422" s="385">
        <v>836</v>
      </c>
      <c r="F422" s="385" t="s">
        <v>849</v>
      </c>
      <c r="I422" s="385" t="s">
        <v>3477</v>
      </c>
      <c r="J422" s="385" t="s">
        <v>3513</v>
      </c>
      <c r="K422" s="385" t="str">
        <f>VLOOKUP(Table13[[#This Row],[CD_FUNCAO]],'BASE_FUNCOES (hide)'!A:X,2,FALSE)</f>
        <v>OPS - Aviso de Cobrança (A520)</v>
      </c>
    </row>
    <row r="423" spans="1:11">
      <c r="A423" s="385">
        <v>353</v>
      </c>
      <c r="B423" s="385" t="s">
        <v>5168</v>
      </c>
      <c r="C423" s="385" t="s">
        <v>5168</v>
      </c>
      <c r="D423" s="385" t="s">
        <v>5168</v>
      </c>
      <c r="E423" s="385">
        <v>283</v>
      </c>
      <c r="F423" s="385" t="s">
        <v>4705</v>
      </c>
      <c r="G423" s="385" t="s">
        <v>4704</v>
      </c>
      <c r="H423" s="385" t="s">
        <v>4703</v>
      </c>
      <c r="I423" s="385" t="s">
        <v>3510</v>
      </c>
      <c r="J423" s="385" t="s">
        <v>3477</v>
      </c>
      <c r="K423" s="385" t="e">
        <f>VLOOKUP(Table13[[#This Row],[CD_FUNCAO]],'BASE_FUNCOES (hide)'!A:X,2,FALSE)</f>
        <v>#N/A</v>
      </c>
    </row>
    <row r="424" spans="1:11" hidden="1">
      <c r="A424" s="385">
        <v>-1050</v>
      </c>
      <c r="B424" s="385" t="s">
        <v>1616</v>
      </c>
      <c r="C424" s="385" t="s">
        <v>1616</v>
      </c>
      <c r="D424" s="385" t="s">
        <v>1617</v>
      </c>
      <c r="E424" s="385">
        <v>283</v>
      </c>
      <c r="F424" s="385" t="s">
        <v>4705</v>
      </c>
      <c r="G424" s="385" t="s">
        <v>4704</v>
      </c>
      <c r="H424" s="385" t="s">
        <v>4703</v>
      </c>
      <c r="I424" s="385" t="s">
        <v>3477</v>
      </c>
      <c r="J424" s="385" t="s">
        <v>3477</v>
      </c>
      <c r="K424" s="385" t="str">
        <f>VLOOKUP(Table13[[#This Row],[CD_FUNCAO]],'BASE_FUNCOES (hide)'!A:X,2,FALSE)</f>
        <v>Localizador de procedimento CIE9</v>
      </c>
    </row>
    <row r="425" spans="1:11">
      <c r="A425" s="385">
        <v>358</v>
      </c>
      <c r="B425" s="385" t="s">
        <v>5167</v>
      </c>
      <c r="C425" s="385" t="s">
        <v>5166</v>
      </c>
      <c r="D425" s="385" t="s">
        <v>5165</v>
      </c>
      <c r="E425" s="385">
        <v>283</v>
      </c>
      <c r="F425" s="385" t="s">
        <v>4705</v>
      </c>
      <c r="G425" s="385" t="s">
        <v>4704</v>
      </c>
      <c r="H425" s="385" t="s">
        <v>4703</v>
      </c>
      <c r="I425" s="385" t="s">
        <v>3485</v>
      </c>
      <c r="J425" s="385" t="s">
        <v>3477</v>
      </c>
      <c r="K425" s="385" t="e">
        <f>VLOOKUP(Table13[[#This Row],[CD_FUNCAO]],'BASE_FUNCOES (hide)'!A:X,2,FALSE)</f>
        <v>#N/A</v>
      </c>
    </row>
    <row r="426" spans="1:11">
      <c r="A426" s="385">
        <v>360</v>
      </c>
      <c r="B426" s="385" t="s">
        <v>5162</v>
      </c>
      <c r="C426" s="385" t="s">
        <v>5161</v>
      </c>
      <c r="D426" s="385" t="s">
        <v>5160</v>
      </c>
      <c r="E426" s="385">
        <v>283</v>
      </c>
      <c r="F426" s="385" t="s">
        <v>4705</v>
      </c>
      <c r="G426" s="385" t="s">
        <v>4704</v>
      </c>
      <c r="H426" s="385" t="s">
        <v>4703</v>
      </c>
      <c r="I426" s="385" t="s">
        <v>3510</v>
      </c>
      <c r="J426" s="385" t="s">
        <v>3477</v>
      </c>
      <c r="K426" s="385" t="e">
        <f>VLOOKUP(Table13[[#This Row],[CD_FUNCAO]],'BASE_FUNCOES (hide)'!A:X,2,FALSE)</f>
        <v>#N/A</v>
      </c>
    </row>
    <row r="427" spans="1:11">
      <c r="A427" s="385">
        <v>361</v>
      </c>
      <c r="B427" s="385" t="s">
        <v>5158</v>
      </c>
      <c r="C427" s="385" t="s">
        <v>5157</v>
      </c>
      <c r="D427" s="385" t="s">
        <v>5156</v>
      </c>
      <c r="E427" s="385">
        <v>283</v>
      </c>
      <c r="F427" s="385" t="s">
        <v>4705</v>
      </c>
      <c r="G427" s="385" t="s">
        <v>4704</v>
      </c>
      <c r="H427" s="385" t="s">
        <v>4703</v>
      </c>
      <c r="I427" s="385" t="s">
        <v>3510</v>
      </c>
      <c r="J427" s="385" t="s">
        <v>3476</v>
      </c>
      <c r="K427" s="385" t="e">
        <f>VLOOKUP(Table13[[#This Row],[CD_FUNCAO]],'BASE_FUNCOES (hide)'!A:X,2,FALSE)</f>
        <v>#N/A</v>
      </c>
    </row>
    <row r="428" spans="1:11">
      <c r="A428" s="385">
        <v>362</v>
      </c>
      <c r="B428" s="385" t="s">
        <v>5159</v>
      </c>
      <c r="C428" s="385" t="s">
        <v>5159</v>
      </c>
      <c r="D428" s="385" t="s">
        <v>5159</v>
      </c>
      <c r="E428" s="385">
        <v>283</v>
      </c>
      <c r="F428" s="385" t="s">
        <v>4705</v>
      </c>
      <c r="G428" s="385" t="s">
        <v>4704</v>
      </c>
      <c r="H428" s="385" t="s">
        <v>4703</v>
      </c>
      <c r="I428" s="385" t="s">
        <v>3485</v>
      </c>
      <c r="J428" s="385" t="s">
        <v>3477</v>
      </c>
      <c r="K428" s="385" t="e">
        <f>VLOOKUP(Table13[[#This Row],[CD_FUNCAO]],'BASE_FUNCOES (hide)'!A:X,2,FALSE)</f>
        <v>#N/A</v>
      </c>
    </row>
    <row r="429" spans="1:11" hidden="1">
      <c r="A429" s="385">
        <v>367</v>
      </c>
      <c r="B429" s="385" t="s">
        <v>1607</v>
      </c>
      <c r="C429" s="385" t="s">
        <v>1608</v>
      </c>
      <c r="D429" s="385" t="s">
        <v>1609</v>
      </c>
      <c r="E429" s="385">
        <v>283</v>
      </c>
      <c r="F429" s="385" t="s">
        <v>4705</v>
      </c>
      <c r="G429" s="385" t="s">
        <v>4704</v>
      </c>
      <c r="H429" s="385" t="s">
        <v>4703</v>
      </c>
      <c r="I429" s="385" t="s">
        <v>3477</v>
      </c>
      <c r="J429" s="385" t="s">
        <v>3477</v>
      </c>
      <c r="K429" s="385" t="str">
        <f>VLOOKUP(Table13[[#This Row],[CD_FUNCAO]],'BASE_FUNCOES (hide)'!A:X,2,FALSE)</f>
        <v>Gestão da Regulação</v>
      </c>
    </row>
    <row r="430" spans="1:11">
      <c r="A430" s="385">
        <v>363</v>
      </c>
      <c r="B430" s="385" t="s">
        <v>5022</v>
      </c>
      <c r="C430" s="385" t="s">
        <v>5021</v>
      </c>
      <c r="D430" s="385" t="s">
        <v>5020</v>
      </c>
      <c r="E430" s="385">
        <v>283</v>
      </c>
      <c r="F430" s="385" t="s">
        <v>4705</v>
      </c>
      <c r="G430" s="385" t="s">
        <v>4704</v>
      </c>
      <c r="H430" s="385" t="s">
        <v>4703</v>
      </c>
      <c r="I430" s="385" t="s">
        <v>3510</v>
      </c>
      <c r="J430" s="385" t="s">
        <v>3477</v>
      </c>
      <c r="K430" s="385" t="e">
        <f>VLOOKUP(Table13[[#This Row],[CD_FUNCAO]],'BASE_FUNCOES (hide)'!A:X,2,FALSE)</f>
        <v>#N/A</v>
      </c>
    </row>
    <row r="431" spans="1:11">
      <c r="A431" s="385">
        <v>364</v>
      </c>
      <c r="B431" s="385" t="s">
        <v>5092</v>
      </c>
      <c r="C431" s="385" t="s">
        <v>5091</v>
      </c>
      <c r="D431" s="385" t="s">
        <v>5090</v>
      </c>
      <c r="E431" s="385">
        <v>283</v>
      </c>
      <c r="F431" s="385" t="s">
        <v>4705</v>
      </c>
      <c r="G431" s="385" t="s">
        <v>4704</v>
      </c>
      <c r="H431" s="385" t="s">
        <v>4703</v>
      </c>
      <c r="I431" s="385" t="s">
        <v>3510</v>
      </c>
      <c r="J431" s="385" t="s">
        <v>3477</v>
      </c>
      <c r="K431" s="385" t="e">
        <f>VLOOKUP(Table13[[#This Row],[CD_FUNCAO]],'BASE_FUNCOES (hide)'!A:X,2,FALSE)</f>
        <v>#N/A</v>
      </c>
    </row>
    <row r="432" spans="1:11">
      <c r="A432" s="385">
        <v>365</v>
      </c>
      <c r="B432" s="385" t="s">
        <v>5087</v>
      </c>
      <c r="C432" s="385" t="s">
        <v>5087</v>
      </c>
      <c r="D432" s="385" t="s">
        <v>5087</v>
      </c>
      <c r="E432" s="385">
        <v>283</v>
      </c>
      <c r="F432" s="385" t="s">
        <v>4705</v>
      </c>
      <c r="G432" s="385" t="s">
        <v>4704</v>
      </c>
      <c r="H432" s="385" t="s">
        <v>4703</v>
      </c>
      <c r="I432" s="385" t="s">
        <v>3510</v>
      </c>
      <c r="J432" s="385" t="s">
        <v>3477</v>
      </c>
      <c r="K432" s="385" t="e">
        <f>VLOOKUP(Table13[[#This Row],[CD_FUNCAO]],'BASE_FUNCOES (hide)'!A:X,2,FALSE)</f>
        <v>#N/A</v>
      </c>
    </row>
    <row r="433" spans="1:11">
      <c r="A433" s="385">
        <v>368</v>
      </c>
      <c r="B433" s="385" t="s">
        <v>5052</v>
      </c>
      <c r="C433" s="385" t="s">
        <v>5051</v>
      </c>
      <c r="D433" s="385" t="s">
        <v>5050</v>
      </c>
      <c r="E433" s="385">
        <v>283</v>
      </c>
      <c r="F433" s="385" t="s">
        <v>4705</v>
      </c>
      <c r="G433" s="385" t="s">
        <v>4704</v>
      </c>
      <c r="H433" s="385" t="s">
        <v>4703</v>
      </c>
      <c r="I433" s="385" t="s">
        <v>3488</v>
      </c>
      <c r="J433" s="385" t="s">
        <v>3477</v>
      </c>
      <c r="K433" s="385" t="e">
        <f>VLOOKUP(Table13[[#This Row],[CD_FUNCAO]],'BASE_FUNCOES (hide)'!A:X,2,FALSE)</f>
        <v>#N/A</v>
      </c>
    </row>
    <row r="434" spans="1:11">
      <c r="A434" s="385">
        <v>369</v>
      </c>
      <c r="B434" s="385" t="s">
        <v>5059</v>
      </c>
      <c r="C434" s="385" t="s">
        <v>5059</v>
      </c>
      <c r="D434" s="385" t="s">
        <v>5059</v>
      </c>
      <c r="E434" s="385">
        <v>283</v>
      </c>
      <c r="F434" s="385" t="s">
        <v>4705</v>
      </c>
      <c r="G434" s="385" t="s">
        <v>4704</v>
      </c>
      <c r="H434" s="385" t="s">
        <v>4703</v>
      </c>
      <c r="I434" s="385" t="s">
        <v>3485</v>
      </c>
      <c r="J434" s="385" t="s">
        <v>3477</v>
      </c>
      <c r="K434" s="385" t="e">
        <f>VLOOKUP(Table13[[#This Row],[CD_FUNCAO]],'BASE_FUNCOES (hide)'!A:X,2,FALSE)</f>
        <v>#N/A</v>
      </c>
    </row>
    <row r="435" spans="1:11">
      <c r="A435" s="385">
        <v>370</v>
      </c>
      <c r="B435" s="385" t="s">
        <v>5055</v>
      </c>
      <c r="C435" s="385" t="s">
        <v>5054</v>
      </c>
      <c r="D435" s="385" t="s">
        <v>5053</v>
      </c>
      <c r="E435" s="385">
        <v>283</v>
      </c>
      <c r="F435" s="385" t="s">
        <v>4705</v>
      </c>
      <c r="G435" s="385" t="s">
        <v>4704</v>
      </c>
      <c r="H435" s="385" t="s">
        <v>4703</v>
      </c>
      <c r="I435" s="385" t="s">
        <v>3510</v>
      </c>
      <c r="J435" s="385" t="s">
        <v>3477</v>
      </c>
      <c r="K435" s="385" t="e">
        <f>VLOOKUP(Table13[[#This Row],[CD_FUNCAO]],'BASE_FUNCOES (hide)'!A:X,2,FALSE)</f>
        <v>#N/A</v>
      </c>
    </row>
    <row r="436" spans="1:11">
      <c r="A436" s="385">
        <v>371</v>
      </c>
      <c r="B436" s="385" t="s">
        <v>5006</v>
      </c>
      <c r="C436" s="385" t="s">
        <v>5005</v>
      </c>
      <c r="D436" s="385" t="s">
        <v>5004</v>
      </c>
      <c r="E436" s="385">
        <v>283</v>
      </c>
      <c r="F436" s="385" t="s">
        <v>4705</v>
      </c>
      <c r="G436" s="385" t="s">
        <v>4704</v>
      </c>
      <c r="H436" s="385" t="s">
        <v>4703</v>
      </c>
      <c r="I436" s="385" t="s">
        <v>3510</v>
      </c>
      <c r="J436" s="385" t="s">
        <v>3477</v>
      </c>
      <c r="K436" s="385" t="e">
        <f>VLOOKUP(Table13[[#This Row],[CD_FUNCAO]],'BASE_FUNCOES (hide)'!A:X,2,FALSE)</f>
        <v>#N/A</v>
      </c>
    </row>
    <row r="437" spans="1:11">
      <c r="A437" s="385">
        <v>372</v>
      </c>
      <c r="B437" s="385" t="s">
        <v>5061</v>
      </c>
      <c r="C437" s="385" t="s">
        <v>5061</v>
      </c>
      <c r="D437" s="385" t="s">
        <v>5061</v>
      </c>
      <c r="E437" s="385">
        <v>283</v>
      </c>
      <c r="F437" s="385" t="s">
        <v>4705</v>
      </c>
      <c r="G437" s="385" t="s">
        <v>4704</v>
      </c>
      <c r="H437" s="385" t="s">
        <v>4703</v>
      </c>
      <c r="I437" s="385" t="s">
        <v>3485</v>
      </c>
      <c r="J437" s="385" t="s">
        <v>3477</v>
      </c>
      <c r="K437" s="385" t="e">
        <f>VLOOKUP(Table13[[#This Row],[CD_FUNCAO]],'BASE_FUNCOES (hide)'!A:X,2,FALSE)</f>
        <v>#N/A</v>
      </c>
    </row>
    <row r="438" spans="1:11">
      <c r="A438" s="385">
        <v>374</v>
      </c>
      <c r="B438" s="385" t="s">
        <v>5049</v>
      </c>
      <c r="C438" s="385" t="s">
        <v>5049</v>
      </c>
      <c r="D438" s="385" t="s">
        <v>5049</v>
      </c>
      <c r="E438" s="385">
        <v>283</v>
      </c>
      <c r="F438" s="385" t="s">
        <v>4705</v>
      </c>
      <c r="G438" s="385" t="s">
        <v>4704</v>
      </c>
      <c r="H438" s="385" t="s">
        <v>4703</v>
      </c>
      <c r="I438" s="385" t="s">
        <v>3506</v>
      </c>
      <c r="J438" s="385" t="s">
        <v>3477</v>
      </c>
      <c r="K438" s="385" t="e">
        <f>VLOOKUP(Table13[[#This Row],[CD_FUNCAO]],'BASE_FUNCOES (hide)'!A:X,2,FALSE)</f>
        <v>#N/A</v>
      </c>
    </row>
    <row r="439" spans="1:11">
      <c r="A439" s="385">
        <v>375</v>
      </c>
      <c r="B439" s="385" t="s">
        <v>5019</v>
      </c>
      <c r="C439" s="385" t="s">
        <v>5019</v>
      </c>
      <c r="D439" s="385" t="s">
        <v>5019</v>
      </c>
      <c r="E439" s="385">
        <v>283</v>
      </c>
      <c r="F439" s="385" t="s">
        <v>4705</v>
      </c>
      <c r="G439" s="385" t="s">
        <v>4704</v>
      </c>
      <c r="H439" s="385" t="s">
        <v>4703</v>
      </c>
      <c r="I439" s="385" t="s">
        <v>3510</v>
      </c>
      <c r="J439" s="385" t="s">
        <v>3477</v>
      </c>
      <c r="K439" s="385" t="e">
        <f>VLOOKUP(Table13[[#This Row],[CD_FUNCAO]],'BASE_FUNCOES (hide)'!A:X,2,FALSE)</f>
        <v>#N/A</v>
      </c>
    </row>
    <row r="440" spans="1:11">
      <c r="A440" s="385">
        <v>376</v>
      </c>
      <c r="B440" s="385" t="s">
        <v>5003</v>
      </c>
      <c r="C440" s="385" t="s">
        <v>5002</v>
      </c>
      <c r="D440" s="385" t="s">
        <v>5001</v>
      </c>
      <c r="E440" s="385">
        <v>283</v>
      </c>
      <c r="F440" s="385" t="s">
        <v>4705</v>
      </c>
      <c r="G440" s="385" t="s">
        <v>4704</v>
      </c>
      <c r="H440" s="385" t="s">
        <v>4703</v>
      </c>
      <c r="I440" s="385" t="s">
        <v>3488</v>
      </c>
      <c r="J440" s="385" t="s">
        <v>3477</v>
      </c>
      <c r="K440" s="385" t="e">
        <f>VLOOKUP(Table13[[#This Row],[CD_FUNCAO]],'BASE_FUNCOES (hide)'!A:X,2,FALSE)</f>
        <v>#N/A</v>
      </c>
    </row>
    <row r="441" spans="1:11">
      <c r="A441" s="385">
        <v>377</v>
      </c>
      <c r="B441" s="385" t="s">
        <v>5048</v>
      </c>
      <c r="C441" s="385" t="s">
        <v>5048</v>
      </c>
      <c r="D441" s="385" t="s">
        <v>5048</v>
      </c>
      <c r="E441" s="385">
        <v>283</v>
      </c>
      <c r="F441" s="385" t="s">
        <v>4705</v>
      </c>
      <c r="G441" s="385" t="s">
        <v>4704</v>
      </c>
      <c r="H441" s="385" t="s">
        <v>4703</v>
      </c>
      <c r="I441" s="385" t="s">
        <v>3510</v>
      </c>
      <c r="J441" s="385" t="s">
        <v>3477</v>
      </c>
      <c r="K441" s="385" t="e">
        <f>VLOOKUP(Table13[[#This Row],[CD_FUNCAO]],'BASE_FUNCOES (hide)'!A:X,2,FALSE)</f>
        <v>#N/A</v>
      </c>
    </row>
    <row r="442" spans="1:11">
      <c r="A442" s="385">
        <v>378</v>
      </c>
      <c r="B442" s="385" t="s">
        <v>5047</v>
      </c>
      <c r="C442" s="385" t="s">
        <v>5047</v>
      </c>
      <c r="D442" s="385" t="s">
        <v>5047</v>
      </c>
      <c r="E442" s="385">
        <v>283</v>
      </c>
      <c r="F442" s="385" t="s">
        <v>4705</v>
      </c>
      <c r="G442" s="385" t="s">
        <v>4704</v>
      </c>
      <c r="H442" s="385" t="s">
        <v>4703</v>
      </c>
      <c r="I442" s="385" t="s">
        <v>3510</v>
      </c>
      <c r="J442" s="385" t="s">
        <v>3477</v>
      </c>
      <c r="K442" s="385" t="e">
        <f>VLOOKUP(Table13[[#This Row],[CD_FUNCAO]],'BASE_FUNCOES (hide)'!A:X,2,FALSE)</f>
        <v>#N/A</v>
      </c>
    </row>
    <row r="443" spans="1:11">
      <c r="A443" s="385">
        <v>379</v>
      </c>
      <c r="B443" s="385" t="s">
        <v>4963</v>
      </c>
      <c r="C443" s="385" t="s">
        <v>4962</v>
      </c>
      <c r="D443" s="385" t="s">
        <v>4961</v>
      </c>
      <c r="E443" s="385">
        <v>283</v>
      </c>
      <c r="F443" s="385" t="s">
        <v>4705</v>
      </c>
      <c r="G443" s="385" t="s">
        <v>4704</v>
      </c>
      <c r="H443" s="385" t="s">
        <v>4703</v>
      </c>
      <c r="I443" s="385" t="s">
        <v>3488</v>
      </c>
      <c r="J443" s="385" t="s">
        <v>3477</v>
      </c>
      <c r="K443" s="385" t="e">
        <f>VLOOKUP(Table13[[#This Row],[CD_FUNCAO]],'BASE_FUNCOES (hide)'!A:X,2,FALSE)</f>
        <v>#N/A</v>
      </c>
    </row>
    <row r="444" spans="1:11">
      <c r="A444" s="385">
        <v>380</v>
      </c>
      <c r="B444" s="385" t="s">
        <v>4997</v>
      </c>
      <c r="C444" s="385" t="s">
        <v>4996</v>
      </c>
      <c r="D444" s="385" t="s">
        <v>4995</v>
      </c>
      <c r="E444" s="385">
        <v>283</v>
      </c>
      <c r="F444" s="385" t="s">
        <v>4705</v>
      </c>
      <c r="G444" s="385" t="s">
        <v>4704</v>
      </c>
      <c r="H444" s="385" t="s">
        <v>4703</v>
      </c>
      <c r="I444" s="385" t="s">
        <v>3477</v>
      </c>
      <c r="J444" s="385" t="s">
        <v>3477</v>
      </c>
      <c r="K444" s="385" t="e">
        <f>VLOOKUP(Table13[[#This Row],[CD_FUNCAO]],'BASE_FUNCOES (hide)'!A:X,2,FALSE)</f>
        <v>#N/A</v>
      </c>
    </row>
    <row r="445" spans="1:11">
      <c r="A445" s="385">
        <v>382</v>
      </c>
      <c r="B445" s="385" t="s">
        <v>4991</v>
      </c>
      <c r="C445" s="385" t="s">
        <v>4990</v>
      </c>
      <c r="D445" s="385" t="s">
        <v>4989</v>
      </c>
      <c r="E445" s="385">
        <v>283</v>
      </c>
      <c r="F445" s="385" t="s">
        <v>4705</v>
      </c>
      <c r="G445" s="385" t="s">
        <v>4704</v>
      </c>
      <c r="H445" s="385" t="s">
        <v>4703</v>
      </c>
      <c r="I445" s="385" t="s">
        <v>3477</v>
      </c>
      <c r="J445" s="385" t="s">
        <v>3477</v>
      </c>
      <c r="K445" s="385" t="e">
        <f>VLOOKUP(Table13[[#This Row],[CD_FUNCAO]],'BASE_FUNCOES (hide)'!A:X,2,FALSE)</f>
        <v>#N/A</v>
      </c>
    </row>
    <row r="446" spans="1:11">
      <c r="A446" s="385">
        <v>383</v>
      </c>
      <c r="B446" s="385" t="s">
        <v>5086</v>
      </c>
      <c r="C446" s="385" t="s">
        <v>5085</v>
      </c>
      <c r="D446" s="385" t="s">
        <v>5084</v>
      </c>
      <c r="E446" s="385">
        <v>283</v>
      </c>
      <c r="F446" s="385" t="s">
        <v>4705</v>
      </c>
      <c r="G446" s="385" t="s">
        <v>4704</v>
      </c>
      <c r="H446" s="385" t="s">
        <v>4703</v>
      </c>
      <c r="I446" s="385" t="s">
        <v>3477</v>
      </c>
      <c r="J446" s="385" t="s">
        <v>3477</v>
      </c>
      <c r="K446" s="385" t="e">
        <f>VLOOKUP(Table13[[#This Row],[CD_FUNCAO]],'BASE_FUNCOES (hide)'!A:X,2,FALSE)</f>
        <v>#N/A</v>
      </c>
    </row>
    <row r="447" spans="1:11">
      <c r="A447" s="385">
        <v>384</v>
      </c>
      <c r="B447" s="385" t="s">
        <v>5080</v>
      </c>
      <c r="C447" s="385" t="s">
        <v>5080</v>
      </c>
      <c r="D447" s="385" t="s">
        <v>5080</v>
      </c>
      <c r="E447" s="385">
        <v>283</v>
      </c>
      <c r="F447" s="385" t="s">
        <v>4705</v>
      </c>
      <c r="G447" s="385" t="s">
        <v>4704</v>
      </c>
      <c r="H447" s="385" t="s">
        <v>4703</v>
      </c>
      <c r="I447" s="385" t="s">
        <v>3477</v>
      </c>
      <c r="J447" s="385" t="s">
        <v>3477</v>
      </c>
      <c r="K447" s="385" t="e">
        <f>VLOOKUP(Table13[[#This Row],[CD_FUNCAO]],'BASE_FUNCOES (hide)'!A:X,2,FALSE)</f>
        <v>#N/A</v>
      </c>
    </row>
    <row r="448" spans="1:11">
      <c r="A448" s="385">
        <v>385</v>
      </c>
      <c r="B448" s="385" t="s">
        <v>5046</v>
      </c>
      <c r="C448" s="385" t="s">
        <v>5045</v>
      </c>
      <c r="D448" s="385" t="s">
        <v>5044</v>
      </c>
      <c r="E448" s="385">
        <v>283</v>
      </c>
      <c r="F448" s="385" t="s">
        <v>4705</v>
      </c>
      <c r="G448" s="385" t="s">
        <v>4704</v>
      </c>
      <c r="H448" s="385" t="s">
        <v>4703</v>
      </c>
      <c r="I448" s="385" t="s">
        <v>3477</v>
      </c>
      <c r="J448" s="385" t="s">
        <v>3476</v>
      </c>
      <c r="K448" s="385" t="e">
        <f>VLOOKUP(Table13[[#This Row],[CD_FUNCAO]],'BASE_FUNCOES (hide)'!A:X,2,FALSE)</f>
        <v>#N/A</v>
      </c>
    </row>
    <row r="449" spans="1:11">
      <c r="A449" s="385">
        <v>386</v>
      </c>
      <c r="B449" s="385" t="s">
        <v>5037</v>
      </c>
      <c r="C449" s="385" t="s">
        <v>5036</v>
      </c>
      <c r="D449" s="385" t="s">
        <v>5035</v>
      </c>
      <c r="E449" s="385">
        <v>283</v>
      </c>
      <c r="F449" s="385" t="s">
        <v>4705</v>
      </c>
      <c r="G449" s="385" t="s">
        <v>4704</v>
      </c>
      <c r="H449" s="385" t="s">
        <v>4703</v>
      </c>
      <c r="I449" s="385" t="s">
        <v>3510</v>
      </c>
      <c r="J449" s="385" t="s">
        <v>3477</v>
      </c>
      <c r="K449" s="385" t="e">
        <f>VLOOKUP(Table13[[#This Row],[CD_FUNCAO]],'BASE_FUNCOES (hide)'!A:X,2,FALSE)</f>
        <v>#N/A</v>
      </c>
    </row>
    <row r="450" spans="1:11">
      <c r="A450" s="385">
        <v>387</v>
      </c>
      <c r="B450" s="385" t="s">
        <v>5043</v>
      </c>
      <c r="C450" s="385" t="s">
        <v>5042</v>
      </c>
      <c r="D450" s="385" t="s">
        <v>5041</v>
      </c>
      <c r="E450" s="385">
        <v>283</v>
      </c>
      <c r="F450" s="385" t="s">
        <v>4705</v>
      </c>
      <c r="G450" s="385" t="s">
        <v>4704</v>
      </c>
      <c r="H450" s="385" t="s">
        <v>4703</v>
      </c>
      <c r="I450" s="385" t="s">
        <v>3510</v>
      </c>
      <c r="J450" s="385" t="s">
        <v>3477</v>
      </c>
      <c r="K450" s="385" t="e">
        <f>VLOOKUP(Table13[[#This Row],[CD_FUNCAO]],'BASE_FUNCOES (hide)'!A:X,2,FALSE)</f>
        <v>#N/A</v>
      </c>
    </row>
    <row r="451" spans="1:11" hidden="1">
      <c r="A451" s="385">
        <v>381</v>
      </c>
      <c r="B451" s="385" t="s">
        <v>4994</v>
      </c>
      <c r="C451" s="385" t="s">
        <v>4993</v>
      </c>
      <c r="D451" s="385" t="s">
        <v>4992</v>
      </c>
      <c r="E451" s="385">
        <v>283</v>
      </c>
      <c r="F451" s="385" t="s">
        <v>4705</v>
      </c>
      <c r="G451" s="385" t="s">
        <v>4704</v>
      </c>
      <c r="H451" s="385" t="s">
        <v>4703</v>
      </c>
      <c r="I451" s="385" t="s">
        <v>3477</v>
      </c>
      <c r="J451" s="385" t="s">
        <v>3477</v>
      </c>
      <c r="K451" s="385" t="str">
        <f>VLOOKUP(Table13[[#This Row],[CD_FUNCAO]],'BASE_FUNCOES (hide)'!A:X,2,FALSE)</f>
        <v>Prontuário Eletrônico de Paciente Ambulatorial - PEPA</v>
      </c>
    </row>
    <row r="452" spans="1:11">
      <c r="A452" s="385">
        <v>388</v>
      </c>
      <c r="B452" s="385" t="s">
        <v>5768</v>
      </c>
      <c r="C452" s="385" t="s">
        <v>5767</v>
      </c>
      <c r="D452" s="385" t="s">
        <v>5766</v>
      </c>
      <c r="E452" s="385">
        <v>331</v>
      </c>
      <c r="F452" s="385" t="s">
        <v>3084</v>
      </c>
      <c r="G452" s="385" t="s">
        <v>1502</v>
      </c>
      <c r="H452" s="385" t="s">
        <v>1502</v>
      </c>
      <c r="I452" s="385" t="s">
        <v>3510</v>
      </c>
      <c r="J452" s="385" t="s">
        <v>3477</v>
      </c>
      <c r="K452" s="385" t="e">
        <f>VLOOKUP(Table13[[#This Row],[CD_FUNCAO]],'BASE_FUNCOES (hide)'!A:X,2,FALSE)</f>
        <v>#N/A</v>
      </c>
    </row>
    <row r="453" spans="1:11">
      <c r="A453" s="385">
        <v>389</v>
      </c>
      <c r="B453" s="385" t="s">
        <v>5765</v>
      </c>
      <c r="C453" s="385" t="s">
        <v>5764</v>
      </c>
      <c r="D453" s="385" t="s">
        <v>5763</v>
      </c>
      <c r="E453" s="385">
        <v>331</v>
      </c>
      <c r="F453" s="385" t="s">
        <v>3084</v>
      </c>
      <c r="G453" s="385" t="s">
        <v>1502</v>
      </c>
      <c r="H453" s="385" t="s">
        <v>1502</v>
      </c>
      <c r="I453" s="385" t="s">
        <v>3510</v>
      </c>
      <c r="J453" s="385" t="s">
        <v>3477</v>
      </c>
      <c r="K453" s="385" t="e">
        <f>VLOOKUP(Table13[[#This Row],[CD_FUNCAO]],'BASE_FUNCOES (hide)'!A:X,2,FALSE)</f>
        <v>#N/A</v>
      </c>
    </row>
    <row r="454" spans="1:11">
      <c r="A454" s="385">
        <v>390</v>
      </c>
      <c r="B454" s="385" t="s">
        <v>5762</v>
      </c>
      <c r="C454" s="385" t="s">
        <v>5761</v>
      </c>
      <c r="D454" s="385" t="s">
        <v>5760</v>
      </c>
      <c r="E454" s="385">
        <v>331</v>
      </c>
      <c r="F454" s="385" t="s">
        <v>3084</v>
      </c>
      <c r="G454" s="385" t="s">
        <v>1502</v>
      </c>
      <c r="H454" s="385" t="s">
        <v>1502</v>
      </c>
      <c r="I454" s="385" t="s">
        <v>3510</v>
      </c>
      <c r="J454" s="385" t="s">
        <v>3477</v>
      </c>
      <c r="K454" s="385" t="e">
        <f>VLOOKUP(Table13[[#This Row],[CD_FUNCAO]],'BASE_FUNCOES (hide)'!A:X,2,FALSE)</f>
        <v>#N/A</v>
      </c>
    </row>
    <row r="455" spans="1:11">
      <c r="A455" s="385">
        <v>391</v>
      </c>
      <c r="B455" s="385" t="s">
        <v>5759</v>
      </c>
      <c r="C455" s="385" t="s">
        <v>5758</v>
      </c>
      <c r="D455" s="385" t="s">
        <v>5757</v>
      </c>
      <c r="E455" s="385">
        <v>331</v>
      </c>
      <c r="F455" s="385" t="s">
        <v>3084</v>
      </c>
      <c r="G455" s="385" t="s">
        <v>1502</v>
      </c>
      <c r="H455" s="385" t="s">
        <v>1502</v>
      </c>
      <c r="I455" s="385" t="s">
        <v>3510</v>
      </c>
      <c r="J455" s="385" t="s">
        <v>3477</v>
      </c>
      <c r="K455" s="385" t="e">
        <f>VLOOKUP(Table13[[#This Row],[CD_FUNCAO]],'BASE_FUNCOES (hide)'!A:X,2,FALSE)</f>
        <v>#N/A</v>
      </c>
    </row>
    <row r="456" spans="1:11">
      <c r="A456" s="385">
        <v>392</v>
      </c>
      <c r="B456" s="385" t="s">
        <v>5756</v>
      </c>
      <c r="C456" s="385" t="s">
        <v>5755</v>
      </c>
      <c r="D456" s="385" t="s">
        <v>5754</v>
      </c>
      <c r="E456" s="385">
        <v>331</v>
      </c>
      <c r="F456" s="385" t="s">
        <v>3084</v>
      </c>
      <c r="G456" s="385" t="s">
        <v>1502</v>
      </c>
      <c r="H456" s="385" t="s">
        <v>1502</v>
      </c>
      <c r="I456" s="385" t="s">
        <v>3510</v>
      </c>
      <c r="J456" s="385" t="s">
        <v>3477</v>
      </c>
      <c r="K456" s="385" t="e">
        <f>VLOOKUP(Table13[[#This Row],[CD_FUNCAO]],'BASE_FUNCOES (hide)'!A:X,2,FALSE)</f>
        <v>#N/A</v>
      </c>
    </row>
    <row r="457" spans="1:11">
      <c r="A457" s="385">
        <v>393</v>
      </c>
      <c r="B457" s="385" t="s">
        <v>5753</v>
      </c>
      <c r="C457" s="385" t="s">
        <v>5752</v>
      </c>
      <c r="D457" s="385" t="s">
        <v>5751</v>
      </c>
      <c r="E457" s="385">
        <v>331</v>
      </c>
      <c r="F457" s="385" t="s">
        <v>3084</v>
      </c>
      <c r="G457" s="385" t="s">
        <v>1502</v>
      </c>
      <c r="H457" s="385" t="s">
        <v>1502</v>
      </c>
      <c r="I457" s="385" t="s">
        <v>3510</v>
      </c>
      <c r="J457" s="385" t="s">
        <v>3477</v>
      </c>
      <c r="K457" s="385" t="e">
        <f>VLOOKUP(Table13[[#This Row],[CD_FUNCAO]],'BASE_FUNCOES (hide)'!A:X,2,FALSE)</f>
        <v>#N/A</v>
      </c>
    </row>
    <row r="458" spans="1:11">
      <c r="A458" s="385">
        <v>394</v>
      </c>
      <c r="B458" s="385" t="s">
        <v>5750</v>
      </c>
      <c r="C458" s="385" t="s">
        <v>5749</v>
      </c>
      <c r="D458" s="385" t="s">
        <v>5748</v>
      </c>
      <c r="E458" s="385">
        <v>331</v>
      </c>
      <c r="F458" s="385" t="s">
        <v>3084</v>
      </c>
      <c r="G458" s="385" t="s">
        <v>1502</v>
      </c>
      <c r="H458" s="385" t="s">
        <v>1502</v>
      </c>
      <c r="I458" s="385" t="s">
        <v>3510</v>
      </c>
      <c r="J458" s="385" t="s">
        <v>3477</v>
      </c>
      <c r="K458" s="385" t="e">
        <f>VLOOKUP(Table13[[#This Row],[CD_FUNCAO]],'BASE_FUNCOES (hide)'!A:X,2,FALSE)</f>
        <v>#N/A</v>
      </c>
    </row>
    <row r="459" spans="1:11">
      <c r="A459" s="385">
        <v>395</v>
      </c>
      <c r="B459" s="385" t="s">
        <v>4986</v>
      </c>
      <c r="C459" s="385" t="s">
        <v>4985</v>
      </c>
      <c r="D459" s="385" t="s">
        <v>4984</v>
      </c>
      <c r="E459" s="385">
        <v>283</v>
      </c>
      <c r="F459" s="385" t="s">
        <v>4705</v>
      </c>
      <c r="G459" s="385" t="s">
        <v>4704</v>
      </c>
      <c r="H459" s="385" t="s">
        <v>4703</v>
      </c>
      <c r="I459" s="385" t="s">
        <v>3488</v>
      </c>
      <c r="J459" s="385" t="s">
        <v>3477</v>
      </c>
      <c r="K459" s="385" t="e">
        <f>VLOOKUP(Table13[[#This Row],[CD_FUNCAO]],'BASE_FUNCOES (hide)'!A:X,2,FALSE)</f>
        <v>#N/A</v>
      </c>
    </row>
    <row r="460" spans="1:11">
      <c r="A460" s="385">
        <v>396</v>
      </c>
      <c r="B460" s="385" t="s">
        <v>4960</v>
      </c>
      <c r="C460" s="385" t="s">
        <v>4959</v>
      </c>
      <c r="D460" s="385" t="s">
        <v>4958</v>
      </c>
      <c r="E460" s="385">
        <v>283</v>
      </c>
      <c r="F460" s="385" t="s">
        <v>4705</v>
      </c>
      <c r="G460" s="385" t="s">
        <v>4704</v>
      </c>
      <c r="H460" s="385" t="s">
        <v>4703</v>
      </c>
      <c r="I460" s="385" t="s">
        <v>3488</v>
      </c>
      <c r="J460" s="385" t="s">
        <v>3477</v>
      </c>
      <c r="K460" s="385" t="e">
        <f>VLOOKUP(Table13[[#This Row],[CD_FUNCAO]],'BASE_FUNCOES (hide)'!A:X,2,FALSE)</f>
        <v>#N/A</v>
      </c>
    </row>
    <row r="461" spans="1:11">
      <c r="A461" s="385">
        <v>397</v>
      </c>
      <c r="B461" s="385" t="s">
        <v>5070</v>
      </c>
      <c r="C461" s="385" t="s">
        <v>5069</v>
      </c>
      <c r="D461" s="385" t="s">
        <v>5068</v>
      </c>
      <c r="E461" s="385">
        <v>283</v>
      </c>
      <c r="F461" s="385" t="s">
        <v>4705</v>
      </c>
      <c r="G461" s="385" t="s">
        <v>4704</v>
      </c>
      <c r="H461" s="385" t="s">
        <v>4703</v>
      </c>
      <c r="I461" s="385" t="s">
        <v>3510</v>
      </c>
      <c r="J461" s="385" t="s">
        <v>3477</v>
      </c>
      <c r="K461" s="385" t="e">
        <f>VLOOKUP(Table13[[#This Row],[CD_FUNCAO]],'BASE_FUNCOES (hide)'!A:X,2,FALSE)</f>
        <v>#N/A</v>
      </c>
    </row>
    <row r="462" spans="1:11">
      <c r="A462" s="385">
        <v>398</v>
      </c>
      <c r="B462" s="385" t="s">
        <v>5073</v>
      </c>
      <c r="C462" s="385" t="s">
        <v>5072</v>
      </c>
      <c r="D462" s="385" t="s">
        <v>5071</v>
      </c>
      <c r="E462" s="385">
        <v>283</v>
      </c>
      <c r="F462" s="385" t="s">
        <v>4705</v>
      </c>
      <c r="G462" s="385" t="s">
        <v>4704</v>
      </c>
      <c r="H462" s="385" t="s">
        <v>4703</v>
      </c>
      <c r="I462" s="385" t="s">
        <v>3510</v>
      </c>
      <c r="J462" s="385" t="s">
        <v>3477</v>
      </c>
      <c r="K462" s="385" t="e">
        <f>VLOOKUP(Table13[[#This Row],[CD_FUNCAO]],'BASE_FUNCOES (hide)'!A:X,2,FALSE)</f>
        <v>#N/A</v>
      </c>
    </row>
    <row r="463" spans="1:11">
      <c r="A463" s="385">
        <v>399</v>
      </c>
      <c r="B463" s="385" t="s">
        <v>5067</v>
      </c>
      <c r="C463" s="385" t="s">
        <v>5066</v>
      </c>
      <c r="D463" s="385" t="s">
        <v>5065</v>
      </c>
      <c r="E463" s="385">
        <v>283</v>
      </c>
      <c r="F463" s="385" t="s">
        <v>4705</v>
      </c>
      <c r="G463" s="385" t="s">
        <v>4704</v>
      </c>
      <c r="H463" s="385" t="s">
        <v>4703</v>
      </c>
      <c r="I463" s="385" t="s">
        <v>3510</v>
      </c>
      <c r="J463" s="385" t="s">
        <v>3477</v>
      </c>
      <c r="K463" s="385" t="e">
        <f>VLOOKUP(Table13[[#This Row],[CD_FUNCAO]],'BASE_FUNCOES (hide)'!A:X,2,FALSE)</f>
        <v>#N/A</v>
      </c>
    </row>
    <row r="464" spans="1:11">
      <c r="A464" s="385">
        <v>402</v>
      </c>
      <c r="B464" s="385" t="s">
        <v>5064</v>
      </c>
      <c r="C464" s="385" t="s">
        <v>5063</v>
      </c>
      <c r="D464" s="385" t="s">
        <v>5062</v>
      </c>
      <c r="E464" s="385">
        <v>283</v>
      </c>
      <c r="F464" s="385" t="s">
        <v>4705</v>
      </c>
      <c r="G464" s="385" t="s">
        <v>4704</v>
      </c>
      <c r="H464" s="385" t="s">
        <v>4703</v>
      </c>
      <c r="I464" s="385" t="s">
        <v>3477</v>
      </c>
      <c r="J464" s="385" t="s">
        <v>3477</v>
      </c>
      <c r="K464" s="385" t="e">
        <f>VLOOKUP(Table13[[#This Row],[CD_FUNCAO]],'BASE_FUNCOES (hide)'!A:X,2,FALSE)</f>
        <v>#N/A</v>
      </c>
    </row>
    <row r="465" spans="1:11">
      <c r="A465" s="385">
        <v>403</v>
      </c>
      <c r="B465" s="385" t="s">
        <v>4980</v>
      </c>
      <c r="C465" s="385" t="s">
        <v>4979</v>
      </c>
      <c r="D465" s="385" t="s">
        <v>4978</v>
      </c>
      <c r="E465" s="385">
        <v>283</v>
      </c>
      <c r="F465" s="385" t="s">
        <v>4705</v>
      </c>
      <c r="G465" s="385" t="s">
        <v>4704</v>
      </c>
      <c r="H465" s="385" t="s">
        <v>4703</v>
      </c>
      <c r="I465" s="385" t="s">
        <v>3488</v>
      </c>
      <c r="J465" s="385" t="s">
        <v>3477</v>
      </c>
      <c r="K465" s="385" t="e">
        <f>VLOOKUP(Table13[[#This Row],[CD_FUNCAO]],'BASE_FUNCOES (hide)'!A:X,2,FALSE)</f>
        <v>#N/A</v>
      </c>
    </row>
    <row r="466" spans="1:11">
      <c r="A466" s="385">
        <v>404</v>
      </c>
      <c r="B466" s="385" t="s">
        <v>4974</v>
      </c>
      <c r="C466" s="385" t="s">
        <v>4973</v>
      </c>
      <c r="D466" s="385" t="s">
        <v>4972</v>
      </c>
      <c r="E466" s="385">
        <v>283</v>
      </c>
      <c r="F466" s="385" t="s">
        <v>4705</v>
      </c>
      <c r="G466" s="385" t="s">
        <v>4704</v>
      </c>
      <c r="H466" s="385" t="s">
        <v>4703</v>
      </c>
      <c r="I466" s="385" t="s">
        <v>3510</v>
      </c>
      <c r="J466" s="385" t="s">
        <v>3477</v>
      </c>
      <c r="K466" s="385" t="e">
        <f>VLOOKUP(Table13[[#This Row],[CD_FUNCAO]],'BASE_FUNCOES (hide)'!A:X,2,FALSE)</f>
        <v>#N/A</v>
      </c>
    </row>
    <row r="467" spans="1:11">
      <c r="A467" s="385">
        <v>405</v>
      </c>
      <c r="B467" s="385" t="s">
        <v>4323</v>
      </c>
      <c r="C467" s="385" t="s">
        <v>4322</v>
      </c>
      <c r="D467" s="385" t="s">
        <v>4321</v>
      </c>
      <c r="E467" s="385">
        <v>91</v>
      </c>
      <c r="F467" s="385" t="s">
        <v>290</v>
      </c>
      <c r="I467" s="385" t="s">
        <v>3485</v>
      </c>
      <c r="J467" s="385" t="s">
        <v>3476</v>
      </c>
      <c r="K467" s="385" t="e">
        <f>VLOOKUP(Table13[[#This Row],[CD_FUNCAO]],'BASE_FUNCOES (hide)'!A:X,2,FALSE)</f>
        <v>#N/A</v>
      </c>
    </row>
    <row r="468" spans="1:11" hidden="1">
      <c r="A468" s="385">
        <v>868</v>
      </c>
      <c r="B468" s="385" t="s">
        <v>1204</v>
      </c>
      <c r="C468" s="385" t="s">
        <v>1204</v>
      </c>
      <c r="D468" s="385" t="s">
        <v>1204</v>
      </c>
      <c r="E468" s="385">
        <v>283</v>
      </c>
      <c r="F468" s="385" t="s">
        <v>4705</v>
      </c>
      <c r="G468" s="385" t="s">
        <v>4704</v>
      </c>
      <c r="H468" s="385" t="s">
        <v>4703</v>
      </c>
      <c r="I468" s="385" t="s">
        <v>3477</v>
      </c>
      <c r="J468" s="385" t="s">
        <v>3476</v>
      </c>
      <c r="K468" s="385" t="str">
        <f>VLOOKUP(Table13[[#This Row],[CD_FUNCAO]],'BASE_FUNCOES (hide)'!A:X,2,FALSE)</f>
        <v>Digital Interventional Suite - DIS</v>
      </c>
    </row>
    <row r="469" spans="1:11">
      <c r="A469" s="385">
        <v>408</v>
      </c>
      <c r="B469" s="385" t="s">
        <v>4971</v>
      </c>
      <c r="C469" s="385" t="s">
        <v>4970</v>
      </c>
      <c r="D469" s="385" t="s">
        <v>4969</v>
      </c>
      <c r="E469" s="385">
        <v>283</v>
      </c>
      <c r="F469" s="385" t="s">
        <v>4705</v>
      </c>
      <c r="G469" s="385" t="s">
        <v>4704</v>
      </c>
      <c r="H469" s="385" t="s">
        <v>4703</v>
      </c>
      <c r="I469" s="385" t="s">
        <v>3477</v>
      </c>
      <c r="J469" s="385" t="s">
        <v>3477</v>
      </c>
      <c r="K469" s="385" t="e">
        <f>VLOOKUP(Table13[[#This Row],[CD_FUNCAO]],'BASE_FUNCOES (hide)'!A:X,2,FALSE)</f>
        <v>#N/A</v>
      </c>
    </row>
    <row r="470" spans="1:11" hidden="1">
      <c r="A470" s="385">
        <v>3001</v>
      </c>
      <c r="B470" s="385" t="s">
        <v>4942</v>
      </c>
      <c r="C470" s="385" t="s">
        <v>1206</v>
      </c>
      <c r="D470" s="385" t="s">
        <v>1207</v>
      </c>
      <c r="E470" s="385">
        <v>283</v>
      </c>
      <c r="F470" s="385" t="s">
        <v>4705</v>
      </c>
      <c r="G470" s="385" t="s">
        <v>4704</v>
      </c>
      <c r="H470" s="385" t="s">
        <v>4703</v>
      </c>
      <c r="I470" s="385" t="s">
        <v>3477</v>
      </c>
      <c r="J470" s="385" t="s">
        <v>3477</v>
      </c>
      <c r="K470" s="385" t="str">
        <f>VLOOKUP(Table13[[#This Row],[CD_FUNCAO]],'BASE_FUNCOES (hide)'!A:X,2,FALSE)</f>
        <v>Cadastros Gerais</v>
      </c>
    </row>
    <row r="471" spans="1:11">
      <c r="A471" s="385">
        <v>409</v>
      </c>
      <c r="B471" s="385" t="s">
        <v>4968</v>
      </c>
      <c r="C471" s="385" t="s">
        <v>4967</v>
      </c>
      <c r="D471" s="385" t="s">
        <v>4966</v>
      </c>
      <c r="E471" s="385">
        <v>283</v>
      </c>
      <c r="F471" s="385" t="s">
        <v>4705</v>
      </c>
      <c r="G471" s="385" t="s">
        <v>4704</v>
      </c>
      <c r="H471" s="385" t="s">
        <v>4703</v>
      </c>
      <c r="I471" s="385" t="s">
        <v>3510</v>
      </c>
      <c r="J471" s="385" t="s">
        <v>3477</v>
      </c>
      <c r="K471" s="385" t="e">
        <f>VLOOKUP(Table13[[#This Row],[CD_FUNCAO]],'BASE_FUNCOES (hide)'!A:X,2,FALSE)</f>
        <v>#N/A</v>
      </c>
    </row>
    <row r="472" spans="1:11">
      <c r="A472" s="385">
        <v>411</v>
      </c>
      <c r="B472" s="385" t="s">
        <v>4977</v>
      </c>
      <c r="C472" s="385" t="s">
        <v>4976</v>
      </c>
      <c r="D472" s="385" t="s">
        <v>4975</v>
      </c>
      <c r="E472" s="385">
        <v>283</v>
      </c>
      <c r="F472" s="385" t="s">
        <v>4705</v>
      </c>
      <c r="G472" s="385" t="s">
        <v>4704</v>
      </c>
      <c r="H472" s="385" t="s">
        <v>4703</v>
      </c>
      <c r="I472" s="385" t="s">
        <v>3510</v>
      </c>
      <c r="J472" s="385" t="s">
        <v>3477</v>
      </c>
      <c r="K472" s="385" t="e">
        <f>VLOOKUP(Table13[[#This Row],[CD_FUNCAO]],'BASE_FUNCOES (hide)'!A:X,2,FALSE)</f>
        <v>#N/A</v>
      </c>
    </row>
    <row r="473" spans="1:11">
      <c r="A473" s="385">
        <v>412</v>
      </c>
      <c r="B473" s="385" t="s">
        <v>5028</v>
      </c>
      <c r="C473" s="385" t="s">
        <v>5027</v>
      </c>
      <c r="D473" s="385" t="s">
        <v>5026</v>
      </c>
      <c r="E473" s="385">
        <v>283</v>
      </c>
      <c r="F473" s="385" t="s">
        <v>4705</v>
      </c>
      <c r="G473" s="385" t="s">
        <v>4704</v>
      </c>
      <c r="H473" s="385" t="s">
        <v>4703</v>
      </c>
      <c r="I473" s="385" t="s">
        <v>3510</v>
      </c>
      <c r="J473" s="385" t="s">
        <v>3477</v>
      </c>
      <c r="K473" s="385" t="e">
        <f>VLOOKUP(Table13[[#This Row],[CD_FUNCAO]],'BASE_FUNCOES (hide)'!A:X,2,FALSE)</f>
        <v>#N/A</v>
      </c>
    </row>
    <row r="474" spans="1:11">
      <c r="A474" s="385">
        <v>451</v>
      </c>
      <c r="B474" s="385" t="s">
        <v>235</v>
      </c>
      <c r="C474" s="385" t="s">
        <v>2321</v>
      </c>
      <c r="D474" s="385" t="s">
        <v>2178</v>
      </c>
      <c r="E474" s="385">
        <v>283</v>
      </c>
      <c r="F474" s="385" t="s">
        <v>4705</v>
      </c>
      <c r="G474" s="385" t="s">
        <v>4704</v>
      </c>
      <c r="H474" s="385" t="s">
        <v>4703</v>
      </c>
      <c r="I474" s="385" t="s">
        <v>3485</v>
      </c>
      <c r="J474" s="385" t="s">
        <v>3477</v>
      </c>
      <c r="K474" s="385" t="e">
        <f>VLOOKUP(Table13[[#This Row],[CD_FUNCAO]],'BASE_FUNCOES (hide)'!A:X,2,FALSE)</f>
        <v>#N/A</v>
      </c>
    </row>
    <row r="475" spans="1:11">
      <c r="A475" s="385">
        <v>503</v>
      </c>
      <c r="B475" s="385" t="s">
        <v>4118</v>
      </c>
      <c r="C475" s="385" t="s">
        <v>4117</v>
      </c>
      <c r="D475" s="385" t="s">
        <v>4116</v>
      </c>
      <c r="E475" s="385">
        <v>13</v>
      </c>
      <c r="F475" s="385" t="s">
        <v>11</v>
      </c>
      <c r="I475" s="385" t="s">
        <v>3485</v>
      </c>
      <c r="J475" s="385" t="s">
        <v>3476</v>
      </c>
      <c r="K475" s="385" t="e">
        <f>VLOOKUP(Table13[[#This Row],[CD_FUNCAO]],'BASE_FUNCOES (hide)'!A:X,2,FALSE)</f>
        <v>#N/A</v>
      </c>
    </row>
    <row r="476" spans="1:11">
      <c r="A476" s="385">
        <v>506</v>
      </c>
      <c r="B476" s="385" t="s">
        <v>4115</v>
      </c>
      <c r="C476" s="385" t="s">
        <v>4114</v>
      </c>
      <c r="D476" s="385" t="s">
        <v>4113</v>
      </c>
      <c r="E476" s="385">
        <v>13</v>
      </c>
      <c r="F476" s="385" t="s">
        <v>11</v>
      </c>
      <c r="I476" s="385" t="s">
        <v>3485</v>
      </c>
      <c r="J476" s="385" t="s">
        <v>3476</v>
      </c>
      <c r="K476" s="385" t="e">
        <f>VLOOKUP(Table13[[#This Row],[CD_FUNCAO]],'BASE_FUNCOES (hide)'!A:X,2,FALSE)</f>
        <v>#N/A</v>
      </c>
    </row>
    <row r="477" spans="1:11">
      <c r="A477" s="385">
        <v>507</v>
      </c>
      <c r="B477" s="385" t="s">
        <v>4112</v>
      </c>
      <c r="C477" s="385" t="s">
        <v>4111</v>
      </c>
      <c r="D477" s="385" t="s">
        <v>4110</v>
      </c>
      <c r="E477" s="385">
        <v>13</v>
      </c>
      <c r="F477" s="385" t="s">
        <v>11</v>
      </c>
      <c r="I477" s="385" t="s">
        <v>3485</v>
      </c>
      <c r="J477" s="385" t="s">
        <v>3476</v>
      </c>
      <c r="K477" s="385" t="e">
        <f>VLOOKUP(Table13[[#This Row],[CD_FUNCAO]],'BASE_FUNCOES (hide)'!A:X,2,FALSE)</f>
        <v>#N/A</v>
      </c>
    </row>
    <row r="478" spans="1:11">
      <c r="A478" s="385">
        <v>508</v>
      </c>
      <c r="B478" s="385" t="s">
        <v>4109</v>
      </c>
      <c r="C478" s="385" t="s">
        <v>4108</v>
      </c>
      <c r="D478" s="385" t="s">
        <v>4107</v>
      </c>
      <c r="E478" s="385">
        <v>13</v>
      </c>
      <c r="F478" s="385" t="s">
        <v>11</v>
      </c>
      <c r="I478" s="385" t="s">
        <v>3485</v>
      </c>
      <c r="J478" s="385" t="s">
        <v>3476</v>
      </c>
      <c r="K478" s="385" t="e">
        <f>VLOOKUP(Table13[[#This Row],[CD_FUNCAO]],'BASE_FUNCOES (hide)'!A:X,2,FALSE)</f>
        <v>#N/A</v>
      </c>
    </row>
    <row r="479" spans="1:11">
      <c r="A479" s="385">
        <v>511</v>
      </c>
      <c r="B479" s="385" t="s">
        <v>4106</v>
      </c>
      <c r="C479" s="385" t="s">
        <v>4105</v>
      </c>
      <c r="D479" s="385" t="s">
        <v>4104</v>
      </c>
      <c r="E479" s="385">
        <v>13</v>
      </c>
      <c r="F479" s="385" t="s">
        <v>11</v>
      </c>
      <c r="I479" s="385" t="s">
        <v>3485</v>
      </c>
      <c r="J479" s="385" t="s">
        <v>3476</v>
      </c>
      <c r="K479" s="385" t="e">
        <f>VLOOKUP(Table13[[#This Row],[CD_FUNCAO]],'BASE_FUNCOES (hide)'!A:X,2,FALSE)</f>
        <v>#N/A</v>
      </c>
    </row>
    <row r="480" spans="1:11">
      <c r="A480" s="385">
        <v>512</v>
      </c>
      <c r="B480" s="385" t="s">
        <v>4103</v>
      </c>
      <c r="C480" s="385" t="s">
        <v>4102</v>
      </c>
      <c r="D480" s="385" t="s">
        <v>4101</v>
      </c>
      <c r="E480" s="385">
        <v>13</v>
      </c>
      <c r="F480" s="385" t="s">
        <v>11</v>
      </c>
      <c r="I480" s="385" t="s">
        <v>3485</v>
      </c>
      <c r="J480" s="385" t="s">
        <v>3476</v>
      </c>
      <c r="K480" s="385" t="e">
        <f>VLOOKUP(Table13[[#This Row],[CD_FUNCAO]],'BASE_FUNCOES (hide)'!A:X,2,FALSE)</f>
        <v>#N/A</v>
      </c>
    </row>
    <row r="481" spans="1:11">
      <c r="A481" s="385">
        <v>513</v>
      </c>
      <c r="B481" s="385" t="s">
        <v>4100</v>
      </c>
      <c r="C481" s="385" t="s">
        <v>4099</v>
      </c>
      <c r="D481" s="385" t="s">
        <v>4098</v>
      </c>
      <c r="E481" s="385">
        <v>13</v>
      </c>
      <c r="F481" s="385" t="s">
        <v>11</v>
      </c>
      <c r="I481" s="385" t="s">
        <v>3485</v>
      </c>
      <c r="J481" s="385" t="s">
        <v>3476</v>
      </c>
      <c r="K481" s="385" t="e">
        <f>VLOOKUP(Table13[[#This Row],[CD_FUNCAO]],'BASE_FUNCOES (hide)'!A:X,2,FALSE)</f>
        <v>#N/A</v>
      </c>
    </row>
    <row r="482" spans="1:11">
      <c r="A482" s="385">
        <v>514</v>
      </c>
      <c r="B482" s="385" t="s">
        <v>4097</v>
      </c>
      <c r="C482" s="385" t="s">
        <v>4096</v>
      </c>
      <c r="D482" s="385" t="s">
        <v>4095</v>
      </c>
      <c r="E482" s="385">
        <v>13</v>
      </c>
      <c r="F482" s="385" t="s">
        <v>11</v>
      </c>
      <c r="I482" s="385" t="s">
        <v>3485</v>
      </c>
      <c r="J482" s="385" t="s">
        <v>3476</v>
      </c>
      <c r="K482" s="385" t="e">
        <f>VLOOKUP(Table13[[#This Row],[CD_FUNCAO]],'BASE_FUNCOES (hide)'!A:X,2,FALSE)</f>
        <v>#N/A</v>
      </c>
    </row>
    <row r="483" spans="1:11">
      <c r="A483" s="385">
        <v>515</v>
      </c>
      <c r="B483" s="385" t="s">
        <v>4094</v>
      </c>
      <c r="C483" s="385" t="s">
        <v>4093</v>
      </c>
      <c r="D483" s="385" t="s">
        <v>4092</v>
      </c>
      <c r="E483" s="385">
        <v>13</v>
      </c>
      <c r="F483" s="385" t="s">
        <v>11</v>
      </c>
      <c r="I483" s="385" t="s">
        <v>3485</v>
      </c>
      <c r="J483" s="385" t="s">
        <v>3476</v>
      </c>
      <c r="K483" s="385" t="e">
        <f>VLOOKUP(Table13[[#This Row],[CD_FUNCAO]],'BASE_FUNCOES (hide)'!A:X,2,FALSE)</f>
        <v>#N/A</v>
      </c>
    </row>
    <row r="484" spans="1:11">
      <c r="A484" s="385">
        <v>516</v>
      </c>
      <c r="B484" s="385" t="s">
        <v>4090</v>
      </c>
      <c r="C484" s="385" t="s">
        <v>4091</v>
      </c>
      <c r="D484" s="385" t="s">
        <v>4090</v>
      </c>
      <c r="E484" s="385">
        <v>13</v>
      </c>
      <c r="F484" s="385" t="s">
        <v>11</v>
      </c>
      <c r="I484" s="385" t="s">
        <v>3485</v>
      </c>
      <c r="J484" s="385" t="s">
        <v>3476</v>
      </c>
      <c r="K484" s="385" t="e">
        <f>VLOOKUP(Table13[[#This Row],[CD_FUNCAO]],'BASE_FUNCOES (hide)'!A:X,2,FALSE)</f>
        <v>#N/A</v>
      </c>
    </row>
    <row r="485" spans="1:11">
      <c r="A485" s="385">
        <v>517</v>
      </c>
      <c r="B485" s="385" t="s">
        <v>4089</v>
      </c>
      <c r="C485" s="385" t="s">
        <v>4088</v>
      </c>
      <c r="D485" s="385" t="s">
        <v>4087</v>
      </c>
      <c r="E485" s="385">
        <v>13</v>
      </c>
      <c r="F485" s="385" t="s">
        <v>11</v>
      </c>
      <c r="I485" s="385" t="s">
        <v>3485</v>
      </c>
      <c r="J485" s="385" t="s">
        <v>3476</v>
      </c>
      <c r="K485" s="385" t="e">
        <f>VLOOKUP(Table13[[#This Row],[CD_FUNCAO]],'BASE_FUNCOES (hide)'!A:X,2,FALSE)</f>
        <v>#N/A</v>
      </c>
    </row>
    <row r="486" spans="1:11">
      <c r="A486" s="385">
        <v>518</v>
      </c>
      <c r="B486" s="385" t="s">
        <v>4086</v>
      </c>
      <c r="C486" s="385" t="s">
        <v>4085</v>
      </c>
      <c r="D486" s="385" t="s">
        <v>4084</v>
      </c>
      <c r="E486" s="385">
        <v>13</v>
      </c>
      <c r="F486" s="385" t="s">
        <v>11</v>
      </c>
      <c r="I486" s="385" t="s">
        <v>3485</v>
      </c>
      <c r="J486" s="385" t="s">
        <v>3476</v>
      </c>
      <c r="K486" s="385" t="e">
        <f>VLOOKUP(Table13[[#This Row],[CD_FUNCAO]],'BASE_FUNCOES (hide)'!A:X,2,FALSE)</f>
        <v>#N/A</v>
      </c>
    </row>
    <row r="487" spans="1:11" hidden="1">
      <c r="A487" s="385">
        <v>7044</v>
      </c>
      <c r="B487" s="385" t="s">
        <v>370</v>
      </c>
      <c r="C487" s="385" t="s">
        <v>1213</v>
      </c>
      <c r="D487" s="385" t="s">
        <v>1214</v>
      </c>
      <c r="E487" s="385">
        <v>283</v>
      </c>
      <c r="F487" s="385" t="s">
        <v>4705</v>
      </c>
      <c r="G487" s="385" t="s">
        <v>4704</v>
      </c>
      <c r="H487" s="385" t="s">
        <v>4703</v>
      </c>
      <c r="I487" s="385" t="s">
        <v>3477</v>
      </c>
      <c r="J487" s="385" t="s">
        <v>3476</v>
      </c>
      <c r="K487" s="385" t="str">
        <f>VLOOKUP(Table13[[#This Row],[CD_FUNCAO]],'BASE_FUNCOES (hide)'!A:X,2,FALSE)</f>
        <v>Gestão de Serviços Profissionais</v>
      </c>
    </row>
    <row r="488" spans="1:11">
      <c r="A488" s="385">
        <v>520</v>
      </c>
      <c r="B488" s="385" t="s">
        <v>4080</v>
      </c>
      <c r="C488" s="385" t="s">
        <v>4079</v>
      </c>
      <c r="D488" s="385" t="s">
        <v>4078</v>
      </c>
      <c r="E488" s="385">
        <v>13</v>
      </c>
      <c r="F488" s="385" t="s">
        <v>11</v>
      </c>
      <c r="I488" s="385" t="s">
        <v>3485</v>
      </c>
      <c r="J488" s="385" t="s">
        <v>3476</v>
      </c>
      <c r="K488" s="385" t="e">
        <f>VLOOKUP(Table13[[#This Row],[CD_FUNCAO]],'BASE_FUNCOES (hide)'!A:X,2,FALSE)</f>
        <v>#N/A</v>
      </c>
    </row>
    <row r="489" spans="1:11" hidden="1">
      <c r="A489" s="385">
        <v>8051</v>
      </c>
      <c r="B489" s="385" t="s">
        <v>355</v>
      </c>
      <c r="C489" s="385" t="s">
        <v>1215</v>
      </c>
      <c r="D489" s="385" t="s">
        <v>1216</v>
      </c>
      <c r="E489" s="385">
        <v>283</v>
      </c>
      <c r="F489" s="385" t="s">
        <v>4705</v>
      </c>
      <c r="G489" s="385" t="s">
        <v>4704</v>
      </c>
      <c r="H489" s="385" t="s">
        <v>4703</v>
      </c>
      <c r="I489" s="385" t="s">
        <v>3477</v>
      </c>
      <c r="J489" s="385" t="s">
        <v>3476</v>
      </c>
      <c r="K489" s="385" t="str">
        <f>VLOOKUP(Table13[[#This Row],[CD_FUNCAO]],'BASE_FUNCOES (hide)'!A:X,2,FALSE)</f>
        <v>Geração de Resultados Externos</v>
      </c>
    </row>
    <row r="490" spans="1:11">
      <c r="A490" s="385">
        <v>527</v>
      </c>
      <c r="B490" s="385" t="s">
        <v>5018</v>
      </c>
      <c r="C490" s="385" t="s">
        <v>5017</v>
      </c>
      <c r="D490" s="385" t="s">
        <v>5016</v>
      </c>
      <c r="E490" s="385">
        <v>283</v>
      </c>
      <c r="F490" s="385" t="s">
        <v>4705</v>
      </c>
      <c r="G490" s="385" t="s">
        <v>4704</v>
      </c>
      <c r="H490" s="385" t="s">
        <v>4703</v>
      </c>
      <c r="I490" s="385" t="s">
        <v>3510</v>
      </c>
      <c r="J490" s="385" t="s">
        <v>3477</v>
      </c>
      <c r="K490" s="385" t="e">
        <f>VLOOKUP(Table13[[#This Row],[CD_FUNCAO]],'BASE_FUNCOES (hide)'!A:X,2,FALSE)</f>
        <v>#N/A</v>
      </c>
    </row>
    <row r="491" spans="1:11">
      <c r="A491" s="385">
        <v>584</v>
      </c>
      <c r="B491" s="385" t="s">
        <v>5239</v>
      </c>
      <c r="C491" s="385" t="s">
        <v>5238</v>
      </c>
      <c r="D491" s="385" t="s">
        <v>5237</v>
      </c>
      <c r="E491" s="385">
        <v>283</v>
      </c>
      <c r="F491" s="385" t="s">
        <v>4705</v>
      </c>
      <c r="G491" s="385" t="s">
        <v>4704</v>
      </c>
      <c r="H491" s="385" t="s">
        <v>4703</v>
      </c>
      <c r="I491" s="385" t="s">
        <v>3510</v>
      </c>
      <c r="J491" s="385" t="s">
        <v>3477</v>
      </c>
      <c r="K491" s="385" t="e">
        <f>VLOOKUP(Table13[[#This Row],[CD_FUNCAO]],'BASE_FUNCOES (hide)'!A:X,2,FALSE)</f>
        <v>#N/A</v>
      </c>
    </row>
    <row r="492" spans="1:11">
      <c r="A492" s="385">
        <v>651</v>
      </c>
      <c r="B492" s="385" t="s">
        <v>4073</v>
      </c>
      <c r="C492" s="385" t="s">
        <v>4071</v>
      </c>
      <c r="D492" s="385" t="s">
        <v>4072</v>
      </c>
      <c r="E492" s="385">
        <v>15</v>
      </c>
      <c r="F492" s="385" t="s">
        <v>768</v>
      </c>
      <c r="G492" s="385" t="s">
        <v>769</v>
      </c>
      <c r="H492" s="385" t="s">
        <v>770</v>
      </c>
      <c r="I492" s="385" t="s">
        <v>3485</v>
      </c>
      <c r="K492" s="385" t="e">
        <f>VLOOKUP(Table13[[#This Row],[CD_FUNCAO]],'BASE_FUNCOES (hide)'!A:X,2,FALSE)</f>
        <v>#N/A</v>
      </c>
    </row>
    <row r="493" spans="1:11">
      <c r="A493" s="385">
        <v>697</v>
      </c>
      <c r="B493" s="385" t="s">
        <v>5717</v>
      </c>
      <c r="C493" s="385" t="s">
        <v>5716</v>
      </c>
      <c r="D493" s="385" t="s">
        <v>5715</v>
      </c>
      <c r="E493" s="385">
        <v>283</v>
      </c>
      <c r="F493" s="385" t="s">
        <v>4705</v>
      </c>
      <c r="G493" s="385" t="s">
        <v>4704</v>
      </c>
      <c r="H493" s="385" t="s">
        <v>4703</v>
      </c>
      <c r="I493" s="385" t="s">
        <v>3488</v>
      </c>
      <c r="J493" s="385" t="s">
        <v>3476</v>
      </c>
      <c r="K493" s="385" t="e">
        <f>VLOOKUP(Table13[[#This Row],[CD_FUNCAO]],'BASE_FUNCOES (hide)'!A:X,2,FALSE)</f>
        <v>#N/A</v>
      </c>
    </row>
    <row r="494" spans="1:11">
      <c r="A494" s="385">
        <v>700</v>
      </c>
      <c r="B494" s="385" t="s">
        <v>3927</v>
      </c>
      <c r="C494" s="385" t="s">
        <v>3926</v>
      </c>
      <c r="D494" s="385" t="s">
        <v>3925</v>
      </c>
      <c r="E494" s="385">
        <v>37</v>
      </c>
      <c r="F494" s="385" t="s">
        <v>3488</v>
      </c>
      <c r="I494" s="385" t="s">
        <v>3485</v>
      </c>
      <c r="J494" s="385" t="s">
        <v>3476</v>
      </c>
      <c r="K494" s="385" t="e">
        <f>VLOOKUP(Table13[[#This Row],[CD_FUNCAO]],'BASE_FUNCOES (hide)'!A:X,2,FALSE)</f>
        <v>#N/A</v>
      </c>
    </row>
    <row r="495" spans="1:11">
      <c r="A495" s="385">
        <v>701</v>
      </c>
      <c r="B495" s="385" t="s">
        <v>3923</v>
      </c>
      <c r="C495" s="385" t="s">
        <v>3924</v>
      </c>
      <c r="D495" s="385" t="s">
        <v>3923</v>
      </c>
      <c r="E495" s="385">
        <v>37</v>
      </c>
      <c r="F495" s="385" t="s">
        <v>3488</v>
      </c>
      <c r="I495" s="385" t="s">
        <v>3485</v>
      </c>
      <c r="J495" s="385" t="s">
        <v>3476</v>
      </c>
      <c r="K495" s="385" t="e">
        <f>VLOOKUP(Table13[[#This Row],[CD_FUNCAO]],'BASE_FUNCOES (hide)'!A:X,2,FALSE)</f>
        <v>#N/A</v>
      </c>
    </row>
    <row r="496" spans="1:11">
      <c r="A496" s="385">
        <v>702</v>
      </c>
      <c r="B496" s="385" t="s">
        <v>3969</v>
      </c>
      <c r="C496" s="385" t="s">
        <v>3970</v>
      </c>
      <c r="D496" s="385" t="s">
        <v>3969</v>
      </c>
      <c r="E496" s="385">
        <v>31</v>
      </c>
      <c r="F496" s="385" t="s">
        <v>245</v>
      </c>
      <c r="I496" s="385" t="s">
        <v>3485</v>
      </c>
      <c r="J496" s="385" t="s">
        <v>3476</v>
      </c>
      <c r="K496" s="385" t="e">
        <f>VLOOKUP(Table13[[#This Row],[CD_FUNCAO]],'BASE_FUNCOES (hide)'!A:X,2,FALSE)</f>
        <v>#N/A</v>
      </c>
    </row>
    <row r="497" spans="1:11">
      <c r="A497" s="385">
        <v>703</v>
      </c>
      <c r="B497" s="385" t="s">
        <v>3930</v>
      </c>
      <c r="C497" s="385" t="s">
        <v>3931</v>
      </c>
      <c r="D497" s="385" t="s">
        <v>3930</v>
      </c>
      <c r="E497" s="385">
        <v>37</v>
      </c>
      <c r="F497" s="385" t="s">
        <v>3488</v>
      </c>
      <c r="I497" s="385" t="s">
        <v>3485</v>
      </c>
      <c r="J497" s="385" t="s">
        <v>3476</v>
      </c>
      <c r="K497" s="385" t="e">
        <f>VLOOKUP(Table13[[#This Row],[CD_FUNCAO]],'BASE_FUNCOES (hide)'!A:X,2,FALSE)</f>
        <v>#N/A</v>
      </c>
    </row>
    <row r="498" spans="1:11">
      <c r="A498" s="385">
        <v>704</v>
      </c>
      <c r="B498" s="385" t="s">
        <v>3928</v>
      </c>
      <c r="C498" s="385" t="s">
        <v>3929</v>
      </c>
      <c r="D498" s="385" t="s">
        <v>3928</v>
      </c>
      <c r="E498" s="385">
        <v>37</v>
      </c>
      <c r="F498" s="385" t="s">
        <v>3488</v>
      </c>
      <c r="I498" s="385" t="s">
        <v>3485</v>
      </c>
      <c r="J498" s="385" t="s">
        <v>3476</v>
      </c>
      <c r="K498" s="385" t="e">
        <f>VLOOKUP(Table13[[#This Row],[CD_FUNCAO]],'BASE_FUNCOES (hide)'!A:X,2,FALSE)</f>
        <v>#N/A</v>
      </c>
    </row>
    <row r="499" spans="1:11">
      <c r="A499" s="385">
        <v>711</v>
      </c>
      <c r="B499" s="385" t="s">
        <v>4022</v>
      </c>
      <c r="C499" s="385" t="s">
        <v>4021</v>
      </c>
      <c r="D499" s="385" t="s">
        <v>919</v>
      </c>
      <c r="E499" s="385">
        <v>23</v>
      </c>
      <c r="F499" s="385" t="s">
        <v>7</v>
      </c>
      <c r="I499" s="385" t="s">
        <v>3485</v>
      </c>
      <c r="J499" s="385" t="s">
        <v>3476</v>
      </c>
      <c r="K499" s="385" t="e">
        <f>VLOOKUP(Table13[[#This Row],[CD_FUNCAO]],'BASE_FUNCOES (hide)'!A:X,2,FALSE)</f>
        <v>#N/A</v>
      </c>
    </row>
    <row r="500" spans="1:11" hidden="1">
      <c r="A500" s="385">
        <v>8020</v>
      </c>
      <c r="B500" s="385" t="s">
        <v>360</v>
      </c>
      <c r="C500" s="385" t="s">
        <v>1211</v>
      </c>
      <c r="D500" s="385" t="s">
        <v>1212</v>
      </c>
      <c r="E500" s="385">
        <v>283</v>
      </c>
      <c r="F500" s="385" t="s">
        <v>4705</v>
      </c>
      <c r="G500" s="385" t="s">
        <v>4704</v>
      </c>
      <c r="H500" s="385" t="s">
        <v>4703</v>
      </c>
      <c r="I500" s="385" t="s">
        <v>3477</v>
      </c>
      <c r="J500" s="385" t="s">
        <v>3476</v>
      </c>
      <c r="K500" s="385" t="str">
        <f>VLOOKUP(Table13[[#This Row],[CD_FUNCAO]],'BASE_FUNCOES (hide)'!A:X,2,FALSE)</f>
        <v>Gestão Comercial</v>
      </c>
    </row>
    <row r="501" spans="1:11">
      <c r="A501" s="385">
        <v>720</v>
      </c>
      <c r="B501" s="385" t="s">
        <v>3662</v>
      </c>
      <c r="C501" s="385" t="s">
        <v>3661</v>
      </c>
      <c r="D501" s="385" t="s">
        <v>3660</v>
      </c>
      <c r="E501" s="385">
        <v>511</v>
      </c>
      <c r="F501" s="385" t="s">
        <v>429</v>
      </c>
      <c r="G501" s="385" t="s">
        <v>1526</v>
      </c>
      <c r="H501" s="385" t="s">
        <v>1528</v>
      </c>
      <c r="I501" s="385" t="s">
        <v>3485</v>
      </c>
      <c r="J501" s="385" t="s">
        <v>3476</v>
      </c>
      <c r="K501" s="385" t="e">
        <f>VLOOKUP(Table13[[#This Row],[CD_FUNCAO]],'BASE_FUNCOES (hide)'!A:X,2,FALSE)</f>
        <v>#N/A</v>
      </c>
    </row>
    <row r="502" spans="1:11">
      <c r="A502" s="385">
        <v>721</v>
      </c>
      <c r="B502" s="385" t="s">
        <v>4717</v>
      </c>
      <c r="C502" s="385" t="s">
        <v>4716</v>
      </c>
      <c r="D502" s="385" t="s">
        <v>4715</v>
      </c>
      <c r="E502" s="385">
        <v>283</v>
      </c>
      <c r="F502" s="385" t="s">
        <v>4705</v>
      </c>
      <c r="G502" s="385" t="s">
        <v>4704</v>
      </c>
      <c r="H502" s="385" t="s">
        <v>4703</v>
      </c>
      <c r="I502" s="385" t="s">
        <v>3485</v>
      </c>
      <c r="K502" s="385" t="e">
        <f>VLOOKUP(Table13[[#This Row],[CD_FUNCAO]],'BASE_FUNCOES (hide)'!A:X,2,FALSE)</f>
        <v>#N/A</v>
      </c>
    </row>
    <row r="503" spans="1:11">
      <c r="A503" s="385">
        <v>724</v>
      </c>
      <c r="B503" s="385" t="s">
        <v>4018</v>
      </c>
      <c r="C503" s="385" t="s">
        <v>4017</v>
      </c>
      <c r="D503" s="385" t="s">
        <v>4016</v>
      </c>
      <c r="E503" s="385">
        <v>23</v>
      </c>
      <c r="F503" s="385" t="s">
        <v>7</v>
      </c>
      <c r="I503" s="385" t="s">
        <v>3488</v>
      </c>
      <c r="J503" s="385" t="s">
        <v>3476</v>
      </c>
      <c r="K503" s="385" t="e">
        <f>VLOOKUP(Table13[[#This Row],[CD_FUNCAO]],'BASE_FUNCOES (hide)'!A:X,2,FALSE)</f>
        <v>#N/A</v>
      </c>
    </row>
    <row r="504" spans="1:11" hidden="1">
      <c r="A504" s="385">
        <v>-2070</v>
      </c>
      <c r="B504" s="385" t="s">
        <v>4867</v>
      </c>
      <c r="C504" s="385" t="s">
        <v>1195</v>
      </c>
      <c r="D504" s="385" t="s">
        <v>4866</v>
      </c>
      <c r="E504" s="385">
        <v>283</v>
      </c>
      <c r="F504" s="385" t="s">
        <v>4705</v>
      </c>
      <c r="G504" s="385" t="s">
        <v>4704</v>
      </c>
      <c r="H504" s="385" t="s">
        <v>4703</v>
      </c>
      <c r="I504" s="385" t="s">
        <v>3477</v>
      </c>
      <c r="J504" s="385" t="s">
        <v>3477</v>
      </c>
      <c r="K504" s="385" t="str">
        <f>VLOOKUP(Table13[[#This Row],[CD_FUNCAO]],'BASE_FUNCOES (hide)'!A:X,2,FALSE)</f>
        <v>Montagem de Laudo de Patologia</v>
      </c>
    </row>
    <row r="505" spans="1:11">
      <c r="A505" s="385">
        <v>728</v>
      </c>
      <c r="B505" s="385" t="s">
        <v>4025</v>
      </c>
      <c r="C505" s="385" t="s">
        <v>4024</v>
      </c>
      <c r="D505" s="385" t="s">
        <v>4023</v>
      </c>
      <c r="E505" s="385">
        <v>23</v>
      </c>
      <c r="F505" s="385" t="s">
        <v>7</v>
      </c>
      <c r="I505" s="385" t="s">
        <v>3510</v>
      </c>
      <c r="J505" s="385" t="s">
        <v>3476</v>
      </c>
      <c r="K505" s="385" t="e">
        <f>VLOOKUP(Table13[[#This Row],[CD_FUNCAO]],'BASE_FUNCOES (hide)'!A:X,2,FALSE)</f>
        <v>#N/A</v>
      </c>
    </row>
    <row r="506" spans="1:11" hidden="1">
      <c r="A506" s="385">
        <v>101</v>
      </c>
      <c r="B506" s="385" t="s">
        <v>369</v>
      </c>
      <c r="C506" s="385" t="s">
        <v>1219</v>
      </c>
      <c r="D506" s="385" t="s">
        <v>1220</v>
      </c>
      <c r="E506" s="385">
        <v>283</v>
      </c>
      <c r="F506" s="385" t="s">
        <v>4705</v>
      </c>
      <c r="G506" s="385" t="s">
        <v>4704</v>
      </c>
      <c r="H506" s="385" t="s">
        <v>4703</v>
      </c>
      <c r="I506" s="385" t="s">
        <v>3477</v>
      </c>
      <c r="K506" s="385" t="str">
        <f>VLOOKUP(Table13[[#This Row],[CD_FUNCAO]],'BASE_FUNCOES (hide)'!A:X,2,FALSE)</f>
        <v>Gestão de Respostas do Questionário</v>
      </c>
    </row>
    <row r="507" spans="1:11">
      <c r="A507" s="385">
        <v>797</v>
      </c>
      <c r="B507" s="385" t="s">
        <v>4042</v>
      </c>
      <c r="C507" s="385" t="s">
        <v>4041</v>
      </c>
      <c r="D507" s="385" t="s">
        <v>4040</v>
      </c>
      <c r="E507" s="385">
        <v>22</v>
      </c>
      <c r="F507" s="385" t="s">
        <v>2783</v>
      </c>
      <c r="I507" s="385" t="s">
        <v>3485</v>
      </c>
      <c r="J507" s="385" t="s">
        <v>3476</v>
      </c>
      <c r="K507" s="385" t="e">
        <f>VLOOKUP(Table13[[#This Row],[CD_FUNCAO]],'BASE_FUNCOES (hide)'!A:X,2,FALSE)</f>
        <v>#N/A</v>
      </c>
    </row>
    <row r="508" spans="1:11">
      <c r="A508" s="385">
        <v>798</v>
      </c>
      <c r="B508" s="385" t="s">
        <v>4038</v>
      </c>
      <c r="C508" s="385" t="s">
        <v>4039</v>
      </c>
      <c r="D508" s="385" t="s">
        <v>4038</v>
      </c>
      <c r="E508" s="385">
        <v>22</v>
      </c>
      <c r="F508" s="385" t="s">
        <v>2783</v>
      </c>
      <c r="I508" s="385" t="s">
        <v>3485</v>
      </c>
      <c r="J508" s="385" t="s">
        <v>3476</v>
      </c>
      <c r="K508" s="385" t="e">
        <f>VLOOKUP(Table13[[#This Row],[CD_FUNCAO]],'BASE_FUNCOES (hide)'!A:X,2,FALSE)</f>
        <v>#N/A</v>
      </c>
    </row>
    <row r="509" spans="1:11">
      <c r="A509" s="385">
        <v>799</v>
      </c>
      <c r="B509" s="385" t="s">
        <v>4036</v>
      </c>
      <c r="C509" s="385" t="s">
        <v>4037</v>
      </c>
      <c r="D509" s="385" t="s">
        <v>4036</v>
      </c>
      <c r="E509" s="385">
        <v>22</v>
      </c>
      <c r="F509" s="385" t="s">
        <v>2783</v>
      </c>
      <c r="I509" s="385" t="s">
        <v>3485</v>
      </c>
      <c r="J509" s="385" t="s">
        <v>3476</v>
      </c>
      <c r="K509" s="385" t="e">
        <f>VLOOKUP(Table13[[#This Row],[CD_FUNCAO]],'BASE_FUNCOES (hide)'!A:X,2,FALSE)</f>
        <v>#N/A</v>
      </c>
    </row>
    <row r="510" spans="1:11">
      <c r="A510" s="385">
        <v>800</v>
      </c>
      <c r="B510" s="385" t="s">
        <v>4045</v>
      </c>
      <c r="C510" s="385" t="s">
        <v>4044</v>
      </c>
      <c r="D510" s="385" t="s">
        <v>4043</v>
      </c>
      <c r="E510" s="385">
        <v>22</v>
      </c>
      <c r="F510" s="385" t="s">
        <v>2783</v>
      </c>
      <c r="I510" s="385" t="s">
        <v>3485</v>
      </c>
      <c r="J510" s="385" t="s">
        <v>3476</v>
      </c>
      <c r="K510" s="385" t="e">
        <f>VLOOKUP(Table13[[#This Row],[CD_FUNCAO]],'BASE_FUNCOES (hide)'!A:X,2,FALSE)</f>
        <v>#N/A</v>
      </c>
    </row>
    <row r="511" spans="1:11" hidden="1">
      <c r="A511" s="385">
        <v>-317</v>
      </c>
      <c r="B511" s="385" t="s">
        <v>1235</v>
      </c>
      <c r="C511" s="385" t="s">
        <v>4852</v>
      </c>
      <c r="D511" s="385" t="s">
        <v>4851</v>
      </c>
      <c r="E511" s="385">
        <v>283</v>
      </c>
      <c r="F511" s="385" t="s">
        <v>4705</v>
      </c>
      <c r="G511" s="385" t="s">
        <v>4704</v>
      </c>
      <c r="H511" s="385" t="s">
        <v>4703</v>
      </c>
      <c r="I511" s="385" t="s">
        <v>3477</v>
      </c>
      <c r="J511" s="385" t="s">
        <v>3476</v>
      </c>
      <c r="K511" s="385" t="str">
        <f>VLOOKUP(Table13[[#This Row],[CD_FUNCAO]],'BASE_FUNCOES (hide)'!A:X,2,FALSE)</f>
        <v>Passagem de Setor</v>
      </c>
    </row>
    <row r="512" spans="1:11" hidden="1">
      <c r="A512" s="385">
        <v>-12</v>
      </c>
      <c r="B512" s="385" t="s">
        <v>1250</v>
      </c>
      <c r="C512" s="385" t="s">
        <v>1251</v>
      </c>
      <c r="D512" s="385" t="s">
        <v>1252</v>
      </c>
      <c r="E512" s="385">
        <v>283</v>
      </c>
      <c r="F512" s="385" t="s">
        <v>4705</v>
      </c>
      <c r="G512" s="385" t="s">
        <v>4704</v>
      </c>
      <c r="H512" s="385" t="s">
        <v>4703</v>
      </c>
      <c r="I512" s="385" t="s">
        <v>3488</v>
      </c>
      <c r="J512" s="385" t="s">
        <v>3476</v>
      </c>
      <c r="K512" s="385" t="str">
        <f>VLOOKUP(Table13[[#This Row],[CD_FUNCAO]],'BASE_FUNCOES (hide)'!A:X,2,FALSE)</f>
        <v>Localiza Adiantamento</v>
      </c>
    </row>
    <row r="513" spans="1:11">
      <c r="A513" s="385">
        <v>817</v>
      </c>
      <c r="B513" s="385" t="s">
        <v>5198</v>
      </c>
      <c r="C513" s="385" t="s">
        <v>5197</v>
      </c>
      <c r="D513" s="385" t="s">
        <v>5196</v>
      </c>
      <c r="E513" s="385">
        <v>283</v>
      </c>
      <c r="F513" s="385" t="s">
        <v>4705</v>
      </c>
      <c r="G513" s="385" t="s">
        <v>4704</v>
      </c>
      <c r="H513" s="385" t="s">
        <v>4703</v>
      </c>
      <c r="I513" s="385" t="s">
        <v>3488</v>
      </c>
      <c r="J513" s="385" t="s">
        <v>3477</v>
      </c>
      <c r="K513" s="385" t="e">
        <f>VLOOKUP(Table13[[#This Row],[CD_FUNCAO]],'BASE_FUNCOES (hide)'!A:X,2,FALSE)</f>
        <v>#N/A</v>
      </c>
    </row>
    <row r="514" spans="1:11">
      <c r="A514" s="385">
        <v>850</v>
      </c>
      <c r="B514" s="385" t="s">
        <v>4035</v>
      </c>
      <c r="C514" s="385" t="s">
        <v>4034</v>
      </c>
      <c r="D514" s="385" t="s">
        <v>4033</v>
      </c>
      <c r="E514" s="385">
        <v>22</v>
      </c>
      <c r="F514" s="385" t="s">
        <v>2783</v>
      </c>
      <c r="I514" s="385" t="s">
        <v>3485</v>
      </c>
      <c r="J514" s="385" t="s">
        <v>3476</v>
      </c>
      <c r="K514" s="385" t="e">
        <f>VLOOKUP(Table13[[#This Row],[CD_FUNCAO]],'BASE_FUNCOES (hide)'!A:X,2,FALSE)</f>
        <v>#N/A</v>
      </c>
    </row>
    <row r="515" spans="1:11">
      <c r="A515" s="385">
        <v>853</v>
      </c>
      <c r="B515" s="385" t="s">
        <v>5288</v>
      </c>
      <c r="C515" s="385" t="s">
        <v>5287</v>
      </c>
      <c r="D515" s="385" t="s">
        <v>5286</v>
      </c>
      <c r="E515" s="385">
        <v>283</v>
      </c>
      <c r="F515" s="385" t="s">
        <v>4705</v>
      </c>
      <c r="G515" s="385" t="s">
        <v>4704</v>
      </c>
      <c r="H515" s="385" t="s">
        <v>4703</v>
      </c>
      <c r="I515" s="385" t="s">
        <v>3510</v>
      </c>
      <c r="J515" s="385" t="s">
        <v>3477</v>
      </c>
      <c r="K515" s="385" t="e">
        <f>VLOOKUP(Table13[[#This Row],[CD_FUNCAO]],'BASE_FUNCOES (hide)'!A:X,2,FALSE)</f>
        <v>#N/A</v>
      </c>
    </row>
    <row r="516" spans="1:11">
      <c r="A516" s="385">
        <v>898</v>
      </c>
      <c r="B516" s="385" t="s">
        <v>4367</v>
      </c>
      <c r="C516" s="385" t="s">
        <v>4366</v>
      </c>
      <c r="D516" s="385" t="s">
        <v>4365</v>
      </c>
      <c r="E516" s="385">
        <v>87</v>
      </c>
      <c r="F516" s="385" t="s">
        <v>3475</v>
      </c>
      <c r="G516" s="385" t="s">
        <v>852</v>
      </c>
      <c r="H516" s="385" t="s">
        <v>1</v>
      </c>
      <c r="I516" s="385" t="s">
        <v>3485</v>
      </c>
      <c r="J516" s="385" t="s">
        <v>3476</v>
      </c>
      <c r="K516" s="385" t="e">
        <f>VLOOKUP(Table13[[#This Row],[CD_FUNCAO]],'BASE_FUNCOES (hide)'!A:X,2,FALSE)</f>
        <v>#N/A</v>
      </c>
    </row>
    <row r="517" spans="1:11" hidden="1">
      <c r="A517" s="385">
        <v>4001</v>
      </c>
      <c r="B517" s="385" t="s">
        <v>361</v>
      </c>
      <c r="C517" s="385" t="s">
        <v>1266</v>
      </c>
      <c r="D517" s="385" t="s">
        <v>1267</v>
      </c>
      <c r="E517" s="385">
        <v>283</v>
      </c>
      <c r="F517" s="385" t="s">
        <v>4705</v>
      </c>
      <c r="G517" s="385" t="s">
        <v>4704</v>
      </c>
      <c r="H517" s="385" t="s">
        <v>4703</v>
      </c>
      <c r="I517" s="385" t="s">
        <v>3477</v>
      </c>
      <c r="J517" s="385" t="s">
        <v>3476</v>
      </c>
      <c r="K517" s="385" t="str">
        <f>VLOOKUP(Table13[[#This Row],[CD_FUNCAO]],'BASE_FUNCOES (hide)'!A:X,2,FALSE)</f>
        <v>Gestão da qualidade de software</v>
      </c>
    </row>
    <row r="518" spans="1:11">
      <c r="A518" s="385">
        <v>899</v>
      </c>
      <c r="B518" s="385" t="s">
        <v>5501</v>
      </c>
      <c r="C518" s="385" t="s">
        <v>5500</v>
      </c>
      <c r="D518" s="385" t="s">
        <v>5499</v>
      </c>
      <c r="E518" s="385">
        <v>283</v>
      </c>
      <c r="F518" s="385" t="s">
        <v>4705</v>
      </c>
      <c r="G518" s="385" t="s">
        <v>4704</v>
      </c>
      <c r="H518" s="385" t="s">
        <v>4703</v>
      </c>
      <c r="I518" s="385" t="s">
        <v>3488</v>
      </c>
      <c r="J518" s="385" t="s">
        <v>3477</v>
      </c>
      <c r="K518" s="385" t="e">
        <f>VLOOKUP(Table13[[#This Row],[CD_FUNCAO]],'BASE_FUNCOES (hide)'!A:X,2,FALSE)</f>
        <v>#N/A</v>
      </c>
    </row>
    <row r="519" spans="1:11">
      <c r="A519" s="385">
        <v>901</v>
      </c>
      <c r="B519" s="385" t="s">
        <v>3651</v>
      </c>
      <c r="C519" s="385" t="s">
        <v>3650</v>
      </c>
      <c r="D519" s="385" t="s">
        <v>3649</v>
      </c>
      <c r="E519" s="385">
        <v>511</v>
      </c>
      <c r="F519" s="385" t="s">
        <v>429</v>
      </c>
      <c r="G519" s="385" t="s">
        <v>1526</v>
      </c>
      <c r="H519" s="385" t="s">
        <v>1528</v>
      </c>
      <c r="I519" s="385" t="s">
        <v>3485</v>
      </c>
      <c r="J519" s="385" t="s">
        <v>3476</v>
      </c>
      <c r="K519" s="385" t="e">
        <f>VLOOKUP(Table13[[#This Row],[CD_FUNCAO]],'BASE_FUNCOES (hide)'!A:X,2,FALSE)</f>
        <v>#N/A</v>
      </c>
    </row>
    <row r="520" spans="1:11">
      <c r="A520" s="385">
        <v>904</v>
      </c>
      <c r="B520" s="385" t="s">
        <v>4319</v>
      </c>
      <c r="C520" s="385" t="s">
        <v>4318</v>
      </c>
      <c r="D520" s="385" t="s">
        <v>4317</v>
      </c>
      <c r="E520" s="385">
        <v>96</v>
      </c>
      <c r="F520" s="385" t="s">
        <v>301</v>
      </c>
      <c r="I520" s="385" t="s">
        <v>3485</v>
      </c>
      <c r="K520" s="385" t="e">
        <f>VLOOKUP(Table13[[#This Row],[CD_FUNCAO]],'BASE_FUNCOES (hide)'!A:X,2,FALSE)</f>
        <v>#N/A</v>
      </c>
    </row>
    <row r="521" spans="1:11">
      <c r="A521" s="385">
        <v>910</v>
      </c>
      <c r="B521" s="385" t="s">
        <v>3918</v>
      </c>
      <c r="C521" s="385" t="s">
        <v>3917</v>
      </c>
      <c r="D521" s="385" t="s">
        <v>3916</v>
      </c>
      <c r="E521" s="385">
        <v>38</v>
      </c>
      <c r="F521" s="385" t="s">
        <v>42</v>
      </c>
      <c r="I521" s="385" t="s">
        <v>3485</v>
      </c>
      <c r="K521" s="385" t="e">
        <f>VLOOKUP(Table13[[#This Row],[CD_FUNCAO]],'BASE_FUNCOES (hide)'!A:X,2,FALSE)</f>
        <v>#N/A</v>
      </c>
    </row>
    <row r="522" spans="1:11">
      <c r="A522" s="385">
        <v>922</v>
      </c>
      <c r="B522" s="385" t="s">
        <v>4263</v>
      </c>
      <c r="C522" s="385" t="s">
        <v>4262</v>
      </c>
      <c r="D522" s="385" t="s">
        <v>4261</v>
      </c>
      <c r="E522" s="385">
        <v>5</v>
      </c>
      <c r="F522" s="385" t="s">
        <v>177</v>
      </c>
      <c r="G522" s="385" t="s">
        <v>2310</v>
      </c>
      <c r="H522" s="385" t="s">
        <v>2170</v>
      </c>
      <c r="I522" s="385" t="s">
        <v>3488</v>
      </c>
      <c r="J522" s="385" t="s">
        <v>3476</v>
      </c>
      <c r="K522" s="385" t="e">
        <f>VLOOKUP(Table13[[#This Row],[CD_FUNCAO]],'BASE_FUNCOES (hide)'!A:X,2,FALSE)</f>
        <v>#N/A</v>
      </c>
    </row>
    <row r="523" spans="1:11" hidden="1">
      <c r="A523" s="385">
        <v>-1012</v>
      </c>
      <c r="B523" s="385" t="s">
        <v>1299</v>
      </c>
      <c r="C523" s="385" t="s">
        <v>4831</v>
      </c>
      <c r="D523" s="385" t="s">
        <v>4830</v>
      </c>
      <c r="E523" s="385">
        <v>283</v>
      </c>
      <c r="F523" s="385" t="s">
        <v>4705</v>
      </c>
      <c r="G523" s="385" t="s">
        <v>4704</v>
      </c>
      <c r="H523" s="385" t="s">
        <v>4703</v>
      </c>
      <c r="I523" s="385" t="s">
        <v>3477</v>
      </c>
      <c r="J523" s="385" t="s">
        <v>3476</v>
      </c>
      <c r="K523" s="385" t="str">
        <f>VLOOKUP(Table13[[#This Row],[CD_FUNCAO]],'BASE_FUNCOES (hide)'!A:X,2,FALSE)</f>
        <v>Solicitações padrão</v>
      </c>
    </row>
    <row r="524" spans="1:11" hidden="1">
      <c r="A524" s="385">
        <v>1770</v>
      </c>
      <c r="B524" s="385" t="s">
        <v>357</v>
      </c>
      <c r="C524" s="385" t="s">
        <v>1268</v>
      </c>
      <c r="D524" s="385" t="s">
        <v>1736</v>
      </c>
      <c r="E524" s="385">
        <v>283</v>
      </c>
      <c r="F524" s="385" t="s">
        <v>4705</v>
      </c>
      <c r="G524" s="385" t="s">
        <v>4704</v>
      </c>
      <c r="H524" s="385" t="s">
        <v>4703</v>
      </c>
      <c r="I524" s="385" t="s">
        <v>3477</v>
      </c>
      <c r="J524" s="385" t="s">
        <v>3476</v>
      </c>
      <c r="K524" s="385" t="str">
        <f>VLOOKUP(Table13[[#This Row],[CD_FUNCAO]],'BASE_FUNCOES (hide)'!A:X,2,FALSE)</f>
        <v>Gerenciamento dos parâmetros de Suprimentos</v>
      </c>
    </row>
    <row r="525" spans="1:11">
      <c r="A525" s="385">
        <v>930</v>
      </c>
      <c r="B525" s="385" t="s">
        <v>3654</v>
      </c>
      <c r="C525" s="385" t="s">
        <v>3653</v>
      </c>
      <c r="D525" s="385" t="s">
        <v>3652</v>
      </c>
      <c r="E525" s="385">
        <v>511</v>
      </c>
      <c r="F525" s="385" t="s">
        <v>429</v>
      </c>
      <c r="G525" s="385" t="s">
        <v>1526</v>
      </c>
      <c r="H525" s="385" t="s">
        <v>1528</v>
      </c>
      <c r="I525" s="385" t="s">
        <v>3485</v>
      </c>
      <c r="K525" s="385" t="e">
        <f>VLOOKUP(Table13[[#This Row],[CD_FUNCAO]],'BASE_FUNCOES (hide)'!A:X,2,FALSE)</f>
        <v>#N/A</v>
      </c>
    </row>
    <row r="526" spans="1:11" hidden="1">
      <c r="A526" s="385">
        <v>-2250</v>
      </c>
      <c r="B526" s="385" t="s">
        <v>381</v>
      </c>
      <c r="C526" s="385" t="s">
        <v>1281</v>
      </c>
      <c r="D526" s="385" t="s">
        <v>1282</v>
      </c>
      <c r="E526" s="385">
        <v>283</v>
      </c>
      <c r="F526" s="385" t="s">
        <v>4705</v>
      </c>
      <c r="G526" s="385" t="s">
        <v>4704</v>
      </c>
      <c r="H526" s="385" t="s">
        <v>4703</v>
      </c>
      <c r="I526" s="385" t="s">
        <v>3477</v>
      </c>
      <c r="J526" s="385" t="s">
        <v>3476</v>
      </c>
      <c r="K526" s="385" t="str">
        <f>VLOOKUP(Table13[[#This Row],[CD_FUNCAO]],'BASE_FUNCOES (hide)'!A:X,2,FALSE)</f>
        <v>Montagem do localizador</v>
      </c>
    </row>
    <row r="527" spans="1:11">
      <c r="A527" s="385">
        <v>933</v>
      </c>
      <c r="B527" s="385" t="s">
        <v>3936</v>
      </c>
      <c r="C527" s="385" t="s">
        <v>3935</v>
      </c>
      <c r="D527" s="385" t="s">
        <v>3934</v>
      </c>
      <c r="E527" s="385">
        <v>36</v>
      </c>
      <c r="F527" s="385" t="s">
        <v>250</v>
      </c>
      <c r="I527" s="385" t="s">
        <v>3488</v>
      </c>
      <c r="J527" s="385" t="s">
        <v>3477</v>
      </c>
      <c r="K527" s="385" t="e">
        <f>VLOOKUP(Table13[[#This Row],[CD_FUNCAO]],'BASE_FUNCOES (hide)'!A:X,2,FALSE)</f>
        <v>#N/A</v>
      </c>
    </row>
    <row r="528" spans="1:11">
      <c r="A528" s="385">
        <v>938</v>
      </c>
      <c r="B528" s="385" t="s">
        <v>4215</v>
      </c>
      <c r="C528" s="385" t="s">
        <v>4214</v>
      </c>
      <c r="D528" s="385" t="s">
        <v>4213</v>
      </c>
      <c r="E528" s="385">
        <v>7</v>
      </c>
      <c r="F528" s="385" t="s">
        <v>15</v>
      </c>
      <c r="I528" s="385" t="s">
        <v>3485</v>
      </c>
      <c r="J528" s="385" t="s">
        <v>3476</v>
      </c>
      <c r="K528" s="385" t="e">
        <f>VLOOKUP(Table13[[#This Row],[CD_FUNCAO]],'BASE_FUNCOES (hide)'!A:X,2,FALSE)</f>
        <v>#N/A</v>
      </c>
    </row>
    <row r="529" spans="1:11">
      <c r="A529" s="385">
        <v>939</v>
      </c>
      <c r="B529" s="385" t="s">
        <v>3986</v>
      </c>
      <c r="C529" s="385" t="s">
        <v>3985</v>
      </c>
      <c r="D529" s="385" t="s">
        <v>3984</v>
      </c>
      <c r="E529" s="385">
        <v>31</v>
      </c>
      <c r="F529" s="385" t="s">
        <v>245</v>
      </c>
      <c r="I529" s="385" t="s">
        <v>3485</v>
      </c>
      <c r="J529" s="385" t="s">
        <v>3476</v>
      </c>
      <c r="K529" s="385" t="e">
        <f>VLOOKUP(Table13[[#This Row],[CD_FUNCAO]],'BASE_FUNCOES (hide)'!A:X,2,FALSE)</f>
        <v>#N/A</v>
      </c>
    </row>
    <row r="530" spans="1:11">
      <c r="A530" s="385">
        <v>940</v>
      </c>
      <c r="B530" s="385" t="s">
        <v>4901</v>
      </c>
      <c r="C530" s="385" t="s">
        <v>4900</v>
      </c>
      <c r="D530" s="385" t="s">
        <v>4899</v>
      </c>
      <c r="E530" s="385">
        <v>283</v>
      </c>
      <c r="F530" s="385" t="s">
        <v>4705</v>
      </c>
      <c r="G530" s="385" t="s">
        <v>4704</v>
      </c>
      <c r="H530" s="385" t="s">
        <v>4703</v>
      </c>
      <c r="I530" s="385" t="s">
        <v>3510</v>
      </c>
      <c r="J530" s="385" t="s">
        <v>3476</v>
      </c>
      <c r="K530" s="385" t="e">
        <f>VLOOKUP(Table13[[#This Row],[CD_FUNCAO]],'BASE_FUNCOES (hide)'!A:X,2,FALSE)</f>
        <v>#N/A</v>
      </c>
    </row>
    <row r="531" spans="1:11">
      <c r="A531" s="385">
        <v>943</v>
      </c>
      <c r="B531" s="385" t="s">
        <v>4720</v>
      </c>
      <c r="C531" s="385" t="s">
        <v>4719</v>
      </c>
      <c r="D531" s="385" t="s">
        <v>4718</v>
      </c>
      <c r="E531" s="385">
        <v>283</v>
      </c>
      <c r="F531" s="385" t="s">
        <v>4705</v>
      </c>
      <c r="G531" s="385" t="s">
        <v>4704</v>
      </c>
      <c r="H531" s="385" t="s">
        <v>4703</v>
      </c>
      <c r="I531" s="385" t="s">
        <v>3510</v>
      </c>
      <c r="J531" s="385" t="s">
        <v>3476</v>
      </c>
      <c r="K531" s="385" t="e">
        <f>VLOOKUP(Table13[[#This Row],[CD_FUNCAO]],'BASE_FUNCOES (hide)'!A:X,2,FALSE)</f>
        <v>#N/A</v>
      </c>
    </row>
    <row r="532" spans="1:11">
      <c r="A532" s="385">
        <v>954</v>
      </c>
      <c r="B532" s="385" t="s">
        <v>4870</v>
      </c>
      <c r="C532" s="385" t="s">
        <v>4869</v>
      </c>
      <c r="D532" s="385" t="s">
        <v>4868</v>
      </c>
      <c r="E532" s="385">
        <v>283</v>
      </c>
      <c r="F532" s="385" t="s">
        <v>4705</v>
      </c>
      <c r="G532" s="385" t="s">
        <v>4704</v>
      </c>
      <c r="H532" s="385" t="s">
        <v>4703</v>
      </c>
      <c r="I532" s="385" t="s">
        <v>3488</v>
      </c>
      <c r="K532" s="385" t="e">
        <f>VLOOKUP(Table13[[#This Row],[CD_FUNCAO]],'BASE_FUNCOES (hide)'!A:X,2,FALSE)</f>
        <v>#N/A</v>
      </c>
    </row>
    <row r="533" spans="1:11">
      <c r="A533" s="385">
        <v>980</v>
      </c>
      <c r="B533" s="385" t="s">
        <v>5643</v>
      </c>
      <c r="C533" s="385" t="s">
        <v>5644</v>
      </c>
      <c r="D533" s="385" t="s">
        <v>5643</v>
      </c>
      <c r="E533" s="385">
        <v>283</v>
      </c>
      <c r="F533" s="385" t="s">
        <v>4705</v>
      </c>
      <c r="G533" s="385" t="s">
        <v>4704</v>
      </c>
      <c r="H533" s="385" t="s">
        <v>4703</v>
      </c>
      <c r="I533" s="385" t="s">
        <v>3510</v>
      </c>
      <c r="J533" s="385" t="s">
        <v>3476</v>
      </c>
      <c r="K533" s="385" t="e">
        <f>VLOOKUP(Table13[[#This Row],[CD_FUNCAO]],'BASE_FUNCOES (hide)'!A:X,2,FALSE)</f>
        <v>#N/A</v>
      </c>
    </row>
    <row r="534" spans="1:11">
      <c r="A534" s="385">
        <v>981</v>
      </c>
      <c r="B534" s="385" t="s">
        <v>5347</v>
      </c>
      <c r="C534" s="385" t="s">
        <v>5346</v>
      </c>
      <c r="D534" s="385" t="s">
        <v>5345</v>
      </c>
      <c r="E534" s="385">
        <v>283</v>
      </c>
      <c r="F534" s="385" t="s">
        <v>4705</v>
      </c>
      <c r="G534" s="385" t="s">
        <v>4704</v>
      </c>
      <c r="H534" s="385" t="s">
        <v>4703</v>
      </c>
      <c r="I534" s="385" t="s">
        <v>3485</v>
      </c>
      <c r="J534" s="385" t="s">
        <v>3476</v>
      </c>
      <c r="K534" s="385" t="e">
        <f>VLOOKUP(Table13[[#This Row],[CD_FUNCAO]],'BASE_FUNCOES (hide)'!A:X,2,FALSE)</f>
        <v>#N/A</v>
      </c>
    </row>
    <row r="535" spans="1:11">
      <c r="A535" s="385">
        <v>982</v>
      </c>
      <c r="B535" s="385" t="s">
        <v>5347</v>
      </c>
      <c r="C535" s="385" t="s">
        <v>5346</v>
      </c>
      <c r="D535" s="385" t="s">
        <v>5345</v>
      </c>
      <c r="E535" s="385">
        <v>283</v>
      </c>
      <c r="F535" s="385" t="s">
        <v>4705</v>
      </c>
      <c r="G535" s="385" t="s">
        <v>4704</v>
      </c>
      <c r="H535" s="385" t="s">
        <v>4703</v>
      </c>
      <c r="I535" s="385" t="s">
        <v>3510</v>
      </c>
      <c r="J535" s="385" t="s">
        <v>3477</v>
      </c>
      <c r="K535" s="385" t="e">
        <f>VLOOKUP(Table13[[#This Row],[CD_FUNCAO]],'BASE_FUNCOES (hide)'!A:X,2,FALSE)</f>
        <v>#N/A</v>
      </c>
    </row>
    <row r="536" spans="1:11">
      <c r="A536" s="385">
        <v>993</v>
      </c>
      <c r="B536" s="385" t="s">
        <v>5778</v>
      </c>
      <c r="C536" s="385" t="s">
        <v>5777</v>
      </c>
      <c r="D536" s="385" t="s">
        <v>5776</v>
      </c>
      <c r="E536" s="385">
        <v>305</v>
      </c>
      <c r="F536" s="385" t="s">
        <v>1487</v>
      </c>
      <c r="G536" s="385" t="s">
        <v>1489</v>
      </c>
      <c r="H536" s="385" t="s">
        <v>1491</v>
      </c>
      <c r="I536" s="385" t="s">
        <v>3510</v>
      </c>
      <c r="J536" s="385" t="s">
        <v>3476</v>
      </c>
      <c r="K536" s="385" t="e">
        <f>VLOOKUP(Table13[[#This Row],[CD_FUNCAO]],'BASE_FUNCOES (hide)'!A:X,2,FALSE)</f>
        <v>#N/A</v>
      </c>
    </row>
    <row r="537" spans="1:11">
      <c r="A537" s="385">
        <v>997</v>
      </c>
      <c r="B537" s="385" t="s">
        <v>3668</v>
      </c>
      <c r="C537" s="385" t="s">
        <v>3667</v>
      </c>
      <c r="D537" s="385" t="s">
        <v>3666</v>
      </c>
      <c r="E537" s="385">
        <v>511</v>
      </c>
      <c r="F537" s="385" t="s">
        <v>429</v>
      </c>
      <c r="G537" s="385" t="s">
        <v>1526</v>
      </c>
      <c r="H537" s="385" t="s">
        <v>1528</v>
      </c>
      <c r="I537" s="385" t="s">
        <v>3485</v>
      </c>
      <c r="K537" s="385" t="e">
        <f>VLOOKUP(Table13[[#This Row],[CD_FUNCAO]],'BASE_FUNCOES (hide)'!A:X,2,FALSE)</f>
        <v>#N/A</v>
      </c>
    </row>
    <row r="538" spans="1:11">
      <c r="A538" s="385">
        <v>1001</v>
      </c>
      <c r="B538" s="385" t="s">
        <v>3665</v>
      </c>
      <c r="C538" s="385" t="s">
        <v>3664</v>
      </c>
      <c r="D538" s="385" t="s">
        <v>3663</v>
      </c>
      <c r="E538" s="385">
        <v>511</v>
      </c>
      <c r="F538" s="385" t="s">
        <v>429</v>
      </c>
      <c r="G538" s="385" t="s">
        <v>1526</v>
      </c>
      <c r="H538" s="385" t="s">
        <v>1528</v>
      </c>
      <c r="I538" s="385" t="s">
        <v>3485</v>
      </c>
      <c r="K538" s="385" t="e">
        <f>VLOOKUP(Table13[[#This Row],[CD_FUNCAO]],'BASE_FUNCOES (hide)'!A:X,2,FALSE)</f>
        <v>#N/A</v>
      </c>
    </row>
    <row r="539" spans="1:11">
      <c r="A539" s="385">
        <v>1005</v>
      </c>
      <c r="B539" s="385" t="s">
        <v>5774</v>
      </c>
      <c r="C539" s="385" t="s">
        <v>5773</v>
      </c>
      <c r="D539" s="385" t="s">
        <v>5772</v>
      </c>
      <c r="E539" s="385">
        <v>306</v>
      </c>
      <c r="F539" s="385" t="s">
        <v>5771</v>
      </c>
      <c r="G539" s="385" t="s">
        <v>5770</v>
      </c>
      <c r="H539" s="385" t="s">
        <v>5769</v>
      </c>
      <c r="I539" s="385" t="s">
        <v>3510</v>
      </c>
      <c r="J539" s="385" t="s">
        <v>3476</v>
      </c>
      <c r="K539" s="385" t="e">
        <f>VLOOKUP(Table13[[#This Row],[CD_FUNCAO]],'BASE_FUNCOES (hide)'!A:X,2,FALSE)</f>
        <v>#N/A</v>
      </c>
    </row>
    <row r="540" spans="1:11">
      <c r="A540" s="385">
        <v>1009</v>
      </c>
      <c r="B540" s="385" t="s">
        <v>4357</v>
      </c>
      <c r="C540" s="385" t="s">
        <v>4356</v>
      </c>
      <c r="D540" s="385" t="s">
        <v>4355</v>
      </c>
      <c r="E540" s="385">
        <v>88</v>
      </c>
      <c r="F540" s="385" t="s">
        <v>16</v>
      </c>
      <c r="G540" s="385" t="s">
        <v>1066</v>
      </c>
      <c r="H540" s="385" t="s">
        <v>1068</v>
      </c>
      <c r="I540" s="385" t="s">
        <v>3488</v>
      </c>
      <c r="J540" s="385" t="s">
        <v>3476</v>
      </c>
      <c r="K540" s="385" t="e">
        <f>VLOOKUP(Table13[[#This Row],[CD_FUNCAO]],'BASE_FUNCOES (hide)'!A:X,2,FALSE)</f>
        <v>#N/A</v>
      </c>
    </row>
    <row r="541" spans="1:11">
      <c r="A541" s="385">
        <v>1010</v>
      </c>
      <c r="B541" s="385" t="s">
        <v>4334</v>
      </c>
      <c r="C541" s="385" t="s">
        <v>4333</v>
      </c>
      <c r="D541" s="385" t="s">
        <v>4332</v>
      </c>
      <c r="E541" s="385">
        <v>88</v>
      </c>
      <c r="F541" s="385" t="s">
        <v>16</v>
      </c>
      <c r="G541" s="385" t="s">
        <v>1066</v>
      </c>
      <c r="H541" s="385" t="s">
        <v>1068</v>
      </c>
      <c r="I541" s="385" t="s">
        <v>3488</v>
      </c>
      <c r="J541" s="385" t="s">
        <v>3476</v>
      </c>
      <c r="K541" s="385" t="e">
        <f>VLOOKUP(Table13[[#This Row],[CD_FUNCAO]],'BASE_FUNCOES (hide)'!A:X,2,FALSE)</f>
        <v>#N/A</v>
      </c>
    </row>
    <row r="542" spans="1:11">
      <c r="A542" s="385">
        <v>1016</v>
      </c>
      <c r="B542" s="385" t="s">
        <v>5583</v>
      </c>
      <c r="C542" s="385" t="s">
        <v>4911</v>
      </c>
      <c r="D542" s="385" t="s">
        <v>5582</v>
      </c>
      <c r="E542" s="385">
        <v>283</v>
      </c>
      <c r="F542" s="385" t="s">
        <v>4705</v>
      </c>
      <c r="G542" s="385" t="s">
        <v>4704</v>
      </c>
      <c r="H542" s="385" t="s">
        <v>4703</v>
      </c>
      <c r="I542" s="385" t="s">
        <v>3485</v>
      </c>
      <c r="K542" s="385" t="e">
        <f>VLOOKUP(Table13[[#This Row],[CD_FUNCAO]],'BASE_FUNCOES (hide)'!A:X,2,FALSE)</f>
        <v>#N/A</v>
      </c>
    </row>
    <row r="543" spans="1:11">
      <c r="A543" s="385">
        <v>1110</v>
      </c>
      <c r="B543" s="385" t="s">
        <v>5393</v>
      </c>
      <c r="C543" s="385" t="s">
        <v>5392</v>
      </c>
      <c r="D543" s="385" t="s">
        <v>5391</v>
      </c>
      <c r="E543" s="385">
        <v>283</v>
      </c>
      <c r="F543" s="385" t="s">
        <v>4705</v>
      </c>
      <c r="G543" s="385" t="s">
        <v>4704</v>
      </c>
      <c r="H543" s="385" t="s">
        <v>4703</v>
      </c>
      <c r="I543" s="385" t="s">
        <v>3488</v>
      </c>
      <c r="J543" s="385" t="s">
        <v>3477</v>
      </c>
      <c r="K543" s="385" t="e">
        <f>VLOOKUP(Table13[[#This Row],[CD_FUNCAO]],'BASE_FUNCOES (hide)'!A:X,2,FALSE)</f>
        <v>#N/A</v>
      </c>
    </row>
    <row r="544" spans="1:11">
      <c r="A544" s="385">
        <v>1119</v>
      </c>
      <c r="B544" s="385" t="s">
        <v>4204</v>
      </c>
      <c r="C544" s="385" t="s">
        <v>4203</v>
      </c>
      <c r="D544" s="385" t="s">
        <v>4202</v>
      </c>
      <c r="E544" s="385">
        <v>8</v>
      </c>
      <c r="F544" s="385" t="s">
        <v>188</v>
      </c>
      <c r="I544" s="385" t="s">
        <v>3488</v>
      </c>
      <c r="J544" s="385" t="s">
        <v>3476</v>
      </c>
      <c r="K544" s="385" t="e">
        <f>VLOOKUP(Table13[[#This Row],[CD_FUNCAO]],'BASE_FUNCOES (hide)'!A:X,2,FALSE)</f>
        <v>#N/A</v>
      </c>
    </row>
    <row r="545" spans="1:11">
      <c r="A545" s="385">
        <v>1122</v>
      </c>
      <c r="B545" s="385" t="s">
        <v>4941</v>
      </c>
      <c r="C545" s="385" t="s">
        <v>4940</v>
      </c>
      <c r="D545" s="385" t="s">
        <v>4939</v>
      </c>
      <c r="E545" s="385">
        <v>283</v>
      </c>
      <c r="F545" s="385" t="s">
        <v>4705</v>
      </c>
      <c r="G545" s="385" t="s">
        <v>4704</v>
      </c>
      <c r="H545" s="385" t="s">
        <v>4703</v>
      </c>
      <c r="I545" s="385" t="s">
        <v>3510</v>
      </c>
      <c r="J545" s="385" t="s">
        <v>3476</v>
      </c>
      <c r="K545" s="385" t="e">
        <f>VLOOKUP(Table13[[#This Row],[CD_FUNCAO]],'BASE_FUNCOES (hide)'!A:X,2,FALSE)</f>
        <v>#N/A</v>
      </c>
    </row>
    <row r="546" spans="1:11">
      <c r="A546" s="385">
        <v>1127</v>
      </c>
      <c r="B546" s="385" t="s">
        <v>3983</v>
      </c>
      <c r="C546" s="385" t="s">
        <v>3982</v>
      </c>
      <c r="D546" s="385" t="s">
        <v>3982</v>
      </c>
      <c r="E546" s="385">
        <v>31</v>
      </c>
      <c r="F546" s="385" t="s">
        <v>245</v>
      </c>
      <c r="I546" s="385" t="s">
        <v>3488</v>
      </c>
      <c r="J546" s="385" t="s">
        <v>3476</v>
      </c>
      <c r="K546" s="385" t="e">
        <f>VLOOKUP(Table13[[#This Row],[CD_FUNCAO]],'BASE_FUNCOES (hide)'!A:X,2,FALSE)</f>
        <v>#N/A</v>
      </c>
    </row>
    <row r="547" spans="1:11">
      <c r="A547" s="385">
        <v>1128</v>
      </c>
      <c r="B547" s="385" t="s">
        <v>3981</v>
      </c>
      <c r="C547" s="385" t="s">
        <v>3980</v>
      </c>
      <c r="D547" s="385" t="s">
        <v>3979</v>
      </c>
      <c r="E547" s="385">
        <v>31</v>
      </c>
      <c r="F547" s="385" t="s">
        <v>245</v>
      </c>
      <c r="I547" s="385" t="s">
        <v>3488</v>
      </c>
      <c r="J547" s="385" t="s">
        <v>3476</v>
      </c>
      <c r="K547" s="385" t="e">
        <f>VLOOKUP(Table13[[#This Row],[CD_FUNCAO]],'BASE_FUNCOES (hide)'!A:X,2,FALSE)</f>
        <v>#N/A</v>
      </c>
    </row>
    <row r="548" spans="1:11">
      <c r="A548" s="385">
        <v>1129</v>
      </c>
      <c r="B548" s="385" t="s">
        <v>1407</v>
      </c>
      <c r="C548" s="385" t="s">
        <v>1408</v>
      </c>
      <c r="D548" s="385" t="s">
        <v>1409</v>
      </c>
      <c r="E548" s="385">
        <v>88</v>
      </c>
      <c r="F548" s="385" t="s">
        <v>16</v>
      </c>
      <c r="G548" s="385" t="s">
        <v>1066</v>
      </c>
      <c r="H548" s="385" t="s">
        <v>1068</v>
      </c>
      <c r="I548" s="385" t="s">
        <v>3488</v>
      </c>
      <c r="K548" s="385" t="e">
        <f>VLOOKUP(Table13[[#This Row],[CD_FUNCAO]],'BASE_FUNCOES (hide)'!A:X,2,FALSE)</f>
        <v>#N/A</v>
      </c>
    </row>
    <row r="549" spans="1:11">
      <c r="A549" s="385">
        <v>1130</v>
      </c>
      <c r="B549" s="385" t="s">
        <v>4938</v>
      </c>
      <c r="C549" s="385" t="s">
        <v>4937</v>
      </c>
      <c r="D549" s="385" t="s">
        <v>4936</v>
      </c>
      <c r="E549" s="385">
        <v>283</v>
      </c>
      <c r="F549" s="385" t="s">
        <v>4705</v>
      </c>
      <c r="G549" s="385" t="s">
        <v>4704</v>
      </c>
      <c r="H549" s="385" t="s">
        <v>4703</v>
      </c>
      <c r="I549" s="385" t="s">
        <v>3510</v>
      </c>
      <c r="J549" s="385" t="s">
        <v>3476</v>
      </c>
      <c r="K549" s="385" t="e">
        <f>VLOOKUP(Table13[[#This Row],[CD_FUNCAO]],'BASE_FUNCOES (hide)'!A:X,2,FALSE)</f>
        <v>#N/A</v>
      </c>
    </row>
    <row r="550" spans="1:11">
      <c r="A550" s="385">
        <v>1135</v>
      </c>
      <c r="B550" s="385" t="s">
        <v>4345</v>
      </c>
      <c r="C550" s="385" t="s">
        <v>4344</v>
      </c>
      <c r="D550" s="385" t="s">
        <v>4343</v>
      </c>
      <c r="E550" s="385">
        <v>88</v>
      </c>
      <c r="F550" s="385" t="s">
        <v>16</v>
      </c>
      <c r="G550" s="385" t="s">
        <v>1066</v>
      </c>
      <c r="H550" s="385" t="s">
        <v>1068</v>
      </c>
      <c r="I550" s="385" t="s">
        <v>3488</v>
      </c>
      <c r="J550" s="385" t="s">
        <v>3477</v>
      </c>
      <c r="K550" s="385" t="e">
        <f>VLOOKUP(Table13[[#This Row],[CD_FUNCAO]],'BASE_FUNCOES (hide)'!A:X,2,FALSE)</f>
        <v>#N/A</v>
      </c>
    </row>
    <row r="551" spans="1:11">
      <c r="A551" s="385">
        <v>1136</v>
      </c>
      <c r="B551" s="385" t="s">
        <v>4340</v>
      </c>
      <c r="C551" s="385" t="s">
        <v>4339</v>
      </c>
      <c r="D551" s="385" t="s">
        <v>4338</v>
      </c>
      <c r="E551" s="385">
        <v>88</v>
      </c>
      <c r="F551" s="385" t="s">
        <v>16</v>
      </c>
      <c r="G551" s="385" t="s">
        <v>1066</v>
      </c>
      <c r="H551" s="385" t="s">
        <v>1068</v>
      </c>
      <c r="I551" s="385" t="s">
        <v>3488</v>
      </c>
      <c r="J551" s="385" t="s">
        <v>3476</v>
      </c>
      <c r="K551" s="385" t="e">
        <f>VLOOKUP(Table13[[#This Row],[CD_FUNCAO]],'BASE_FUNCOES (hide)'!A:X,2,FALSE)</f>
        <v>#N/A</v>
      </c>
    </row>
    <row r="552" spans="1:11" hidden="1">
      <c r="A552" s="385">
        <v>119</v>
      </c>
      <c r="B552" s="385" t="s">
        <v>353</v>
      </c>
      <c r="C552" s="385" t="s">
        <v>1255</v>
      </c>
      <c r="D552" s="385" t="s">
        <v>1256</v>
      </c>
      <c r="E552" s="385">
        <v>283</v>
      </c>
      <c r="F552" s="385" t="s">
        <v>4705</v>
      </c>
      <c r="G552" s="385" t="s">
        <v>4704</v>
      </c>
      <c r="H552" s="385" t="s">
        <v>4703</v>
      </c>
      <c r="I552" s="385" t="s">
        <v>3477</v>
      </c>
      <c r="J552" s="385" t="s">
        <v>3476</v>
      </c>
      <c r="K552" s="385" t="str">
        <f>VLOOKUP(Table13[[#This Row],[CD_FUNCAO]],'BASE_FUNCOES (hide)'!A:X,2,FALSE)</f>
        <v>Farmácia Compras Web</v>
      </c>
    </row>
    <row r="553" spans="1:11">
      <c r="A553" s="385">
        <v>1139</v>
      </c>
      <c r="B553" s="385" t="s">
        <v>5414</v>
      </c>
      <c r="C553" s="385" t="s">
        <v>5413</v>
      </c>
      <c r="D553" s="385" t="s">
        <v>5412</v>
      </c>
      <c r="E553" s="385">
        <v>283</v>
      </c>
      <c r="F553" s="385" t="s">
        <v>4705</v>
      </c>
      <c r="G553" s="385" t="s">
        <v>4704</v>
      </c>
      <c r="H553" s="385" t="s">
        <v>4703</v>
      </c>
      <c r="I553" s="385" t="s">
        <v>3485</v>
      </c>
      <c r="J553" s="385" t="s">
        <v>3476</v>
      </c>
      <c r="K553" s="385" t="e">
        <f>VLOOKUP(Table13[[#This Row],[CD_FUNCAO]],'BASE_FUNCOES (hide)'!A:X,2,FALSE)</f>
        <v>#N/A</v>
      </c>
    </row>
    <row r="554" spans="1:11">
      <c r="A554" s="385">
        <v>1140</v>
      </c>
      <c r="B554" s="385" t="s">
        <v>5450</v>
      </c>
      <c r="C554" s="385" t="s">
        <v>5449</v>
      </c>
      <c r="D554" s="385" t="s">
        <v>5448</v>
      </c>
      <c r="E554" s="385">
        <v>283</v>
      </c>
      <c r="F554" s="385" t="s">
        <v>4705</v>
      </c>
      <c r="G554" s="385" t="s">
        <v>4704</v>
      </c>
      <c r="H554" s="385" t="s">
        <v>4703</v>
      </c>
      <c r="I554" s="385" t="s">
        <v>3485</v>
      </c>
      <c r="J554" s="385" t="s">
        <v>3476</v>
      </c>
      <c r="K554" s="385" t="e">
        <f>VLOOKUP(Table13[[#This Row],[CD_FUNCAO]],'BASE_FUNCOES (hide)'!A:X,2,FALSE)</f>
        <v>#N/A</v>
      </c>
    </row>
    <row r="555" spans="1:11">
      <c r="A555" s="385">
        <v>1143</v>
      </c>
      <c r="B555" s="385" t="s">
        <v>5184</v>
      </c>
      <c r="C555" s="385" t="s">
        <v>5184</v>
      </c>
      <c r="D555" s="385" t="s">
        <v>5184</v>
      </c>
      <c r="E555" s="385">
        <v>283</v>
      </c>
      <c r="F555" s="385" t="s">
        <v>4705</v>
      </c>
      <c r="G555" s="385" t="s">
        <v>4704</v>
      </c>
      <c r="H555" s="385" t="s">
        <v>4703</v>
      </c>
      <c r="I555" s="385" t="s">
        <v>3510</v>
      </c>
      <c r="J555" s="385" t="s">
        <v>3477</v>
      </c>
      <c r="K555" s="385" t="e">
        <f>VLOOKUP(Table13[[#This Row],[CD_FUNCAO]],'BASE_FUNCOES (hide)'!A:X,2,FALSE)</f>
        <v>#N/A</v>
      </c>
    </row>
    <row r="556" spans="1:11">
      <c r="A556" s="385">
        <v>1201</v>
      </c>
      <c r="B556" s="385" t="s">
        <v>4693</v>
      </c>
      <c r="C556" s="385" t="s">
        <v>4692</v>
      </c>
      <c r="D556" s="385" t="s">
        <v>4691</v>
      </c>
      <c r="E556" s="385">
        <v>372</v>
      </c>
      <c r="F556" s="385" t="s">
        <v>4684</v>
      </c>
      <c r="I556" s="385" t="s">
        <v>3477</v>
      </c>
      <c r="J556" s="385" t="s">
        <v>3513</v>
      </c>
      <c r="K556" s="385" t="str">
        <f>VLOOKUP(Table13[[#This Row],[CD_FUNCAO]],'BASE_FUNCOES (hide)'!A:X,2,FALSE)</f>
        <v>OPS - Cadastro de Produtos</v>
      </c>
    </row>
    <row r="557" spans="1:11">
      <c r="A557" s="385">
        <v>1202</v>
      </c>
      <c r="B557" s="385" t="s">
        <v>4615</v>
      </c>
      <c r="C557" s="385" t="s">
        <v>4614</v>
      </c>
      <c r="D557" s="385" t="s">
        <v>4613</v>
      </c>
      <c r="E557" s="385">
        <v>375</v>
      </c>
      <c r="F557" s="385" t="s">
        <v>4588</v>
      </c>
      <c r="I557" s="385" t="s">
        <v>3477</v>
      </c>
      <c r="J557" s="385" t="s">
        <v>3513</v>
      </c>
      <c r="K557" s="385" t="str">
        <f>VLOOKUP(Table13[[#This Row],[CD_FUNCAO]],'BASE_FUNCOES (hide)'!A:X,2,FALSE)</f>
        <v>OPS - Gestão de Contratos</v>
      </c>
    </row>
    <row r="558" spans="1:11" hidden="1">
      <c r="A558" s="385">
        <v>9041</v>
      </c>
      <c r="B558" s="385" t="s">
        <v>445</v>
      </c>
      <c r="C558" s="385" t="s">
        <v>2551</v>
      </c>
      <c r="D558" s="385" t="s">
        <v>1193</v>
      </c>
      <c r="E558" s="385">
        <v>283</v>
      </c>
      <c r="F558" s="385" t="s">
        <v>4705</v>
      </c>
      <c r="G558" s="385" t="s">
        <v>4704</v>
      </c>
      <c r="H558" s="385" t="s">
        <v>4703</v>
      </c>
      <c r="I558" s="385" t="s">
        <v>3477</v>
      </c>
      <c r="J558" s="385" t="s">
        <v>3476</v>
      </c>
      <c r="K558" s="385" t="str">
        <f>VLOOKUP(Table13[[#This Row],[CD_FUNCAO]],'BASE_FUNCOES (hide)'!A:X,2,FALSE)</f>
        <v>Integração</v>
      </c>
    </row>
    <row r="559" spans="1:11">
      <c r="A559" s="385">
        <v>1203</v>
      </c>
      <c r="B559" s="385" t="s">
        <v>3875</v>
      </c>
      <c r="C559" s="385" t="s">
        <v>3876</v>
      </c>
      <c r="D559" s="385" t="s">
        <v>3875</v>
      </c>
      <c r="E559" s="385">
        <v>690</v>
      </c>
      <c r="F559" s="385" t="s">
        <v>3854</v>
      </c>
      <c r="I559" s="385" t="s">
        <v>3477</v>
      </c>
      <c r="J559" s="385" t="s">
        <v>3513</v>
      </c>
      <c r="K559" s="385" t="str">
        <f>VLOOKUP(Table13[[#This Row],[CD_FUNCAO]],'BASE_FUNCOES (hide)'!A:X,2,FALSE)</f>
        <v>OPS - Prestadores</v>
      </c>
    </row>
    <row r="560" spans="1:11">
      <c r="A560" s="385">
        <v>1204</v>
      </c>
      <c r="B560" s="385" t="s">
        <v>3820</v>
      </c>
      <c r="C560" s="385" t="s">
        <v>3819</v>
      </c>
      <c r="D560" s="385" t="s">
        <v>3818</v>
      </c>
      <c r="E560" s="385">
        <v>691</v>
      </c>
      <c r="F560" s="385" t="s">
        <v>3799</v>
      </c>
      <c r="I560" s="385" t="s">
        <v>3477</v>
      </c>
      <c r="J560" s="385" t="s">
        <v>3513</v>
      </c>
      <c r="K560" s="385" t="str">
        <f>VLOOKUP(Table13[[#This Row],[CD_FUNCAO]],'BASE_FUNCOES (hide)'!A:X,2,FALSE)</f>
        <v>OPS - Autorizações</v>
      </c>
    </row>
    <row r="561" spans="1:11">
      <c r="A561" s="385">
        <v>1205</v>
      </c>
      <c r="B561" s="385" t="s">
        <v>4520</v>
      </c>
      <c r="C561" s="385" t="s">
        <v>4519</v>
      </c>
      <c r="D561" s="385" t="s">
        <v>4518</v>
      </c>
      <c r="E561" s="385">
        <v>379</v>
      </c>
      <c r="F561" s="385" t="s">
        <v>4502</v>
      </c>
      <c r="I561" s="385" t="s">
        <v>3477</v>
      </c>
      <c r="J561" s="385" t="s">
        <v>3513</v>
      </c>
      <c r="K561" s="385" t="str">
        <f>VLOOKUP(Table13[[#This Row],[CD_FUNCAO]],'BASE_FUNCOES (hide)'!A:X,2,FALSE)</f>
        <v>OPS - Mensalidade</v>
      </c>
    </row>
    <row r="562" spans="1:11">
      <c r="A562" s="385">
        <v>1206</v>
      </c>
      <c r="B562" s="385" t="s">
        <v>4672</v>
      </c>
      <c r="C562" s="385" t="s">
        <v>4671</v>
      </c>
      <c r="D562" s="385" t="s">
        <v>4670</v>
      </c>
      <c r="E562" s="385">
        <v>374</v>
      </c>
      <c r="F562" s="385" t="s">
        <v>4648</v>
      </c>
      <c r="I562" s="385" t="s">
        <v>3477</v>
      </c>
      <c r="J562" s="385" t="s">
        <v>3513</v>
      </c>
      <c r="K562" s="385" t="str">
        <f>VLOOKUP(Table13[[#This Row],[CD_FUNCAO]],'BASE_FUNCOES (hide)'!A:X,2,FALSE)</f>
        <v>OPS - Gestão de Vendedores e Comissões</v>
      </c>
    </row>
    <row r="563" spans="1:11">
      <c r="A563" s="385">
        <v>1207</v>
      </c>
      <c r="B563" s="385" t="s">
        <v>4621</v>
      </c>
      <c r="C563" s="385" t="s">
        <v>4620</v>
      </c>
      <c r="D563" s="385" t="s">
        <v>4619</v>
      </c>
      <c r="E563" s="385">
        <v>375</v>
      </c>
      <c r="F563" s="385" t="s">
        <v>4588</v>
      </c>
      <c r="I563" s="385" t="s">
        <v>3477</v>
      </c>
      <c r="J563" s="385" t="s">
        <v>3513</v>
      </c>
      <c r="K563" s="385" t="e">
        <f>VLOOKUP(Table13[[#This Row],[CD_FUNCAO]],'BASE_FUNCOES (hide)'!A:X,2,FALSE)</f>
        <v>#N/A</v>
      </c>
    </row>
    <row r="564" spans="1:11">
      <c r="A564" s="385">
        <v>1208</v>
      </c>
      <c r="B564" s="385" t="s">
        <v>4541</v>
      </c>
      <c r="C564" s="385" t="s">
        <v>4540</v>
      </c>
      <c r="D564" s="385" t="s">
        <v>4539</v>
      </c>
      <c r="E564" s="385">
        <v>377</v>
      </c>
      <c r="F564" s="385" t="s">
        <v>4538</v>
      </c>
      <c r="I564" s="385" t="s">
        <v>3477</v>
      </c>
      <c r="J564" s="385" t="s">
        <v>3513</v>
      </c>
      <c r="K564" s="385" t="str">
        <f>VLOOKUP(Table13[[#This Row],[CD_FUNCAO]],'BASE_FUNCOES (hide)'!A:X,2,FALSE)</f>
        <v>OPS - Gestão de Contas Médicas</v>
      </c>
    </row>
    <row r="565" spans="1:11">
      <c r="A565" s="385">
        <v>1209</v>
      </c>
      <c r="B565" s="385" t="s">
        <v>3679</v>
      </c>
      <c r="C565" s="385" t="s">
        <v>3678</v>
      </c>
      <c r="D565" s="385" t="s">
        <v>3677</v>
      </c>
      <c r="E565" s="385">
        <v>708</v>
      </c>
      <c r="F565" s="385" t="s">
        <v>3670</v>
      </c>
      <c r="I565" s="385" t="s">
        <v>3477</v>
      </c>
      <c r="J565" s="385" t="s">
        <v>3513</v>
      </c>
      <c r="K565" s="385" t="str">
        <f>VLOOKUP(Table13[[#This Row],[CD_FUNCAO]],'BASE_FUNCOES (hide)'!A:X,2,FALSE)</f>
        <v>OPS - Cadastro de Regras</v>
      </c>
    </row>
    <row r="566" spans="1:11">
      <c r="A566" s="385">
        <v>1210</v>
      </c>
      <c r="B566" s="385" t="s">
        <v>3857</v>
      </c>
      <c r="C566" s="385" t="s">
        <v>3856</v>
      </c>
      <c r="D566" s="385" t="s">
        <v>3855</v>
      </c>
      <c r="E566" s="385">
        <v>690</v>
      </c>
      <c r="F566" s="385" t="s">
        <v>3854</v>
      </c>
      <c r="I566" s="385" t="s">
        <v>3477</v>
      </c>
      <c r="J566" s="385" t="s">
        <v>3513</v>
      </c>
      <c r="K566" s="385" t="str">
        <f>VLOOKUP(Table13[[#This Row],[CD_FUNCAO]],'BASE_FUNCOES (hide)'!A:X,2,FALSE)</f>
        <v>OPS - Consulta de Preços</v>
      </c>
    </row>
    <row r="567" spans="1:11">
      <c r="A567" s="385">
        <v>1211</v>
      </c>
      <c r="B567" s="385" t="s">
        <v>3874</v>
      </c>
      <c r="C567" s="385" t="s">
        <v>3873</v>
      </c>
      <c r="D567" s="385" t="s">
        <v>3872</v>
      </c>
      <c r="E567" s="385">
        <v>690</v>
      </c>
      <c r="F567" s="385" t="s">
        <v>3854</v>
      </c>
      <c r="I567" s="385" t="s">
        <v>3477</v>
      </c>
      <c r="J567" s="385" t="s">
        <v>3513</v>
      </c>
      <c r="K567" s="385" t="str">
        <f>VLOOKUP(Table13[[#This Row],[CD_FUNCAO]],'BASE_FUNCOES (hide)'!A:X,2,FALSE)</f>
        <v>OPS - Cadastro de Materiais</v>
      </c>
    </row>
    <row r="568" spans="1:11">
      <c r="A568" s="385">
        <v>1212</v>
      </c>
      <c r="B568" s="385" t="s">
        <v>3879</v>
      </c>
      <c r="C568" s="385" t="s">
        <v>3878</v>
      </c>
      <c r="D568" s="385" t="s">
        <v>3877</v>
      </c>
      <c r="E568" s="385">
        <v>690</v>
      </c>
      <c r="F568" s="385" t="s">
        <v>3854</v>
      </c>
      <c r="I568" s="385" t="s">
        <v>3477</v>
      </c>
      <c r="J568" s="385" t="s">
        <v>3513</v>
      </c>
      <c r="K568" s="385" t="str">
        <f>VLOOKUP(Table13[[#This Row],[CD_FUNCAO]],'BASE_FUNCOES (hide)'!A:X,2,FALSE)</f>
        <v>OPS - Tabelas de Preços</v>
      </c>
    </row>
    <row r="569" spans="1:11">
      <c r="A569" s="385">
        <v>1213</v>
      </c>
      <c r="B569" s="385" t="s">
        <v>3814</v>
      </c>
      <c r="C569" s="385" t="s">
        <v>3813</v>
      </c>
      <c r="D569" s="385" t="s">
        <v>3812</v>
      </c>
      <c r="E569" s="385">
        <v>691</v>
      </c>
      <c r="F569" s="385" t="s">
        <v>3799</v>
      </c>
      <c r="I569" s="385" t="s">
        <v>3477</v>
      </c>
      <c r="J569" s="385" t="s">
        <v>3513</v>
      </c>
      <c r="K569" s="385" t="str">
        <f>VLOOKUP(Table13[[#This Row],[CD_FUNCAO]],'BASE_FUNCOES (hide)'!A:X,2,FALSE)</f>
        <v>OPS - Solicitações Elegibilidade TISS</v>
      </c>
    </row>
    <row r="570" spans="1:11">
      <c r="A570" s="385">
        <v>1214</v>
      </c>
      <c r="B570" s="385" t="s">
        <v>4489</v>
      </c>
      <c r="C570" s="385" t="s">
        <v>4488</v>
      </c>
      <c r="D570" s="385" t="s">
        <v>4487</v>
      </c>
      <c r="E570" s="385">
        <v>380</v>
      </c>
      <c r="F570" s="385" t="s">
        <v>4474</v>
      </c>
      <c r="I570" s="385" t="s">
        <v>3477</v>
      </c>
      <c r="J570" s="385" t="s">
        <v>3513</v>
      </c>
      <c r="K570" s="385" t="e">
        <f>VLOOKUP(Table13[[#This Row],[CD_FUNCAO]],'BASE_FUNCOES (hide)'!A:X,2,FALSE)</f>
        <v>#N/A</v>
      </c>
    </row>
    <row r="571" spans="1:11">
      <c r="A571" s="385">
        <v>1215</v>
      </c>
      <c r="B571" s="385" t="s">
        <v>4618</v>
      </c>
      <c r="C571" s="385" t="s">
        <v>4617</v>
      </c>
      <c r="D571" s="385" t="s">
        <v>4616</v>
      </c>
      <c r="E571" s="385">
        <v>375</v>
      </c>
      <c r="F571" s="385" t="s">
        <v>4588</v>
      </c>
      <c r="I571" s="385" t="s">
        <v>3477</v>
      </c>
      <c r="J571" s="385" t="s">
        <v>3513</v>
      </c>
      <c r="K571" s="385" t="str">
        <f>VLOOKUP(Table13[[#This Row],[CD_FUNCAO]],'BASE_FUNCOES (hide)'!A:X,2,FALSE)</f>
        <v>OPS - Dossiê Beneficiário</v>
      </c>
    </row>
    <row r="572" spans="1:11">
      <c r="A572" s="385">
        <v>1216</v>
      </c>
      <c r="B572" s="385" t="s">
        <v>4609</v>
      </c>
      <c r="C572" s="385" t="s">
        <v>4608</v>
      </c>
      <c r="D572" s="385" t="s">
        <v>4607</v>
      </c>
      <c r="E572" s="385">
        <v>375</v>
      </c>
      <c r="F572" s="385" t="s">
        <v>4588</v>
      </c>
      <c r="I572" s="385" t="s">
        <v>3488</v>
      </c>
      <c r="J572" s="385" t="s">
        <v>3513</v>
      </c>
      <c r="K572" s="385" t="str">
        <f>VLOOKUP(Table13[[#This Row],[CD_FUNCAO]],'BASE_FUNCOES (hide)'!A:X,2,FALSE)</f>
        <v>OPS - Localizador de Beneficiários</v>
      </c>
    </row>
    <row r="573" spans="1:11" hidden="1">
      <c r="A573" s="385">
        <v>1111</v>
      </c>
      <c r="B573" s="385" t="s">
        <v>1201</v>
      </c>
      <c r="C573" s="385" t="s">
        <v>1202</v>
      </c>
      <c r="D573" s="385" t="s">
        <v>1203</v>
      </c>
      <c r="E573" s="385">
        <v>283</v>
      </c>
      <c r="F573" s="385" t="s">
        <v>4705</v>
      </c>
      <c r="G573" s="385" t="s">
        <v>4704</v>
      </c>
      <c r="H573" s="385" t="s">
        <v>4703</v>
      </c>
      <c r="I573" s="385" t="s">
        <v>3477</v>
      </c>
      <c r="J573" s="385" t="s">
        <v>3477</v>
      </c>
      <c r="K573" s="385" t="str">
        <f>VLOOKUP(Table13[[#This Row],[CD_FUNCAO]],'BASE_FUNCOES (hide)'!A:X,2,FALSE)</f>
        <v>Gerenciador de XML</v>
      </c>
    </row>
    <row r="574" spans="1:11">
      <c r="A574" s="385">
        <v>1219</v>
      </c>
      <c r="B574" s="385" t="s">
        <v>4696</v>
      </c>
      <c r="C574" s="385" t="s">
        <v>4695</v>
      </c>
      <c r="D574" s="385" t="s">
        <v>4694</v>
      </c>
      <c r="E574" s="385">
        <v>372</v>
      </c>
      <c r="F574" s="385" t="s">
        <v>4684</v>
      </c>
      <c r="I574" s="385" t="s">
        <v>3488</v>
      </c>
      <c r="J574" s="385" t="s">
        <v>3513</v>
      </c>
      <c r="K574" s="385" t="str">
        <f>VLOOKUP(Table13[[#This Row],[CD_FUNCAO]],'BASE_FUNCOES (hide)'!A:X,2,FALSE)</f>
        <v>OPS - Localizador de Produtos de Saúde</v>
      </c>
    </row>
    <row r="575" spans="1:11">
      <c r="A575" s="385">
        <v>1220</v>
      </c>
      <c r="B575" s="385" t="s">
        <v>4612</v>
      </c>
      <c r="C575" s="385" t="s">
        <v>4611</v>
      </c>
      <c r="D575" s="385" t="s">
        <v>4610</v>
      </c>
      <c r="E575" s="385">
        <v>375</v>
      </c>
      <c r="F575" s="385" t="s">
        <v>4588</v>
      </c>
      <c r="I575" s="385" t="s">
        <v>3477</v>
      </c>
      <c r="J575" s="385" t="s">
        <v>3513</v>
      </c>
      <c r="K575" s="385" t="str">
        <f>VLOOKUP(Table13[[#This Row],[CD_FUNCAO]],'BASE_FUNCOES (hide)'!A:X,2,FALSE)</f>
        <v>OPS - Cadastro Pessoa Física</v>
      </c>
    </row>
    <row r="576" spans="1:11">
      <c r="A576" s="385">
        <v>1221</v>
      </c>
      <c r="B576" s="385" t="s">
        <v>4591</v>
      </c>
      <c r="C576" s="385" t="s">
        <v>4590</v>
      </c>
      <c r="D576" s="385" t="s">
        <v>4589</v>
      </c>
      <c r="E576" s="385">
        <v>375</v>
      </c>
      <c r="F576" s="385" t="s">
        <v>4588</v>
      </c>
      <c r="I576" s="385" t="s">
        <v>3488</v>
      </c>
      <c r="J576" s="385" t="s">
        <v>3513</v>
      </c>
      <c r="K576" s="385" t="str">
        <f>VLOOKUP(Table13[[#This Row],[CD_FUNCAO]],'BASE_FUNCOES (hide)'!A:X,2,FALSE)</f>
        <v>OPS - Localizador de Tabelas de Preços</v>
      </c>
    </row>
    <row r="577" spans="1:11">
      <c r="A577" s="385">
        <v>1222</v>
      </c>
      <c r="B577" s="385" t="s">
        <v>3871</v>
      </c>
      <c r="C577" s="385" t="s">
        <v>3870</v>
      </c>
      <c r="D577" s="385" t="s">
        <v>3869</v>
      </c>
      <c r="E577" s="385">
        <v>690</v>
      </c>
      <c r="F577" s="385" t="s">
        <v>3854</v>
      </c>
      <c r="I577" s="385" t="s">
        <v>3488</v>
      </c>
      <c r="J577" s="385" t="s">
        <v>3513</v>
      </c>
      <c r="K577" s="385" t="str">
        <f>VLOOKUP(Table13[[#This Row],[CD_FUNCAO]],'BASE_FUNCOES (hide)'!A:X,2,FALSE)</f>
        <v>OPS - Localizador de Prestadores</v>
      </c>
    </row>
    <row r="578" spans="1:11">
      <c r="A578" s="385">
        <v>1225</v>
      </c>
      <c r="B578" s="385" t="s">
        <v>4690</v>
      </c>
      <c r="C578" s="385" t="s">
        <v>4689</v>
      </c>
      <c r="D578" s="385" t="s">
        <v>4688</v>
      </c>
      <c r="E578" s="385">
        <v>372</v>
      </c>
      <c r="F578" s="385" t="s">
        <v>4684</v>
      </c>
      <c r="I578" s="385" t="s">
        <v>3477</v>
      </c>
      <c r="J578" s="385" t="s">
        <v>3513</v>
      </c>
      <c r="K578" s="385" t="str">
        <f>VLOOKUP(Table13[[#This Row],[CD_FUNCAO]],'BASE_FUNCOES (hide)'!A:X,2,FALSE)</f>
        <v>OPS - Gestão de Operadoras</v>
      </c>
    </row>
    <row r="579" spans="1:11">
      <c r="A579" s="385">
        <v>1226</v>
      </c>
      <c r="B579" s="385" t="s">
        <v>4606</v>
      </c>
      <c r="C579" s="385" t="s">
        <v>4605</v>
      </c>
      <c r="D579" s="385" t="s">
        <v>4604</v>
      </c>
      <c r="E579" s="385">
        <v>375</v>
      </c>
      <c r="F579" s="385" t="s">
        <v>4588</v>
      </c>
      <c r="I579" s="385" t="s">
        <v>3477</v>
      </c>
      <c r="J579" s="385" t="s">
        <v>3513</v>
      </c>
      <c r="K579" s="385" t="str">
        <f>VLOOKUP(Table13[[#This Row],[CD_FUNCAO]],'BASE_FUNCOES (hide)'!A:X,2,FALSE)</f>
        <v>OPS - Controle de Carteira de Identificação</v>
      </c>
    </row>
    <row r="580" spans="1:11">
      <c r="A580" s="385">
        <v>1227</v>
      </c>
      <c r="B580" s="385" t="s">
        <v>4483</v>
      </c>
      <c r="C580" s="385" t="s">
        <v>4482</v>
      </c>
      <c r="D580" s="385" t="s">
        <v>4481</v>
      </c>
      <c r="E580" s="385">
        <v>380</v>
      </c>
      <c r="F580" s="385" t="s">
        <v>4474</v>
      </c>
      <c r="I580" s="385" t="s">
        <v>3477</v>
      </c>
      <c r="J580" s="385" t="s">
        <v>3513</v>
      </c>
      <c r="K580" s="385" t="str">
        <f>VLOOKUP(Table13[[#This Row],[CD_FUNCAO]],'BASE_FUNCOES (hide)'!A:X,2,FALSE)</f>
        <v>OPS - DIOPS - Documento de Informações Periódicas</v>
      </c>
    </row>
    <row r="581" spans="1:11">
      <c r="A581" s="385">
        <v>1228</v>
      </c>
      <c r="B581" s="385" t="s">
        <v>4603</v>
      </c>
      <c r="C581" s="385" t="s">
        <v>4602</v>
      </c>
      <c r="D581" s="385" t="s">
        <v>4601</v>
      </c>
      <c r="E581" s="385">
        <v>375</v>
      </c>
      <c r="F581" s="385" t="s">
        <v>4588</v>
      </c>
      <c r="I581" s="385" t="s">
        <v>3477</v>
      </c>
      <c r="J581" s="385" t="s">
        <v>3513</v>
      </c>
      <c r="K581" s="385" t="str">
        <f>VLOOKUP(Table13[[#This Row],[CD_FUNCAO]],'BASE_FUNCOES (hide)'!A:X,2,FALSE)</f>
        <v>OPS - Mala Direta para Correspondência</v>
      </c>
    </row>
    <row r="582" spans="1:11">
      <c r="A582" s="385">
        <v>1229</v>
      </c>
      <c r="B582" s="385" t="s">
        <v>4553</v>
      </c>
      <c r="C582" s="385" t="s">
        <v>4552</v>
      </c>
      <c r="D582" s="385" t="s">
        <v>4551</v>
      </c>
      <c r="E582" s="385">
        <v>377</v>
      </c>
      <c r="F582" s="385" t="s">
        <v>4538</v>
      </c>
      <c r="I582" s="385" t="s">
        <v>3477</v>
      </c>
      <c r="J582" s="385" t="s">
        <v>3513</v>
      </c>
      <c r="K582" s="385" t="str">
        <f>VLOOKUP(Table13[[#This Row],[CD_FUNCAO]],'BASE_FUNCOES (hide)'!A:X,2,FALSE)</f>
        <v>OPS - Controle de Reembolsos</v>
      </c>
    </row>
    <row r="583" spans="1:11">
      <c r="A583" s="385">
        <v>1230</v>
      </c>
      <c r="B583" s="385" t="s">
        <v>3868</v>
      </c>
      <c r="C583" s="385" t="s">
        <v>3867</v>
      </c>
      <c r="D583" s="385" t="s">
        <v>3866</v>
      </c>
      <c r="E583" s="385">
        <v>690</v>
      </c>
      <c r="F583" s="385" t="s">
        <v>3854</v>
      </c>
      <c r="I583" s="385" t="s">
        <v>3477</v>
      </c>
      <c r="J583" s="385" t="s">
        <v>3513</v>
      </c>
      <c r="K583" s="385" t="str">
        <f>VLOOKUP(Table13[[#This Row],[CD_FUNCAO]],'BASE_FUNCOES (hide)'!A:X,2,FALSE)</f>
        <v>OPS - Guia Médico</v>
      </c>
    </row>
    <row r="584" spans="1:11">
      <c r="A584" s="385">
        <v>1231</v>
      </c>
      <c r="B584" s="385" t="s">
        <v>4486</v>
      </c>
      <c r="C584" s="385" t="s">
        <v>4485</v>
      </c>
      <c r="D584" s="385" t="s">
        <v>4484</v>
      </c>
      <c r="E584" s="385">
        <v>380</v>
      </c>
      <c r="F584" s="385" t="s">
        <v>4474</v>
      </c>
      <c r="I584" s="385" t="s">
        <v>3477</v>
      </c>
      <c r="J584" s="385" t="s">
        <v>3513</v>
      </c>
      <c r="K584" s="385" t="str">
        <f>VLOOKUP(Table13[[#This Row],[CD_FUNCAO]],'BASE_FUNCOES (hide)'!A:X,2,FALSE)</f>
        <v>OPS - SIP - Sistema de Informações de Produtos</v>
      </c>
    </row>
    <row r="585" spans="1:11">
      <c r="A585" s="385">
        <v>1232</v>
      </c>
      <c r="B585" s="385" t="s">
        <v>4666</v>
      </c>
      <c r="C585" s="385" t="s">
        <v>4665</v>
      </c>
      <c r="D585" s="385" t="s">
        <v>4664</v>
      </c>
      <c r="E585" s="385">
        <v>374</v>
      </c>
      <c r="F585" s="385" t="s">
        <v>4648</v>
      </c>
      <c r="I585" s="385" t="s">
        <v>3477</v>
      </c>
      <c r="J585" s="385" t="s">
        <v>3513</v>
      </c>
      <c r="K585" s="385" t="str">
        <f>VLOOKUP(Table13[[#This Row],[CD_FUNCAO]],'BASE_FUNCOES (hide)'!A:X,2,FALSE)</f>
        <v>OPS - Proposta de Adesão Eletrônica</v>
      </c>
    </row>
    <row r="586" spans="1:11">
      <c r="A586" s="385">
        <v>1233</v>
      </c>
      <c r="B586" s="385" t="s">
        <v>4663</v>
      </c>
      <c r="C586" s="385" t="s">
        <v>4662</v>
      </c>
      <c r="D586" s="385" t="s">
        <v>4661</v>
      </c>
      <c r="E586" s="385">
        <v>374</v>
      </c>
      <c r="F586" s="385" t="s">
        <v>4648</v>
      </c>
      <c r="I586" s="385" t="s">
        <v>3477</v>
      </c>
      <c r="J586" s="385" t="s">
        <v>3513</v>
      </c>
      <c r="K586" s="385" t="str">
        <f>VLOOKUP(Table13[[#This Row],[CD_FUNCAO]],'BASE_FUNCOES (hide)'!A:X,2,FALSE)</f>
        <v>OPS - Simulador de Preços</v>
      </c>
    </row>
    <row r="587" spans="1:11">
      <c r="A587" s="385">
        <v>1234</v>
      </c>
      <c r="B587" s="385" t="s">
        <v>4669</v>
      </c>
      <c r="C587" s="385" t="s">
        <v>4668</v>
      </c>
      <c r="D587" s="385" t="s">
        <v>4667</v>
      </c>
      <c r="E587" s="385">
        <v>374</v>
      </c>
      <c r="F587" s="385" t="s">
        <v>4648</v>
      </c>
      <c r="I587" s="385" t="s">
        <v>3477</v>
      </c>
      <c r="J587" s="385" t="s">
        <v>3513</v>
      </c>
      <c r="K587" s="385" t="str">
        <f>VLOOKUP(Table13[[#This Row],[CD_FUNCAO]],'BASE_FUNCOES (hide)'!A:X,2,FALSE)</f>
        <v>OPS - Declaração de Saúde</v>
      </c>
    </row>
    <row r="588" spans="1:11">
      <c r="A588" s="385">
        <v>1235</v>
      </c>
      <c r="B588" s="385" t="s">
        <v>4660</v>
      </c>
      <c r="C588" s="385" t="s">
        <v>4659</v>
      </c>
      <c r="D588" s="385" t="s">
        <v>4658</v>
      </c>
      <c r="E588" s="385">
        <v>374</v>
      </c>
      <c r="F588" s="385" t="s">
        <v>4648</v>
      </c>
      <c r="I588" s="385" t="s">
        <v>3477</v>
      </c>
      <c r="J588" s="385" t="s">
        <v>3513</v>
      </c>
      <c r="K588" s="385" t="str">
        <f>VLOOKUP(Table13[[#This Row],[CD_FUNCAO]],'BASE_FUNCOES (hide)'!A:X,2,FALSE)</f>
        <v>OPS - Controle de Perícia Médica</v>
      </c>
    </row>
    <row r="589" spans="1:11">
      <c r="A589" s="385">
        <v>1236</v>
      </c>
      <c r="B589" s="385" t="s">
        <v>4657</v>
      </c>
      <c r="C589" s="385" t="s">
        <v>4656</v>
      </c>
      <c r="D589" s="385" t="s">
        <v>4655</v>
      </c>
      <c r="E589" s="385">
        <v>374</v>
      </c>
      <c r="F589" s="385" t="s">
        <v>4648</v>
      </c>
      <c r="I589" s="385" t="s">
        <v>3477</v>
      </c>
      <c r="J589" s="385" t="s">
        <v>3513</v>
      </c>
      <c r="K589" s="385" t="str">
        <f>VLOOKUP(Table13[[#This Row],[CD_FUNCAO]],'BASE_FUNCOES (hide)'!A:X,2,FALSE)</f>
        <v>OPS - Análise para Adesão de Beneficiários</v>
      </c>
    </row>
    <row r="590" spans="1:11">
      <c r="A590" s="385">
        <v>1237</v>
      </c>
      <c r="B590" s="385" t="s">
        <v>4654</v>
      </c>
      <c r="C590" s="385" t="s">
        <v>4653</v>
      </c>
      <c r="D590" s="385" t="s">
        <v>4652</v>
      </c>
      <c r="E590" s="385">
        <v>374</v>
      </c>
      <c r="F590" s="385" t="s">
        <v>4648</v>
      </c>
      <c r="I590" s="385" t="s">
        <v>3477</v>
      </c>
      <c r="J590" s="385" t="s">
        <v>3513</v>
      </c>
      <c r="K590" s="385" t="str">
        <f>VLOOKUP(Table13[[#This Row],[CD_FUNCAO]],'BASE_FUNCOES (hide)'!A:X,2,FALSE)</f>
        <v>OPS - Gestão Comercial</v>
      </c>
    </row>
    <row r="591" spans="1:11">
      <c r="A591" s="385">
        <v>1238</v>
      </c>
      <c r="B591" s="385" t="s">
        <v>4556</v>
      </c>
      <c r="C591" s="385" t="s">
        <v>4555</v>
      </c>
      <c r="D591" s="385" t="s">
        <v>4554</v>
      </c>
      <c r="E591" s="385">
        <v>377</v>
      </c>
      <c r="F591" s="385" t="s">
        <v>4538</v>
      </c>
      <c r="I591" s="385" t="s">
        <v>3477</v>
      </c>
      <c r="J591" s="385" t="s">
        <v>3513</v>
      </c>
      <c r="K591" s="385" t="str">
        <f>VLOOKUP(Table13[[#This Row],[CD_FUNCAO]],'BASE_FUNCOES (hide)'!A:X,2,FALSE)</f>
        <v>OPS - Controle de Processos de Ressarcimento</v>
      </c>
    </row>
    <row r="592" spans="1:11">
      <c r="A592" s="385">
        <v>1239</v>
      </c>
      <c r="B592" s="385" t="s">
        <v>4480</v>
      </c>
      <c r="C592" s="385" t="s">
        <v>4479</v>
      </c>
      <c r="D592" s="385" t="s">
        <v>4478</v>
      </c>
      <c r="E592" s="385">
        <v>380</v>
      </c>
      <c r="F592" s="385" t="s">
        <v>4474</v>
      </c>
      <c r="I592" s="385" t="s">
        <v>3477</v>
      </c>
      <c r="J592" s="385" t="s">
        <v>3513</v>
      </c>
      <c r="K592" s="385" t="str">
        <f>VLOOKUP(Table13[[#This Row],[CD_FUNCAO]],'BASE_FUNCOES (hide)'!A:X,2,FALSE)</f>
        <v>OPS - Taxa de Saúde Suplementar</v>
      </c>
    </row>
    <row r="593" spans="1:11">
      <c r="A593" s="385">
        <v>1240</v>
      </c>
      <c r="B593" s="385" t="s">
        <v>3811</v>
      </c>
      <c r="C593" s="385" t="s">
        <v>3810</v>
      </c>
      <c r="D593" s="385" t="s">
        <v>3809</v>
      </c>
      <c r="E593" s="385">
        <v>691</v>
      </c>
      <c r="F593" s="385" t="s">
        <v>3799</v>
      </c>
      <c r="I593" s="385" t="s">
        <v>3477</v>
      </c>
      <c r="J593" s="385" t="s">
        <v>3513</v>
      </c>
      <c r="K593" s="385" t="str">
        <f>VLOOKUP(Table13[[#This Row],[CD_FUNCAO]],'BASE_FUNCOES (hide)'!A:X,2,FALSE)</f>
        <v>OPS - Comunicação de Acidente de Trabalho (CAT)</v>
      </c>
    </row>
    <row r="594" spans="1:11">
      <c r="A594" s="385">
        <v>1241</v>
      </c>
      <c r="B594" s="385" t="s">
        <v>4514</v>
      </c>
      <c r="C594" s="385" t="s">
        <v>4513</v>
      </c>
      <c r="D594" s="385" t="s">
        <v>4512</v>
      </c>
      <c r="E594" s="385">
        <v>379</v>
      </c>
      <c r="F594" s="385" t="s">
        <v>4502</v>
      </c>
      <c r="I594" s="385" t="s">
        <v>3477</v>
      </c>
      <c r="J594" s="385" t="s">
        <v>3513</v>
      </c>
      <c r="K594" s="385" t="str">
        <f>VLOOKUP(Table13[[#This Row],[CD_FUNCAO]],'BASE_FUNCOES (hide)'!A:X,2,FALSE)</f>
        <v>OPS - Controle de Notificações de Atraso</v>
      </c>
    </row>
    <row r="595" spans="1:11">
      <c r="A595" s="385">
        <v>1242</v>
      </c>
      <c r="B595" s="385" t="s">
        <v>4651</v>
      </c>
      <c r="C595" s="385" t="s">
        <v>4650</v>
      </c>
      <c r="D595" s="385" t="s">
        <v>4649</v>
      </c>
      <c r="E595" s="385">
        <v>374</v>
      </c>
      <c r="F595" s="385" t="s">
        <v>4648</v>
      </c>
      <c r="I595" s="385" t="s">
        <v>3477</v>
      </c>
      <c r="J595" s="385" t="s">
        <v>3513</v>
      </c>
      <c r="K595" s="385" t="str">
        <f>VLOOKUP(Table13[[#This Row],[CD_FUNCAO]],'BASE_FUNCOES (hide)'!A:X,2,FALSE)</f>
        <v>OPS - Portabilidade</v>
      </c>
    </row>
    <row r="596" spans="1:11">
      <c r="A596" s="385">
        <v>1243</v>
      </c>
      <c r="B596" s="385" t="s">
        <v>3864</v>
      </c>
      <c r="C596" s="385" t="s">
        <v>3865</v>
      </c>
      <c r="D596" s="385" t="s">
        <v>3864</v>
      </c>
      <c r="E596" s="385">
        <v>690</v>
      </c>
      <c r="F596" s="385" t="s">
        <v>3854</v>
      </c>
      <c r="I596" s="385" t="s">
        <v>3477</v>
      </c>
      <c r="J596" s="385" t="s">
        <v>3513</v>
      </c>
      <c r="K596" s="385" t="str">
        <f>VLOOKUP(Table13[[#This Row],[CD_FUNCAO]],'BASE_FUNCOES (hide)'!A:X,2,FALSE)</f>
        <v>OPS - Cargas</v>
      </c>
    </row>
    <row r="597" spans="1:11">
      <c r="A597" s="385">
        <v>1244</v>
      </c>
      <c r="B597" s="385" t="s">
        <v>3676</v>
      </c>
      <c r="C597" s="385" t="s">
        <v>3675</v>
      </c>
      <c r="D597" s="385" t="s">
        <v>3674</v>
      </c>
      <c r="E597" s="385">
        <v>708</v>
      </c>
      <c r="F597" s="385" t="s">
        <v>3670</v>
      </c>
      <c r="I597" s="385" t="s">
        <v>3477</v>
      </c>
      <c r="J597" s="385" t="s">
        <v>3513</v>
      </c>
      <c r="K597" s="385" t="str">
        <f>VLOOKUP(Table13[[#This Row],[CD_FUNCAO]],'BASE_FUNCOES (hide)'!A:X,2,FALSE)</f>
        <v>OPS - Regras de Lançamento Automático</v>
      </c>
    </row>
    <row r="598" spans="1:11">
      <c r="A598" s="385">
        <v>1245</v>
      </c>
      <c r="B598" s="385" t="s">
        <v>4511</v>
      </c>
      <c r="C598" s="385" t="s">
        <v>4510</v>
      </c>
      <c r="D598" s="385" t="s">
        <v>4509</v>
      </c>
      <c r="E598" s="385">
        <v>379</v>
      </c>
      <c r="F598" s="385" t="s">
        <v>4502</v>
      </c>
      <c r="I598" s="385" t="s">
        <v>3477</v>
      </c>
      <c r="J598" s="385" t="s">
        <v>3513</v>
      </c>
      <c r="K598" s="385" t="str">
        <f>VLOOKUP(Table13[[#This Row],[CD_FUNCAO]],'BASE_FUNCOES (hide)'!A:X,2,FALSE)</f>
        <v>OPS - Valores Pendentes</v>
      </c>
    </row>
    <row r="599" spans="1:11">
      <c r="A599" s="385">
        <v>1246</v>
      </c>
      <c r="B599" s="385" t="s">
        <v>4429</v>
      </c>
      <c r="C599" s="385" t="s">
        <v>4430</v>
      </c>
      <c r="D599" s="385" t="s">
        <v>4429</v>
      </c>
      <c r="E599" s="385">
        <v>381</v>
      </c>
      <c r="F599" s="385" t="s">
        <v>4377</v>
      </c>
      <c r="I599" s="385" t="s">
        <v>3506</v>
      </c>
      <c r="J599" s="385" t="s">
        <v>3513</v>
      </c>
      <c r="K599" s="385" t="e">
        <f>VLOOKUP(Table13[[#This Row],[CD_FUNCAO]],'BASE_FUNCOES (hide)'!A:X,2,FALSE)</f>
        <v>#N/A</v>
      </c>
    </row>
    <row r="600" spans="1:11">
      <c r="A600" s="385">
        <v>1247</v>
      </c>
      <c r="B600" s="385" t="s">
        <v>4428</v>
      </c>
      <c r="C600" s="385" t="s">
        <v>4427</v>
      </c>
      <c r="D600" s="385" t="s">
        <v>4426</v>
      </c>
      <c r="E600" s="385">
        <v>381</v>
      </c>
      <c r="F600" s="385" t="s">
        <v>4377</v>
      </c>
      <c r="I600" s="385" t="s">
        <v>3506</v>
      </c>
      <c r="J600" s="385" t="s">
        <v>3513</v>
      </c>
      <c r="K600" s="385" t="e">
        <f>VLOOKUP(Table13[[#This Row],[CD_FUNCAO]],'BASE_FUNCOES (hide)'!A:X,2,FALSE)</f>
        <v>#N/A</v>
      </c>
    </row>
    <row r="601" spans="1:11">
      <c r="A601" s="385">
        <v>1248</v>
      </c>
      <c r="B601" s="385" t="s">
        <v>4425</v>
      </c>
      <c r="C601" s="385" t="s">
        <v>4424</v>
      </c>
      <c r="D601" s="385" t="s">
        <v>4423</v>
      </c>
      <c r="E601" s="385">
        <v>381</v>
      </c>
      <c r="F601" s="385" t="s">
        <v>4377</v>
      </c>
      <c r="I601" s="385" t="s">
        <v>3506</v>
      </c>
      <c r="J601" s="385" t="s">
        <v>3513</v>
      </c>
      <c r="K601" s="385" t="e">
        <f>VLOOKUP(Table13[[#This Row],[CD_FUNCAO]],'BASE_FUNCOES (hide)'!A:X,2,FALSE)</f>
        <v>#N/A</v>
      </c>
    </row>
    <row r="602" spans="1:11">
      <c r="A602" s="385">
        <v>1249</v>
      </c>
      <c r="B602" s="385" t="s">
        <v>4422</v>
      </c>
      <c r="C602" s="385" t="s">
        <v>4421</v>
      </c>
      <c r="D602" s="385" t="s">
        <v>4420</v>
      </c>
      <c r="E602" s="385">
        <v>381</v>
      </c>
      <c r="F602" s="385" t="s">
        <v>4377</v>
      </c>
      <c r="I602" s="385" t="s">
        <v>3506</v>
      </c>
      <c r="J602" s="385" t="s">
        <v>3513</v>
      </c>
      <c r="K602" s="385" t="e">
        <f>VLOOKUP(Table13[[#This Row],[CD_FUNCAO]],'BASE_FUNCOES (hide)'!A:X,2,FALSE)</f>
        <v>#N/A</v>
      </c>
    </row>
    <row r="603" spans="1:11">
      <c r="A603" s="385">
        <v>1250</v>
      </c>
      <c r="B603" s="385" t="s">
        <v>4419</v>
      </c>
      <c r="C603" s="385" t="s">
        <v>4418</v>
      </c>
      <c r="D603" s="385" t="s">
        <v>4417</v>
      </c>
      <c r="E603" s="385">
        <v>381</v>
      </c>
      <c r="F603" s="385" t="s">
        <v>4377</v>
      </c>
      <c r="I603" s="385" t="s">
        <v>3506</v>
      </c>
      <c r="J603" s="385" t="s">
        <v>3513</v>
      </c>
      <c r="K603" s="385" t="e">
        <f>VLOOKUP(Table13[[#This Row],[CD_FUNCAO]],'BASE_FUNCOES (hide)'!A:X,2,FALSE)</f>
        <v>#N/A</v>
      </c>
    </row>
    <row r="604" spans="1:11">
      <c r="A604" s="385">
        <v>1251</v>
      </c>
      <c r="B604" s="385" t="s">
        <v>4416</v>
      </c>
      <c r="C604" s="385" t="s">
        <v>4415</v>
      </c>
      <c r="D604" s="385" t="s">
        <v>4414</v>
      </c>
      <c r="E604" s="385">
        <v>381</v>
      </c>
      <c r="F604" s="385" t="s">
        <v>4377</v>
      </c>
      <c r="I604" s="385" t="s">
        <v>3506</v>
      </c>
      <c r="J604" s="385" t="s">
        <v>3513</v>
      </c>
      <c r="K604" s="385" t="e">
        <f>VLOOKUP(Table13[[#This Row],[CD_FUNCAO]],'BASE_FUNCOES (hide)'!A:X,2,FALSE)</f>
        <v>#N/A</v>
      </c>
    </row>
    <row r="605" spans="1:11">
      <c r="A605" s="385">
        <v>1252</v>
      </c>
      <c r="B605" s="385" t="s">
        <v>4413</v>
      </c>
      <c r="C605" s="385" t="s">
        <v>4412</v>
      </c>
      <c r="D605" s="385" t="s">
        <v>4411</v>
      </c>
      <c r="E605" s="385">
        <v>381</v>
      </c>
      <c r="F605" s="385" t="s">
        <v>4377</v>
      </c>
      <c r="I605" s="385" t="s">
        <v>3506</v>
      </c>
      <c r="J605" s="385" t="s">
        <v>3513</v>
      </c>
      <c r="K605" s="385" t="e">
        <f>VLOOKUP(Table13[[#This Row],[CD_FUNCAO]],'BASE_FUNCOES (hide)'!A:X,2,FALSE)</f>
        <v>#N/A</v>
      </c>
    </row>
    <row r="606" spans="1:11">
      <c r="A606" s="385">
        <v>1253</v>
      </c>
      <c r="B606" s="385" t="s">
        <v>4410</v>
      </c>
      <c r="C606" s="385" t="s">
        <v>4409</v>
      </c>
      <c r="D606" s="385" t="s">
        <v>4408</v>
      </c>
      <c r="E606" s="385">
        <v>381</v>
      </c>
      <c r="F606" s="385" t="s">
        <v>4377</v>
      </c>
      <c r="I606" s="385" t="s">
        <v>3485</v>
      </c>
      <c r="J606" s="385" t="s">
        <v>3513</v>
      </c>
      <c r="K606" s="385" t="e">
        <f>VLOOKUP(Table13[[#This Row],[CD_FUNCAO]],'BASE_FUNCOES (hide)'!A:X,2,FALSE)</f>
        <v>#N/A</v>
      </c>
    </row>
    <row r="607" spans="1:11">
      <c r="A607" s="385">
        <v>1254</v>
      </c>
      <c r="B607" s="385" t="s">
        <v>4407</v>
      </c>
      <c r="C607" s="385" t="s">
        <v>4406</v>
      </c>
      <c r="D607" s="385" t="s">
        <v>4405</v>
      </c>
      <c r="E607" s="385">
        <v>381</v>
      </c>
      <c r="F607" s="385" t="s">
        <v>4377</v>
      </c>
      <c r="I607" s="385" t="s">
        <v>3506</v>
      </c>
      <c r="J607" s="385" t="s">
        <v>3513</v>
      </c>
      <c r="K607" s="385" t="e">
        <f>VLOOKUP(Table13[[#This Row],[CD_FUNCAO]],'BASE_FUNCOES (hide)'!A:X,2,FALSE)</f>
        <v>#N/A</v>
      </c>
    </row>
    <row r="608" spans="1:11">
      <c r="A608" s="385">
        <v>1255</v>
      </c>
      <c r="B608" s="385" t="s">
        <v>4404</v>
      </c>
      <c r="C608" s="385" t="s">
        <v>4403</v>
      </c>
      <c r="D608" s="385" t="s">
        <v>4402</v>
      </c>
      <c r="E608" s="385">
        <v>381</v>
      </c>
      <c r="F608" s="385" t="s">
        <v>4377</v>
      </c>
      <c r="I608" s="385" t="s">
        <v>3506</v>
      </c>
      <c r="J608" s="385" t="s">
        <v>3513</v>
      </c>
      <c r="K608" s="385" t="e">
        <f>VLOOKUP(Table13[[#This Row],[CD_FUNCAO]],'BASE_FUNCOES (hide)'!A:X,2,FALSE)</f>
        <v>#N/A</v>
      </c>
    </row>
    <row r="609" spans="1:11">
      <c r="A609" s="385">
        <v>1256</v>
      </c>
      <c r="B609" s="385" t="s">
        <v>4401</v>
      </c>
      <c r="C609" s="385" t="s">
        <v>4400</v>
      </c>
      <c r="D609" s="385" t="s">
        <v>4399</v>
      </c>
      <c r="E609" s="385">
        <v>381</v>
      </c>
      <c r="F609" s="385" t="s">
        <v>4377</v>
      </c>
      <c r="I609" s="385" t="s">
        <v>3506</v>
      </c>
      <c r="J609" s="385" t="s">
        <v>3513</v>
      </c>
      <c r="K609" s="385" t="e">
        <f>VLOOKUP(Table13[[#This Row],[CD_FUNCAO]],'BASE_FUNCOES (hide)'!A:X,2,FALSE)</f>
        <v>#N/A</v>
      </c>
    </row>
    <row r="610" spans="1:11">
      <c r="A610" s="385">
        <v>1257</v>
      </c>
      <c r="B610" s="385" t="s">
        <v>4398</v>
      </c>
      <c r="C610" s="385" t="s">
        <v>4397</v>
      </c>
      <c r="D610" s="385" t="s">
        <v>4396</v>
      </c>
      <c r="E610" s="385">
        <v>381</v>
      </c>
      <c r="F610" s="385" t="s">
        <v>4377</v>
      </c>
      <c r="I610" s="385" t="s">
        <v>3506</v>
      </c>
      <c r="J610" s="385" t="s">
        <v>3513</v>
      </c>
      <c r="K610" s="385" t="e">
        <f>VLOOKUP(Table13[[#This Row],[CD_FUNCAO]],'BASE_FUNCOES (hide)'!A:X,2,FALSE)</f>
        <v>#N/A</v>
      </c>
    </row>
    <row r="611" spans="1:11">
      <c r="A611" s="385">
        <v>1258</v>
      </c>
      <c r="B611" s="385" t="s">
        <v>4435</v>
      </c>
      <c r="C611" s="385" t="s">
        <v>4434</v>
      </c>
      <c r="D611" s="385" t="s">
        <v>4433</v>
      </c>
      <c r="E611" s="385">
        <v>381</v>
      </c>
      <c r="F611" s="385" t="s">
        <v>4377</v>
      </c>
      <c r="I611" s="385" t="s">
        <v>3506</v>
      </c>
      <c r="J611" s="385" t="s">
        <v>3513</v>
      </c>
      <c r="K611" s="385" t="e">
        <f>VLOOKUP(Table13[[#This Row],[CD_FUNCAO]],'BASE_FUNCOES (hide)'!A:X,2,FALSE)</f>
        <v>#N/A</v>
      </c>
    </row>
    <row r="612" spans="1:11">
      <c r="A612" s="385">
        <v>1259</v>
      </c>
      <c r="B612" s="385" t="s">
        <v>4477</v>
      </c>
      <c r="C612" s="385" t="s">
        <v>4476</v>
      </c>
      <c r="D612" s="385" t="s">
        <v>4475</v>
      </c>
      <c r="E612" s="385">
        <v>380</v>
      </c>
      <c r="F612" s="385" t="s">
        <v>4474</v>
      </c>
      <c r="I612" s="385" t="s">
        <v>3477</v>
      </c>
      <c r="J612" s="385" t="s">
        <v>3513</v>
      </c>
      <c r="K612" s="385" t="str">
        <f>VLOOKUP(Table13[[#This Row],[CD_FUNCAO]],'BASE_FUNCOES (hide)'!A:X,2,FALSE)</f>
        <v>OPS - Provisões Técnicas</v>
      </c>
    </row>
    <row r="613" spans="1:11">
      <c r="A613" s="385">
        <v>1260</v>
      </c>
      <c r="B613" s="385" t="s">
        <v>4508</v>
      </c>
      <c r="C613" s="385" t="s">
        <v>4507</v>
      </c>
      <c r="D613" s="385" t="s">
        <v>4506</v>
      </c>
      <c r="E613" s="385">
        <v>379</v>
      </c>
      <c r="F613" s="385" t="s">
        <v>4502</v>
      </c>
      <c r="I613" s="385" t="s">
        <v>3477</v>
      </c>
      <c r="J613" s="385" t="s">
        <v>3513</v>
      </c>
      <c r="K613" s="385" t="str">
        <f>VLOOKUP(Table13[[#This Row],[CD_FUNCAO]],'BASE_FUNCOES (hide)'!A:X,2,FALSE)</f>
        <v>OPS - Lançamentos Programados</v>
      </c>
    </row>
    <row r="614" spans="1:11">
      <c r="A614" s="385">
        <v>1261</v>
      </c>
      <c r="B614" s="385" t="s">
        <v>3896</v>
      </c>
      <c r="C614" s="385" t="s">
        <v>3895</v>
      </c>
      <c r="D614" s="385" t="s">
        <v>3895</v>
      </c>
      <c r="E614" s="385">
        <v>690</v>
      </c>
      <c r="F614" s="385" t="s">
        <v>3854</v>
      </c>
      <c r="I614" s="385" t="s">
        <v>3477</v>
      </c>
      <c r="J614" s="385" t="s">
        <v>3513</v>
      </c>
      <c r="K614" s="385" t="str">
        <f>VLOOKUP(Table13[[#This Row],[CD_FUNCAO]],'BASE_FUNCOES (hide)'!A:X,2,FALSE)</f>
        <v>OPS - Cooperativas Médicas</v>
      </c>
    </row>
    <row r="615" spans="1:11">
      <c r="A615" s="385">
        <v>1262</v>
      </c>
      <c r="B615" s="385" t="s">
        <v>4132</v>
      </c>
      <c r="C615" s="385" t="s">
        <v>4132</v>
      </c>
      <c r="D615" s="385" t="s">
        <v>4132</v>
      </c>
      <c r="E615" s="385">
        <v>12</v>
      </c>
      <c r="F615" s="385" t="s">
        <v>4</v>
      </c>
      <c r="G615" s="385" t="s">
        <v>4119</v>
      </c>
      <c r="H615" s="385" t="s">
        <v>728</v>
      </c>
      <c r="I615" s="385" t="s">
        <v>3477</v>
      </c>
      <c r="J615" s="385" t="s">
        <v>3513</v>
      </c>
      <c r="K615" s="385" t="str">
        <f>VLOOKUP(Table13[[#This Row],[CD_FUNCAO]],'BASE_FUNCOES (hide)'!A:X,2,FALSE)</f>
        <v>OPS - Transferência Eletrônica de Dados (TED)</v>
      </c>
    </row>
    <row r="616" spans="1:11">
      <c r="A616" s="385">
        <v>1263</v>
      </c>
      <c r="B616" s="385" t="s">
        <v>3776</v>
      </c>
      <c r="C616" s="385" t="s">
        <v>1568</v>
      </c>
      <c r="D616" s="385" t="s">
        <v>3775</v>
      </c>
      <c r="E616" s="385">
        <v>693</v>
      </c>
      <c r="F616" s="385" t="s">
        <v>1568</v>
      </c>
      <c r="I616" s="385" t="s">
        <v>3488</v>
      </c>
      <c r="J616" s="385" t="s">
        <v>3477</v>
      </c>
      <c r="K616" s="385" t="e">
        <f>VLOOKUP(Table13[[#This Row],[CD_FUNCAO]],'BASE_FUNCOES (hide)'!A:X,2,FALSE)</f>
        <v>#N/A</v>
      </c>
    </row>
    <row r="617" spans="1:11">
      <c r="A617" s="385">
        <v>1264</v>
      </c>
      <c r="B617" s="385" t="s">
        <v>4687</v>
      </c>
      <c r="C617" s="385" t="s">
        <v>4686</v>
      </c>
      <c r="D617" s="385" t="s">
        <v>4685</v>
      </c>
      <c r="E617" s="385">
        <v>372</v>
      </c>
      <c r="F617" s="385" t="s">
        <v>4684</v>
      </c>
      <c r="I617" s="385" t="s">
        <v>3477</v>
      </c>
      <c r="J617" s="385" t="s">
        <v>3513</v>
      </c>
      <c r="K617" s="385" t="str">
        <f>VLOOKUP(Table13[[#This Row],[CD_FUNCAO]],'BASE_FUNCOES (hide)'!A:X,2,FALSE)</f>
        <v>OPS - Serviços e Coberturas Adicionais</v>
      </c>
    </row>
    <row r="618" spans="1:11">
      <c r="A618" s="385">
        <v>1265</v>
      </c>
      <c r="B618" s="385" t="s">
        <v>4594</v>
      </c>
      <c r="C618" s="385" t="s">
        <v>4593</v>
      </c>
      <c r="D618" s="385" t="s">
        <v>4592</v>
      </c>
      <c r="E618" s="385">
        <v>375</v>
      </c>
      <c r="F618" s="385" t="s">
        <v>4588</v>
      </c>
      <c r="I618" s="385" t="s">
        <v>3477</v>
      </c>
      <c r="J618" s="385" t="s">
        <v>3513</v>
      </c>
      <c r="K618" s="385" t="str">
        <f>VLOOKUP(Table13[[#This Row],[CD_FUNCAO]],'BASE_FUNCOES (hide)'!A:X,2,FALSE)</f>
        <v>OPS - Bonificações</v>
      </c>
    </row>
    <row r="619" spans="1:11">
      <c r="A619" s="385">
        <v>1266</v>
      </c>
      <c r="B619" s="385" t="s">
        <v>3774</v>
      </c>
      <c r="C619" s="385" t="s">
        <v>3773</v>
      </c>
      <c r="D619" s="385" t="s">
        <v>3772</v>
      </c>
      <c r="E619" s="385">
        <v>693</v>
      </c>
      <c r="F619" s="385" t="s">
        <v>1568</v>
      </c>
      <c r="I619" s="385" t="s">
        <v>3477</v>
      </c>
      <c r="J619" s="385" t="s">
        <v>3513</v>
      </c>
      <c r="K619" s="385" t="str">
        <f>VLOOKUP(Table13[[#This Row],[CD_FUNCAO]],'BASE_FUNCOES (hide)'!A:X,2,FALSE)</f>
        <v>OPS - Painel de Ocorrências</v>
      </c>
    </row>
    <row r="620" spans="1:11">
      <c r="A620" s="385">
        <v>1267</v>
      </c>
      <c r="B620" s="385" t="s">
        <v>4537</v>
      </c>
      <c r="C620" s="385" t="s">
        <v>4536</v>
      </c>
      <c r="D620" s="385" t="s">
        <v>4535</v>
      </c>
      <c r="E620" s="385">
        <v>379</v>
      </c>
      <c r="F620" s="385" t="s">
        <v>4502</v>
      </c>
      <c r="I620" s="385" t="s">
        <v>3510</v>
      </c>
      <c r="J620" s="385" t="s">
        <v>3513</v>
      </c>
      <c r="K620" s="385" t="e">
        <f>VLOOKUP(Table13[[#This Row],[CD_FUNCAO]],'BASE_FUNCOES (hide)'!A:X,2,FALSE)</f>
        <v>#N/A</v>
      </c>
    </row>
    <row r="621" spans="1:11">
      <c r="A621" s="385">
        <v>1268</v>
      </c>
      <c r="B621" s="385" t="s">
        <v>4600</v>
      </c>
      <c r="C621" s="385" t="s">
        <v>4599</v>
      </c>
      <c r="D621" s="385" t="s">
        <v>4598</v>
      </c>
      <c r="E621" s="385">
        <v>375</v>
      </c>
      <c r="F621" s="385" t="s">
        <v>4588</v>
      </c>
      <c r="I621" s="385" t="s">
        <v>3477</v>
      </c>
      <c r="J621" s="385" t="s">
        <v>3513</v>
      </c>
      <c r="K621" s="385" t="str">
        <f>VLOOKUP(Table13[[#This Row],[CD_FUNCAO]],'BASE_FUNCOES (hide)'!A:X,2,FALSE)</f>
        <v>OPS - Revisão de Cadastros de Pessoas</v>
      </c>
    </row>
    <row r="622" spans="1:11">
      <c r="A622" s="385">
        <v>1269</v>
      </c>
      <c r="B622" s="385" t="s">
        <v>4505</v>
      </c>
      <c r="C622" s="385" t="s">
        <v>4504</v>
      </c>
      <c r="D622" s="385" t="s">
        <v>4503</v>
      </c>
      <c r="E622" s="385">
        <v>379</v>
      </c>
      <c r="F622" s="385" t="s">
        <v>4502</v>
      </c>
      <c r="I622" s="385" t="s">
        <v>3488</v>
      </c>
      <c r="J622" s="385" t="s">
        <v>3513</v>
      </c>
      <c r="K622" s="385" t="str">
        <f>VLOOKUP(Table13[[#This Row],[CD_FUNCAO]],'BASE_FUNCOES (hide)'!A:X,2,FALSE)</f>
        <v>OPS - Localizador de Pagadores</v>
      </c>
    </row>
    <row r="623" spans="1:11">
      <c r="A623" s="385">
        <v>1270</v>
      </c>
      <c r="B623" s="385" t="s">
        <v>3802</v>
      </c>
      <c r="C623" s="385" t="s">
        <v>3801</v>
      </c>
      <c r="D623" s="385" t="s">
        <v>3800</v>
      </c>
      <c r="E623" s="385">
        <v>691</v>
      </c>
      <c r="F623" s="385" t="s">
        <v>3799</v>
      </c>
      <c r="I623" s="385" t="s">
        <v>3477</v>
      </c>
      <c r="J623" s="385" t="s">
        <v>3513</v>
      </c>
      <c r="K623" s="385" t="str">
        <f>VLOOKUP(Table13[[#This Row],[CD_FUNCAO]],'BASE_FUNCOES (hide)'!A:X,2,FALSE)</f>
        <v>OPS - Gestão de Análise de Autorizações</v>
      </c>
    </row>
    <row r="624" spans="1:11">
      <c r="A624" s="385">
        <v>1271</v>
      </c>
      <c r="B624" s="385" t="s">
        <v>3847</v>
      </c>
      <c r="C624" s="385" t="s">
        <v>3846</v>
      </c>
      <c r="D624" s="385" t="s">
        <v>3845</v>
      </c>
      <c r="E624" s="385">
        <v>691</v>
      </c>
      <c r="F624" s="385" t="s">
        <v>3799</v>
      </c>
      <c r="I624" s="385" t="s">
        <v>3477</v>
      </c>
      <c r="J624" s="385" t="s">
        <v>3513</v>
      </c>
      <c r="K624" s="385" t="str">
        <f>VLOOKUP(Table13[[#This Row],[CD_FUNCAO]],'BASE_FUNCOES (hide)'!A:X,2,FALSE)</f>
        <v>OPS - Requisições para Autorização</v>
      </c>
    </row>
    <row r="625" spans="1:11">
      <c r="A625" s="385">
        <v>1272</v>
      </c>
      <c r="B625" s="385" t="s">
        <v>4470</v>
      </c>
      <c r="C625" s="385" t="s">
        <v>4469</v>
      </c>
      <c r="D625" s="385" t="s">
        <v>4468</v>
      </c>
      <c r="E625" s="385">
        <v>381</v>
      </c>
      <c r="F625" s="385" t="s">
        <v>4377</v>
      </c>
      <c r="I625" s="385" t="s">
        <v>3506</v>
      </c>
      <c r="J625" s="385" t="s">
        <v>3513</v>
      </c>
      <c r="K625" s="385" t="e">
        <f>VLOOKUP(Table13[[#This Row],[CD_FUNCAO]],'BASE_FUNCOES (hide)'!A:X,2,FALSE)</f>
        <v>#N/A</v>
      </c>
    </row>
    <row r="626" spans="1:11">
      <c r="A626" s="385">
        <v>1273</v>
      </c>
      <c r="B626" s="385" t="s">
        <v>4641</v>
      </c>
      <c r="C626" s="385" t="s">
        <v>4640</v>
      </c>
      <c r="D626" s="385" t="s">
        <v>4640</v>
      </c>
      <c r="E626" s="385">
        <v>375</v>
      </c>
      <c r="F626" s="385" t="s">
        <v>4588</v>
      </c>
      <c r="I626" s="385" t="s">
        <v>3477</v>
      </c>
      <c r="J626" s="385" t="s">
        <v>3477</v>
      </c>
      <c r="K626" s="385" t="str">
        <f>VLOOKUP(Table13[[#This Row],[CD_FUNCAO]],'BASE_FUNCOES (hide)'!A:X,2,FALSE)</f>
        <v>OPS - Identificação de Beneficiários</v>
      </c>
    </row>
    <row r="627" spans="1:11">
      <c r="A627" s="385">
        <v>1275</v>
      </c>
      <c r="B627" s="385" t="s">
        <v>3745</v>
      </c>
      <c r="C627" s="385" t="s">
        <v>3744</v>
      </c>
      <c r="D627" s="385" t="s">
        <v>3743</v>
      </c>
      <c r="E627" s="385">
        <v>835</v>
      </c>
      <c r="F627" s="385" t="s">
        <v>3714</v>
      </c>
      <c r="I627" s="385" t="s">
        <v>3477</v>
      </c>
      <c r="J627" s="385" t="s">
        <v>3513</v>
      </c>
      <c r="K627" s="385" t="str">
        <f>VLOOKUP(Table13[[#This Row],[CD_FUNCAO]],'BASE_FUNCOES (hide)'!A:X,2,FALSE)</f>
        <v>OPS - Câmara de Compensação</v>
      </c>
    </row>
    <row r="628" spans="1:11">
      <c r="A628" s="385">
        <v>1276</v>
      </c>
      <c r="B628" s="385" t="s">
        <v>4455</v>
      </c>
      <c r="C628" s="385" t="s">
        <v>4455</v>
      </c>
      <c r="D628" s="385" t="s">
        <v>4455</v>
      </c>
      <c r="E628" s="385">
        <v>381</v>
      </c>
      <c r="F628" s="385" t="s">
        <v>4377</v>
      </c>
      <c r="I628" s="385" t="s">
        <v>3506</v>
      </c>
      <c r="J628" s="385" t="s">
        <v>3513</v>
      </c>
      <c r="K628" s="385" t="e">
        <f>VLOOKUP(Table13[[#This Row],[CD_FUNCAO]],'BASE_FUNCOES (hide)'!A:X,2,FALSE)</f>
        <v>#N/A</v>
      </c>
    </row>
    <row r="629" spans="1:11">
      <c r="A629" s="385">
        <v>1277</v>
      </c>
      <c r="B629" s="385" t="s">
        <v>3696</v>
      </c>
      <c r="C629" s="385" t="s">
        <v>3695</v>
      </c>
      <c r="D629" s="385" t="s">
        <v>3694</v>
      </c>
      <c r="E629" s="385">
        <v>706</v>
      </c>
      <c r="F629" s="385" t="s">
        <v>3686</v>
      </c>
      <c r="I629" s="385" t="s">
        <v>3477</v>
      </c>
      <c r="J629" s="385" t="s">
        <v>3513</v>
      </c>
      <c r="K629" s="385" t="str">
        <f>VLOOKUP(Table13[[#This Row],[CD_FUNCAO]],'BASE_FUNCOES (hide)'!A:X,2,FALSE)</f>
        <v>OPS - Contratos de Intercâmbio</v>
      </c>
    </row>
    <row r="630" spans="1:11">
      <c r="A630" s="385">
        <v>1278</v>
      </c>
      <c r="B630" s="385" t="s">
        <v>3756</v>
      </c>
      <c r="C630" s="385" t="s">
        <v>3755</v>
      </c>
      <c r="D630" s="385" t="s">
        <v>3754</v>
      </c>
      <c r="E630" s="385">
        <v>582</v>
      </c>
      <c r="F630" s="385" t="s">
        <v>3753</v>
      </c>
      <c r="I630" s="385" t="s">
        <v>3477</v>
      </c>
      <c r="J630" s="385" t="s">
        <v>3513</v>
      </c>
      <c r="K630" s="385" t="str">
        <f>VLOOKUP(Table13[[#This Row],[CD_FUNCAO]],'BASE_FUNCOES (hide)'!A:X,2,FALSE)</f>
        <v>OPS - Gestão de Contratos Coletivos para Relacionamento</v>
      </c>
    </row>
    <row r="631" spans="1:11">
      <c r="A631" s="385">
        <v>1279</v>
      </c>
      <c r="B631" s="385" t="s">
        <v>3749</v>
      </c>
      <c r="C631" s="385" t="s">
        <v>3748</v>
      </c>
      <c r="D631" s="385" t="s">
        <v>3747</v>
      </c>
      <c r="E631" s="385">
        <v>583</v>
      </c>
      <c r="F631" s="385" t="s">
        <v>3746</v>
      </c>
      <c r="I631" s="385" t="s">
        <v>3477</v>
      </c>
      <c r="J631" s="385" t="s">
        <v>3513</v>
      </c>
      <c r="K631" s="385" t="str">
        <f>VLOOKUP(Table13[[#This Row],[CD_FUNCAO]],'BASE_FUNCOES (hide)'!A:X,2,FALSE)</f>
        <v>OPS - Gestão de Cooperados</v>
      </c>
    </row>
    <row r="632" spans="1:11">
      <c r="A632" s="385">
        <v>1280</v>
      </c>
      <c r="B632" s="385" t="s">
        <v>4597</v>
      </c>
      <c r="C632" s="385" t="s">
        <v>4596</v>
      </c>
      <c r="D632" s="385" t="s">
        <v>4595</v>
      </c>
      <c r="E632" s="385">
        <v>375</v>
      </c>
      <c r="F632" s="385" t="s">
        <v>4588</v>
      </c>
      <c r="I632" s="385" t="s">
        <v>3477</v>
      </c>
      <c r="J632" s="385" t="s">
        <v>3513</v>
      </c>
      <c r="K632" s="385" t="str">
        <f>VLOOKUP(Table13[[#This Row],[CD_FUNCAO]],'BASE_FUNCOES (hide)'!A:X,2,FALSE)</f>
        <v>OPS - Análise de Resultados</v>
      </c>
    </row>
    <row r="633" spans="1:11">
      <c r="A633" s="385">
        <v>1281</v>
      </c>
      <c r="B633" s="385" t="s">
        <v>3783</v>
      </c>
      <c r="C633" s="385" t="s">
        <v>3782</v>
      </c>
      <c r="D633" s="385" t="s">
        <v>3781</v>
      </c>
      <c r="E633" s="385">
        <v>692</v>
      </c>
      <c r="F633" s="385" t="s">
        <v>3780</v>
      </c>
      <c r="I633" s="385" t="s">
        <v>3477</v>
      </c>
      <c r="J633" s="385" t="s">
        <v>3513</v>
      </c>
      <c r="K633" s="385" t="str">
        <f>VLOOKUP(Table13[[#This Row],[CD_FUNCAO]],'BASE_FUNCOES (hide)'!A:X,2,FALSE)</f>
        <v>OPS - Controle de Usuários Eventuais</v>
      </c>
    </row>
    <row r="634" spans="1:11">
      <c r="A634" s="385">
        <v>1282</v>
      </c>
      <c r="B634" s="385" t="s">
        <v>4583</v>
      </c>
      <c r="C634" s="385" t="s">
        <v>4582</v>
      </c>
      <c r="D634" s="385" t="s">
        <v>4581</v>
      </c>
      <c r="E634" s="385">
        <v>377</v>
      </c>
      <c r="F634" s="385" t="s">
        <v>4538</v>
      </c>
      <c r="I634" s="385" t="s">
        <v>3477</v>
      </c>
      <c r="J634" s="385" t="s">
        <v>3513</v>
      </c>
      <c r="K634" s="385" t="e">
        <f>VLOOKUP(Table13[[#This Row],[CD_FUNCAO]],'BASE_FUNCOES (hide)'!A:X,2,FALSE)</f>
        <v>#N/A</v>
      </c>
    </row>
    <row r="635" spans="1:11">
      <c r="A635" s="385">
        <v>1283</v>
      </c>
      <c r="B635" s="385" t="s">
        <v>4580</v>
      </c>
      <c r="C635" s="385" t="s">
        <v>4579</v>
      </c>
      <c r="D635" s="385" t="s">
        <v>4578</v>
      </c>
      <c r="E635" s="385">
        <v>377</v>
      </c>
      <c r="F635" s="385" t="s">
        <v>4538</v>
      </c>
      <c r="I635" s="385" t="s">
        <v>3477</v>
      </c>
      <c r="J635" s="385" t="s">
        <v>3513</v>
      </c>
      <c r="K635" s="385" t="str">
        <f>VLOOKUP(Table13[[#This Row],[CD_FUNCAO]],'BASE_FUNCOES (hide)'!A:X,2,FALSE)</f>
        <v>OPS - Controle de Eventos e Ocorrências Financeiras</v>
      </c>
    </row>
    <row r="636" spans="1:11">
      <c r="A636" s="385">
        <v>1284</v>
      </c>
      <c r="B636" s="385" t="s">
        <v>3768</v>
      </c>
      <c r="C636" s="385" t="s">
        <v>3767</v>
      </c>
      <c r="D636" s="385" t="s">
        <v>3766</v>
      </c>
      <c r="E636" s="385">
        <v>695</v>
      </c>
      <c r="F636" s="385" t="s">
        <v>3759</v>
      </c>
      <c r="G636" s="385" t="s">
        <v>3758</v>
      </c>
      <c r="H636" s="385" t="s">
        <v>3757</v>
      </c>
      <c r="I636" s="385" t="s">
        <v>3477</v>
      </c>
      <c r="J636" s="385" t="s">
        <v>3513</v>
      </c>
      <c r="K636" s="385" t="str">
        <f>VLOOKUP(Table13[[#This Row],[CD_FUNCAO]],'BASE_FUNCOES (hide)'!A:X,2,FALSE)</f>
        <v>OPS - Gestão de Análise de Produção Médica</v>
      </c>
    </row>
    <row r="637" spans="1:11">
      <c r="A637" s="385">
        <v>1285</v>
      </c>
      <c r="B637" s="385" t="s">
        <v>4574</v>
      </c>
      <c r="C637" s="385" t="s">
        <v>4573</v>
      </c>
      <c r="D637" s="385" t="s">
        <v>4572</v>
      </c>
      <c r="E637" s="385">
        <v>377</v>
      </c>
      <c r="F637" s="385" t="s">
        <v>4538</v>
      </c>
      <c r="I637" s="385" t="s">
        <v>3477</v>
      </c>
      <c r="J637" s="385" t="s">
        <v>3513</v>
      </c>
      <c r="K637" s="385" t="str">
        <f>VLOOKUP(Table13[[#This Row],[CD_FUNCAO]],'BASE_FUNCOES (hide)'!A:X,2,FALSE)</f>
        <v>OPS - Controle de Produção Médica</v>
      </c>
    </row>
    <row r="638" spans="1:11">
      <c r="A638" s="385">
        <v>1286</v>
      </c>
      <c r="B638" s="385" t="s">
        <v>3693</v>
      </c>
      <c r="C638" s="385" t="s">
        <v>3692</v>
      </c>
      <c r="D638" s="385" t="s">
        <v>3691</v>
      </c>
      <c r="E638" s="385">
        <v>706</v>
      </c>
      <c r="F638" s="385" t="s">
        <v>3686</v>
      </c>
      <c r="I638" s="385" t="s">
        <v>3477</v>
      </c>
      <c r="J638" s="385" t="s">
        <v>3513</v>
      </c>
      <c r="K638" s="385" t="str">
        <f>VLOOKUP(Table13[[#This Row],[CD_FUNCAO]],'BASE_FUNCOES (hide)'!A:X,2,FALSE)</f>
        <v>OPS - Movimentação Cadastral de Beneficiários</v>
      </c>
    </row>
    <row r="639" spans="1:11">
      <c r="A639" s="385">
        <v>1287</v>
      </c>
      <c r="B639" s="385" t="s">
        <v>4635</v>
      </c>
      <c r="C639" s="385" t="s">
        <v>4634</v>
      </c>
      <c r="D639" s="385" t="s">
        <v>4633</v>
      </c>
      <c r="E639" s="385">
        <v>375</v>
      </c>
      <c r="F639" s="385" t="s">
        <v>4588</v>
      </c>
      <c r="I639" s="385" t="s">
        <v>3488</v>
      </c>
      <c r="J639" s="385" t="s">
        <v>3513</v>
      </c>
      <c r="K639" s="385" t="str">
        <f>VLOOKUP(Table13[[#This Row],[CD_FUNCAO]],'BASE_FUNCOES (hide)'!A:X,2,FALSE)</f>
        <v>OPS - Localizador de Serviços e Coberturas Adicionais</v>
      </c>
    </row>
    <row r="640" spans="1:11">
      <c r="A640" s="385">
        <v>1288</v>
      </c>
      <c r="B640" s="385" t="s">
        <v>4632</v>
      </c>
      <c r="C640" s="385" t="s">
        <v>4631</v>
      </c>
      <c r="D640" s="385" t="s">
        <v>4630</v>
      </c>
      <c r="E640" s="385">
        <v>375</v>
      </c>
      <c r="F640" s="385" t="s">
        <v>4588</v>
      </c>
      <c r="I640" s="385" t="s">
        <v>3488</v>
      </c>
      <c r="J640" s="385" t="s">
        <v>3513</v>
      </c>
      <c r="K640" s="385" t="str">
        <f>VLOOKUP(Table13[[#This Row],[CD_FUNCAO]],'BASE_FUNCOES (hide)'!A:X,2,FALSE)</f>
        <v>OPS - Manutenção de Carências</v>
      </c>
    </row>
    <row r="641" spans="1:11">
      <c r="A641" s="385">
        <v>1289</v>
      </c>
      <c r="B641" s="385" t="s">
        <v>4464</v>
      </c>
      <c r="C641" s="385" t="s">
        <v>4463</v>
      </c>
      <c r="D641" s="385" t="s">
        <v>4462</v>
      </c>
      <c r="E641" s="385">
        <v>381</v>
      </c>
      <c r="F641" s="385" t="s">
        <v>4377</v>
      </c>
      <c r="I641" s="385" t="s">
        <v>3506</v>
      </c>
      <c r="J641" s="385" t="s">
        <v>3513</v>
      </c>
      <c r="K641" s="385" t="e">
        <f>VLOOKUP(Table13[[#This Row],[CD_FUNCAO]],'BASE_FUNCOES (hide)'!A:X,2,FALSE)</f>
        <v>#N/A</v>
      </c>
    </row>
    <row r="642" spans="1:11">
      <c r="A642" s="385">
        <v>1291</v>
      </c>
      <c r="B642" s="385" t="s">
        <v>3844</v>
      </c>
      <c r="C642" s="385" t="s">
        <v>3843</v>
      </c>
      <c r="D642" s="385" t="s">
        <v>3842</v>
      </c>
      <c r="E642" s="385">
        <v>691</v>
      </c>
      <c r="F642" s="385" t="s">
        <v>3799</v>
      </c>
      <c r="I642" s="385" t="s">
        <v>3477</v>
      </c>
      <c r="J642" s="385" t="s">
        <v>3513</v>
      </c>
      <c r="K642" s="385" t="str">
        <f>VLOOKUP(Table13[[#This Row],[CD_FUNCAO]],'BASE_FUNCOES (hide)'!A:X,2,FALSE)</f>
        <v>OPS - Execução da Requisição para Autorização</v>
      </c>
    </row>
    <row r="643" spans="1:11">
      <c r="A643" s="385">
        <v>1292</v>
      </c>
      <c r="B643" s="385" t="s">
        <v>3690</v>
      </c>
      <c r="C643" s="385" t="s">
        <v>3690</v>
      </c>
      <c r="D643" s="385" t="s">
        <v>3690</v>
      </c>
      <c r="E643" s="385">
        <v>706</v>
      </c>
      <c r="F643" s="385" t="s">
        <v>3686</v>
      </c>
      <c r="I643" s="385" t="s">
        <v>3477</v>
      </c>
      <c r="J643" s="385" t="s">
        <v>3513</v>
      </c>
      <c r="K643" s="385" t="str">
        <f>VLOOKUP(Table13[[#This Row],[CD_FUNCAO]],'BASE_FUNCOES (hide)'!A:X,2,FALSE)</f>
        <v>OPS - Movimentação Cadastral de SCA</v>
      </c>
    </row>
    <row r="644" spans="1:11">
      <c r="A644" s="385">
        <v>1293</v>
      </c>
      <c r="B644" s="385" t="s">
        <v>3730</v>
      </c>
      <c r="C644" s="385" t="s">
        <v>3730</v>
      </c>
      <c r="D644" s="385" t="s">
        <v>3730</v>
      </c>
      <c r="E644" s="385">
        <v>835</v>
      </c>
      <c r="F644" s="385" t="s">
        <v>3714</v>
      </c>
      <c r="I644" s="385" t="s">
        <v>3477</v>
      </c>
      <c r="J644" s="385" t="s">
        <v>3513</v>
      </c>
      <c r="K644" s="385" t="str">
        <f>VLOOKUP(Table13[[#This Row],[CD_FUNCAO]],'BASE_FUNCOES (hide)'!A:X,2,FALSE)</f>
        <v>OPS - Contas de Intercâmbio</v>
      </c>
    </row>
    <row r="645" spans="1:11">
      <c r="A645" s="385">
        <v>1294</v>
      </c>
      <c r="B645" s="385" t="s">
        <v>4461</v>
      </c>
      <c r="C645" s="385" t="s">
        <v>4460</v>
      </c>
      <c r="D645" s="385" t="s">
        <v>4459</v>
      </c>
      <c r="E645" s="385">
        <v>381</v>
      </c>
      <c r="F645" s="385" t="s">
        <v>4377</v>
      </c>
      <c r="I645" s="385" t="s">
        <v>3506</v>
      </c>
      <c r="J645" s="385" t="s">
        <v>3513</v>
      </c>
      <c r="K645" s="385" t="e">
        <f>VLOOKUP(Table13[[#This Row],[CD_FUNCAO]],'BASE_FUNCOES (hide)'!A:X,2,FALSE)</f>
        <v>#N/A</v>
      </c>
    </row>
    <row r="646" spans="1:11">
      <c r="A646" s="385">
        <v>1295</v>
      </c>
      <c r="B646" s="385" t="s">
        <v>4473</v>
      </c>
      <c r="C646" s="385" t="s">
        <v>4472</v>
      </c>
      <c r="D646" s="385" t="s">
        <v>4471</v>
      </c>
      <c r="E646" s="385">
        <v>381</v>
      </c>
      <c r="F646" s="385" t="s">
        <v>4377</v>
      </c>
      <c r="I646" s="385" t="s">
        <v>3506</v>
      </c>
      <c r="J646" s="385" t="s">
        <v>3513</v>
      </c>
      <c r="K646" s="385" t="e">
        <f>VLOOKUP(Table13[[#This Row],[CD_FUNCAO]],'BASE_FUNCOES (hide)'!A:X,2,FALSE)</f>
        <v>#N/A</v>
      </c>
    </row>
    <row r="647" spans="1:11">
      <c r="A647" s="385">
        <v>1296</v>
      </c>
      <c r="B647" s="385" t="s">
        <v>4677</v>
      </c>
      <c r="C647" s="385" t="s">
        <v>4676</v>
      </c>
      <c r="D647" s="385" t="s">
        <v>4675</v>
      </c>
      <c r="E647" s="385">
        <v>374</v>
      </c>
      <c r="F647" s="385" t="s">
        <v>4648</v>
      </c>
      <c r="I647" s="385" t="s">
        <v>3477</v>
      </c>
      <c r="J647" s="385" t="s">
        <v>3513</v>
      </c>
      <c r="K647" s="385" t="str">
        <f>VLOOKUP(Table13[[#This Row],[CD_FUNCAO]],'BASE_FUNCOES (hide)'!A:X,2,FALSE)</f>
        <v>OPS - Agravo</v>
      </c>
    </row>
    <row r="648" spans="1:11">
      <c r="A648" s="385">
        <v>1297</v>
      </c>
      <c r="B648" s="385" t="s">
        <v>3729</v>
      </c>
      <c r="C648" s="385" t="s">
        <v>3728</v>
      </c>
      <c r="D648" s="385" t="s">
        <v>3727</v>
      </c>
      <c r="E648" s="385">
        <v>835</v>
      </c>
      <c r="F648" s="385" t="s">
        <v>3714</v>
      </c>
      <c r="I648" s="385" t="s">
        <v>3477</v>
      </c>
      <c r="J648" s="385" t="s">
        <v>3513</v>
      </c>
      <c r="K648" s="385" t="str">
        <f>VLOOKUP(Table13[[#This Row],[CD_FUNCAO]],'BASE_FUNCOES (hide)'!A:X,2,FALSE)</f>
        <v>OPS - Faturas para Câmara de Compensação (A600)</v>
      </c>
    </row>
    <row r="649" spans="1:11">
      <c r="A649" s="385">
        <v>1298</v>
      </c>
      <c r="B649" s="385" t="s">
        <v>3682</v>
      </c>
      <c r="C649" s="385" t="s">
        <v>3681</v>
      </c>
      <c r="D649" s="385" t="s">
        <v>3680</v>
      </c>
      <c r="E649" s="385">
        <v>708</v>
      </c>
      <c r="F649" s="385" t="s">
        <v>3670</v>
      </c>
      <c r="I649" s="385" t="s">
        <v>3477</v>
      </c>
      <c r="J649" s="385" t="s">
        <v>3513</v>
      </c>
      <c r="K649" s="385" t="str">
        <f>VLOOKUP(Table13[[#This Row],[CD_FUNCAO]],'BASE_FUNCOES (hide)'!A:X,2,FALSE)</f>
        <v>OPS - Regras e Critérios de Preço</v>
      </c>
    </row>
    <row r="650" spans="1:11">
      <c r="A650" s="385">
        <v>1299</v>
      </c>
      <c r="B650" s="385" t="s">
        <v>4392</v>
      </c>
      <c r="C650" s="385" t="s">
        <v>4391</v>
      </c>
      <c r="D650" s="385" t="s">
        <v>4390</v>
      </c>
      <c r="E650" s="385">
        <v>381</v>
      </c>
      <c r="F650" s="385" t="s">
        <v>4377</v>
      </c>
      <c r="I650" s="385" t="s">
        <v>3506</v>
      </c>
      <c r="J650" s="385" t="s">
        <v>3513</v>
      </c>
      <c r="K650" s="385" t="e">
        <f>VLOOKUP(Table13[[#This Row],[CD_FUNCAO]],'BASE_FUNCOES (hide)'!A:X,2,FALSE)</f>
        <v>#N/A</v>
      </c>
    </row>
    <row r="651" spans="1:11">
      <c r="A651" s="385">
        <v>1303</v>
      </c>
      <c r="B651" s="385" t="s">
        <v>4431</v>
      </c>
      <c r="C651" s="385" t="s">
        <v>4432</v>
      </c>
      <c r="D651" s="385" t="s">
        <v>4431</v>
      </c>
      <c r="E651" s="385">
        <v>381</v>
      </c>
      <c r="F651" s="385" t="s">
        <v>4377</v>
      </c>
      <c r="I651" s="385" t="s">
        <v>3506</v>
      </c>
      <c r="J651" s="385" t="s">
        <v>3513</v>
      </c>
      <c r="K651" s="385" t="e">
        <f>VLOOKUP(Table13[[#This Row],[CD_FUNCAO]],'BASE_FUNCOES (hide)'!A:X,2,FALSE)</f>
        <v>#N/A</v>
      </c>
    </row>
    <row r="652" spans="1:11">
      <c r="A652" s="385">
        <v>1304</v>
      </c>
      <c r="B652" s="385" t="s">
        <v>4395</v>
      </c>
      <c r="C652" s="385" t="s">
        <v>4394</v>
      </c>
      <c r="D652" s="385" t="s">
        <v>4393</v>
      </c>
      <c r="E652" s="385">
        <v>381</v>
      </c>
      <c r="F652" s="385" t="s">
        <v>4377</v>
      </c>
      <c r="I652" s="385" t="s">
        <v>3506</v>
      </c>
      <c r="J652" s="385" t="s">
        <v>3513</v>
      </c>
      <c r="K652" s="385" t="e">
        <f>VLOOKUP(Table13[[#This Row],[CD_FUNCAO]],'BASE_FUNCOES (hide)'!A:X,2,FALSE)</f>
        <v>#N/A</v>
      </c>
    </row>
    <row r="653" spans="1:11">
      <c r="A653" s="385">
        <v>1305</v>
      </c>
      <c r="B653" s="385" t="s">
        <v>3689</v>
      </c>
      <c r="C653" s="385" t="s">
        <v>3688</v>
      </c>
      <c r="D653" s="385" t="s">
        <v>3687</v>
      </c>
      <c r="E653" s="385">
        <v>706</v>
      </c>
      <c r="F653" s="385" t="s">
        <v>3686</v>
      </c>
      <c r="I653" s="385" t="s">
        <v>3477</v>
      </c>
      <c r="J653" s="385" t="s">
        <v>3513</v>
      </c>
      <c r="K653" s="385" t="str">
        <f>VLOOKUP(Table13[[#This Row],[CD_FUNCAO]],'BASE_FUNCOES (hide)'!A:X,2,FALSE)</f>
        <v>OPS - Operadoras Congêneres</v>
      </c>
    </row>
    <row r="654" spans="1:11">
      <c r="A654" s="385">
        <v>1306</v>
      </c>
      <c r="B654" s="385" t="s">
        <v>3673</v>
      </c>
      <c r="C654" s="385" t="s">
        <v>3672</v>
      </c>
      <c r="D654" s="385" t="s">
        <v>3671</v>
      </c>
      <c r="E654" s="385">
        <v>708</v>
      </c>
      <c r="F654" s="385" t="s">
        <v>3670</v>
      </c>
      <c r="I654" s="385" t="s">
        <v>3477</v>
      </c>
      <c r="J654" s="385" t="s">
        <v>3513</v>
      </c>
      <c r="K654" s="385" t="str">
        <f>VLOOKUP(Table13[[#This Row],[CD_FUNCAO]],'BASE_FUNCOES (hide)'!A:X,2,FALSE)</f>
        <v>OPS - Glosas e Ocorrências</v>
      </c>
    </row>
    <row r="655" spans="1:11">
      <c r="A655" s="385">
        <v>1307</v>
      </c>
      <c r="B655" s="385" t="s">
        <v>4683</v>
      </c>
      <c r="C655" s="385" t="s">
        <v>4682</v>
      </c>
      <c r="D655" s="385" t="s">
        <v>4681</v>
      </c>
      <c r="E655" s="385">
        <v>374</v>
      </c>
      <c r="F655" s="385" t="s">
        <v>4648</v>
      </c>
      <c r="I655" s="385" t="s">
        <v>3477</v>
      </c>
      <c r="J655" s="385" t="s">
        <v>3513</v>
      </c>
      <c r="K655" s="385" t="str">
        <f>VLOOKUP(Table13[[#This Row],[CD_FUNCAO]],'BASE_FUNCOES (hide)'!A:X,2,FALSE)</f>
        <v>OPS - Doenças e Lesões Preexistentes (DLP)</v>
      </c>
    </row>
    <row r="656" spans="1:11">
      <c r="A656" s="385">
        <v>1308</v>
      </c>
      <c r="B656" s="385" t="s">
        <v>4550</v>
      </c>
      <c r="C656" s="385" t="s">
        <v>4549</v>
      </c>
      <c r="D656" s="385" t="s">
        <v>4548</v>
      </c>
      <c r="E656" s="385">
        <v>377</v>
      </c>
      <c r="F656" s="385" t="s">
        <v>4538</v>
      </c>
      <c r="I656" s="385" t="s">
        <v>3477</v>
      </c>
      <c r="J656" s="385" t="s">
        <v>3513</v>
      </c>
      <c r="K656" s="385" t="str">
        <f>VLOOKUP(Table13[[#This Row],[CD_FUNCAO]],'BASE_FUNCOES (hide)'!A:X,2,FALSE)</f>
        <v>OPS - Produção - Digitação de Consultas</v>
      </c>
    </row>
    <row r="657" spans="1:11">
      <c r="A657" s="385">
        <v>1309</v>
      </c>
      <c r="B657" s="385" t="s">
        <v>4547</v>
      </c>
      <c r="C657" s="385" t="s">
        <v>4546</v>
      </c>
      <c r="D657" s="385" t="s">
        <v>4545</v>
      </c>
      <c r="E657" s="385">
        <v>377</v>
      </c>
      <c r="F657" s="385" t="s">
        <v>4538</v>
      </c>
      <c r="I657" s="385" t="s">
        <v>3477</v>
      </c>
      <c r="J657" s="385" t="s">
        <v>3513</v>
      </c>
      <c r="K657" s="385" t="str">
        <f>VLOOKUP(Table13[[#This Row],[CD_FUNCAO]],'BASE_FUNCOES (hide)'!A:X,2,FALSE)</f>
        <v>OPS - Produção - Digitação de SP/SADT</v>
      </c>
    </row>
    <row r="658" spans="1:11">
      <c r="A658" s="385">
        <v>1310</v>
      </c>
      <c r="B658" s="385" t="s">
        <v>4544</v>
      </c>
      <c r="C658" s="385" t="s">
        <v>4543</v>
      </c>
      <c r="D658" s="385" t="s">
        <v>4542</v>
      </c>
      <c r="E658" s="385">
        <v>377</v>
      </c>
      <c r="F658" s="385" t="s">
        <v>4538</v>
      </c>
      <c r="I658" s="385" t="s">
        <v>3477</v>
      </c>
      <c r="J658" s="385" t="s">
        <v>3513</v>
      </c>
      <c r="K658" s="385" t="str">
        <f>VLOOKUP(Table13[[#This Row],[CD_FUNCAO]],'BASE_FUNCOES (hide)'!A:X,2,FALSE)</f>
        <v>OPS - Produção - Digitação de Internações</v>
      </c>
    </row>
    <row r="659" spans="1:11">
      <c r="A659" s="385">
        <v>1311</v>
      </c>
      <c r="B659" s="385" t="s">
        <v>3718</v>
      </c>
      <c r="C659" s="385" t="s">
        <v>3718</v>
      </c>
      <c r="D659" s="385" t="s">
        <v>3718</v>
      </c>
      <c r="E659" s="385">
        <v>835</v>
      </c>
      <c r="F659" s="385" t="s">
        <v>3714</v>
      </c>
      <c r="I659" s="385" t="s">
        <v>3477</v>
      </c>
      <c r="J659" s="385" t="s">
        <v>3513</v>
      </c>
      <c r="K659" s="385" t="str">
        <f>VLOOKUP(Table13[[#This Row],[CD_FUNCAO]],'BASE_FUNCOES (hide)'!A:X,2,FALSE)</f>
        <v>OPS - Movimentação de Serviços Prestados em Pré-Pagamento</v>
      </c>
    </row>
    <row r="660" spans="1:11">
      <c r="A660" s="385">
        <v>1312</v>
      </c>
      <c r="B660" s="385" t="s">
        <v>3717</v>
      </c>
      <c r="C660" s="385" t="s">
        <v>3716</v>
      </c>
      <c r="D660" s="385" t="s">
        <v>3715</v>
      </c>
      <c r="E660" s="385">
        <v>835</v>
      </c>
      <c r="F660" s="385" t="s">
        <v>3714</v>
      </c>
      <c r="I660" s="385" t="s">
        <v>3477</v>
      </c>
      <c r="J660" s="385" t="s">
        <v>3513</v>
      </c>
      <c r="K660" s="385" t="str">
        <f>VLOOKUP(Table13[[#This Row],[CD_FUNCAO]],'BASE_FUNCOES (hide)'!A:X,2,FALSE)</f>
        <v>OPS - Faturamento Intercâmbio de Pré-Pagamento</v>
      </c>
    </row>
    <row r="661" spans="1:11">
      <c r="A661" s="385">
        <v>1313</v>
      </c>
      <c r="B661" s="385" t="s">
        <v>4136</v>
      </c>
      <c r="C661" s="385" t="s">
        <v>4135</v>
      </c>
      <c r="D661" s="385" t="s">
        <v>4134</v>
      </c>
      <c r="E661" s="385">
        <v>11</v>
      </c>
      <c r="F661" s="385" t="s">
        <v>6</v>
      </c>
      <c r="I661" s="385" t="s">
        <v>3477</v>
      </c>
      <c r="J661" s="385" t="s">
        <v>3513</v>
      </c>
      <c r="K661" s="385" t="str">
        <f>VLOOKUP(Table13[[#This Row],[CD_FUNCAO]],'BASE_FUNCOES (hide)'!A:X,2,FALSE)</f>
        <v>OPS - Critérios Contábeis</v>
      </c>
    </row>
    <row r="662" spans="1:11">
      <c r="A662" s="385">
        <v>1314</v>
      </c>
      <c r="B662" s="385" t="s">
        <v>4587</v>
      </c>
      <c r="C662" s="385" t="s">
        <v>4586</v>
      </c>
      <c r="D662" s="385" t="s">
        <v>4585</v>
      </c>
      <c r="E662" s="385">
        <v>377</v>
      </c>
      <c r="F662" s="385" t="s">
        <v>4538</v>
      </c>
      <c r="I662" s="385" t="s">
        <v>3477</v>
      </c>
      <c r="J662" s="385" t="s">
        <v>3513</v>
      </c>
      <c r="K662" s="385" t="str">
        <f>VLOOKUP(Table13[[#This Row],[CD_FUNCAO]],'BASE_FUNCOES (hide)'!A:X,2,FALSE)</f>
        <v>OPS - Produção - Ajuste de Valorização</v>
      </c>
    </row>
    <row r="663" spans="1:11">
      <c r="A663" s="385">
        <v>1315</v>
      </c>
      <c r="B663" s="385" t="s">
        <v>4699</v>
      </c>
      <c r="C663" s="385" t="s">
        <v>4698</v>
      </c>
      <c r="D663" s="385" t="s">
        <v>4697</v>
      </c>
      <c r="E663" s="385">
        <v>372</v>
      </c>
      <c r="F663" s="385" t="s">
        <v>4684</v>
      </c>
      <c r="I663" s="385" t="s">
        <v>3488</v>
      </c>
      <c r="J663" s="385" t="s">
        <v>3513</v>
      </c>
      <c r="K663" s="385" t="str">
        <f>VLOOKUP(Table13[[#This Row],[CD_FUNCAO]],'BASE_FUNCOES (hide)'!A:X,2,FALSE)</f>
        <v>OPS - Manutenção de Tabelas de Preço</v>
      </c>
    </row>
    <row r="664" spans="1:11">
      <c r="A664" s="385">
        <v>1316</v>
      </c>
      <c r="B664" s="385" t="s">
        <v>3792</v>
      </c>
      <c r="C664" s="385" t="s">
        <v>3791</v>
      </c>
      <c r="D664" s="385" t="s">
        <v>3790</v>
      </c>
      <c r="E664" s="385">
        <v>692</v>
      </c>
      <c r="F664" s="385" t="s">
        <v>3780</v>
      </c>
      <c r="I664" s="385" t="s">
        <v>3477</v>
      </c>
      <c r="J664" s="385" t="s">
        <v>3513</v>
      </c>
      <c r="K664" s="385" t="str">
        <f>VLOOKUP(Table13[[#This Row],[CD_FUNCAO]],'BASE_FUNCOES (hide)'!A:X,2,FALSE)</f>
        <v>OPS - Software de Comunicação Segura (SCS)</v>
      </c>
    </row>
    <row r="665" spans="1:11">
      <c r="A665" s="385">
        <v>1317</v>
      </c>
      <c r="B665" s="385" t="s">
        <v>4584</v>
      </c>
      <c r="C665" s="385" t="s">
        <v>3758</v>
      </c>
      <c r="D665" s="385" t="s">
        <v>3757</v>
      </c>
      <c r="E665" s="385">
        <v>377</v>
      </c>
      <c r="F665" s="385" t="s">
        <v>4538</v>
      </c>
      <c r="I665" s="385" t="s">
        <v>3488</v>
      </c>
      <c r="J665" s="385" t="s">
        <v>3513</v>
      </c>
      <c r="K665" s="385" t="str">
        <f>VLOOKUP(Table13[[#This Row],[CD_FUNCAO]],'BASE_FUNCOES (hide)'!A:X,2,FALSE)</f>
        <v>OPS - Análise de Contas Médicas</v>
      </c>
    </row>
    <row r="666" spans="1:11">
      <c r="A666" s="385">
        <v>1318</v>
      </c>
      <c r="B666" s="385" t="s">
        <v>3699</v>
      </c>
      <c r="C666" s="385" t="s">
        <v>3698</v>
      </c>
      <c r="D666" s="385" t="s">
        <v>3697</v>
      </c>
      <c r="E666" s="385">
        <v>706</v>
      </c>
      <c r="F666" s="385" t="s">
        <v>3686</v>
      </c>
      <c r="I666" s="385" t="s">
        <v>3477</v>
      </c>
      <c r="J666" s="385" t="s">
        <v>3513</v>
      </c>
      <c r="K666" s="385" t="str">
        <f>VLOOKUP(Table13[[#This Row],[CD_FUNCAO]],'BASE_FUNCOES (hide)'!A:X,2,FALSE)</f>
        <v>OPS - Consulta Dados Beneficiário Intercâmbio</v>
      </c>
    </row>
    <row r="667" spans="1:11">
      <c r="A667" s="385">
        <v>1319</v>
      </c>
      <c r="B667" s="385" t="s">
        <v>3736</v>
      </c>
      <c r="C667" s="385" t="s">
        <v>3735</v>
      </c>
      <c r="D667" s="385" t="s">
        <v>3734</v>
      </c>
      <c r="E667" s="385">
        <v>835</v>
      </c>
      <c r="F667" s="385" t="s">
        <v>3714</v>
      </c>
      <c r="I667" s="385" t="s">
        <v>3477</v>
      </c>
      <c r="J667" s="385" t="s">
        <v>3513</v>
      </c>
      <c r="K667" s="385" t="str">
        <f>VLOOKUP(Table13[[#This Row],[CD_FUNCAO]],'BASE_FUNCOES (hide)'!A:X,2,FALSE)</f>
        <v>OPS - Consulta Dados Prestador Intercâmbio</v>
      </c>
    </row>
    <row r="668" spans="1:11">
      <c r="A668" s="385">
        <v>1320</v>
      </c>
      <c r="B668" s="385" t="s">
        <v>4639</v>
      </c>
      <c r="C668" s="385" t="s">
        <v>4638</v>
      </c>
      <c r="D668" s="385" t="s">
        <v>4637</v>
      </c>
      <c r="E668" s="385">
        <v>375</v>
      </c>
      <c r="F668" s="385" t="s">
        <v>4588</v>
      </c>
      <c r="I668" s="385" t="s">
        <v>3488</v>
      </c>
      <c r="J668" s="385" t="s">
        <v>3513</v>
      </c>
      <c r="K668" s="385" t="str">
        <f>VLOOKUP(Table13[[#This Row],[CD_FUNCAO]],'BASE_FUNCOES (hide)'!A:X,2,FALSE)</f>
        <v>OPS - Manutenção de Bonificações</v>
      </c>
    </row>
    <row r="669" spans="1:11">
      <c r="A669" s="385">
        <v>1321</v>
      </c>
      <c r="B669" s="385" t="s">
        <v>3891</v>
      </c>
      <c r="C669" s="385" t="s">
        <v>3890</v>
      </c>
      <c r="D669" s="385" t="s">
        <v>3889</v>
      </c>
      <c r="E669" s="385">
        <v>690</v>
      </c>
      <c r="F669" s="385" t="s">
        <v>3854</v>
      </c>
      <c r="I669" s="385" t="s">
        <v>3477</v>
      </c>
      <c r="J669" s="385" t="s">
        <v>3513</v>
      </c>
      <c r="K669" s="385" t="str">
        <f>VLOOKUP(Table13[[#This Row],[CD_FUNCAO]],'BASE_FUNCOES (hide)'!A:X,2,FALSE)</f>
        <v>OPS - Gestão de Pacotes</v>
      </c>
    </row>
    <row r="670" spans="1:11">
      <c r="A670" s="385">
        <v>1322</v>
      </c>
      <c r="B670" s="385" t="s">
        <v>4577</v>
      </c>
      <c r="C670" s="385" t="s">
        <v>4576</v>
      </c>
      <c r="D670" s="385" t="s">
        <v>4575</v>
      </c>
      <c r="E670" s="385">
        <v>377</v>
      </c>
      <c r="F670" s="385" t="s">
        <v>4538</v>
      </c>
      <c r="I670" s="385" t="s">
        <v>3477</v>
      </c>
      <c r="J670" s="385" t="s">
        <v>3513</v>
      </c>
      <c r="K670" s="385" t="str">
        <f>VLOOKUP(Table13[[#This Row],[CD_FUNCAO]],'BASE_FUNCOES (hide)'!A:X,2,FALSE)</f>
        <v>OPS - Registro de Devolução de Guias de Cobrança</v>
      </c>
    </row>
    <row r="671" spans="1:11">
      <c r="A671" s="385">
        <v>1323</v>
      </c>
      <c r="B671" s="385" t="s">
        <v>3863</v>
      </c>
      <c r="C671" s="385" t="s">
        <v>3862</v>
      </c>
      <c r="D671" s="385" t="s">
        <v>3861</v>
      </c>
      <c r="E671" s="385">
        <v>690</v>
      </c>
      <c r="F671" s="385" t="s">
        <v>3854</v>
      </c>
      <c r="I671" s="385" t="s">
        <v>3477</v>
      </c>
      <c r="J671" s="385" t="s">
        <v>3513</v>
      </c>
      <c r="K671" s="385" t="str">
        <f>VLOOKUP(Table13[[#This Row],[CD_FUNCAO]],'BASE_FUNCOES (hide)'!A:X,2,FALSE)</f>
        <v>OPS - Movimentação Cadastral de Prestador (A400)</v>
      </c>
    </row>
    <row r="672" spans="1:11">
      <c r="A672" s="385">
        <v>1324</v>
      </c>
      <c r="B672" s="385" t="s">
        <v>4000</v>
      </c>
      <c r="C672" s="385" t="s">
        <v>3999</v>
      </c>
      <c r="D672" s="385" t="s">
        <v>3998</v>
      </c>
      <c r="E672" s="385">
        <v>28</v>
      </c>
      <c r="F672" s="385" t="s">
        <v>9</v>
      </c>
      <c r="G672" s="385" t="s">
        <v>3989</v>
      </c>
      <c r="H672" s="385" t="s">
        <v>955</v>
      </c>
      <c r="I672" s="385" t="s">
        <v>3510</v>
      </c>
      <c r="J672" s="385" t="s">
        <v>3513</v>
      </c>
      <c r="K672" s="385" t="e">
        <f>VLOOKUP(Table13[[#This Row],[CD_FUNCAO]],'BASE_FUNCOES (hide)'!A:X,2,FALSE)</f>
        <v>#N/A</v>
      </c>
    </row>
    <row r="673" spans="1:11">
      <c r="A673" s="385">
        <v>1325</v>
      </c>
      <c r="B673" s="385" t="s">
        <v>4458</v>
      </c>
      <c r="C673" s="385" t="s">
        <v>4457</v>
      </c>
      <c r="D673" s="385" t="s">
        <v>4456</v>
      </c>
      <c r="E673" s="385">
        <v>381</v>
      </c>
      <c r="F673" s="385" t="s">
        <v>4377</v>
      </c>
      <c r="I673" s="385" t="s">
        <v>3506</v>
      </c>
      <c r="J673" s="385" t="s">
        <v>3513</v>
      </c>
      <c r="K673" s="385" t="e">
        <f>VLOOKUP(Table13[[#This Row],[CD_FUNCAO]],'BASE_FUNCOES (hide)'!A:X,2,FALSE)</f>
        <v>#N/A</v>
      </c>
    </row>
    <row r="674" spans="1:11">
      <c r="A674" s="385">
        <v>1326</v>
      </c>
      <c r="B674" s="385" t="s">
        <v>3765</v>
      </c>
      <c r="C674" s="385" t="s">
        <v>3764</v>
      </c>
      <c r="D674" s="385" t="s">
        <v>3763</v>
      </c>
      <c r="E674" s="385">
        <v>695</v>
      </c>
      <c r="F674" s="385" t="s">
        <v>3759</v>
      </c>
      <c r="G674" s="385" t="s">
        <v>3758</v>
      </c>
      <c r="H674" s="385" t="s">
        <v>3757</v>
      </c>
      <c r="I674" s="385" t="s">
        <v>3477</v>
      </c>
      <c r="J674" s="385" t="s">
        <v>3513</v>
      </c>
      <c r="K674" s="385" t="str">
        <f>VLOOKUP(Table13[[#This Row],[CD_FUNCAO]],'BASE_FUNCOES (hide)'!A:X,2,FALSE)</f>
        <v>OPS - Controle dos Grupos de Análise</v>
      </c>
    </row>
    <row r="675" spans="1:11">
      <c r="A675" s="385">
        <v>1327</v>
      </c>
      <c r="B675" s="385" t="s">
        <v>3798</v>
      </c>
      <c r="C675" s="385" t="s">
        <v>3797</v>
      </c>
      <c r="D675" s="385" t="s">
        <v>3796</v>
      </c>
      <c r="E675" s="385">
        <v>692</v>
      </c>
      <c r="F675" s="385" t="s">
        <v>3780</v>
      </c>
      <c r="I675" s="385" t="s">
        <v>3477</v>
      </c>
      <c r="J675" s="385" t="s">
        <v>3513</v>
      </c>
      <c r="K675" s="385" t="str">
        <f>VLOOKUP(Table13[[#This Row],[CD_FUNCAO]],'BASE_FUNCOES (hide)'!A:X,2,FALSE)</f>
        <v>OPS - Serviço SCS</v>
      </c>
    </row>
    <row r="676" spans="1:11">
      <c r="A676" s="385">
        <v>1328</v>
      </c>
      <c r="B676" s="385" t="s">
        <v>3516</v>
      </c>
      <c r="C676" s="385" t="s">
        <v>3515</v>
      </c>
      <c r="D676" s="385" t="s">
        <v>3514</v>
      </c>
      <c r="E676" s="385">
        <v>685</v>
      </c>
      <c r="F676" s="385" t="s">
        <v>442</v>
      </c>
      <c r="I676" s="385" t="s">
        <v>3477</v>
      </c>
      <c r="J676" s="385" t="s">
        <v>3513</v>
      </c>
      <c r="K676" s="385" t="str">
        <f>VLOOKUP(Table13[[#This Row],[CD_FUNCAO]],'BASE_FUNCOES (hide)'!A:X,2,FALSE)</f>
        <v>OPS - Geração do SEFIP e E-Social</v>
      </c>
    </row>
    <row r="677" spans="1:11">
      <c r="A677" s="385">
        <v>1329</v>
      </c>
      <c r="B677" s="385" t="s">
        <v>4386</v>
      </c>
      <c r="C677" s="385" t="s">
        <v>4385</v>
      </c>
      <c r="D677" s="385" t="s">
        <v>4384</v>
      </c>
      <c r="E677" s="385">
        <v>381</v>
      </c>
      <c r="F677" s="385" t="s">
        <v>4377</v>
      </c>
      <c r="I677" s="385" t="s">
        <v>3506</v>
      </c>
      <c r="J677" s="385" t="s">
        <v>3513</v>
      </c>
      <c r="K677" s="385" t="e">
        <f>VLOOKUP(Table13[[#This Row],[CD_FUNCAO]],'BASE_FUNCOES (hide)'!A:X,2,FALSE)</f>
        <v>#N/A</v>
      </c>
    </row>
    <row r="678" spans="1:11">
      <c r="A678" s="385">
        <v>1330</v>
      </c>
      <c r="B678" s="385" t="s">
        <v>3808</v>
      </c>
      <c r="C678" s="385" t="s">
        <v>3807</v>
      </c>
      <c r="D678" s="385" t="s">
        <v>3806</v>
      </c>
      <c r="E678" s="385">
        <v>691</v>
      </c>
      <c r="F678" s="385" t="s">
        <v>3799</v>
      </c>
      <c r="I678" s="385" t="s">
        <v>3477</v>
      </c>
      <c r="J678" s="385" t="s">
        <v>3513</v>
      </c>
      <c r="K678" s="385" t="str">
        <f>VLOOKUP(Table13[[#This Row],[CD_FUNCAO]],'BASE_FUNCOES (hide)'!A:X,2,FALSE)</f>
        <v>OPS - Comunicação Externa Web</v>
      </c>
    </row>
    <row r="679" spans="1:11">
      <c r="A679" s="385">
        <v>1331</v>
      </c>
      <c r="B679" s="385" t="s">
        <v>4389</v>
      </c>
      <c r="C679" s="385" t="s">
        <v>4388</v>
      </c>
      <c r="D679" s="385" t="s">
        <v>4387</v>
      </c>
      <c r="E679" s="385">
        <v>381</v>
      </c>
      <c r="F679" s="385" t="s">
        <v>4377</v>
      </c>
      <c r="I679" s="385" t="s">
        <v>3506</v>
      </c>
      <c r="J679" s="385" t="s">
        <v>3513</v>
      </c>
      <c r="K679" s="385" t="e">
        <f>VLOOKUP(Table13[[#This Row],[CD_FUNCAO]],'BASE_FUNCOES (hide)'!A:X,2,FALSE)</f>
        <v>#N/A</v>
      </c>
    </row>
    <row r="680" spans="1:11">
      <c r="A680" s="385">
        <v>1332</v>
      </c>
      <c r="B680" s="385" t="s">
        <v>4383</v>
      </c>
      <c r="C680" s="385" t="s">
        <v>4382</v>
      </c>
      <c r="D680" s="385" t="s">
        <v>4381</v>
      </c>
      <c r="E680" s="385">
        <v>381</v>
      </c>
      <c r="F680" s="385" t="s">
        <v>4377</v>
      </c>
      <c r="I680" s="385" t="s">
        <v>3506</v>
      </c>
      <c r="J680" s="385" t="s">
        <v>3513</v>
      </c>
      <c r="K680" s="385" t="e">
        <f>VLOOKUP(Table13[[#This Row],[CD_FUNCAO]],'BASE_FUNCOES (hide)'!A:X,2,FALSE)</f>
        <v>#N/A</v>
      </c>
    </row>
    <row r="681" spans="1:11">
      <c r="A681" s="385">
        <v>1333</v>
      </c>
      <c r="B681" s="385" t="s">
        <v>3805</v>
      </c>
      <c r="C681" s="385" t="s">
        <v>3804</v>
      </c>
      <c r="D681" s="385" t="s">
        <v>3803</v>
      </c>
      <c r="E681" s="385">
        <v>691</v>
      </c>
      <c r="F681" s="385" t="s">
        <v>3799</v>
      </c>
      <c r="I681" s="385" t="s">
        <v>3477</v>
      </c>
      <c r="J681" s="385" t="s">
        <v>3513</v>
      </c>
      <c r="K681" s="385" t="str">
        <f>VLOOKUP(Table13[[#This Row],[CD_FUNCAO]],'BASE_FUNCOES (hide)'!A:X,2,FALSE)</f>
        <v>OPS - Beneficiário em Tratamento</v>
      </c>
    </row>
    <row r="682" spans="1:11">
      <c r="A682" s="385">
        <v>1334</v>
      </c>
      <c r="B682" s="385" t="s">
        <v>3733</v>
      </c>
      <c r="C682" s="385" t="s">
        <v>3732</v>
      </c>
      <c r="D682" s="385" t="s">
        <v>3731</v>
      </c>
      <c r="E682" s="385">
        <v>835</v>
      </c>
      <c r="F682" s="385" t="s">
        <v>3714</v>
      </c>
      <c r="I682" s="385" t="s">
        <v>3477</v>
      </c>
      <c r="J682" s="385" t="s">
        <v>3513</v>
      </c>
      <c r="K682" s="385" t="str">
        <f>VLOOKUP(Table13[[#This Row],[CD_FUNCAO]],'BASE_FUNCOES (hide)'!A:X,2,FALSE)</f>
        <v>OPS - Controle de Contestações</v>
      </c>
    </row>
    <row r="683" spans="1:11">
      <c r="A683" s="385">
        <v>1335</v>
      </c>
      <c r="B683" s="385" t="s">
        <v>4380</v>
      </c>
      <c r="C683" s="385" t="s">
        <v>4379</v>
      </c>
      <c r="D683" s="385" t="s">
        <v>4378</v>
      </c>
      <c r="E683" s="385">
        <v>381</v>
      </c>
      <c r="F683" s="385" t="s">
        <v>4377</v>
      </c>
      <c r="I683" s="385" t="s">
        <v>3506</v>
      </c>
      <c r="J683" s="385" t="s">
        <v>3513</v>
      </c>
      <c r="K683" s="385" t="e">
        <f>VLOOKUP(Table13[[#This Row],[CD_FUNCAO]],'BASE_FUNCOES (hide)'!A:X,2,FALSE)</f>
        <v>#N/A</v>
      </c>
    </row>
    <row r="684" spans="1:11">
      <c r="A684" s="385">
        <v>1336</v>
      </c>
      <c r="B684" s="385" t="s">
        <v>3860</v>
      </c>
      <c r="C684" s="385" t="s">
        <v>3859</v>
      </c>
      <c r="D684" s="385" t="s">
        <v>3858</v>
      </c>
      <c r="E684" s="385">
        <v>690</v>
      </c>
      <c r="F684" s="385" t="s">
        <v>3854</v>
      </c>
      <c r="I684" s="385" t="s">
        <v>3488</v>
      </c>
      <c r="J684" s="385" t="s">
        <v>3513</v>
      </c>
      <c r="K684" s="385" t="str">
        <f>VLOOKUP(Table13[[#This Row],[CD_FUNCAO]],'BASE_FUNCOES (hide)'!A:X,2,FALSE)</f>
        <v>OPS - Localizador de Grupos de Serviços</v>
      </c>
    </row>
    <row r="685" spans="1:11">
      <c r="A685" s="385">
        <v>1337</v>
      </c>
      <c r="B685" s="385" t="s">
        <v>3853</v>
      </c>
      <c r="C685" s="385" t="s">
        <v>3852</v>
      </c>
      <c r="D685" s="385" t="s">
        <v>3851</v>
      </c>
      <c r="E685" s="385">
        <v>691</v>
      </c>
      <c r="F685" s="385" t="s">
        <v>3799</v>
      </c>
      <c r="I685" s="385" t="s">
        <v>3477</v>
      </c>
      <c r="J685" s="385" t="s">
        <v>3513</v>
      </c>
      <c r="K685" s="385" t="str">
        <f>VLOOKUP(Table13[[#This Row],[CD_FUNCAO]],'BASE_FUNCOES (hide)'!A:X,2,FALSE)</f>
        <v>OPS - Processo Judicial</v>
      </c>
    </row>
    <row r="686" spans="1:11">
      <c r="A686" s="385">
        <v>1338</v>
      </c>
      <c r="B686" s="385" t="s">
        <v>4636</v>
      </c>
      <c r="C686" s="385" t="s">
        <v>4636</v>
      </c>
      <c r="D686" s="385" t="s">
        <v>4636</v>
      </c>
      <c r="E686" s="385">
        <v>375</v>
      </c>
      <c r="F686" s="385" t="s">
        <v>4588</v>
      </c>
      <c r="I686" s="385" t="s">
        <v>3477</v>
      </c>
      <c r="J686" s="385" t="s">
        <v>3513</v>
      </c>
      <c r="K686" s="385" t="str">
        <f>VLOOKUP(Table13[[#This Row],[CD_FUNCAO]],'BASE_FUNCOES (hide)'!A:X,2,FALSE)</f>
        <v>OPS - RPC - Reajuste de Planos Coletivos</v>
      </c>
    </row>
    <row r="687" spans="1:11" hidden="1">
      <c r="A687" s="385">
        <v>87</v>
      </c>
      <c r="B687" s="385" t="s">
        <v>4376</v>
      </c>
      <c r="C687" s="385" t="s">
        <v>1181</v>
      </c>
      <c r="D687" s="385" t="s">
        <v>1182</v>
      </c>
      <c r="E687" s="385">
        <v>182</v>
      </c>
      <c r="F687" s="385" t="s">
        <v>4375</v>
      </c>
      <c r="I687" s="385" t="s">
        <v>3477</v>
      </c>
      <c r="J687" s="385" t="s">
        <v>3477</v>
      </c>
      <c r="K687" s="385" t="str">
        <f>VLOOKUP(Table13[[#This Row],[CD_FUNCAO]],'BASE_FUNCOES (hide)'!A:X,2,FALSE)</f>
        <v>Comunicação interna</v>
      </c>
    </row>
    <row r="688" spans="1:11" hidden="1">
      <c r="A688" s="385">
        <v>5001</v>
      </c>
      <c r="B688" s="385" t="s">
        <v>321</v>
      </c>
      <c r="C688" s="385" t="s">
        <v>321</v>
      </c>
      <c r="D688" s="385" t="s">
        <v>321</v>
      </c>
      <c r="E688" s="385">
        <v>182</v>
      </c>
      <c r="F688" s="385" t="s">
        <v>4375</v>
      </c>
      <c r="I688" s="385" t="s">
        <v>3477</v>
      </c>
      <c r="K688" s="385" t="str">
        <f>VLOOKUP(Table13[[#This Row],[CD_FUNCAO]],'BASE_FUNCOES (hide)'!A:X,2,FALSE)</f>
        <v>Chat</v>
      </c>
    </row>
    <row r="689" spans="1:11" hidden="1">
      <c r="A689" s="385">
        <v>791</v>
      </c>
      <c r="B689" s="385" t="s">
        <v>322</v>
      </c>
      <c r="C689" s="385" t="s">
        <v>4369</v>
      </c>
      <c r="D689" s="385" t="s">
        <v>322</v>
      </c>
      <c r="E689" s="385">
        <v>182</v>
      </c>
      <c r="F689" s="385" t="s">
        <v>4375</v>
      </c>
      <c r="I689" s="385" t="s">
        <v>3477</v>
      </c>
      <c r="J689" s="385" t="s">
        <v>3477</v>
      </c>
      <c r="K689" s="385" t="str">
        <f>VLOOKUP(Table13[[#This Row],[CD_FUNCAO]],'BASE_FUNCOES (hide)'!A:X,2,FALSE)</f>
        <v>Particular</v>
      </c>
    </row>
    <row r="690" spans="1:11" hidden="1">
      <c r="A690" s="385">
        <v>1124</v>
      </c>
      <c r="B690" s="385" t="s">
        <v>262</v>
      </c>
      <c r="C690" s="385" t="s">
        <v>262</v>
      </c>
      <c r="D690" s="385" t="s">
        <v>262</v>
      </c>
      <c r="E690" s="385">
        <v>82</v>
      </c>
      <c r="F690" s="385" t="s">
        <v>262</v>
      </c>
      <c r="I690" s="385" t="s">
        <v>3477</v>
      </c>
      <c r="J690" s="385" t="s">
        <v>3476</v>
      </c>
      <c r="K690" s="385" t="str">
        <f>VLOOKUP(Table13[[#This Row],[CD_FUNCAO]],'BASE_FUNCOES (hide)'!A:X,2,FALSE)</f>
        <v>SUS APAC</v>
      </c>
    </row>
    <row r="691" spans="1:11" hidden="1">
      <c r="A691" s="385">
        <v>995</v>
      </c>
      <c r="B691" s="385" t="s">
        <v>263</v>
      </c>
      <c r="C691" s="385" t="s">
        <v>1032</v>
      </c>
      <c r="D691" s="385" t="s">
        <v>1033</v>
      </c>
      <c r="E691" s="385">
        <v>82</v>
      </c>
      <c r="F691" s="385" t="s">
        <v>262</v>
      </c>
      <c r="I691" s="385" t="s">
        <v>3477</v>
      </c>
      <c r="J691" s="385" t="s">
        <v>3476</v>
      </c>
      <c r="K691" s="385" t="str">
        <f>VLOOKUP(Table13[[#This Row],[CD_FUNCAO]],'BASE_FUNCOES (hide)'!A:X,2,FALSE)</f>
        <v>Consulta CID Morfologia</v>
      </c>
    </row>
    <row r="692" spans="1:11" hidden="1">
      <c r="A692" s="385">
        <v>925</v>
      </c>
      <c r="B692" s="385" t="s">
        <v>133</v>
      </c>
      <c r="C692" s="385" t="s">
        <v>1034</v>
      </c>
      <c r="D692" s="385" t="s">
        <v>1035</v>
      </c>
      <c r="E692" s="385">
        <v>84</v>
      </c>
      <c r="F692" s="385" t="s">
        <v>133</v>
      </c>
      <c r="I692" s="385" t="s">
        <v>3477</v>
      </c>
      <c r="J692" s="385" t="s">
        <v>3477</v>
      </c>
      <c r="K692" s="385" t="str">
        <f>VLOOKUP(Table13[[#This Row],[CD_FUNCAO]],'BASE_FUNCOES (hide)'!A:X,2,FALSE)</f>
        <v>Orçamento Contábil</v>
      </c>
    </row>
    <row r="693" spans="1:11" hidden="1">
      <c r="A693" s="385">
        <v>937</v>
      </c>
      <c r="B693" s="385" t="s">
        <v>134</v>
      </c>
      <c r="C693" s="385" t="s">
        <v>1036</v>
      </c>
      <c r="D693" s="385" t="s">
        <v>1037</v>
      </c>
      <c r="E693" s="385">
        <v>85</v>
      </c>
      <c r="F693" s="385" t="s">
        <v>18</v>
      </c>
      <c r="I693" s="385" t="s">
        <v>3477</v>
      </c>
      <c r="J693" s="385" t="s">
        <v>3477</v>
      </c>
      <c r="K693" s="385" t="str">
        <f>VLOOKUP(Table13[[#This Row],[CD_FUNCAO]],'BASE_FUNCOES (hide)'!A:X,2,FALSE)</f>
        <v>Controle de Patrimônio</v>
      </c>
    </row>
    <row r="694" spans="1:11" hidden="1">
      <c r="A694" s="385">
        <v>9054</v>
      </c>
      <c r="B694" s="385" t="s">
        <v>1042</v>
      </c>
      <c r="C694" s="385" t="s">
        <v>1043</v>
      </c>
      <c r="D694" s="385" t="s">
        <v>1044</v>
      </c>
      <c r="E694" s="385">
        <v>86</v>
      </c>
      <c r="F694" s="385" t="s">
        <v>20</v>
      </c>
      <c r="I694" s="385" t="s">
        <v>3477</v>
      </c>
      <c r="J694" s="385" t="s">
        <v>3477</v>
      </c>
      <c r="K694" s="385" t="str">
        <f>VLOOKUP(Table13[[#This Row],[CD_FUNCAO]],'BASE_FUNCOES (hide)'!A:X,2,FALSE)</f>
        <v>Controle de Depósitos Identificados</v>
      </c>
    </row>
    <row r="695" spans="1:11" hidden="1">
      <c r="A695" s="385">
        <v>5515</v>
      </c>
      <c r="B695" s="385" t="s">
        <v>4374</v>
      </c>
      <c r="C695" s="385" t="s">
        <v>1038</v>
      </c>
      <c r="D695" s="385" t="s">
        <v>1040</v>
      </c>
      <c r="E695" s="385">
        <v>86</v>
      </c>
      <c r="F695" s="385" t="s">
        <v>20</v>
      </c>
      <c r="I695" s="385" t="s">
        <v>3477</v>
      </c>
      <c r="J695" s="385" t="s">
        <v>3477</v>
      </c>
      <c r="K695" s="385" t="str">
        <f>VLOOKUP(Table13[[#This Row],[CD_FUNCAO]],'BASE_FUNCOES (hide)'!A:X,2,FALSE)</f>
        <v>Controle de Créditos No Identificados</v>
      </c>
    </row>
    <row r="696" spans="1:11" hidden="1">
      <c r="A696" s="385">
        <v>814</v>
      </c>
      <c r="B696" s="385" t="s">
        <v>20</v>
      </c>
      <c r="C696" s="385" t="s">
        <v>1039</v>
      </c>
      <c r="D696" s="385" t="s">
        <v>1041</v>
      </c>
      <c r="E696" s="385">
        <v>86</v>
      </c>
      <c r="F696" s="385" t="s">
        <v>20</v>
      </c>
      <c r="I696" s="385" t="s">
        <v>3477</v>
      </c>
      <c r="J696" s="385" t="s">
        <v>3477</v>
      </c>
      <c r="K696" s="385" t="str">
        <f>VLOOKUP(Table13[[#This Row],[CD_FUNCAO]],'BASE_FUNCOES (hide)'!A:X,2,FALSE)</f>
        <v>Controle Bancário</v>
      </c>
    </row>
    <row r="697" spans="1:11" hidden="1">
      <c r="A697" s="385">
        <v>10000</v>
      </c>
      <c r="B697" s="385" t="s">
        <v>271</v>
      </c>
      <c r="C697" s="385" t="s">
        <v>1046</v>
      </c>
      <c r="D697" s="385" t="s">
        <v>1047</v>
      </c>
      <c r="E697" s="385">
        <v>87</v>
      </c>
      <c r="F697" s="385" t="s">
        <v>3475</v>
      </c>
      <c r="G697" s="385" t="s">
        <v>852</v>
      </c>
      <c r="H697" s="385" t="s">
        <v>1</v>
      </c>
      <c r="I697" s="385" t="s">
        <v>3477</v>
      </c>
      <c r="J697" s="385" t="s">
        <v>3476</v>
      </c>
      <c r="K697" s="385" t="str">
        <f>VLOOKUP(Table13[[#This Row],[CD_FUNCAO]],'BASE_FUNCOES (hide)'!A:X,2,FALSE)</f>
        <v>Gestão de Atendimento Futuro</v>
      </c>
    </row>
    <row r="698" spans="1:11" hidden="1">
      <c r="A698" s="385">
        <v>9091</v>
      </c>
      <c r="B698" s="385" t="s">
        <v>272</v>
      </c>
      <c r="C698" s="385" t="s">
        <v>1062</v>
      </c>
      <c r="D698" s="385" t="s">
        <v>1063</v>
      </c>
      <c r="E698" s="385">
        <v>87</v>
      </c>
      <c r="F698" s="385" t="s">
        <v>3475</v>
      </c>
      <c r="G698" s="385" t="s">
        <v>852</v>
      </c>
      <c r="H698" s="385" t="s">
        <v>1</v>
      </c>
      <c r="I698" s="385" t="s">
        <v>3477</v>
      </c>
      <c r="J698" s="385" t="s">
        <v>3476</v>
      </c>
      <c r="K698" s="385" t="str">
        <f>VLOOKUP(Table13[[#This Row],[CD_FUNCAO]],'BASE_FUNCOES (hide)'!A:X,2,FALSE)</f>
        <v>Gestão de Pacientes em Reabilitação</v>
      </c>
    </row>
    <row r="699" spans="1:11" hidden="1">
      <c r="A699" s="385">
        <v>870</v>
      </c>
      <c r="B699" s="385" t="s">
        <v>267</v>
      </c>
      <c r="C699" s="385" t="s">
        <v>1051</v>
      </c>
      <c r="D699" s="385" t="s">
        <v>1052</v>
      </c>
      <c r="E699" s="385">
        <v>87</v>
      </c>
      <c r="F699" s="385" t="s">
        <v>3475</v>
      </c>
      <c r="G699" s="385" t="s">
        <v>852</v>
      </c>
      <c r="H699" s="385" t="s">
        <v>1</v>
      </c>
      <c r="I699" s="385" t="s">
        <v>3477</v>
      </c>
      <c r="J699" s="385" t="s">
        <v>3476</v>
      </c>
      <c r="K699" s="385" t="str">
        <f>VLOOKUP(Table13[[#This Row],[CD_FUNCAO]],'BASE_FUNCOES (hide)'!A:X,2,FALSE)</f>
        <v>Agenda do Cirurgião</v>
      </c>
    </row>
    <row r="700" spans="1:11" hidden="1">
      <c r="A700" s="385">
        <v>820</v>
      </c>
      <c r="B700" s="385" t="s">
        <v>265</v>
      </c>
      <c r="C700" s="385" t="s">
        <v>4373</v>
      </c>
      <c r="D700" s="385" t="s">
        <v>1054</v>
      </c>
      <c r="E700" s="385">
        <v>87</v>
      </c>
      <c r="F700" s="385" t="s">
        <v>3475</v>
      </c>
      <c r="G700" s="385" t="s">
        <v>852</v>
      </c>
      <c r="H700" s="385" t="s">
        <v>1</v>
      </c>
      <c r="I700" s="385" t="s">
        <v>3477</v>
      </c>
      <c r="J700" s="385" t="s">
        <v>3476</v>
      </c>
      <c r="K700" s="385" t="str">
        <f>VLOOKUP(Table13[[#This Row],[CD_FUNCAO]],'BASE_FUNCOES (hide)'!A:X,2,FALSE)</f>
        <v>Agenda de Exames</v>
      </c>
    </row>
    <row r="701" spans="1:11" hidden="1">
      <c r="A701" s="385">
        <v>866</v>
      </c>
      <c r="B701" s="385" t="s">
        <v>266</v>
      </c>
      <c r="C701" s="385" t="s">
        <v>1055</v>
      </c>
      <c r="D701" s="385" t="s">
        <v>1056</v>
      </c>
      <c r="E701" s="385">
        <v>87</v>
      </c>
      <c r="F701" s="385" t="s">
        <v>3475</v>
      </c>
      <c r="G701" s="385" t="s">
        <v>852</v>
      </c>
      <c r="H701" s="385" t="s">
        <v>1</v>
      </c>
      <c r="I701" s="385" t="s">
        <v>3477</v>
      </c>
      <c r="J701" s="385" t="s">
        <v>3476</v>
      </c>
      <c r="K701" s="385" t="str">
        <f>VLOOKUP(Table13[[#This Row],[CD_FUNCAO]],'BASE_FUNCOES (hide)'!A:X,2,FALSE)</f>
        <v>Agenda de Serviços</v>
      </c>
    </row>
    <row r="702" spans="1:11" hidden="1">
      <c r="A702" s="385">
        <v>871</v>
      </c>
      <c r="B702" s="385" t="s">
        <v>270</v>
      </c>
      <c r="C702" s="385" t="s">
        <v>1057</v>
      </c>
      <c r="D702" s="385" t="s">
        <v>1058</v>
      </c>
      <c r="E702" s="385">
        <v>87</v>
      </c>
      <c r="F702" s="385" t="s">
        <v>3475</v>
      </c>
      <c r="G702" s="385" t="s">
        <v>852</v>
      </c>
      <c r="H702" s="385" t="s">
        <v>1</v>
      </c>
      <c r="I702" s="385" t="s">
        <v>3477</v>
      </c>
      <c r="J702" s="385" t="s">
        <v>3476</v>
      </c>
      <c r="K702" s="385" t="str">
        <f>VLOOKUP(Table13[[#This Row],[CD_FUNCAO]],'BASE_FUNCOES (hide)'!A:X,2,FALSE)</f>
        <v>Gestão da Agenda Cirúrgica</v>
      </c>
    </row>
    <row r="703" spans="1:11" hidden="1">
      <c r="A703" s="385">
        <v>-1007</v>
      </c>
      <c r="B703" s="385" t="s">
        <v>268</v>
      </c>
      <c r="C703" s="385" t="s">
        <v>1045</v>
      </c>
      <c r="D703" s="385" t="s">
        <v>268</v>
      </c>
      <c r="E703" s="385">
        <v>87</v>
      </c>
      <c r="F703" s="385" t="s">
        <v>3475</v>
      </c>
      <c r="G703" s="385" t="s">
        <v>852</v>
      </c>
      <c r="H703" s="385" t="s">
        <v>1</v>
      </c>
      <c r="I703" s="385" t="s">
        <v>3477</v>
      </c>
      <c r="J703" s="385" t="s">
        <v>3476</v>
      </c>
      <c r="K703" s="385" t="str">
        <f>VLOOKUP(Table13[[#This Row],[CD_FUNCAO]],'BASE_FUNCOES (hide)'!A:X,2,FALSE)</f>
        <v>Agenda Global</v>
      </c>
    </row>
    <row r="704" spans="1:11">
      <c r="A704" s="385">
        <v>1339</v>
      </c>
      <c r="B704" s="385" t="s">
        <v>4680</v>
      </c>
      <c r="C704" s="385" t="s">
        <v>4679</v>
      </c>
      <c r="D704" s="385" t="s">
        <v>4678</v>
      </c>
      <c r="E704" s="385">
        <v>374</v>
      </c>
      <c r="F704" s="385" t="s">
        <v>4648</v>
      </c>
      <c r="I704" s="385" t="s">
        <v>3477</v>
      </c>
      <c r="J704" s="385" t="s">
        <v>3513</v>
      </c>
      <c r="K704" s="385" t="str">
        <f>VLOOKUP(Table13[[#This Row],[CD_FUNCAO]],'BASE_FUNCOES (hide)'!A:X,2,FALSE)</f>
        <v>OPS - Controle de Comissões de Venda</v>
      </c>
    </row>
    <row r="705" spans="1:11" hidden="1">
      <c r="A705" s="385">
        <v>869</v>
      </c>
      <c r="B705" s="385" t="s">
        <v>26</v>
      </c>
      <c r="C705" s="385" t="s">
        <v>1059</v>
      </c>
      <c r="D705" s="385" t="s">
        <v>26</v>
      </c>
      <c r="E705" s="385">
        <v>87</v>
      </c>
      <c r="F705" s="385" t="s">
        <v>3475</v>
      </c>
      <c r="G705" s="385" t="s">
        <v>852</v>
      </c>
      <c r="H705" s="385" t="s">
        <v>1</v>
      </c>
      <c r="I705" s="385" t="s">
        <v>3477</v>
      </c>
      <c r="J705" s="385" t="s">
        <v>3477</v>
      </c>
      <c r="K705" s="385" t="str">
        <f>VLOOKUP(Table13[[#This Row],[CD_FUNCAO]],'BASE_FUNCOES (hide)'!A:X,2,FALSE)</f>
        <v>Agenda Integrada</v>
      </c>
    </row>
    <row r="706" spans="1:11">
      <c r="A706" s="385">
        <v>1340</v>
      </c>
      <c r="B706" s="385" t="s">
        <v>3742</v>
      </c>
      <c r="C706" s="385" t="s">
        <v>3741</v>
      </c>
      <c r="D706" s="385" t="s">
        <v>3740</v>
      </c>
      <c r="E706" s="385">
        <v>835</v>
      </c>
      <c r="F706" s="385" t="s">
        <v>3714</v>
      </c>
      <c r="I706" s="385" t="s">
        <v>3488</v>
      </c>
      <c r="J706" s="385" t="s">
        <v>3513</v>
      </c>
      <c r="K706" s="385" t="str">
        <f>VLOOKUP(Table13[[#This Row],[CD_FUNCAO]],'BASE_FUNCOES (hide)'!A:X,2,FALSE)</f>
        <v>OPS - Seleção de Itens da Contestação e Recurso de Glosa</v>
      </c>
    </row>
    <row r="707" spans="1:11" hidden="1">
      <c r="A707" s="385">
        <v>9021</v>
      </c>
      <c r="B707" s="385" t="s">
        <v>273</v>
      </c>
      <c r="C707" s="385" t="s">
        <v>4368</v>
      </c>
      <c r="D707" s="385" t="s">
        <v>1061</v>
      </c>
      <c r="E707" s="385">
        <v>87</v>
      </c>
      <c r="F707" s="385" t="s">
        <v>3475</v>
      </c>
      <c r="G707" s="385" t="s">
        <v>852</v>
      </c>
      <c r="H707" s="385" t="s">
        <v>1</v>
      </c>
      <c r="I707" s="385" t="s">
        <v>3477</v>
      </c>
      <c r="J707" s="385" t="s">
        <v>3476</v>
      </c>
      <c r="K707" s="385" t="str">
        <f>VLOOKUP(Table13[[#This Row],[CD_FUNCAO]],'BASE_FUNCOES (hide)'!A:X,2,FALSE)</f>
        <v>Painel de Chamadas do Agendamento</v>
      </c>
    </row>
    <row r="708" spans="1:11">
      <c r="A708" s="385">
        <v>1341</v>
      </c>
      <c r="B708" s="385" t="s">
        <v>3894</v>
      </c>
      <c r="C708" s="385" t="s">
        <v>3893</v>
      </c>
      <c r="D708" s="385" t="s">
        <v>3892</v>
      </c>
      <c r="E708" s="385">
        <v>690</v>
      </c>
      <c r="F708" s="385" t="s">
        <v>3854</v>
      </c>
      <c r="I708" s="385" t="s">
        <v>3477</v>
      </c>
      <c r="J708" s="385" t="s">
        <v>3513</v>
      </c>
      <c r="K708" s="385" t="str">
        <f>VLOOKUP(Table13[[#This Row],[CD_FUNCAO]],'BASE_FUNCOES (hide)'!A:X,2,FALSE)</f>
        <v>OPS - Controle de Locais de Atendimento</v>
      </c>
    </row>
    <row r="709" spans="1:11" hidden="1">
      <c r="A709" s="385">
        <v>970</v>
      </c>
      <c r="B709" s="385" t="s">
        <v>269</v>
      </c>
      <c r="C709" s="385" t="s">
        <v>1048</v>
      </c>
      <c r="D709" s="385" t="s">
        <v>1049</v>
      </c>
      <c r="E709" s="385">
        <v>87</v>
      </c>
      <c r="F709" s="385" t="s">
        <v>3475</v>
      </c>
      <c r="G709" s="385" t="s">
        <v>852</v>
      </c>
      <c r="H709" s="385" t="s">
        <v>1</v>
      </c>
      <c r="I709" s="385" t="s">
        <v>3477</v>
      </c>
      <c r="J709" s="385" t="s">
        <v>3476</v>
      </c>
      <c r="K709" s="385" t="str">
        <f>VLOOKUP(Table13[[#This Row],[CD_FUNCAO]],'BASE_FUNCOES (hide)'!A:X,2,FALSE)</f>
        <v>Consulta de Agendamentos</v>
      </c>
    </row>
    <row r="710" spans="1:11" hidden="1">
      <c r="A710" s="385">
        <v>821</v>
      </c>
      <c r="B710" s="385" t="s">
        <v>264</v>
      </c>
      <c r="C710" s="385" t="s">
        <v>1050</v>
      </c>
      <c r="D710" s="385" t="s">
        <v>264</v>
      </c>
      <c r="E710" s="385">
        <v>87</v>
      </c>
      <c r="F710" s="385" t="s">
        <v>3475</v>
      </c>
      <c r="G710" s="385" t="s">
        <v>852</v>
      </c>
      <c r="H710" s="385" t="s">
        <v>1</v>
      </c>
      <c r="I710" s="385" t="s">
        <v>3477</v>
      </c>
      <c r="J710" s="385" t="s">
        <v>3477</v>
      </c>
      <c r="K710" s="385" t="str">
        <f>VLOOKUP(Table13[[#This Row],[CD_FUNCAO]],'BASE_FUNCOES (hide)'!A:X,2,FALSE)</f>
        <v>Agenda de Consultas</v>
      </c>
    </row>
    <row r="711" spans="1:11" hidden="1">
      <c r="A711" s="385">
        <v>10030</v>
      </c>
      <c r="B711" s="385" t="s">
        <v>275</v>
      </c>
      <c r="C711" s="385" t="s">
        <v>1088</v>
      </c>
      <c r="D711" s="385" t="s">
        <v>1089</v>
      </c>
      <c r="E711" s="385">
        <v>88</v>
      </c>
      <c r="F711" s="385" t="s">
        <v>16</v>
      </c>
      <c r="G711" s="385" t="s">
        <v>1066</v>
      </c>
      <c r="H711" s="385" t="s">
        <v>1068</v>
      </c>
      <c r="I711" s="385" t="s">
        <v>3477</v>
      </c>
      <c r="K711" s="385" t="str">
        <f>VLOOKUP(Table13[[#This Row],[CD_FUNCAO]],'BASE_FUNCOES (hide)'!A:X,2,FALSE)</f>
        <v>Digitar Informação com consulta (Nova)</v>
      </c>
    </row>
    <row r="712" spans="1:11" hidden="1">
      <c r="A712" s="385">
        <v>2812</v>
      </c>
      <c r="B712" s="385" t="s">
        <v>338</v>
      </c>
      <c r="C712" s="385" t="s">
        <v>1083</v>
      </c>
      <c r="D712" s="385" t="s">
        <v>1084</v>
      </c>
      <c r="E712" s="385">
        <v>88</v>
      </c>
      <c r="F712" s="385" t="s">
        <v>16</v>
      </c>
      <c r="G712" s="385" t="s">
        <v>1066</v>
      </c>
      <c r="H712" s="385" t="s">
        <v>1068</v>
      </c>
      <c r="I712" s="385" t="s">
        <v>3477</v>
      </c>
      <c r="J712" s="385" t="s">
        <v>3476</v>
      </c>
      <c r="K712" s="385" t="str">
        <f>VLOOKUP(Table13[[#This Row],[CD_FUNCAO]],'BASE_FUNCOES (hide)'!A:X,2,FALSE)</f>
        <v>Contingência</v>
      </c>
    </row>
    <row r="713" spans="1:11" hidden="1">
      <c r="A713" s="385">
        <v>9095</v>
      </c>
      <c r="B713" s="385" t="s">
        <v>1085</v>
      </c>
      <c r="C713" s="385" t="s">
        <v>4364</v>
      </c>
      <c r="D713" s="385" t="s">
        <v>1087</v>
      </c>
      <c r="E713" s="385">
        <v>88</v>
      </c>
      <c r="F713" s="385" t="s">
        <v>16</v>
      </c>
      <c r="G713" s="385" t="s">
        <v>1066</v>
      </c>
      <c r="H713" s="385" t="s">
        <v>1068</v>
      </c>
      <c r="I713" s="385" t="s">
        <v>3477</v>
      </c>
      <c r="J713" s="385" t="s">
        <v>3476</v>
      </c>
      <c r="K713" s="385" t="str">
        <f>VLOOKUP(Table13[[#This Row],[CD_FUNCAO]],'BASE_FUNCOES (hide)'!A:X,2,FALSE)</f>
        <v>SAPS - Sistematização da assistência do profissional de saúde</v>
      </c>
    </row>
    <row r="714" spans="1:11" hidden="1">
      <c r="A714" s="385">
        <v>275</v>
      </c>
      <c r="B714" s="385" t="s">
        <v>278</v>
      </c>
      <c r="C714" s="385" t="s">
        <v>1069</v>
      </c>
      <c r="D714" s="385" t="s">
        <v>1070</v>
      </c>
      <c r="E714" s="385">
        <v>88</v>
      </c>
      <c r="F714" s="385" t="s">
        <v>16</v>
      </c>
      <c r="G714" s="385" t="s">
        <v>1066</v>
      </c>
      <c r="H714" s="385" t="s">
        <v>1068</v>
      </c>
      <c r="I714" s="385" t="s">
        <v>3477</v>
      </c>
      <c r="J714" s="385" t="s">
        <v>3476</v>
      </c>
      <c r="K714" s="385" t="str">
        <f>VLOOKUP(Table13[[#This Row],[CD_FUNCAO]],'BASE_FUNCOES (hide)'!A:X,2,FALSE)</f>
        <v>Gestão de Qualidade Assistencial  -  GQA</v>
      </c>
    </row>
    <row r="715" spans="1:11" hidden="1">
      <c r="A715" s="385">
        <v>99023</v>
      </c>
      <c r="B715" s="385" t="s">
        <v>1407</v>
      </c>
      <c r="C715" s="385" t="s">
        <v>1408</v>
      </c>
      <c r="D715" s="385" t="s">
        <v>1409</v>
      </c>
      <c r="E715" s="385">
        <v>88</v>
      </c>
      <c r="F715" s="385" t="s">
        <v>16</v>
      </c>
      <c r="G715" s="385" t="s">
        <v>1066</v>
      </c>
      <c r="H715" s="385" t="s">
        <v>1068</v>
      </c>
      <c r="I715" s="385" t="s">
        <v>3477</v>
      </c>
      <c r="J715" s="385" t="s">
        <v>3477</v>
      </c>
      <c r="K715" s="385" t="str">
        <f>VLOOKUP(Table13[[#This Row],[CD_FUNCAO]],'BASE_FUNCOES (hide)'!A:X,2,FALSE)</f>
        <v>Cadastros PEP</v>
      </c>
    </row>
    <row r="716" spans="1:11" hidden="1">
      <c r="A716" s="385">
        <v>99024</v>
      </c>
      <c r="B716" s="385" t="s">
        <v>1071</v>
      </c>
      <c r="C716" s="385" t="s">
        <v>1072</v>
      </c>
      <c r="D716" s="385" t="s">
        <v>1073</v>
      </c>
      <c r="E716" s="385">
        <v>88</v>
      </c>
      <c r="F716" s="385" t="s">
        <v>16</v>
      </c>
      <c r="G716" s="385" t="s">
        <v>1066</v>
      </c>
      <c r="H716" s="385" t="s">
        <v>1068</v>
      </c>
      <c r="I716" s="385" t="s">
        <v>3477</v>
      </c>
      <c r="J716" s="385" t="s">
        <v>3477</v>
      </c>
      <c r="K716" s="385" t="str">
        <f>VLOOKUP(Table13[[#This Row],[CD_FUNCAO]],'BASE_FUNCOES (hide)'!A:X,2,FALSE)</f>
        <v>Cadastro de Protocolos</v>
      </c>
    </row>
    <row r="717" spans="1:11" hidden="1">
      <c r="A717" s="385">
        <v>252</v>
      </c>
      <c r="B717" s="385" t="s">
        <v>1414</v>
      </c>
      <c r="C717" s="385" t="s">
        <v>4363</v>
      </c>
      <c r="D717" s="385" t="s">
        <v>4362</v>
      </c>
      <c r="E717" s="385">
        <v>88</v>
      </c>
      <c r="F717" s="385" t="s">
        <v>16</v>
      </c>
      <c r="G717" s="385" t="s">
        <v>1066</v>
      </c>
      <c r="H717" s="385" t="s">
        <v>1068</v>
      </c>
      <c r="I717" s="385" t="s">
        <v>3477</v>
      </c>
      <c r="J717" s="385" t="s">
        <v>3477</v>
      </c>
      <c r="K717" s="385" t="str">
        <f>VLOOKUP(Table13[[#This Row],[CD_FUNCAO]],'BASE_FUNCOES (hide)'!A:X,2,FALSE)</f>
        <v>Gestão dos Planos Terapêuticos</v>
      </c>
    </row>
    <row r="718" spans="1:11" hidden="1">
      <c r="A718" s="385">
        <v>338</v>
      </c>
      <c r="B718" s="385" t="s">
        <v>1446</v>
      </c>
      <c r="C718" s="385" t="s">
        <v>1447</v>
      </c>
      <c r="D718" s="385" t="s">
        <v>1448</v>
      </c>
      <c r="E718" s="385">
        <v>88</v>
      </c>
      <c r="F718" s="385" t="s">
        <v>16</v>
      </c>
      <c r="G718" s="385" t="s">
        <v>1066</v>
      </c>
      <c r="H718" s="385" t="s">
        <v>1068</v>
      </c>
      <c r="I718" s="385" t="s">
        <v>3477</v>
      </c>
      <c r="J718" s="385" t="s">
        <v>3477</v>
      </c>
      <c r="K718" s="385" t="str">
        <f>VLOOKUP(Table13[[#This Row],[CD_FUNCAO]],'BASE_FUNCOES (hide)'!A:X,2,FALSE)</f>
        <v>Panorama Clínico</v>
      </c>
    </row>
    <row r="719" spans="1:11" hidden="1">
      <c r="A719" s="385">
        <v>3010</v>
      </c>
      <c r="B719" s="385" t="s">
        <v>279</v>
      </c>
      <c r="C719" s="385" t="s">
        <v>4361</v>
      </c>
      <c r="D719" s="385" t="s">
        <v>1080</v>
      </c>
      <c r="E719" s="385">
        <v>88</v>
      </c>
      <c r="F719" s="385" t="s">
        <v>16</v>
      </c>
      <c r="G719" s="385" t="s">
        <v>1066</v>
      </c>
      <c r="H719" s="385" t="s">
        <v>1068</v>
      </c>
      <c r="I719" s="385" t="s">
        <v>3477</v>
      </c>
      <c r="J719" s="385" t="s">
        <v>3476</v>
      </c>
      <c r="K719" s="385" t="str">
        <f>VLOOKUP(Table13[[#This Row],[CD_FUNCAO]],'BASE_FUNCOES (hide)'!A:X,2,FALSE)</f>
        <v>Oftalmologia</v>
      </c>
    </row>
    <row r="720" spans="1:11">
      <c r="A720" s="385">
        <v>1342</v>
      </c>
      <c r="B720" s="385" t="s">
        <v>4467</v>
      </c>
      <c r="C720" s="385" t="s">
        <v>4466</v>
      </c>
      <c r="D720" s="385" t="s">
        <v>4465</v>
      </c>
      <c r="E720" s="385">
        <v>381</v>
      </c>
      <c r="F720" s="385" t="s">
        <v>4377</v>
      </c>
      <c r="I720" s="385" t="s">
        <v>3506</v>
      </c>
      <c r="J720" s="385" t="s">
        <v>3513</v>
      </c>
      <c r="K720" s="385" t="e">
        <f>VLOOKUP(Table13[[#This Row],[CD_FUNCAO]],'BASE_FUNCOES (hide)'!A:X,2,FALSE)</f>
        <v>#N/A</v>
      </c>
    </row>
    <row r="721" spans="1:11">
      <c r="A721" s="385">
        <v>1343</v>
      </c>
      <c r="B721" s="385" t="s">
        <v>3795</v>
      </c>
      <c r="C721" s="385" t="s">
        <v>3794</v>
      </c>
      <c r="D721" s="385" t="s">
        <v>3793</v>
      </c>
      <c r="E721" s="385">
        <v>692</v>
      </c>
      <c r="F721" s="385" t="s">
        <v>3780</v>
      </c>
      <c r="I721" s="385" t="s">
        <v>3477</v>
      </c>
      <c r="J721" s="385" t="s">
        <v>3513</v>
      </c>
      <c r="K721" s="385" t="str">
        <f>VLOOKUP(Table13[[#This Row],[CD_FUNCAO]],'BASE_FUNCOES (hide)'!A:X,2,FALSE)</f>
        <v>OPS - Autorizações Intercâmbio</v>
      </c>
    </row>
    <row r="722" spans="1:11" hidden="1">
      <c r="A722" s="385">
        <v>1011</v>
      </c>
      <c r="B722" s="385" t="s">
        <v>277</v>
      </c>
      <c r="C722" s="385" t="s">
        <v>1081</v>
      </c>
      <c r="D722" s="385" t="s">
        <v>1082</v>
      </c>
      <c r="E722" s="385">
        <v>88</v>
      </c>
      <c r="F722" s="385" t="s">
        <v>16</v>
      </c>
      <c r="G722" s="385" t="s">
        <v>1066</v>
      </c>
      <c r="H722" s="385" t="s">
        <v>1068</v>
      </c>
      <c r="I722" s="385" t="s">
        <v>3477</v>
      </c>
      <c r="J722" s="385" t="s">
        <v>3476</v>
      </c>
      <c r="K722" s="385" t="str">
        <f>VLOOKUP(Table13[[#This Row],[CD_FUNCAO]],'BASE_FUNCOES (hide)'!A:X,2,FALSE)</f>
        <v>Gestão de Acessos PEP</v>
      </c>
    </row>
    <row r="723" spans="1:11">
      <c r="A723" s="385">
        <v>1344</v>
      </c>
      <c r="B723" s="385" t="s">
        <v>4702</v>
      </c>
      <c r="C723" s="385" t="s">
        <v>4701</v>
      </c>
      <c r="D723" s="385" t="s">
        <v>4700</v>
      </c>
      <c r="E723" s="385">
        <v>372</v>
      </c>
      <c r="F723" s="385" t="s">
        <v>4684</v>
      </c>
      <c r="I723" s="385" t="s">
        <v>3488</v>
      </c>
      <c r="J723" s="385" t="s">
        <v>3513</v>
      </c>
      <c r="K723" s="385" t="str">
        <f>VLOOKUP(Table13[[#This Row],[CD_FUNCAO]],'BASE_FUNCOES (hide)'!A:X,2,FALSE)</f>
        <v>OPS - Localizador de Grupos de Produtos</v>
      </c>
    </row>
    <row r="724" spans="1:11">
      <c r="A724" s="385">
        <v>1345</v>
      </c>
      <c r="B724" s="385" t="s">
        <v>4647</v>
      </c>
      <c r="C724" s="385" t="s">
        <v>4646</v>
      </c>
      <c r="D724" s="385" t="s">
        <v>4645</v>
      </c>
      <c r="E724" s="385">
        <v>375</v>
      </c>
      <c r="F724" s="385" t="s">
        <v>4588</v>
      </c>
      <c r="I724" s="385" t="s">
        <v>3488</v>
      </c>
      <c r="J724" s="385" t="s">
        <v>3513</v>
      </c>
      <c r="K724" s="385" t="str">
        <f>VLOOKUP(Table13[[#This Row],[CD_FUNCAO]],'BASE_FUNCOES (hide)'!A:X,2,FALSE)</f>
        <v>OPS - Localizador de Grupos de Contratos</v>
      </c>
    </row>
    <row r="725" spans="1:11">
      <c r="A725" s="385">
        <v>1346</v>
      </c>
      <c r="B725" s="385" t="s">
        <v>3899</v>
      </c>
      <c r="C725" s="385" t="s">
        <v>3898</v>
      </c>
      <c r="D725" s="385" t="s">
        <v>3897</v>
      </c>
      <c r="E725" s="385">
        <v>690</v>
      </c>
      <c r="F725" s="385" t="s">
        <v>3854</v>
      </c>
      <c r="I725" s="385" t="s">
        <v>3488</v>
      </c>
      <c r="J725" s="385" t="s">
        <v>3513</v>
      </c>
      <c r="K725" s="385" t="str">
        <f>VLOOKUP(Table13[[#This Row],[CD_FUNCAO]],'BASE_FUNCOES (hide)'!A:X,2,FALSE)</f>
        <v>OPS - Localizador de Grupos de Prestadores</v>
      </c>
    </row>
    <row r="726" spans="1:11">
      <c r="A726" s="385">
        <v>1347</v>
      </c>
      <c r="B726" s="385" t="s">
        <v>4644</v>
      </c>
      <c r="C726" s="385" t="s">
        <v>4643</v>
      </c>
      <c r="D726" s="385" t="s">
        <v>4642</v>
      </c>
      <c r="E726" s="385">
        <v>375</v>
      </c>
      <c r="F726" s="385" t="s">
        <v>4588</v>
      </c>
      <c r="I726" s="385" t="s">
        <v>3477</v>
      </c>
      <c r="J726" s="385" t="s">
        <v>3513</v>
      </c>
      <c r="K726" s="385" t="str">
        <f>VLOOKUP(Table13[[#This Row],[CD_FUNCAO]],'BASE_FUNCOES (hide)'!A:X,2,FALSE)</f>
        <v>OPS - Relacionamento com o Cliente (PJ)</v>
      </c>
    </row>
    <row r="727" spans="1:11">
      <c r="A727" s="385">
        <v>1348</v>
      </c>
      <c r="B727" s="385" t="s">
        <v>3771</v>
      </c>
      <c r="C727" s="385" t="s">
        <v>3770</v>
      </c>
      <c r="D727" s="385" t="s">
        <v>3769</v>
      </c>
      <c r="E727" s="385">
        <v>695</v>
      </c>
      <c r="F727" s="385" t="s">
        <v>3759</v>
      </c>
      <c r="G727" s="385" t="s">
        <v>3758</v>
      </c>
      <c r="H727" s="385" t="s">
        <v>3757</v>
      </c>
      <c r="I727" s="385" t="s">
        <v>3488</v>
      </c>
      <c r="J727" s="385" t="s">
        <v>3513</v>
      </c>
      <c r="K727" s="385" t="str">
        <f>VLOOKUP(Table13[[#This Row],[CD_FUNCAO]],'BASE_FUNCOES (hide)'!A:X,2,FALSE)</f>
        <v>OPS - Análise de Custo Pós-Estabelecido</v>
      </c>
    </row>
    <row r="728" spans="1:11" hidden="1">
      <c r="A728" s="385">
        <v>1355</v>
      </c>
      <c r="B728" s="385" t="s">
        <v>1076</v>
      </c>
      <c r="C728" s="385" t="s">
        <v>1077</v>
      </c>
      <c r="D728" s="385" t="s">
        <v>1078</v>
      </c>
      <c r="E728" s="385">
        <v>88</v>
      </c>
      <c r="F728" s="385" t="s">
        <v>16</v>
      </c>
      <c r="G728" s="385" t="s">
        <v>1066</v>
      </c>
      <c r="H728" s="385" t="s">
        <v>1068</v>
      </c>
      <c r="I728" s="385" t="s">
        <v>3477</v>
      </c>
      <c r="J728" s="385" t="s">
        <v>3476</v>
      </c>
      <c r="K728" s="385" t="str">
        <f>VLOOKUP(Table13[[#This Row],[CD_FUNCAO]],'BASE_FUNCOES (hide)'!A:X,2,FALSE)</f>
        <v>Análise dos Parâmetros Assistenciais do Paciente - APAP</v>
      </c>
    </row>
    <row r="729" spans="1:11" hidden="1">
      <c r="A729" s="385">
        <v>1134</v>
      </c>
      <c r="B729" s="385" t="s">
        <v>1071</v>
      </c>
      <c r="C729" s="385" t="s">
        <v>1072</v>
      </c>
      <c r="D729" s="385" t="s">
        <v>1073</v>
      </c>
      <c r="E729" s="385">
        <v>88</v>
      </c>
      <c r="F729" s="385" t="s">
        <v>16</v>
      </c>
      <c r="G729" s="385" t="s">
        <v>1066</v>
      </c>
      <c r="H729" s="385" t="s">
        <v>1068</v>
      </c>
      <c r="I729" s="385" t="s">
        <v>3477</v>
      </c>
      <c r="J729" s="385" t="s">
        <v>3476</v>
      </c>
      <c r="K729" s="385" t="str">
        <f>VLOOKUP(Table13[[#This Row],[CD_FUNCAO]],'BASE_FUNCOES (hide)'!A:X,2,FALSE)</f>
        <v>Cadastro de Protocolos</v>
      </c>
    </row>
    <row r="730" spans="1:11">
      <c r="A730" s="385">
        <v>1349</v>
      </c>
      <c r="B730" s="385" t="s">
        <v>3739</v>
      </c>
      <c r="C730" s="385" t="s">
        <v>3738</v>
      </c>
      <c r="D730" s="385" t="s">
        <v>3737</v>
      </c>
      <c r="E730" s="385">
        <v>835</v>
      </c>
      <c r="F730" s="385" t="s">
        <v>3714</v>
      </c>
      <c r="I730" s="385" t="s">
        <v>3488</v>
      </c>
      <c r="J730" s="385" t="s">
        <v>3513</v>
      </c>
      <c r="K730" s="385" t="str">
        <f>VLOOKUP(Table13[[#This Row],[CD_FUNCAO]],'BASE_FUNCOES (hide)'!A:X,2,FALSE)</f>
        <v>OPS - Análise de Discussão da Contestação e Recurso de Glosa</v>
      </c>
    </row>
    <row r="731" spans="1:11">
      <c r="A731" s="385">
        <v>1352</v>
      </c>
      <c r="B731" s="385" t="s">
        <v>3850</v>
      </c>
      <c r="C731" s="385" t="s">
        <v>3849</v>
      </c>
      <c r="D731" s="385" t="s">
        <v>3848</v>
      </c>
      <c r="E731" s="385">
        <v>691</v>
      </c>
      <c r="F731" s="385" t="s">
        <v>3799</v>
      </c>
      <c r="I731" s="385" t="s">
        <v>3477</v>
      </c>
      <c r="J731" s="385" t="s">
        <v>3513</v>
      </c>
      <c r="K731" s="385" t="str">
        <f>VLOOKUP(Table13[[#This Row],[CD_FUNCAO]],'BASE_FUNCOES (hide)'!A:X,2,FALSE)</f>
        <v>OPS - Orçamento</v>
      </c>
    </row>
    <row r="732" spans="1:11" hidden="1">
      <c r="A732" s="385">
        <v>34</v>
      </c>
      <c r="B732" s="385" t="s">
        <v>274</v>
      </c>
      <c r="C732" s="385" t="s">
        <v>1090</v>
      </c>
      <c r="D732" s="385" t="s">
        <v>274</v>
      </c>
      <c r="E732" s="385">
        <v>88</v>
      </c>
      <c r="F732" s="385" t="s">
        <v>16</v>
      </c>
      <c r="G732" s="385" t="s">
        <v>1066</v>
      </c>
      <c r="H732" s="385" t="s">
        <v>1068</v>
      </c>
      <c r="I732" s="385" t="s">
        <v>3477</v>
      </c>
      <c r="J732" s="385" t="s">
        <v>3476</v>
      </c>
      <c r="K732" s="385" t="str">
        <f>VLOOKUP(Table13[[#This Row],[CD_FUNCAO]],'BASE_FUNCOES (hide)'!A:X,2,FALSE)</f>
        <v>Diagnóstico Médico</v>
      </c>
    </row>
    <row r="733" spans="1:11" hidden="1">
      <c r="A733" s="385">
        <v>1801</v>
      </c>
      <c r="B733" s="385" t="s">
        <v>1064</v>
      </c>
      <c r="C733" s="385" t="s">
        <v>4337</v>
      </c>
      <c r="D733" s="385" t="s">
        <v>1067</v>
      </c>
      <c r="E733" s="385">
        <v>88</v>
      </c>
      <c r="F733" s="385" t="s">
        <v>16</v>
      </c>
      <c r="G733" s="385" t="s">
        <v>1066</v>
      </c>
      <c r="H733" s="385" t="s">
        <v>1068</v>
      </c>
      <c r="I733" s="385" t="s">
        <v>3477</v>
      </c>
      <c r="J733" s="385" t="s">
        <v>3476</v>
      </c>
      <c r="K733" s="385" t="str">
        <f>VLOOKUP(Table13[[#This Row],[CD_FUNCAO]],'BASE_FUNCOES (hide)'!A:X,2,FALSE)</f>
        <v>Gestão da Dor</v>
      </c>
    </row>
    <row r="734" spans="1:11">
      <c r="A734" s="385">
        <v>1353</v>
      </c>
      <c r="B734" s="385" t="s">
        <v>4145</v>
      </c>
      <c r="C734" s="385" t="s">
        <v>4144</v>
      </c>
      <c r="D734" s="385" t="s">
        <v>4143</v>
      </c>
      <c r="E734" s="385">
        <v>11</v>
      </c>
      <c r="F734" s="385" t="s">
        <v>6</v>
      </c>
      <c r="I734" s="385" t="s">
        <v>3477</v>
      </c>
      <c r="J734" s="385" t="s">
        <v>3513</v>
      </c>
      <c r="K734" s="385" t="str">
        <f>VLOOKUP(Table13[[#This Row],[CD_FUNCAO]],'BASE_FUNCOES (hide)'!A:X,2,FALSE)</f>
        <v>OPS - Envio de arquivo GISS</v>
      </c>
    </row>
    <row r="735" spans="1:11" hidden="1">
      <c r="A735" s="385">
        <v>4200</v>
      </c>
      <c r="B735" s="385" t="s">
        <v>276</v>
      </c>
      <c r="C735" s="385" t="s">
        <v>1074</v>
      </c>
      <c r="D735" s="385" t="s">
        <v>1075</v>
      </c>
      <c r="E735" s="385">
        <v>88</v>
      </c>
      <c r="F735" s="385" t="s">
        <v>16</v>
      </c>
      <c r="G735" s="385" t="s">
        <v>1066</v>
      </c>
      <c r="H735" s="385" t="s">
        <v>1068</v>
      </c>
      <c r="I735" s="385" t="s">
        <v>3477</v>
      </c>
      <c r="J735" s="385" t="s">
        <v>3477</v>
      </c>
      <c r="K735" s="385" t="str">
        <f>VLOOKUP(Table13[[#This Row],[CD_FUNCAO]],'BASE_FUNCOES (hide)'!A:X,2,FALSE)</f>
        <v>Emissão de Prontuários</v>
      </c>
    </row>
    <row r="736" spans="1:11" hidden="1">
      <c r="A736" s="385">
        <v>281</v>
      </c>
      <c r="B736" s="385" t="s">
        <v>280</v>
      </c>
      <c r="C736" s="385" t="s">
        <v>1091</v>
      </c>
      <c r="D736" s="385" t="s">
        <v>1092</v>
      </c>
      <c r="E736" s="385">
        <v>88</v>
      </c>
      <c r="F736" s="385" t="s">
        <v>16</v>
      </c>
      <c r="G736" s="385" t="s">
        <v>1066</v>
      </c>
      <c r="H736" s="385" t="s">
        <v>1068</v>
      </c>
      <c r="I736" s="385" t="s">
        <v>3477</v>
      </c>
      <c r="J736" s="385" t="s">
        <v>3476</v>
      </c>
      <c r="K736" s="385" t="str">
        <f>VLOOKUP(Table13[[#This Row],[CD_FUNCAO]],'BASE_FUNCOES (hide)'!A:X,2,FALSE)</f>
        <v>Prontuário Eletrônico Paciente - PEP</v>
      </c>
    </row>
    <row r="737" spans="1:11">
      <c r="A737" s="385">
        <v>1354</v>
      </c>
      <c r="B737" s="385" t="s">
        <v>4534</v>
      </c>
      <c r="C737" s="385" t="s">
        <v>4533</v>
      </c>
      <c r="D737" s="385" t="s">
        <v>4532</v>
      </c>
      <c r="E737" s="385">
        <v>379</v>
      </c>
      <c r="F737" s="385" t="s">
        <v>4502</v>
      </c>
      <c r="I737" s="385" t="s">
        <v>3488</v>
      </c>
      <c r="J737" s="385" t="s">
        <v>3513</v>
      </c>
      <c r="K737" s="385" t="str">
        <f>VLOOKUP(Table13[[#This Row],[CD_FUNCAO]],'BASE_FUNCOES (hide)'!A:X,2,FALSE)</f>
        <v>OPS - Manutenção do Cadastro do Pagador</v>
      </c>
    </row>
    <row r="738" spans="1:11" hidden="1">
      <c r="A738" s="385">
        <v>2815</v>
      </c>
      <c r="B738" s="385" t="s">
        <v>2029</v>
      </c>
      <c r="C738" s="385" t="s">
        <v>4331</v>
      </c>
      <c r="D738" s="385" t="s">
        <v>4330</v>
      </c>
      <c r="E738" s="385">
        <v>89</v>
      </c>
      <c r="F738" s="385" t="s">
        <v>282</v>
      </c>
      <c r="G738" s="385" t="s">
        <v>1094</v>
      </c>
      <c r="H738" s="385" t="s">
        <v>1096</v>
      </c>
      <c r="I738" s="385" t="s">
        <v>3510</v>
      </c>
      <c r="J738" s="385" t="s">
        <v>3477</v>
      </c>
      <c r="K738" s="385" t="str">
        <f>VLOOKUP(Table13[[#This Row],[CD_FUNCAO]],'BASE_FUNCOES (hide)'!A:X,2,FALSE)</f>
        <v>Classificação de Risco Manchester</v>
      </c>
    </row>
    <row r="739" spans="1:11" hidden="1">
      <c r="A739" s="385">
        <v>1132</v>
      </c>
      <c r="B739" s="385" t="s">
        <v>283</v>
      </c>
      <c r="C739" s="385" t="s">
        <v>1097</v>
      </c>
      <c r="D739" s="385" t="s">
        <v>1098</v>
      </c>
      <c r="E739" s="385">
        <v>89</v>
      </c>
      <c r="F739" s="385" t="s">
        <v>282</v>
      </c>
      <c r="G739" s="385" t="s">
        <v>1094</v>
      </c>
      <c r="H739" s="385" t="s">
        <v>1096</v>
      </c>
      <c r="I739" s="385" t="s">
        <v>3477</v>
      </c>
      <c r="J739" s="385" t="s">
        <v>3477</v>
      </c>
      <c r="K739" s="385" t="str">
        <f>VLOOKUP(Table13[[#This Row],[CD_FUNCAO]],'BASE_FUNCOES (hide)'!A:X,2,FALSE)</f>
        <v>Painel de Chamadas</v>
      </c>
    </row>
    <row r="740" spans="1:11" hidden="1">
      <c r="A740" s="385">
        <v>935</v>
      </c>
      <c r="B740" s="385" t="s">
        <v>285</v>
      </c>
      <c r="C740" s="385" t="s">
        <v>1094</v>
      </c>
      <c r="D740" s="385" t="s">
        <v>1096</v>
      </c>
      <c r="E740" s="385">
        <v>89</v>
      </c>
      <c r="F740" s="385" t="s">
        <v>282</v>
      </c>
      <c r="G740" s="385" t="s">
        <v>1094</v>
      </c>
      <c r="H740" s="385" t="s">
        <v>1096</v>
      </c>
      <c r="I740" s="385" t="s">
        <v>3477</v>
      </c>
      <c r="J740" s="385" t="s">
        <v>3476</v>
      </c>
      <c r="K740" s="385" t="str">
        <f>VLOOKUP(Table13[[#This Row],[CD_FUNCAO]],'BASE_FUNCOES (hide)'!A:X,2,FALSE)</f>
        <v>Pronto atendimento</v>
      </c>
    </row>
    <row r="741" spans="1:11" hidden="1">
      <c r="A741" s="385">
        <v>9030</v>
      </c>
      <c r="B741" s="385" t="s">
        <v>284</v>
      </c>
      <c r="C741" s="385" t="s">
        <v>1093</v>
      </c>
      <c r="D741" s="385" t="s">
        <v>1095</v>
      </c>
      <c r="E741" s="385">
        <v>89</v>
      </c>
      <c r="F741" s="385" t="s">
        <v>282</v>
      </c>
      <c r="G741" s="385" t="s">
        <v>1094</v>
      </c>
      <c r="H741" s="385" t="s">
        <v>1096</v>
      </c>
      <c r="I741" s="385" t="s">
        <v>3477</v>
      </c>
      <c r="J741" s="385" t="s">
        <v>3476</v>
      </c>
      <c r="K741" s="385" t="str">
        <f>VLOOKUP(Table13[[#This Row],[CD_FUNCAO]],'BASE_FUNCOES (hide)'!A:X,2,FALSE)</f>
        <v>Painel do Pronto Atendimento</v>
      </c>
    </row>
    <row r="742" spans="1:11" hidden="1">
      <c r="A742" s="385">
        <v>9037</v>
      </c>
      <c r="B742" s="385" t="s">
        <v>286</v>
      </c>
      <c r="C742" s="385" t="s">
        <v>1099</v>
      </c>
      <c r="D742" s="385" t="s">
        <v>1100</v>
      </c>
      <c r="E742" s="385">
        <v>89</v>
      </c>
      <c r="F742" s="385" t="s">
        <v>282</v>
      </c>
      <c r="G742" s="385" t="s">
        <v>1094</v>
      </c>
      <c r="H742" s="385" t="s">
        <v>1096</v>
      </c>
      <c r="I742" s="385" t="s">
        <v>3477</v>
      </c>
      <c r="J742" s="385" t="s">
        <v>3476</v>
      </c>
      <c r="K742" s="385" t="str">
        <f>VLOOKUP(Table13[[#This Row],[CD_FUNCAO]],'BASE_FUNCOES (hide)'!A:X,2,FALSE)</f>
        <v>Triagem do Pronto Atendimento</v>
      </c>
    </row>
    <row r="743" spans="1:11" hidden="1">
      <c r="A743" s="385">
        <v>440</v>
      </c>
      <c r="B743" s="385" t="s">
        <v>352</v>
      </c>
      <c r="C743" s="385" t="s">
        <v>1233</v>
      </c>
      <c r="D743" s="385" t="s">
        <v>1234</v>
      </c>
      <c r="E743" s="385">
        <v>89</v>
      </c>
      <c r="F743" s="385" t="s">
        <v>282</v>
      </c>
      <c r="G743" s="385" t="s">
        <v>1094</v>
      </c>
      <c r="H743" s="385" t="s">
        <v>1096</v>
      </c>
      <c r="I743" s="385" t="s">
        <v>3477</v>
      </c>
      <c r="J743" s="385" t="s">
        <v>3476</v>
      </c>
      <c r="K743" s="385" t="str">
        <f>VLOOKUP(Table13[[#This Row],[CD_FUNCAO]],'BASE_FUNCOES (hide)'!A:X,2,FALSE)</f>
        <v>Execução do Cartão Emergencial</v>
      </c>
    </row>
    <row r="744" spans="1:11" hidden="1">
      <c r="A744" s="385">
        <v>220</v>
      </c>
      <c r="B744" s="385" t="s">
        <v>4329</v>
      </c>
      <c r="C744" s="385" t="s">
        <v>1275</v>
      </c>
      <c r="D744" s="385" t="s">
        <v>4328</v>
      </c>
      <c r="E744" s="385">
        <v>90</v>
      </c>
      <c r="F744" s="385" t="s">
        <v>287</v>
      </c>
      <c r="I744" s="385" t="s">
        <v>3477</v>
      </c>
      <c r="J744" s="385" t="s">
        <v>3476</v>
      </c>
      <c r="K744" s="385" t="str">
        <f>VLOOKUP(Table13[[#This Row],[CD_FUNCAO]],'BASE_FUNCOES (hide)'!A:X,2,FALSE)</f>
        <v>Ressuprimento quimioterapia</v>
      </c>
    </row>
    <row r="745" spans="1:11" hidden="1">
      <c r="A745" s="385">
        <v>221</v>
      </c>
      <c r="B745" s="385" t="s">
        <v>407</v>
      </c>
      <c r="C745" s="385" t="s">
        <v>1277</v>
      </c>
      <c r="D745" s="385" t="s">
        <v>1278</v>
      </c>
      <c r="E745" s="385">
        <v>90</v>
      </c>
      <c r="F745" s="385" t="s">
        <v>287</v>
      </c>
      <c r="I745" s="385" t="s">
        <v>3477</v>
      </c>
      <c r="J745" s="385" t="s">
        <v>3476</v>
      </c>
      <c r="K745" s="385" t="str">
        <f>VLOOKUP(Table13[[#This Row],[CD_FUNCAO]],'BASE_FUNCOES (hide)'!A:X,2,FALSE)</f>
        <v>Transferência Estoque Quimioterapia</v>
      </c>
    </row>
    <row r="746" spans="1:11" hidden="1">
      <c r="A746" s="385">
        <v>865</v>
      </c>
      <c r="B746" s="385" t="s">
        <v>288</v>
      </c>
      <c r="C746" s="385" t="s">
        <v>4327</v>
      </c>
      <c r="D746" s="385" t="s">
        <v>288</v>
      </c>
      <c r="E746" s="385">
        <v>90</v>
      </c>
      <c r="F746" s="385" t="s">
        <v>287</v>
      </c>
      <c r="I746" s="385" t="s">
        <v>3477</v>
      </c>
      <c r="J746" s="385" t="s">
        <v>3476</v>
      </c>
      <c r="K746" s="385" t="str">
        <f>VLOOKUP(Table13[[#This Row],[CD_FUNCAO]],'BASE_FUNCOES (hide)'!A:X,2,FALSE)</f>
        <v>Agenda de Quimioterapia</v>
      </c>
    </row>
    <row r="747" spans="1:11" hidden="1">
      <c r="A747" s="385">
        <v>3130</v>
      </c>
      <c r="B747" s="385" t="s">
        <v>287</v>
      </c>
      <c r="C747" s="385" t="s">
        <v>1102</v>
      </c>
      <c r="D747" s="385" t="s">
        <v>287</v>
      </c>
      <c r="E747" s="385">
        <v>90</v>
      </c>
      <c r="F747" s="385" t="s">
        <v>287</v>
      </c>
      <c r="I747" s="385" t="s">
        <v>3477</v>
      </c>
      <c r="J747" s="385" t="s">
        <v>3476</v>
      </c>
      <c r="K747" s="385" t="str">
        <f>VLOOKUP(Table13[[#This Row],[CD_FUNCAO]],'BASE_FUNCOES (hide)'!A:X,2,FALSE)</f>
        <v>Quimioterapia</v>
      </c>
    </row>
    <row r="748" spans="1:11" hidden="1">
      <c r="A748" s="385">
        <v>3131</v>
      </c>
      <c r="B748" s="385" t="s">
        <v>289</v>
      </c>
      <c r="C748" s="385" t="s">
        <v>1103</v>
      </c>
      <c r="D748" s="385" t="s">
        <v>1104</v>
      </c>
      <c r="E748" s="385">
        <v>90</v>
      </c>
      <c r="F748" s="385" t="s">
        <v>287</v>
      </c>
      <c r="I748" s="385" t="s">
        <v>3477</v>
      </c>
      <c r="J748" s="385" t="s">
        <v>3476</v>
      </c>
      <c r="K748" s="385" t="str">
        <f>VLOOKUP(Table13[[#This Row],[CD_FUNCAO]],'BASE_FUNCOES (hide)'!A:X,2,FALSE)</f>
        <v>Registro Hospitalar de Câncer</v>
      </c>
    </row>
    <row r="749" spans="1:11">
      <c r="A749" s="385">
        <v>1356</v>
      </c>
      <c r="B749" s="385" t="s">
        <v>3710</v>
      </c>
      <c r="C749" s="385" t="s">
        <v>3709</v>
      </c>
      <c r="D749" s="385" t="s">
        <v>3708</v>
      </c>
      <c r="E749" s="385">
        <v>836</v>
      </c>
      <c r="F749" s="385" t="s">
        <v>849</v>
      </c>
      <c r="I749" s="385" t="s">
        <v>3477</v>
      </c>
      <c r="J749" s="385" t="s">
        <v>3513</v>
      </c>
      <c r="K749" s="385" t="str">
        <f>VLOOKUP(Table13[[#This Row],[CD_FUNCAO]],'BASE_FUNCOES (hide)'!A:X,2,FALSE)</f>
        <v>OPS - Faturamento</v>
      </c>
    </row>
    <row r="750" spans="1:11" hidden="1">
      <c r="A750" s="385">
        <v>406</v>
      </c>
      <c r="B750" s="385" t="s">
        <v>292</v>
      </c>
      <c r="C750" s="385" t="s">
        <v>1109</v>
      </c>
      <c r="D750" s="385" t="s">
        <v>1110</v>
      </c>
      <c r="E750" s="385">
        <v>91</v>
      </c>
      <c r="F750" s="385" t="s">
        <v>290</v>
      </c>
      <c r="I750" s="385" t="s">
        <v>3477</v>
      </c>
      <c r="J750" s="385" t="s">
        <v>3476</v>
      </c>
      <c r="K750" s="385" t="str">
        <f>VLOOKUP(Table13[[#This Row],[CD_FUNCAO]],'BASE_FUNCOES (hide)'!A:X,2,FALSE)</f>
        <v>Gestão de CME</v>
      </c>
    </row>
    <row r="751" spans="1:11">
      <c r="A751" s="385">
        <v>1357</v>
      </c>
      <c r="B751" s="385" t="s">
        <v>3835</v>
      </c>
      <c r="C751" s="385" t="s">
        <v>3834</v>
      </c>
      <c r="D751" s="385" t="s">
        <v>3833</v>
      </c>
      <c r="E751" s="385">
        <v>691</v>
      </c>
      <c r="F751" s="385" t="s">
        <v>3799</v>
      </c>
      <c r="I751" s="385" t="s">
        <v>3477</v>
      </c>
      <c r="J751" s="385" t="s">
        <v>3513</v>
      </c>
      <c r="K751" s="385" t="str">
        <f>VLOOKUP(Table13[[#This Row],[CD_FUNCAO]],'BASE_FUNCOES (hide)'!A:X,2,FALSE)</f>
        <v>OPS - Gestão de Alertas e Eventos</v>
      </c>
    </row>
    <row r="752" spans="1:11" hidden="1">
      <c r="A752" s="385">
        <v>410</v>
      </c>
      <c r="B752" s="385" t="s">
        <v>293</v>
      </c>
      <c r="C752" s="385" t="s">
        <v>4320</v>
      </c>
      <c r="D752" s="385" t="s">
        <v>1106</v>
      </c>
      <c r="E752" s="385">
        <v>91</v>
      </c>
      <c r="F752" s="385" t="s">
        <v>290</v>
      </c>
      <c r="I752" s="385" t="s">
        <v>3477</v>
      </c>
      <c r="J752" s="385" t="s">
        <v>3476</v>
      </c>
      <c r="K752" s="385" t="str">
        <f>VLOOKUP(Table13[[#This Row],[CD_FUNCAO]],'BASE_FUNCOES (hide)'!A:X,2,FALSE)</f>
        <v>Requisição de Conjuntos</v>
      </c>
    </row>
    <row r="753" spans="1:11" hidden="1">
      <c r="A753" s="385">
        <v>407</v>
      </c>
      <c r="B753" s="385" t="s">
        <v>291</v>
      </c>
      <c r="C753" s="385" t="s">
        <v>1107</v>
      </c>
      <c r="D753" s="385" t="s">
        <v>1108</v>
      </c>
      <c r="E753" s="385">
        <v>91</v>
      </c>
      <c r="F753" s="385" t="s">
        <v>290</v>
      </c>
      <c r="I753" s="385" t="s">
        <v>3477</v>
      </c>
      <c r="J753" s="385" t="s">
        <v>3476</v>
      </c>
      <c r="K753" s="385" t="str">
        <f>VLOOKUP(Table13[[#This Row],[CD_FUNCAO]],'BASE_FUNCOES (hide)'!A:X,2,FALSE)</f>
        <v>Cadastro de Itens Físicos</v>
      </c>
    </row>
    <row r="754" spans="1:11" hidden="1">
      <c r="A754" s="385">
        <v>75</v>
      </c>
      <c r="B754" s="385" t="s">
        <v>296</v>
      </c>
      <c r="C754" s="385" t="s">
        <v>1113</v>
      </c>
      <c r="D754" s="385" t="s">
        <v>1114</v>
      </c>
      <c r="E754" s="385">
        <v>93</v>
      </c>
      <c r="F754" s="385" t="s">
        <v>294</v>
      </c>
      <c r="I754" s="385" t="s">
        <v>3477</v>
      </c>
      <c r="J754" s="385" t="s">
        <v>3476</v>
      </c>
      <c r="K754" s="385" t="str">
        <f>VLOOKUP(Table13[[#This Row],[CD_FUNCAO]],'BASE_FUNCOES (hide)'!A:X,2,FALSE)</f>
        <v>Gestão de Serviços de Leito</v>
      </c>
    </row>
    <row r="755" spans="1:11" hidden="1">
      <c r="A755" s="385">
        <v>1350</v>
      </c>
      <c r="B755" s="385" t="s">
        <v>295</v>
      </c>
      <c r="C755" s="385" t="s">
        <v>1111</v>
      </c>
      <c r="D755" s="385" t="s">
        <v>1112</v>
      </c>
      <c r="E755" s="385">
        <v>93</v>
      </c>
      <c r="F755" s="385" t="s">
        <v>294</v>
      </c>
      <c r="I755" s="385" t="s">
        <v>3477</v>
      </c>
      <c r="K755" s="385" t="str">
        <f>VLOOKUP(Table13[[#This Row],[CD_FUNCAO]],'BASE_FUNCOES (hide)'!A:X,2,FALSE)</f>
        <v>Controle de Resíduos Hospitalares e Lixo</v>
      </c>
    </row>
    <row r="756" spans="1:11" hidden="1">
      <c r="A756" s="385">
        <v>989</v>
      </c>
      <c r="B756" s="385" t="s">
        <v>298</v>
      </c>
      <c r="C756" s="385" t="s">
        <v>1115</v>
      </c>
      <c r="D756" s="385" t="s">
        <v>1116</v>
      </c>
      <c r="E756" s="385">
        <v>94</v>
      </c>
      <c r="F756" s="385" t="s">
        <v>297</v>
      </c>
      <c r="I756" s="385" t="s">
        <v>3477</v>
      </c>
      <c r="J756" s="385" t="s">
        <v>3476</v>
      </c>
      <c r="K756" s="385" t="str">
        <f>VLOOKUP(Table13[[#This Row],[CD_FUNCAO]],'BASE_FUNCOES (hide)'!A:X,2,FALSE)</f>
        <v>Regulação</v>
      </c>
    </row>
    <row r="757" spans="1:11" hidden="1">
      <c r="A757" s="385">
        <v>929</v>
      </c>
      <c r="B757" s="385" t="s">
        <v>299</v>
      </c>
      <c r="C757" s="385" t="s">
        <v>1117</v>
      </c>
      <c r="D757" s="385" t="s">
        <v>1118</v>
      </c>
      <c r="E757" s="385">
        <v>94</v>
      </c>
      <c r="F757" s="385" t="s">
        <v>297</v>
      </c>
      <c r="I757" s="385" t="s">
        <v>3477</v>
      </c>
      <c r="J757" s="385" t="s">
        <v>3476</v>
      </c>
      <c r="K757" s="385" t="str">
        <f>VLOOKUP(Table13[[#This Row],[CD_FUNCAO]],'BASE_FUNCOES (hide)'!A:X,2,FALSE)</f>
        <v>Serviços de Emergência</v>
      </c>
    </row>
    <row r="758" spans="1:11" hidden="1">
      <c r="A758" s="385">
        <v>996</v>
      </c>
      <c r="B758" s="385" t="s">
        <v>300</v>
      </c>
      <c r="C758" s="385" t="s">
        <v>300</v>
      </c>
      <c r="D758" s="385" t="s">
        <v>300</v>
      </c>
      <c r="E758" s="385">
        <v>95</v>
      </c>
      <c r="F758" s="385" t="s">
        <v>300</v>
      </c>
      <c r="I758" s="385" t="s">
        <v>3477</v>
      </c>
      <c r="J758" s="385" t="s">
        <v>3476</v>
      </c>
      <c r="K758" s="385" t="str">
        <f>VLOOKUP(Table13[[#This Row],[CD_FUNCAO]],'BASE_FUNCOES (hide)'!A:X,2,FALSE)</f>
        <v>Check-up</v>
      </c>
    </row>
    <row r="759" spans="1:11" hidden="1">
      <c r="A759" s="385">
        <v>903</v>
      </c>
      <c r="B759" s="385" t="s">
        <v>302</v>
      </c>
      <c r="C759" s="385" t="s">
        <v>1119</v>
      </c>
      <c r="D759" s="385" t="s">
        <v>1120</v>
      </c>
      <c r="E759" s="385">
        <v>96</v>
      </c>
      <c r="F759" s="385" t="s">
        <v>301</v>
      </c>
      <c r="I759" s="385" t="s">
        <v>3477</v>
      </c>
      <c r="J759" s="385" t="s">
        <v>3476</v>
      </c>
      <c r="K759" s="385" t="str">
        <f>VLOOKUP(Table13[[#This Row],[CD_FUNCAO]],'BASE_FUNCOES (hide)'!A:X,2,FALSE)</f>
        <v>Controle de Imunizações</v>
      </c>
    </row>
    <row r="760" spans="1:11">
      <c r="A760" s="385">
        <v>1358</v>
      </c>
      <c r="B760" s="385" t="s">
        <v>4453</v>
      </c>
      <c r="C760" s="385" t="s">
        <v>4454</v>
      </c>
      <c r="D760" s="385" t="s">
        <v>4453</v>
      </c>
      <c r="E760" s="385">
        <v>381</v>
      </c>
      <c r="F760" s="385" t="s">
        <v>4377</v>
      </c>
      <c r="I760" s="385" t="s">
        <v>3506</v>
      </c>
      <c r="J760" s="385" t="s">
        <v>3513</v>
      </c>
      <c r="K760" s="385" t="e">
        <f>VLOOKUP(Table13[[#This Row],[CD_FUNCAO]],'BASE_FUNCOES (hide)'!A:X,2,FALSE)</f>
        <v>#N/A</v>
      </c>
    </row>
    <row r="761" spans="1:11" hidden="1">
      <c r="A761" s="385">
        <v>1007</v>
      </c>
      <c r="B761" s="385" t="s">
        <v>306</v>
      </c>
      <c r="C761" s="385" t="s">
        <v>1125</v>
      </c>
      <c r="D761" s="385" t="s">
        <v>1126</v>
      </c>
      <c r="E761" s="385">
        <v>98</v>
      </c>
      <c r="F761" s="385" t="s">
        <v>303</v>
      </c>
      <c r="I761" s="385" t="s">
        <v>3477</v>
      </c>
      <c r="J761" s="385" t="s">
        <v>3476</v>
      </c>
      <c r="K761" s="385" t="str">
        <f>VLOOKUP(Table13[[#This Row],[CD_FUNCAO]],'BASE_FUNCOES (hide)'!A:X,2,FALSE)</f>
        <v>Controle Interno de Prontuário (CIP)</v>
      </c>
    </row>
    <row r="762" spans="1:11" hidden="1">
      <c r="A762" s="385">
        <v>46</v>
      </c>
      <c r="B762" s="385" t="s">
        <v>304</v>
      </c>
      <c r="C762" s="385" t="s">
        <v>1127</v>
      </c>
      <c r="D762" s="385" t="s">
        <v>1128</v>
      </c>
      <c r="E762" s="385">
        <v>98</v>
      </c>
      <c r="F762" s="385" t="s">
        <v>303</v>
      </c>
      <c r="I762" s="385" t="s">
        <v>3477</v>
      </c>
      <c r="J762" s="385" t="s">
        <v>3476</v>
      </c>
      <c r="K762" s="385" t="str">
        <f>VLOOKUP(Table13[[#This Row],[CD_FUNCAO]],'BASE_FUNCOES (hide)'!A:X,2,FALSE)</f>
        <v>Controle de Prontuários</v>
      </c>
    </row>
    <row r="763" spans="1:11" hidden="1">
      <c r="A763" s="385">
        <v>941</v>
      </c>
      <c r="B763" s="385" t="s">
        <v>307</v>
      </c>
      <c r="C763" s="385" t="s">
        <v>1123</v>
      </c>
      <c r="D763" s="385" t="s">
        <v>1124</v>
      </c>
      <c r="E763" s="385">
        <v>98</v>
      </c>
      <c r="F763" s="385" t="s">
        <v>303</v>
      </c>
      <c r="I763" s="385" t="s">
        <v>3477</v>
      </c>
      <c r="J763" s="385" t="s">
        <v>3476</v>
      </c>
      <c r="K763" s="385" t="str">
        <f>VLOOKUP(Table13[[#This Row],[CD_FUNCAO]],'BASE_FUNCOES (hide)'!A:X,2,FALSE)</f>
        <v>Gestão de Prontuários</v>
      </c>
    </row>
    <row r="764" spans="1:11" hidden="1">
      <c r="A764" s="385">
        <v>61</v>
      </c>
      <c r="B764" s="385" t="s">
        <v>305</v>
      </c>
      <c r="C764" s="385" t="s">
        <v>1121</v>
      </c>
      <c r="D764" s="385" t="s">
        <v>1122</v>
      </c>
      <c r="E764" s="385">
        <v>98</v>
      </c>
      <c r="F764" s="385" t="s">
        <v>303</v>
      </c>
      <c r="I764" s="385" t="s">
        <v>3477</v>
      </c>
      <c r="J764" s="385" t="s">
        <v>3476</v>
      </c>
      <c r="K764" s="385" t="str">
        <f>VLOOKUP(Table13[[#This Row],[CD_FUNCAO]],'BASE_FUNCOES (hide)'!A:X,2,FALSE)</f>
        <v>Controle Interno de Exames</v>
      </c>
    </row>
    <row r="765" spans="1:11" hidden="1">
      <c r="A765" s="385">
        <v>109</v>
      </c>
      <c r="B765" s="385" t="s">
        <v>108</v>
      </c>
      <c r="C765" s="385" t="s">
        <v>1129</v>
      </c>
      <c r="D765" s="385" t="s">
        <v>1130</v>
      </c>
      <c r="E765" s="385">
        <v>99</v>
      </c>
      <c r="F765" s="385" t="s">
        <v>5</v>
      </c>
      <c r="I765" s="385" t="s">
        <v>3477</v>
      </c>
      <c r="J765" s="385" t="s">
        <v>3476</v>
      </c>
      <c r="K765" s="385" t="str">
        <f>VLOOKUP(Table13[[#This Row],[CD_FUNCAO]],'BASE_FUNCOES (hide)'!A:X,2,FALSE)</f>
        <v>Atendimento da Requisição</v>
      </c>
    </row>
    <row r="766" spans="1:11" hidden="1">
      <c r="A766" s="385">
        <v>185</v>
      </c>
      <c r="B766" s="385" t="s">
        <v>1703</v>
      </c>
      <c r="C766" s="385" t="s">
        <v>1704</v>
      </c>
      <c r="D766" s="385" t="s">
        <v>1705</v>
      </c>
      <c r="E766" s="385">
        <v>99</v>
      </c>
      <c r="F766" s="385" t="s">
        <v>5</v>
      </c>
      <c r="I766" s="385" t="s">
        <v>3477</v>
      </c>
      <c r="J766" s="385" t="s">
        <v>3476</v>
      </c>
      <c r="K766" s="385" t="str">
        <f>VLOOKUP(Table13[[#This Row],[CD_FUNCAO]],'BASE_FUNCOES (hide)'!A:X,2,FALSE)</f>
        <v>Rel Notas Digitadas</v>
      </c>
    </row>
    <row r="767" spans="1:11" hidden="1">
      <c r="A767" s="385">
        <v>270</v>
      </c>
      <c r="B767" s="385" t="s">
        <v>109</v>
      </c>
      <c r="C767" s="385" t="s">
        <v>4316</v>
      </c>
      <c r="D767" s="385" t="s">
        <v>1132</v>
      </c>
      <c r="E767" s="385">
        <v>99</v>
      </c>
      <c r="F767" s="385" t="s">
        <v>5</v>
      </c>
      <c r="I767" s="385" t="s">
        <v>3477</v>
      </c>
      <c r="J767" s="385" t="s">
        <v>3476</v>
      </c>
      <c r="K767" s="385" t="str">
        <f>VLOOKUP(Table13[[#This Row],[CD_FUNCAO]],'BASE_FUNCOES (hide)'!A:X,2,FALSE)</f>
        <v>Inspeção Recebimento</v>
      </c>
    </row>
    <row r="768" spans="1:11" hidden="1">
      <c r="A768" s="385">
        <v>40</v>
      </c>
      <c r="B768" s="385" t="s">
        <v>4315</v>
      </c>
      <c r="C768" s="385" t="s">
        <v>1133</v>
      </c>
      <c r="D768" s="385" t="s">
        <v>1134</v>
      </c>
      <c r="E768" s="385">
        <v>99</v>
      </c>
      <c r="F768" s="385" t="s">
        <v>5</v>
      </c>
      <c r="I768" s="385" t="s">
        <v>3477</v>
      </c>
      <c r="J768" s="385" t="s">
        <v>3477</v>
      </c>
      <c r="K768" s="385" t="str">
        <f>VLOOKUP(Table13[[#This Row],[CD_FUNCAO]],'BASE_FUNCOES (hide)'!A:X,2,FALSE)</f>
        <v>Nota fiscal</v>
      </c>
    </row>
    <row r="769" spans="1:11" hidden="1">
      <c r="A769" s="385">
        <v>919</v>
      </c>
      <c r="B769" s="385" t="s">
        <v>110</v>
      </c>
      <c r="C769" s="385" t="s">
        <v>1135</v>
      </c>
      <c r="D769" s="385" t="s">
        <v>1136</v>
      </c>
      <c r="E769" s="385">
        <v>99</v>
      </c>
      <c r="F769" s="385" t="s">
        <v>5</v>
      </c>
      <c r="I769" s="385" t="s">
        <v>3477</v>
      </c>
      <c r="J769" s="385" t="s">
        <v>3476</v>
      </c>
      <c r="K769" s="385" t="str">
        <f>VLOOKUP(Table13[[#This Row],[CD_FUNCAO]],'BASE_FUNCOES (hide)'!A:X,2,FALSE)</f>
        <v>Requisição de Materiais e Medicamentos</v>
      </c>
    </row>
    <row r="770" spans="1:11" hidden="1">
      <c r="A770" s="385">
        <v>952</v>
      </c>
      <c r="B770" s="385" t="s">
        <v>309</v>
      </c>
      <c r="C770" s="385" t="s">
        <v>1137</v>
      </c>
      <c r="D770" s="385" t="s">
        <v>1139</v>
      </c>
      <c r="E770" s="385">
        <v>100</v>
      </c>
      <c r="F770" s="385" t="s">
        <v>308</v>
      </c>
      <c r="I770" s="385" t="s">
        <v>3477</v>
      </c>
      <c r="J770" s="385" t="s">
        <v>3476</v>
      </c>
      <c r="K770" s="385" t="str">
        <f>VLOOKUP(Table13[[#This Row],[CD_FUNCAO]],'BASE_FUNCOES (hide)'!A:X,2,FALSE)</f>
        <v>Registro de Licitação</v>
      </c>
    </row>
    <row r="771" spans="1:11" hidden="1">
      <c r="A771" s="385">
        <v>953</v>
      </c>
      <c r="B771" s="385" t="s">
        <v>1141</v>
      </c>
      <c r="C771" s="385" t="s">
        <v>1142</v>
      </c>
      <c r="D771" s="385" t="s">
        <v>1141</v>
      </c>
      <c r="E771" s="385">
        <v>100</v>
      </c>
      <c r="F771" s="385" t="s">
        <v>308</v>
      </c>
      <c r="I771" s="385" t="s">
        <v>3477</v>
      </c>
      <c r="J771" s="385" t="s">
        <v>3476</v>
      </c>
      <c r="K771" s="385" t="str">
        <f>VLOOKUP(Table13[[#This Row],[CD_FUNCAO]],'BASE_FUNCOES (hide)'!A:X,2,FALSE)</f>
        <v>Registro de Compra</v>
      </c>
    </row>
    <row r="772" spans="1:11" hidden="1">
      <c r="A772" s="385">
        <v>918</v>
      </c>
      <c r="B772" s="385" t="s">
        <v>308</v>
      </c>
      <c r="C772" s="385" t="s">
        <v>4314</v>
      </c>
      <c r="D772" s="385" t="s">
        <v>1140</v>
      </c>
      <c r="E772" s="385">
        <v>100</v>
      </c>
      <c r="F772" s="385" t="s">
        <v>308</v>
      </c>
      <c r="I772" s="385" t="s">
        <v>3477</v>
      </c>
      <c r="J772" s="385" t="s">
        <v>3476</v>
      </c>
      <c r="K772" s="385" t="str">
        <f>VLOOKUP(Table13[[#This Row],[CD_FUNCAO]],'BASE_FUNCOES (hide)'!A:X,2,FALSE)</f>
        <v>Licitação</v>
      </c>
    </row>
    <row r="773" spans="1:11" hidden="1">
      <c r="A773" s="385">
        <v>1116</v>
      </c>
      <c r="B773" s="385" t="s">
        <v>310</v>
      </c>
      <c r="C773" s="385" t="s">
        <v>1143</v>
      </c>
      <c r="D773" s="385" t="s">
        <v>1144</v>
      </c>
      <c r="E773" s="385">
        <v>101</v>
      </c>
      <c r="F773" s="385" t="s">
        <v>19</v>
      </c>
      <c r="I773" s="385" t="s">
        <v>3477</v>
      </c>
      <c r="J773" s="385" t="s">
        <v>3476</v>
      </c>
      <c r="K773" s="385" t="str">
        <f>VLOOKUP(Table13[[#This Row],[CD_FUNCAO]],'BASE_FUNCOES (hide)'!A:X,2,FALSE)</f>
        <v>Auditoria Conta Paciente</v>
      </c>
    </row>
    <row r="774" spans="1:11" hidden="1">
      <c r="A774" s="385">
        <v>988</v>
      </c>
      <c r="B774" s="385" t="s">
        <v>77</v>
      </c>
      <c r="C774" s="385" t="s">
        <v>1145</v>
      </c>
      <c r="D774" s="385" t="s">
        <v>1146</v>
      </c>
      <c r="E774" s="385">
        <v>102</v>
      </c>
      <c r="F774" s="385" t="s">
        <v>21</v>
      </c>
      <c r="I774" s="385" t="s">
        <v>3477</v>
      </c>
      <c r="J774" s="385" t="s">
        <v>3476</v>
      </c>
      <c r="K774" s="385" t="str">
        <f>VLOOKUP(Table13[[#This Row],[CD_FUNCAO]],'BASE_FUNCOES (hide)'!A:X,2,FALSE)</f>
        <v>Gerenciamento de Autorizações</v>
      </c>
    </row>
    <row r="775" spans="1:11" hidden="1">
      <c r="A775" s="385">
        <v>1006</v>
      </c>
      <c r="B775" s="385" t="s">
        <v>78</v>
      </c>
      <c r="C775" s="385" t="s">
        <v>78</v>
      </c>
      <c r="D775" s="385" t="s">
        <v>4313</v>
      </c>
      <c r="E775" s="385">
        <v>102</v>
      </c>
      <c r="F775" s="385" t="s">
        <v>21</v>
      </c>
      <c r="I775" s="385" t="s">
        <v>3477</v>
      </c>
      <c r="J775" s="385" t="s">
        <v>3476</v>
      </c>
      <c r="K775" s="385" t="str">
        <f>VLOOKUP(Table13[[#This Row],[CD_FUNCAO]],'BASE_FUNCOES (hide)'!A:X,2,FALSE)</f>
        <v>Gestão de Autorizações SUS</v>
      </c>
    </row>
    <row r="776" spans="1:11" hidden="1">
      <c r="A776" s="385">
        <v>3004</v>
      </c>
      <c r="B776" s="385" t="s">
        <v>76</v>
      </c>
      <c r="C776" s="385" t="s">
        <v>1148</v>
      </c>
      <c r="D776" s="385" t="s">
        <v>1149</v>
      </c>
      <c r="E776" s="385">
        <v>102</v>
      </c>
      <c r="F776" s="385" t="s">
        <v>21</v>
      </c>
      <c r="I776" s="385" t="s">
        <v>3477</v>
      </c>
      <c r="J776" s="385" t="s">
        <v>3476</v>
      </c>
      <c r="K776" s="385" t="str">
        <f>VLOOKUP(Table13[[#This Row],[CD_FUNCAO]],'BASE_FUNCOES (hide)'!A:X,2,FALSE)</f>
        <v>Autorização Convênio</v>
      </c>
    </row>
    <row r="777" spans="1:11" hidden="1">
      <c r="A777" s="385">
        <v>3006</v>
      </c>
      <c r="B777" s="385" t="s">
        <v>4312</v>
      </c>
      <c r="C777" s="385" t="s">
        <v>1150</v>
      </c>
      <c r="D777" s="385" t="s">
        <v>4311</v>
      </c>
      <c r="E777" s="385">
        <v>102</v>
      </c>
      <c r="F777" s="385" t="s">
        <v>21</v>
      </c>
      <c r="I777" s="385" t="s">
        <v>3477</v>
      </c>
      <c r="J777" s="385" t="s">
        <v>3476</v>
      </c>
      <c r="K777" s="385" t="str">
        <f>VLOOKUP(Table13[[#This Row],[CD_FUNCAO]],'BASE_FUNCOES (hide)'!A:X,2,FALSE)</f>
        <v>Autorização de materiais especiais</v>
      </c>
    </row>
    <row r="778" spans="1:11">
      <c r="A778" s="385">
        <v>1359</v>
      </c>
      <c r="B778" s="385" t="s">
        <v>3838</v>
      </c>
      <c r="C778" s="385" t="s">
        <v>3837</v>
      </c>
      <c r="D778" s="385" t="s">
        <v>3836</v>
      </c>
      <c r="E778" s="385">
        <v>691</v>
      </c>
      <c r="F778" s="385" t="s">
        <v>3799</v>
      </c>
      <c r="I778" s="385" t="s">
        <v>3488</v>
      </c>
      <c r="J778" s="385" t="s">
        <v>3513</v>
      </c>
      <c r="K778" s="385" t="str">
        <f>VLOOKUP(Table13[[#This Row],[CD_FUNCAO]],'BASE_FUNCOES (hide)'!A:X,2,FALSE)</f>
        <v>OPS - Localizador de Guia Referência</v>
      </c>
    </row>
    <row r="779" spans="1:11" hidden="1">
      <c r="A779" s="385">
        <v>69</v>
      </c>
      <c r="B779" s="385" t="s">
        <v>105</v>
      </c>
      <c r="C779" s="385" t="s">
        <v>1152</v>
      </c>
      <c r="D779" s="385" t="s">
        <v>1153</v>
      </c>
      <c r="E779" s="385">
        <v>103</v>
      </c>
      <c r="F779" s="385" t="s">
        <v>22</v>
      </c>
      <c r="I779" s="385" t="s">
        <v>3477</v>
      </c>
      <c r="J779" s="385" t="s">
        <v>3476</v>
      </c>
      <c r="K779" s="385" t="str">
        <f>VLOOKUP(Table13[[#This Row],[CD_FUNCAO]],'BASE_FUNCOES (hide)'!A:X,2,FALSE)</f>
        <v>Gestão de Recurso de Glosas</v>
      </c>
    </row>
    <row r="780" spans="1:11" hidden="1">
      <c r="A780" s="385">
        <v>27</v>
      </c>
      <c r="B780" s="385" t="s">
        <v>106</v>
      </c>
      <c r="C780" s="385" t="s">
        <v>1154</v>
      </c>
      <c r="D780" s="385" t="s">
        <v>1155</v>
      </c>
      <c r="E780" s="385">
        <v>103</v>
      </c>
      <c r="F780" s="385" t="s">
        <v>22</v>
      </c>
      <c r="I780" s="385" t="s">
        <v>3477</v>
      </c>
      <c r="J780" s="385" t="s">
        <v>3476</v>
      </c>
      <c r="K780" s="385" t="str">
        <f>VLOOKUP(Table13[[#This Row],[CD_FUNCAO]],'BASE_FUNCOES (hide)'!A:X,2,FALSE)</f>
        <v>Retorno Convênio</v>
      </c>
    </row>
    <row r="781" spans="1:11" hidden="1">
      <c r="A781" s="385">
        <v>9920</v>
      </c>
      <c r="B781" s="385" t="s">
        <v>394</v>
      </c>
      <c r="C781" s="385" t="s">
        <v>1331</v>
      </c>
      <c r="D781" s="385" t="s">
        <v>1332</v>
      </c>
      <c r="E781" s="385">
        <v>104</v>
      </c>
      <c r="F781" s="385" t="s">
        <v>23</v>
      </c>
      <c r="G781" s="385" t="s">
        <v>4305</v>
      </c>
      <c r="H781" s="385" t="s">
        <v>1159</v>
      </c>
      <c r="I781" s="385" t="s">
        <v>3477</v>
      </c>
      <c r="J781" s="385" t="s">
        <v>3477</v>
      </c>
      <c r="K781" s="385" t="str">
        <f>VLOOKUP(Table13[[#This Row],[CD_FUNCAO]],'BASE_FUNCOES (hide)'!A:X,2,FALSE)</f>
        <v>Produção por Plantão Médico</v>
      </c>
    </row>
    <row r="782" spans="1:11" hidden="1">
      <c r="A782" s="385">
        <v>907</v>
      </c>
      <c r="B782" s="385" t="s">
        <v>102</v>
      </c>
      <c r="C782" s="385" t="s">
        <v>1162</v>
      </c>
      <c r="D782" s="385" t="s">
        <v>1163</v>
      </c>
      <c r="E782" s="385">
        <v>104</v>
      </c>
      <c r="F782" s="385" t="s">
        <v>23</v>
      </c>
      <c r="G782" s="385" t="s">
        <v>4305</v>
      </c>
      <c r="H782" s="385" t="s">
        <v>1159</v>
      </c>
      <c r="I782" s="385" t="s">
        <v>3477</v>
      </c>
      <c r="J782" s="385" t="s">
        <v>3477</v>
      </c>
      <c r="K782" s="385" t="str">
        <f>VLOOKUP(Table13[[#This Row],[CD_FUNCAO]],'BASE_FUNCOES (hide)'!A:X,2,FALSE)</f>
        <v>Controle de Terceiros</v>
      </c>
    </row>
    <row r="783" spans="1:11" hidden="1">
      <c r="A783" s="385">
        <v>1008</v>
      </c>
      <c r="B783" s="385" t="s">
        <v>312</v>
      </c>
      <c r="C783" s="385" t="s">
        <v>1160</v>
      </c>
      <c r="D783" s="385" t="s">
        <v>1161</v>
      </c>
      <c r="E783" s="385">
        <v>104</v>
      </c>
      <c r="F783" s="385" t="s">
        <v>23</v>
      </c>
      <c r="G783" s="385" t="s">
        <v>4305</v>
      </c>
      <c r="H783" s="385" t="s">
        <v>1159</v>
      </c>
      <c r="I783" s="385" t="s">
        <v>3477</v>
      </c>
      <c r="J783" s="385" t="s">
        <v>3476</v>
      </c>
      <c r="K783" s="385" t="str">
        <f>VLOOKUP(Table13[[#This Row],[CD_FUNCAO]],'BASE_FUNCOES (hide)'!A:X,2,FALSE)</f>
        <v>Cadastro de Plantões Médicos</v>
      </c>
    </row>
    <row r="784" spans="1:11" hidden="1">
      <c r="A784" s="385">
        <v>92</v>
      </c>
      <c r="B784" s="385" t="s">
        <v>103</v>
      </c>
      <c r="C784" s="385" t="s">
        <v>4307</v>
      </c>
      <c r="D784" s="385" t="s">
        <v>1165</v>
      </c>
      <c r="E784" s="385">
        <v>104</v>
      </c>
      <c r="F784" s="385" t="s">
        <v>23</v>
      </c>
      <c r="G784" s="385" t="s">
        <v>4305</v>
      </c>
      <c r="H784" s="385" t="s">
        <v>1159</v>
      </c>
      <c r="I784" s="385" t="s">
        <v>3477</v>
      </c>
      <c r="J784" s="385" t="s">
        <v>3476</v>
      </c>
      <c r="K784" s="385" t="str">
        <f>VLOOKUP(Table13[[#This Row],[CD_FUNCAO]],'BASE_FUNCOES (hide)'!A:X,2,FALSE)</f>
        <v>Regras e Critérios de Repasse</v>
      </c>
    </row>
    <row r="785" spans="1:11" hidden="1">
      <c r="A785" s="385">
        <v>89</v>
      </c>
      <c r="B785" s="385" t="s">
        <v>104</v>
      </c>
      <c r="C785" s="385" t="s">
        <v>4306</v>
      </c>
      <c r="D785" s="385" t="s">
        <v>1158</v>
      </c>
      <c r="E785" s="385">
        <v>104</v>
      </c>
      <c r="F785" s="385" t="s">
        <v>23</v>
      </c>
      <c r="G785" s="385" t="s">
        <v>4305</v>
      </c>
      <c r="H785" s="385" t="s">
        <v>1159</v>
      </c>
      <c r="I785" s="385" t="s">
        <v>3477</v>
      </c>
      <c r="J785" s="385" t="s">
        <v>3476</v>
      </c>
      <c r="K785" s="385" t="str">
        <f>VLOOKUP(Table13[[#This Row],[CD_FUNCAO]],'BASE_FUNCOES (hide)'!A:X,2,FALSE)</f>
        <v>Repasse para Terceiros</v>
      </c>
    </row>
    <row r="786" spans="1:11" hidden="1">
      <c r="A786" s="385">
        <v>7007</v>
      </c>
      <c r="B786" s="385" t="s">
        <v>314</v>
      </c>
      <c r="C786" s="385" t="s">
        <v>1175</v>
      </c>
      <c r="D786" s="385" t="s">
        <v>1176</v>
      </c>
      <c r="E786" s="385">
        <v>105</v>
      </c>
      <c r="F786" s="385" t="s">
        <v>313</v>
      </c>
      <c r="I786" s="385" t="s">
        <v>3477</v>
      </c>
      <c r="J786" s="385" t="s">
        <v>3476</v>
      </c>
      <c r="K786" s="385" t="str">
        <f>VLOOKUP(Table13[[#This Row],[CD_FUNCAO]],'BASE_FUNCOES (hide)'!A:X,2,FALSE)</f>
        <v>Avaliação de Profissionais</v>
      </c>
    </row>
    <row r="787" spans="1:11" hidden="1">
      <c r="A787" s="385">
        <v>63</v>
      </c>
      <c r="B787" s="385" t="s">
        <v>317</v>
      </c>
      <c r="C787" s="385" t="s">
        <v>1171</v>
      </c>
      <c r="D787" s="385" t="s">
        <v>1172</v>
      </c>
      <c r="E787" s="385">
        <v>105</v>
      </c>
      <c r="F787" s="385" t="s">
        <v>313</v>
      </c>
      <c r="I787" s="385" t="s">
        <v>3477</v>
      </c>
      <c r="J787" s="385" t="s">
        <v>3476</v>
      </c>
      <c r="K787" s="385" t="str">
        <f>VLOOKUP(Table13[[#This Row],[CD_FUNCAO]],'BASE_FUNCOES (hide)'!A:X,2,FALSE)</f>
        <v>Gestão de Acesso de Profissionais</v>
      </c>
    </row>
    <row r="788" spans="1:11">
      <c r="A788" s="385">
        <v>1360</v>
      </c>
      <c r="B788" s="385" t="s">
        <v>3888</v>
      </c>
      <c r="C788" s="385" t="s">
        <v>3887</v>
      </c>
      <c r="D788" s="385" t="s">
        <v>3886</v>
      </c>
      <c r="E788" s="385">
        <v>690</v>
      </c>
      <c r="F788" s="385" t="s">
        <v>3854</v>
      </c>
      <c r="I788" s="385" t="s">
        <v>3488</v>
      </c>
      <c r="J788" s="385" t="s">
        <v>3513</v>
      </c>
      <c r="K788" s="385" t="str">
        <f>VLOOKUP(Table13[[#This Row],[CD_FUNCAO]],'BASE_FUNCOES (hide)'!A:X,2,FALSE)</f>
        <v>OPS - Localizador de Operadoras</v>
      </c>
    </row>
    <row r="789" spans="1:11" hidden="1">
      <c r="A789" s="385">
        <v>4003</v>
      </c>
      <c r="B789" s="385" t="s">
        <v>315</v>
      </c>
      <c r="C789" s="385" t="s">
        <v>1173</v>
      </c>
      <c r="D789" s="385" t="s">
        <v>1174</v>
      </c>
      <c r="E789" s="385">
        <v>105</v>
      </c>
      <c r="F789" s="385" t="s">
        <v>313</v>
      </c>
      <c r="I789" s="385" t="s">
        <v>3477</v>
      </c>
      <c r="J789" s="385" t="s">
        <v>3476</v>
      </c>
      <c r="K789" s="385" t="str">
        <f>VLOOKUP(Table13[[#This Row],[CD_FUNCAO]],'BASE_FUNCOES (hide)'!A:X,2,FALSE)</f>
        <v>Consulta da Qualidade</v>
      </c>
    </row>
    <row r="790" spans="1:11" hidden="1">
      <c r="A790" s="385">
        <v>7032</v>
      </c>
      <c r="B790" s="385" t="s">
        <v>318</v>
      </c>
      <c r="C790" s="385" t="s">
        <v>1166</v>
      </c>
      <c r="D790" s="385" t="s">
        <v>1167</v>
      </c>
      <c r="E790" s="385">
        <v>105</v>
      </c>
      <c r="F790" s="385" t="s">
        <v>313</v>
      </c>
      <c r="I790" s="385" t="s">
        <v>3477</v>
      </c>
      <c r="J790" s="385" t="s">
        <v>3476</v>
      </c>
      <c r="K790" s="385" t="str">
        <f>VLOOKUP(Table13[[#This Row],[CD_FUNCAO]],'BASE_FUNCOES (hide)'!A:X,2,FALSE)</f>
        <v>Gestão de Alertas e Eventos</v>
      </c>
    </row>
    <row r="791" spans="1:11" hidden="1">
      <c r="A791" s="385">
        <v>243</v>
      </c>
      <c r="B791" s="385" t="s">
        <v>319</v>
      </c>
      <c r="C791" s="385" t="s">
        <v>1168</v>
      </c>
      <c r="D791" s="385" t="s">
        <v>319</v>
      </c>
      <c r="E791" s="385">
        <v>105</v>
      </c>
      <c r="F791" s="385" t="s">
        <v>313</v>
      </c>
      <c r="I791" s="385" t="s">
        <v>3477</v>
      </c>
      <c r="J791" s="385" t="s">
        <v>3476</v>
      </c>
      <c r="K791" s="385" t="str">
        <f>VLOOKUP(Table13[[#This Row],[CD_FUNCAO]],'BASE_FUNCOES (hide)'!A:X,2,FALSE)</f>
        <v>Problemas</v>
      </c>
    </row>
    <row r="792" spans="1:11" hidden="1">
      <c r="A792" s="385">
        <v>4000</v>
      </c>
      <c r="B792" s="385" t="s">
        <v>316</v>
      </c>
      <c r="C792" s="385" t="s">
        <v>4301</v>
      </c>
      <c r="D792" s="385" t="s">
        <v>1170</v>
      </c>
      <c r="E792" s="385">
        <v>105</v>
      </c>
      <c r="F792" s="385" t="s">
        <v>313</v>
      </c>
      <c r="I792" s="385" t="s">
        <v>3477</v>
      </c>
      <c r="J792" s="385" t="s">
        <v>3476</v>
      </c>
      <c r="K792" s="385" t="str">
        <f>VLOOKUP(Table13[[#This Row],[CD_FUNCAO]],'BASE_FUNCOES (hide)'!A:X,2,FALSE)</f>
        <v>Gestão da Qualidade</v>
      </c>
    </row>
    <row r="793" spans="1:11" hidden="1">
      <c r="A793" s="385">
        <v>17</v>
      </c>
      <c r="B793" s="385" t="s">
        <v>320</v>
      </c>
      <c r="C793" s="385" t="s">
        <v>1177</v>
      </c>
      <c r="D793" s="385" t="s">
        <v>1178</v>
      </c>
      <c r="E793" s="385">
        <v>105</v>
      </c>
      <c r="F793" s="385" t="s">
        <v>313</v>
      </c>
      <c r="I793" s="385" t="s">
        <v>3477</v>
      </c>
      <c r="J793" s="385" t="s">
        <v>3476</v>
      </c>
      <c r="K793" s="385" t="str">
        <f>VLOOKUP(Table13[[#This Row],[CD_FUNCAO]],'BASE_FUNCOES (hide)'!A:X,2,FALSE)</f>
        <v>Processos</v>
      </c>
    </row>
    <row r="794" spans="1:11">
      <c r="A794" s="385">
        <v>1361</v>
      </c>
      <c r="B794" s="385" t="s">
        <v>3841</v>
      </c>
      <c r="C794" s="385" t="s">
        <v>3840</v>
      </c>
      <c r="D794" s="385" t="s">
        <v>3839</v>
      </c>
      <c r="E794" s="385">
        <v>691</v>
      </c>
      <c r="F794" s="385" t="s">
        <v>3799</v>
      </c>
      <c r="I794" s="385" t="s">
        <v>3510</v>
      </c>
      <c r="J794" s="385" t="s">
        <v>3513</v>
      </c>
      <c r="K794" s="385" t="e">
        <f>VLOOKUP(Table13[[#This Row],[CD_FUNCAO]],'BASE_FUNCOES (hide)'!A:X,2,FALSE)</f>
        <v>#N/A</v>
      </c>
    </row>
    <row r="795" spans="1:11" hidden="1">
      <c r="A795" s="385">
        <v>-757</v>
      </c>
      <c r="B795" s="385" t="s">
        <v>1740</v>
      </c>
      <c r="C795" s="385" t="s">
        <v>1741</v>
      </c>
      <c r="D795" s="385" t="s">
        <v>1742</v>
      </c>
      <c r="E795" s="385">
        <v>3</v>
      </c>
      <c r="F795" s="385" t="s">
        <v>149</v>
      </c>
      <c r="G795" s="385" t="s">
        <v>468</v>
      </c>
      <c r="H795" s="385" t="s">
        <v>470</v>
      </c>
      <c r="I795" s="385" t="s">
        <v>3477</v>
      </c>
      <c r="J795" s="385" t="s">
        <v>3476</v>
      </c>
      <c r="K795" s="385" t="str">
        <f>VLOOKUP(Table13[[#This Row],[CD_FUNCAO]],'BASE_FUNCOES (hide)'!A:X,2,FALSE)</f>
        <v>Localizador de Exames Padrão</v>
      </c>
    </row>
    <row r="796" spans="1:11" hidden="1">
      <c r="A796" s="385">
        <v>400</v>
      </c>
      <c r="B796" s="385" t="s">
        <v>328</v>
      </c>
      <c r="C796" s="385" t="s">
        <v>4298</v>
      </c>
      <c r="D796" s="385" t="s">
        <v>499</v>
      </c>
      <c r="E796" s="385">
        <v>3</v>
      </c>
      <c r="F796" s="385" t="s">
        <v>149</v>
      </c>
      <c r="G796" s="385" t="s">
        <v>468</v>
      </c>
      <c r="H796" s="385" t="s">
        <v>470</v>
      </c>
      <c r="I796" s="385" t="s">
        <v>3477</v>
      </c>
      <c r="J796" s="385" t="s">
        <v>3476</v>
      </c>
      <c r="K796" s="385" t="str">
        <f>VLOOKUP(Table13[[#This Row],[CD_FUNCAO]],'BASE_FUNCOES (hide)'!A:X,2,FALSE)</f>
        <v>Cadastro de serviços</v>
      </c>
    </row>
    <row r="797" spans="1:11" hidden="1">
      <c r="A797" s="385">
        <v>1120</v>
      </c>
      <c r="B797" s="385" t="s">
        <v>156</v>
      </c>
      <c r="C797" s="385" t="s">
        <v>4297</v>
      </c>
      <c r="D797" s="385" t="s">
        <v>486</v>
      </c>
      <c r="E797" s="385">
        <v>3</v>
      </c>
      <c r="F797" s="385" t="s">
        <v>149</v>
      </c>
      <c r="G797" s="385" t="s">
        <v>468</v>
      </c>
      <c r="H797" s="385" t="s">
        <v>470</v>
      </c>
      <c r="I797" s="385" t="s">
        <v>3477</v>
      </c>
      <c r="J797" s="385" t="s">
        <v>3477</v>
      </c>
      <c r="K797" s="385" t="str">
        <f>VLOOKUP(Table13[[#This Row],[CD_FUNCAO]],'BASE_FUNCOES (hide)'!A:X,2,FALSE)</f>
        <v>Cadastro de Transações Financeiras</v>
      </c>
    </row>
    <row r="798" spans="1:11">
      <c r="A798" s="385">
        <v>1362</v>
      </c>
      <c r="B798" s="385" t="s">
        <v>3832</v>
      </c>
      <c r="C798" s="385" t="s">
        <v>3831</v>
      </c>
      <c r="D798" s="385" t="s">
        <v>3830</v>
      </c>
      <c r="E798" s="385">
        <v>691</v>
      </c>
      <c r="F798" s="385" t="s">
        <v>3799</v>
      </c>
      <c r="I798" s="385" t="s">
        <v>3477</v>
      </c>
      <c r="J798" s="385" t="s">
        <v>3513</v>
      </c>
      <c r="K798" s="385" t="str">
        <f>VLOOKUP(Table13[[#This Row],[CD_FUNCAO]],'BASE_FUNCOES (hide)'!A:X,2,FALSE)</f>
        <v>OPS - Controle de Liberação de Atendimento Web</v>
      </c>
    </row>
    <row r="799" spans="1:11" hidden="1">
      <c r="A799" s="385">
        <v>230</v>
      </c>
      <c r="B799" s="385" t="s">
        <v>154</v>
      </c>
      <c r="C799" s="385" t="s">
        <v>502</v>
      </c>
      <c r="D799" s="385" t="s">
        <v>503</v>
      </c>
      <c r="E799" s="385">
        <v>3</v>
      </c>
      <c r="F799" s="385" t="s">
        <v>149</v>
      </c>
      <c r="G799" s="385" t="s">
        <v>468</v>
      </c>
      <c r="H799" s="385" t="s">
        <v>470</v>
      </c>
      <c r="I799" s="385" t="s">
        <v>3477</v>
      </c>
      <c r="J799" s="385" t="s">
        <v>3477</v>
      </c>
      <c r="K799" s="385" t="str">
        <f>VLOOKUP(Table13[[#This Row],[CD_FUNCAO]],'BASE_FUNCOES (hide)'!A:X,2,FALSE)</f>
        <v>Cadastro de Funcionários</v>
      </c>
    </row>
    <row r="800" spans="1:11" hidden="1">
      <c r="A800" s="385">
        <v>947</v>
      </c>
      <c r="B800" s="385" t="s">
        <v>165</v>
      </c>
      <c r="C800" s="385" t="s">
        <v>496</v>
      </c>
      <c r="D800" s="385" t="s">
        <v>497</v>
      </c>
      <c r="E800" s="385">
        <v>3</v>
      </c>
      <c r="F800" s="385" t="s">
        <v>149</v>
      </c>
      <c r="G800" s="385" t="s">
        <v>468</v>
      </c>
      <c r="H800" s="385" t="s">
        <v>470</v>
      </c>
      <c r="I800" s="385" t="s">
        <v>3477</v>
      </c>
      <c r="J800" s="385" t="s">
        <v>3476</v>
      </c>
      <c r="K800" s="385" t="str">
        <f>VLOOKUP(Table13[[#This Row],[CD_FUNCAO]],'BASE_FUNCOES (hide)'!A:X,2,FALSE)</f>
        <v>Exames e Procedimentos Internos</v>
      </c>
    </row>
    <row r="801" spans="1:11" hidden="1">
      <c r="A801" s="385">
        <v>999</v>
      </c>
      <c r="B801" s="385" t="s">
        <v>4293</v>
      </c>
      <c r="C801" s="385" t="s">
        <v>490</v>
      </c>
      <c r="D801" s="385" t="s">
        <v>491</v>
      </c>
      <c r="E801" s="385">
        <v>3</v>
      </c>
      <c r="F801" s="385" t="s">
        <v>149</v>
      </c>
      <c r="G801" s="385" t="s">
        <v>468</v>
      </c>
      <c r="H801" s="385" t="s">
        <v>470</v>
      </c>
      <c r="I801" s="385" t="s">
        <v>3477</v>
      </c>
      <c r="J801" s="385" t="s">
        <v>3477</v>
      </c>
      <c r="K801" s="385" t="str">
        <f>VLOOKUP(Table13[[#This Row],[CD_FUNCAO]],'BASE_FUNCOES (hide)'!A:X,2,FALSE)</f>
        <v>Geração de Interface Externo</v>
      </c>
    </row>
    <row r="802" spans="1:11" hidden="1">
      <c r="A802" s="385">
        <v>5000</v>
      </c>
      <c r="B802" s="385" t="s">
        <v>167</v>
      </c>
      <c r="C802" s="385" t="s">
        <v>492</v>
      </c>
      <c r="D802" s="385" t="s">
        <v>493</v>
      </c>
      <c r="E802" s="385">
        <v>3</v>
      </c>
      <c r="F802" s="385" t="s">
        <v>149</v>
      </c>
      <c r="G802" s="385" t="s">
        <v>468</v>
      </c>
      <c r="H802" s="385" t="s">
        <v>470</v>
      </c>
      <c r="I802" s="385" t="s">
        <v>3477</v>
      </c>
      <c r="J802" s="385" t="s">
        <v>3476</v>
      </c>
      <c r="K802" s="385" t="str">
        <f>VLOOKUP(Table13[[#This Row],[CD_FUNCAO]],'BASE_FUNCOES (hide)'!A:X,2,FALSE)</f>
        <v>Gestão de Arquivo Setorial</v>
      </c>
    </row>
    <row r="803" spans="1:11">
      <c r="A803" s="385">
        <v>1363</v>
      </c>
      <c r="B803" s="385" t="s">
        <v>3885</v>
      </c>
      <c r="C803" s="385" t="s">
        <v>3884</v>
      </c>
      <c r="D803" s="385" t="s">
        <v>3883</v>
      </c>
      <c r="E803" s="385">
        <v>690</v>
      </c>
      <c r="F803" s="385" t="s">
        <v>3854</v>
      </c>
      <c r="I803" s="385" t="s">
        <v>3477</v>
      </c>
      <c r="J803" s="385" t="s">
        <v>3513</v>
      </c>
      <c r="K803" s="385" t="str">
        <f>VLOOKUP(Table13[[#This Row],[CD_FUNCAO]],'BASE_FUNCOES (hide)'!A:X,2,FALSE)</f>
        <v>OPS - Manutenção de Conversões de Itens</v>
      </c>
    </row>
    <row r="804" spans="1:11" hidden="1">
      <c r="A804" s="385">
        <v>7023</v>
      </c>
      <c r="B804" s="385" t="s">
        <v>153</v>
      </c>
      <c r="C804" s="385" t="s">
        <v>500</v>
      </c>
      <c r="D804" s="385" t="s">
        <v>501</v>
      </c>
      <c r="E804" s="385">
        <v>3</v>
      </c>
      <c r="F804" s="385" t="s">
        <v>149</v>
      </c>
      <c r="G804" s="385" t="s">
        <v>468</v>
      </c>
      <c r="H804" s="385" t="s">
        <v>470</v>
      </c>
      <c r="I804" s="385" t="s">
        <v>3477</v>
      </c>
      <c r="J804" s="385" t="s">
        <v>3476</v>
      </c>
      <c r="K804" s="385" t="str">
        <f>VLOOKUP(Table13[[#This Row],[CD_FUNCAO]],'BASE_FUNCOES (hide)'!A:X,2,FALSE)</f>
        <v>Cadastro de Estruturas Internas</v>
      </c>
    </row>
    <row r="805" spans="1:11">
      <c r="A805" s="385">
        <v>1364</v>
      </c>
      <c r="B805" s="385" t="s">
        <v>3789</v>
      </c>
      <c r="C805" s="385" t="s">
        <v>3788</v>
      </c>
      <c r="D805" s="385" t="s">
        <v>3787</v>
      </c>
      <c r="E805" s="385">
        <v>692</v>
      </c>
      <c r="F805" s="385" t="s">
        <v>3780</v>
      </c>
      <c r="I805" s="385" t="s">
        <v>3477</v>
      </c>
      <c r="J805" s="385" t="s">
        <v>3513</v>
      </c>
      <c r="K805" s="385" t="str">
        <f>VLOOKUP(Table13[[#This Row],[CD_FUNCAO]],'BASE_FUNCOES (hide)'!A:X,2,FALSE)</f>
        <v>OPS - Manutenção de Processos Operacionais do Autorizador</v>
      </c>
    </row>
    <row r="806" spans="1:11" hidden="1">
      <c r="A806" s="385">
        <v>7500</v>
      </c>
      <c r="B806" s="385" t="s">
        <v>467</v>
      </c>
      <c r="C806" s="385" t="s">
        <v>1743</v>
      </c>
      <c r="D806" s="385" t="s">
        <v>469</v>
      </c>
      <c r="E806" s="385">
        <v>3</v>
      </c>
      <c r="F806" s="385" t="s">
        <v>149</v>
      </c>
      <c r="G806" s="385" t="s">
        <v>468</v>
      </c>
      <c r="H806" s="385" t="s">
        <v>470</v>
      </c>
      <c r="I806" s="385" t="s">
        <v>3477</v>
      </c>
      <c r="J806" s="385" t="s">
        <v>3477</v>
      </c>
      <c r="K806" s="385" t="str">
        <f>VLOOKUP(Table13[[#This Row],[CD_FUNCAO]],'BASE_FUNCOES (hide)'!A:X,2,FALSE)</f>
        <v>Consulta de Pessoa Física/Pessoa Jurídica</v>
      </c>
    </row>
    <row r="807" spans="1:11" hidden="1">
      <c r="A807" s="385">
        <v>123</v>
      </c>
      <c r="B807" s="385" t="s">
        <v>160</v>
      </c>
      <c r="C807" s="385" t="s">
        <v>520</v>
      </c>
      <c r="D807" s="385" t="s">
        <v>521</v>
      </c>
      <c r="E807" s="385">
        <v>3</v>
      </c>
      <c r="F807" s="385" t="s">
        <v>149</v>
      </c>
      <c r="G807" s="385" t="s">
        <v>468</v>
      </c>
      <c r="H807" s="385" t="s">
        <v>470</v>
      </c>
      <c r="I807" s="385" t="s">
        <v>3477</v>
      </c>
      <c r="J807" s="385" t="s">
        <v>3477</v>
      </c>
      <c r="K807" s="385" t="str">
        <f>VLOOKUP(Table13[[#This Row],[CD_FUNCAO]],'BASE_FUNCOES (hide)'!A:X,2,FALSE)</f>
        <v>Consulta CID 10</v>
      </c>
    </row>
    <row r="808" spans="1:11" hidden="1">
      <c r="A808" s="385">
        <v>152</v>
      </c>
      <c r="B808" s="385" t="s">
        <v>1745</v>
      </c>
      <c r="C808" s="385" t="s">
        <v>1746</v>
      </c>
      <c r="D808" s="385" t="s">
        <v>1747</v>
      </c>
      <c r="E808" s="385">
        <v>3</v>
      </c>
      <c r="F808" s="385" t="s">
        <v>149</v>
      </c>
      <c r="G808" s="385" t="s">
        <v>468</v>
      </c>
      <c r="H808" s="385" t="s">
        <v>470</v>
      </c>
      <c r="I808" s="385" t="s">
        <v>3477</v>
      </c>
      <c r="J808" s="385" t="s">
        <v>3477</v>
      </c>
      <c r="K808" s="385" t="str">
        <f>VLOOKUP(Table13[[#This Row],[CD_FUNCAO]],'BASE_FUNCOES (hide)'!A:X,2,FALSE)</f>
        <v>Rel Pessoas Físicas</v>
      </c>
    </row>
    <row r="809" spans="1:11">
      <c r="A809" s="385">
        <v>1365</v>
      </c>
      <c r="B809" s="385" t="s">
        <v>3762</v>
      </c>
      <c r="C809" s="385" t="s">
        <v>3761</v>
      </c>
      <c r="D809" s="385" t="s">
        <v>3760</v>
      </c>
      <c r="E809" s="385">
        <v>695</v>
      </c>
      <c r="F809" s="385" t="s">
        <v>3759</v>
      </c>
      <c r="G809" s="385" t="s">
        <v>3758</v>
      </c>
      <c r="H809" s="385" t="s">
        <v>3757</v>
      </c>
      <c r="I809" s="385" t="s">
        <v>3488</v>
      </c>
      <c r="J809" s="385" t="s">
        <v>3513</v>
      </c>
      <c r="K809" s="385" t="str">
        <f>VLOOKUP(Table13[[#This Row],[CD_FUNCAO]],'BASE_FUNCOES (hide)'!A:X,2,FALSE)</f>
        <v>OPS - Análise de Contas Médicas (Nova)</v>
      </c>
    </row>
    <row r="810" spans="1:11" hidden="1">
      <c r="A810" s="385">
        <v>705</v>
      </c>
      <c r="B810" s="385" t="s">
        <v>159</v>
      </c>
      <c r="C810" s="385" t="s">
        <v>487</v>
      </c>
      <c r="D810" s="385" t="s">
        <v>159</v>
      </c>
      <c r="E810" s="385">
        <v>3</v>
      </c>
      <c r="F810" s="385" t="s">
        <v>149</v>
      </c>
      <c r="G810" s="385" t="s">
        <v>468</v>
      </c>
      <c r="H810" s="385" t="s">
        <v>470</v>
      </c>
      <c r="I810" s="385" t="s">
        <v>3477</v>
      </c>
      <c r="J810" s="385" t="s">
        <v>3477</v>
      </c>
      <c r="K810" s="385" t="str">
        <f>VLOOKUP(Table13[[#This Row],[CD_FUNCAO]],'BASE_FUNCOES (hide)'!A:X,2,FALSE)</f>
        <v>Cargas</v>
      </c>
    </row>
    <row r="811" spans="1:11" hidden="1">
      <c r="A811" s="385">
        <v>100</v>
      </c>
      <c r="B811" s="385" t="s">
        <v>172</v>
      </c>
      <c r="C811" s="385" t="s">
        <v>471</v>
      </c>
      <c r="D811" s="385" t="s">
        <v>472</v>
      </c>
      <c r="E811" s="385">
        <v>3</v>
      </c>
      <c r="F811" s="385" t="s">
        <v>149</v>
      </c>
      <c r="G811" s="385" t="s">
        <v>468</v>
      </c>
      <c r="H811" s="385" t="s">
        <v>470</v>
      </c>
      <c r="I811" s="385" t="s">
        <v>3477</v>
      </c>
      <c r="J811" s="385" t="s">
        <v>3477</v>
      </c>
      <c r="K811" s="385" t="str">
        <f>VLOOKUP(Table13[[#This Row],[CD_FUNCAO]],'BASE_FUNCOES (hide)'!A:X,2,FALSE)</f>
        <v>Questionário</v>
      </c>
    </row>
    <row r="812" spans="1:11" hidden="1">
      <c r="A812" s="385">
        <v>5513</v>
      </c>
      <c r="B812" s="385" t="s">
        <v>158</v>
      </c>
      <c r="C812" s="385" t="s">
        <v>494</v>
      </c>
      <c r="D812" s="385" t="s">
        <v>495</v>
      </c>
      <c r="E812" s="385">
        <v>3</v>
      </c>
      <c r="F812" s="385" t="s">
        <v>149</v>
      </c>
      <c r="G812" s="385" t="s">
        <v>468</v>
      </c>
      <c r="H812" s="385" t="s">
        <v>470</v>
      </c>
      <c r="I812" s="385" t="s">
        <v>3477</v>
      </c>
      <c r="J812" s="385" t="s">
        <v>3477</v>
      </c>
      <c r="K812" s="385" t="str">
        <f>VLOOKUP(Table13[[#This Row],[CD_FUNCAO]],'BASE_FUNCOES (hide)'!A:X,2,FALSE)</f>
        <v>Cadastros Financeiros</v>
      </c>
    </row>
    <row r="813" spans="1:11">
      <c r="A813" s="385">
        <v>1366</v>
      </c>
      <c r="B813" s="385" t="s">
        <v>3726</v>
      </c>
      <c r="C813" s="385" t="s">
        <v>3725</v>
      </c>
      <c r="D813" s="385" t="s">
        <v>3724</v>
      </c>
      <c r="E813" s="385">
        <v>835</v>
      </c>
      <c r="F813" s="385" t="s">
        <v>3714</v>
      </c>
      <c r="I813" s="385" t="s">
        <v>3488</v>
      </c>
      <c r="J813" s="385" t="s">
        <v>3513</v>
      </c>
      <c r="K813" s="385" t="str">
        <f>VLOOKUP(Table13[[#This Row],[CD_FUNCAO]],'BASE_FUNCOES (hide)'!A:X,2,FALSE)</f>
        <v>OPS - Inconsistências de Intercâmbio</v>
      </c>
    </row>
    <row r="814" spans="1:11" hidden="1">
      <c r="A814" s="385">
        <v>25</v>
      </c>
      <c r="B814" s="385" t="s">
        <v>47</v>
      </c>
      <c r="C814" s="385" t="s">
        <v>488</v>
      </c>
      <c r="D814" s="385" t="s">
        <v>489</v>
      </c>
      <c r="E814" s="385">
        <v>3</v>
      </c>
      <c r="F814" s="385" t="s">
        <v>149</v>
      </c>
      <c r="G814" s="385" t="s">
        <v>468</v>
      </c>
      <c r="H814" s="385" t="s">
        <v>470</v>
      </c>
      <c r="I814" s="385" t="s">
        <v>3477</v>
      </c>
      <c r="J814" s="385" t="s">
        <v>3477</v>
      </c>
      <c r="K814" s="385" t="str">
        <f>VLOOKUP(Table13[[#This Row],[CD_FUNCAO]],'BASE_FUNCOES (hide)'!A:X,2,FALSE)</f>
        <v>Procedimentos</v>
      </c>
    </row>
    <row r="815" spans="1:11" hidden="1">
      <c r="A815" s="385">
        <v>944</v>
      </c>
      <c r="B815" s="385" t="s">
        <v>4280</v>
      </c>
      <c r="C815" s="385" t="s">
        <v>506</v>
      </c>
      <c r="D815" s="385" t="s">
        <v>507</v>
      </c>
      <c r="E815" s="385">
        <v>3</v>
      </c>
      <c r="F815" s="385" t="s">
        <v>149</v>
      </c>
      <c r="G815" s="385" t="s">
        <v>468</v>
      </c>
      <c r="H815" s="385" t="s">
        <v>470</v>
      </c>
      <c r="I815" s="385" t="s">
        <v>3477</v>
      </c>
      <c r="J815" s="385" t="s">
        <v>3477</v>
      </c>
      <c r="K815" s="385" t="str">
        <f>VLOOKUP(Table13[[#This Row],[CD_FUNCAO]],'BASE_FUNCOES (hide)'!A:X,2,FALSE)</f>
        <v xml:space="preserve">Avaliações </v>
      </c>
    </row>
    <row r="816" spans="1:11" hidden="1">
      <c r="A816" s="385">
        <v>132</v>
      </c>
      <c r="B816" s="385" t="s">
        <v>155</v>
      </c>
      <c r="C816" s="385" t="s">
        <v>508</v>
      </c>
      <c r="D816" s="385" t="s">
        <v>509</v>
      </c>
      <c r="E816" s="385">
        <v>3</v>
      </c>
      <c r="F816" s="385" t="s">
        <v>149</v>
      </c>
      <c r="G816" s="385" t="s">
        <v>468</v>
      </c>
      <c r="H816" s="385" t="s">
        <v>470</v>
      </c>
      <c r="I816" s="385" t="s">
        <v>3477</v>
      </c>
      <c r="J816" s="385" t="s">
        <v>3476</v>
      </c>
      <c r="K816" s="385" t="str">
        <f>VLOOKUP(Table13[[#This Row],[CD_FUNCAO]],'BASE_FUNCOES (hide)'!A:X,2,FALSE)</f>
        <v>Cadastro de Materiais</v>
      </c>
    </row>
    <row r="817" spans="1:11" hidden="1">
      <c r="A817" s="385">
        <v>290</v>
      </c>
      <c r="B817" s="385" t="s">
        <v>171</v>
      </c>
      <c r="C817" s="385" t="s">
        <v>510</v>
      </c>
      <c r="D817" s="385" t="s">
        <v>171</v>
      </c>
      <c r="E817" s="385">
        <v>3</v>
      </c>
      <c r="F817" s="385" t="s">
        <v>149</v>
      </c>
      <c r="G817" s="385" t="s">
        <v>468</v>
      </c>
      <c r="H817" s="385" t="s">
        <v>470</v>
      </c>
      <c r="I817" s="385" t="s">
        <v>3477</v>
      </c>
      <c r="J817" s="385" t="s">
        <v>3476</v>
      </c>
      <c r="K817" s="385" t="str">
        <f>VLOOKUP(Table13[[#This Row],[CD_FUNCAO]],'BASE_FUNCOES (hide)'!A:X,2,FALSE)</f>
        <v>Protocolo Documento</v>
      </c>
    </row>
    <row r="818" spans="1:11" hidden="1">
      <c r="A818" s="385">
        <v>909</v>
      </c>
      <c r="B818" s="385" t="s">
        <v>150</v>
      </c>
      <c r="C818" s="385" t="s">
        <v>511</v>
      </c>
      <c r="D818" s="385" t="s">
        <v>512</v>
      </c>
      <c r="E818" s="385">
        <v>3</v>
      </c>
      <c r="F818" s="385" t="s">
        <v>149</v>
      </c>
      <c r="G818" s="385" t="s">
        <v>468</v>
      </c>
      <c r="H818" s="385" t="s">
        <v>470</v>
      </c>
      <c r="I818" s="385" t="s">
        <v>3477</v>
      </c>
      <c r="J818" s="385" t="s">
        <v>3477</v>
      </c>
      <c r="K818" s="385" t="str">
        <f>VLOOKUP(Table13[[#This Row],[CD_FUNCAO]],'BASE_FUNCOES (hide)'!A:X,2,FALSE)</f>
        <v>Cadastro Avaliações</v>
      </c>
    </row>
    <row r="819" spans="1:11" hidden="1">
      <c r="A819" s="385">
        <v>3102</v>
      </c>
      <c r="B819" s="385" t="s">
        <v>169</v>
      </c>
      <c r="C819" s="385" t="s">
        <v>513</v>
      </c>
      <c r="D819" s="385" t="s">
        <v>169</v>
      </c>
      <c r="E819" s="385">
        <v>3</v>
      </c>
      <c r="F819" s="385" t="s">
        <v>149</v>
      </c>
      <c r="G819" s="385" t="s">
        <v>468</v>
      </c>
      <c r="H819" s="385" t="s">
        <v>470</v>
      </c>
      <c r="I819" s="385" t="s">
        <v>3477</v>
      </c>
      <c r="J819" s="385" t="s">
        <v>3477</v>
      </c>
      <c r="K819" s="385" t="str">
        <f>VLOOKUP(Table13[[#This Row],[CD_FUNCAO]],'BASE_FUNCOES (hide)'!A:X,2,FALSE)</f>
        <v>Navegador Internet e Intranet</v>
      </c>
    </row>
    <row r="820" spans="1:11" hidden="1">
      <c r="A820" s="385">
        <v>911</v>
      </c>
      <c r="B820" s="385" t="s">
        <v>162</v>
      </c>
      <c r="C820" s="385" t="s">
        <v>514</v>
      </c>
      <c r="D820" s="385" t="s">
        <v>515</v>
      </c>
      <c r="E820" s="385">
        <v>3</v>
      </c>
      <c r="F820" s="385" t="s">
        <v>149</v>
      </c>
      <c r="G820" s="385" t="s">
        <v>468</v>
      </c>
      <c r="H820" s="385" t="s">
        <v>470</v>
      </c>
      <c r="I820" s="385" t="s">
        <v>3477</v>
      </c>
      <c r="J820" s="385" t="s">
        <v>3477</v>
      </c>
      <c r="K820" s="385" t="str">
        <f>VLOOKUP(Table13[[#This Row],[CD_FUNCAO]],'BASE_FUNCOES (hide)'!A:X,2,FALSE)</f>
        <v>Empresa/Estabelecimento/Contas/CC</v>
      </c>
    </row>
    <row r="821" spans="1:11" hidden="1">
      <c r="A821" s="385">
        <v>175</v>
      </c>
      <c r="B821" s="385" t="s">
        <v>161</v>
      </c>
      <c r="C821" s="385" t="s">
        <v>516</v>
      </c>
      <c r="D821" s="385" t="s">
        <v>517</v>
      </c>
      <c r="E821" s="385">
        <v>3</v>
      </c>
      <c r="F821" s="385" t="s">
        <v>149</v>
      </c>
      <c r="G821" s="385" t="s">
        <v>468</v>
      </c>
      <c r="H821" s="385" t="s">
        <v>470</v>
      </c>
      <c r="I821" s="385" t="s">
        <v>3477</v>
      </c>
      <c r="J821" s="385" t="s">
        <v>3476</v>
      </c>
      <c r="K821" s="385" t="str">
        <f>VLOOKUP(Table13[[#This Row],[CD_FUNCAO]],'BASE_FUNCOES (hide)'!A:X,2,FALSE)</f>
        <v>Controle de Pessoas</v>
      </c>
    </row>
    <row r="822" spans="1:11" hidden="1">
      <c r="A822" s="385">
        <v>18</v>
      </c>
      <c r="B822" s="385" t="s">
        <v>152</v>
      </c>
      <c r="C822" s="385" t="s">
        <v>518</v>
      </c>
      <c r="D822" s="385" t="s">
        <v>519</v>
      </c>
      <c r="E822" s="385">
        <v>3</v>
      </c>
      <c r="F822" s="385" t="s">
        <v>149</v>
      </c>
      <c r="G822" s="385" t="s">
        <v>468</v>
      </c>
      <c r="H822" s="385" t="s">
        <v>470</v>
      </c>
      <c r="I822" s="385" t="s">
        <v>3477</v>
      </c>
      <c r="J822" s="385" t="s">
        <v>3476</v>
      </c>
      <c r="K822" s="385" t="str">
        <f>VLOOKUP(Table13[[#This Row],[CD_FUNCAO]],'BASE_FUNCOES (hide)'!A:X,2,FALSE)</f>
        <v>Cadastro de Estrutura da Conta Paciente</v>
      </c>
    </row>
    <row r="823" spans="1:11" hidden="1">
      <c r="A823" s="385">
        <v>178</v>
      </c>
      <c r="B823" s="385" t="s">
        <v>164</v>
      </c>
      <c r="C823" s="385" t="s">
        <v>504</v>
      </c>
      <c r="D823" s="385" t="s">
        <v>505</v>
      </c>
      <c r="E823" s="385">
        <v>3</v>
      </c>
      <c r="F823" s="385" t="s">
        <v>149</v>
      </c>
      <c r="G823" s="385" t="s">
        <v>468</v>
      </c>
      <c r="H823" s="385" t="s">
        <v>470</v>
      </c>
      <c r="I823" s="385" t="s">
        <v>3477</v>
      </c>
      <c r="J823" s="385" t="s">
        <v>3476</v>
      </c>
      <c r="K823" s="385" t="str">
        <f>VLOOKUP(Table13[[#This Row],[CD_FUNCAO]],'BASE_FUNCOES (hide)'!A:X,2,FALSE)</f>
        <v>Etiqueta Pessoa Jurídica</v>
      </c>
    </row>
    <row r="824" spans="1:11">
      <c r="A824" s="385">
        <v>1367</v>
      </c>
      <c r="B824" s="385" t="s">
        <v>4142</v>
      </c>
      <c r="C824" s="385" t="s">
        <v>4141</v>
      </c>
      <c r="D824" s="385" t="s">
        <v>4140</v>
      </c>
      <c r="E824" s="385">
        <v>11</v>
      </c>
      <c r="F824" s="385" t="s">
        <v>6</v>
      </c>
      <c r="I824" s="385" t="s">
        <v>3477</v>
      </c>
      <c r="J824" s="385" t="s">
        <v>3513</v>
      </c>
      <c r="K824" s="385" t="str">
        <f>VLOOKUP(Table13[[#This Row],[CD_FUNCAO]],'BASE_FUNCOES (hide)'!A:X,2,FALSE)</f>
        <v>OPS - Atualização do Movimento Contábil</v>
      </c>
    </row>
    <row r="825" spans="1:11" hidden="1">
      <c r="A825" s="385">
        <v>256</v>
      </c>
      <c r="B825" s="385" t="s">
        <v>168</v>
      </c>
      <c r="C825" s="385" t="s">
        <v>168</v>
      </c>
      <c r="D825" s="385" t="s">
        <v>474</v>
      </c>
      <c r="E825" s="385">
        <v>3</v>
      </c>
      <c r="F825" s="385" t="s">
        <v>149</v>
      </c>
      <c r="G825" s="385" t="s">
        <v>468</v>
      </c>
      <c r="H825" s="385" t="s">
        <v>470</v>
      </c>
      <c r="I825" s="385" t="s">
        <v>3477</v>
      </c>
      <c r="J825" s="385" t="s">
        <v>3477</v>
      </c>
      <c r="K825" s="385" t="str">
        <f>VLOOKUP(Table13[[#This Row],[CD_FUNCAO]],'BASE_FUNCOES (hide)'!A:X,2,FALSE)</f>
        <v>Interface</v>
      </c>
    </row>
    <row r="826" spans="1:11" hidden="1">
      <c r="A826" s="385">
        <v>1</v>
      </c>
      <c r="B826" s="385" t="s">
        <v>163</v>
      </c>
      <c r="C826" s="385" t="s">
        <v>475</v>
      </c>
      <c r="D826" s="385" t="s">
        <v>476</v>
      </c>
      <c r="E826" s="385">
        <v>3</v>
      </c>
      <c r="F826" s="385" t="s">
        <v>149</v>
      </c>
      <c r="G826" s="385" t="s">
        <v>468</v>
      </c>
      <c r="H826" s="385" t="s">
        <v>470</v>
      </c>
      <c r="I826" s="385" t="s">
        <v>3477</v>
      </c>
      <c r="J826" s="385" t="s">
        <v>3477</v>
      </c>
      <c r="K826" s="385" t="str">
        <f>VLOOKUP(Table13[[#This Row],[CD_FUNCAO]],'BASE_FUNCOES (hide)'!A:X,2,FALSE)</f>
        <v>Estrutura Atendimento</v>
      </c>
    </row>
    <row r="827" spans="1:11" hidden="1">
      <c r="A827" s="385">
        <v>4</v>
      </c>
      <c r="B827" s="385" t="s">
        <v>157</v>
      </c>
      <c r="C827" s="385" t="s">
        <v>477</v>
      </c>
      <c r="D827" s="385" t="s">
        <v>478</v>
      </c>
      <c r="E827" s="385">
        <v>3</v>
      </c>
      <c r="F827" s="385" t="s">
        <v>149</v>
      </c>
      <c r="G827" s="385" t="s">
        <v>468</v>
      </c>
      <c r="H827" s="385" t="s">
        <v>470</v>
      </c>
      <c r="I827" s="385" t="s">
        <v>3477</v>
      </c>
      <c r="J827" s="385" t="s">
        <v>3477</v>
      </c>
      <c r="K827" s="385" t="str">
        <f>VLOOKUP(Table13[[#This Row],[CD_FUNCAO]],'BASE_FUNCOES (hide)'!A:X,2,FALSE)</f>
        <v>Cadastro Médico</v>
      </c>
    </row>
    <row r="828" spans="1:11" hidden="1">
      <c r="A828" s="385">
        <v>6</v>
      </c>
      <c r="B828" s="385" t="s">
        <v>170</v>
      </c>
      <c r="C828" s="385" t="s">
        <v>479</v>
      </c>
      <c r="D828" s="385" t="s">
        <v>480</v>
      </c>
      <c r="E828" s="385">
        <v>3</v>
      </c>
      <c r="F828" s="385" t="s">
        <v>149</v>
      </c>
      <c r="G828" s="385" t="s">
        <v>468</v>
      </c>
      <c r="H828" s="385" t="s">
        <v>470</v>
      </c>
      <c r="I828" s="385" t="s">
        <v>3477</v>
      </c>
      <c r="J828" s="385" t="s">
        <v>3477</v>
      </c>
      <c r="K828" s="385" t="str">
        <f>VLOOKUP(Table13[[#This Row],[CD_FUNCAO]],'BASE_FUNCOES (hide)'!A:X,2,FALSE)</f>
        <v>Pessoa Jurídica</v>
      </c>
    </row>
    <row r="829" spans="1:11" hidden="1">
      <c r="A829" s="385">
        <v>53</v>
      </c>
      <c r="B829" s="385" t="s">
        <v>151</v>
      </c>
      <c r="C829" s="385" t="s">
        <v>481</v>
      </c>
      <c r="D829" s="385" t="s">
        <v>482</v>
      </c>
      <c r="E829" s="385">
        <v>3</v>
      </c>
      <c r="F829" s="385" t="s">
        <v>149</v>
      </c>
      <c r="G829" s="385" t="s">
        <v>468</v>
      </c>
      <c r="H829" s="385" t="s">
        <v>470</v>
      </c>
      <c r="I829" s="385" t="s">
        <v>3477</v>
      </c>
      <c r="J829" s="385" t="s">
        <v>3477</v>
      </c>
      <c r="K829" s="385" t="str">
        <f>VLOOKUP(Table13[[#This Row],[CD_FUNCAO]],'BASE_FUNCOES (hide)'!A:X,2,FALSE)</f>
        <v>Cadastro de CEP</v>
      </c>
    </row>
    <row r="830" spans="1:11" hidden="1">
      <c r="A830" s="385">
        <v>15</v>
      </c>
      <c r="B830" s="385" t="s">
        <v>173</v>
      </c>
      <c r="C830" s="385" t="s">
        <v>483</v>
      </c>
      <c r="D830" s="385" t="s">
        <v>484</v>
      </c>
      <c r="E830" s="385">
        <v>3</v>
      </c>
      <c r="F830" s="385" t="s">
        <v>149</v>
      </c>
      <c r="G830" s="385" t="s">
        <v>468</v>
      </c>
      <c r="H830" s="385" t="s">
        <v>470</v>
      </c>
      <c r="I830" s="385" t="s">
        <v>3477</v>
      </c>
      <c r="J830" s="385" t="s">
        <v>3476</v>
      </c>
      <c r="K830" s="385" t="str">
        <f>VLOOKUP(Table13[[#This Row],[CD_FUNCAO]],'BASE_FUNCOES (hide)'!A:X,2,FALSE)</f>
        <v>Tipos de Acomodação</v>
      </c>
    </row>
    <row r="831" spans="1:11" hidden="1">
      <c r="A831" s="385">
        <v>10025</v>
      </c>
      <c r="B831" s="385" t="s">
        <v>176</v>
      </c>
      <c r="C831" s="385" t="s">
        <v>527</v>
      </c>
      <c r="D831" s="385" t="s">
        <v>528</v>
      </c>
      <c r="E831" s="385">
        <v>4</v>
      </c>
      <c r="F831" s="385" t="s">
        <v>10</v>
      </c>
      <c r="I831" s="385" t="s">
        <v>3477</v>
      </c>
      <c r="J831" s="385" t="s">
        <v>3476</v>
      </c>
      <c r="K831" s="385" t="str">
        <f>VLOOKUP(Table13[[#This Row],[CD_FUNCAO]],'BASE_FUNCOES (hide)'!A:X,2,FALSE)</f>
        <v>Gestão de Produção de OPM</v>
      </c>
    </row>
    <row r="832" spans="1:11" hidden="1">
      <c r="A832" s="385">
        <v>7005</v>
      </c>
      <c r="B832" s="385" t="s">
        <v>175</v>
      </c>
      <c r="C832" s="385" t="s">
        <v>529</v>
      </c>
      <c r="D832" s="385" t="s">
        <v>530</v>
      </c>
      <c r="E832" s="385">
        <v>4</v>
      </c>
      <c r="F832" s="385" t="s">
        <v>10</v>
      </c>
      <c r="I832" s="385" t="s">
        <v>3477</v>
      </c>
      <c r="J832" s="385" t="s">
        <v>3476</v>
      </c>
      <c r="K832" s="385" t="str">
        <f>VLOOKUP(Table13[[#This Row],[CD_FUNCAO]],'BASE_FUNCOES (hide)'!A:X,2,FALSE)</f>
        <v>Gestão das Caixas de OPME</v>
      </c>
    </row>
    <row r="833" spans="1:11" hidden="1">
      <c r="A833" s="385">
        <v>65</v>
      </c>
      <c r="B833" s="385" t="s">
        <v>1694</v>
      </c>
      <c r="C833" s="385" t="s">
        <v>1695</v>
      </c>
      <c r="D833" s="385" t="s">
        <v>4276</v>
      </c>
      <c r="E833" s="385">
        <v>4</v>
      </c>
      <c r="F833" s="385" t="s">
        <v>10</v>
      </c>
      <c r="I833" s="385" t="s">
        <v>3477</v>
      </c>
      <c r="J833" s="385" t="s">
        <v>3476</v>
      </c>
      <c r="K833" s="385" t="str">
        <f>VLOOKUP(Table13[[#This Row],[CD_FUNCAO]],'BASE_FUNCOES (hide)'!A:X,2,FALSE)</f>
        <v>Rel. de Inventário</v>
      </c>
    </row>
    <row r="834" spans="1:11" hidden="1">
      <c r="A834" s="385">
        <v>180</v>
      </c>
      <c r="B834" s="385" t="s">
        <v>1691</v>
      </c>
      <c r="C834" s="385" t="s">
        <v>4275</v>
      </c>
      <c r="D834" s="385" t="s">
        <v>4274</v>
      </c>
      <c r="E834" s="385">
        <v>4</v>
      </c>
      <c r="F834" s="385" t="s">
        <v>10</v>
      </c>
      <c r="I834" s="385" t="s">
        <v>3477</v>
      </c>
      <c r="J834" s="385" t="s">
        <v>3476</v>
      </c>
      <c r="K834" s="385" t="str">
        <f>VLOOKUP(Table13[[#This Row],[CD_FUNCAO]],'BASE_FUNCOES (hide)'!A:X,2,FALSE)</f>
        <v>Rel Consumo Mensal por Centro de Custo</v>
      </c>
    </row>
    <row r="835" spans="1:11">
      <c r="A835" s="385">
        <v>1368</v>
      </c>
      <c r="B835" s="385" t="s">
        <v>4531</v>
      </c>
      <c r="C835" s="385" t="s">
        <v>4530</v>
      </c>
      <c r="D835" s="385" t="s">
        <v>4529</v>
      </c>
      <c r="E835" s="385">
        <v>379</v>
      </c>
      <c r="F835" s="385" t="s">
        <v>4502</v>
      </c>
      <c r="I835" s="385" t="s">
        <v>3485</v>
      </c>
      <c r="J835" s="385" t="s">
        <v>3513</v>
      </c>
      <c r="K835" s="385" t="e">
        <f>VLOOKUP(Table13[[#This Row],[CD_FUNCAO]],'BASE_FUNCOES (hide)'!A:X,2,FALSE)</f>
        <v>#N/A</v>
      </c>
    </row>
    <row r="836" spans="1:11" hidden="1">
      <c r="A836" s="385">
        <v>181</v>
      </c>
      <c r="B836" s="385" t="s">
        <v>1706</v>
      </c>
      <c r="C836" s="385" t="s">
        <v>1707</v>
      </c>
      <c r="D836" s="385" t="s">
        <v>4270</v>
      </c>
      <c r="E836" s="385">
        <v>4</v>
      </c>
      <c r="F836" s="385" t="s">
        <v>10</v>
      </c>
      <c r="I836" s="385" t="s">
        <v>3477</v>
      </c>
      <c r="J836" s="385" t="s">
        <v>3476</v>
      </c>
      <c r="K836" s="385" t="str">
        <f>VLOOKUP(Table13[[#This Row],[CD_FUNCAO]],'BASE_FUNCOES (hide)'!A:X,2,FALSE)</f>
        <v>Rel Saldo de Estoque</v>
      </c>
    </row>
    <row r="837" spans="1:11" hidden="1">
      <c r="A837" s="385">
        <v>187</v>
      </c>
      <c r="B837" s="385" t="s">
        <v>1751</v>
      </c>
      <c r="C837" s="385" t="s">
        <v>1752</v>
      </c>
      <c r="D837" s="385" t="s">
        <v>1753</v>
      </c>
      <c r="E837" s="385">
        <v>4</v>
      </c>
      <c r="F837" s="385" t="s">
        <v>10</v>
      </c>
      <c r="I837" s="385" t="s">
        <v>3477</v>
      </c>
      <c r="J837" s="385" t="s">
        <v>3476</v>
      </c>
      <c r="K837" s="385" t="str">
        <f>VLOOKUP(Table13[[#This Row],[CD_FUNCAO]],'BASE_FUNCOES (hide)'!A:X,2,FALSE)</f>
        <v>Rel Requisição</v>
      </c>
    </row>
    <row r="838" spans="1:11" hidden="1">
      <c r="A838" s="385">
        <v>189</v>
      </c>
      <c r="B838" s="385" t="s">
        <v>1688</v>
      </c>
      <c r="C838" s="385" t="s">
        <v>1689</v>
      </c>
      <c r="D838" s="385" t="s">
        <v>4269</v>
      </c>
      <c r="E838" s="385">
        <v>4</v>
      </c>
      <c r="F838" s="385" t="s">
        <v>10</v>
      </c>
      <c r="I838" s="385" t="s">
        <v>3477</v>
      </c>
      <c r="J838" s="385" t="s">
        <v>3476</v>
      </c>
      <c r="K838" s="385" t="str">
        <f>VLOOKUP(Table13[[#This Row],[CD_FUNCAO]],'BASE_FUNCOES (hide)'!A:X,2,FALSE)</f>
        <v>Rel Movimento Estoque</v>
      </c>
    </row>
    <row r="839" spans="1:11" hidden="1">
      <c r="A839" s="385">
        <v>190</v>
      </c>
      <c r="B839" s="385" t="s">
        <v>1748</v>
      </c>
      <c r="C839" s="385" t="s">
        <v>1749</v>
      </c>
      <c r="D839" s="385" t="s">
        <v>1750</v>
      </c>
      <c r="E839" s="385">
        <v>4</v>
      </c>
      <c r="F839" s="385" t="s">
        <v>10</v>
      </c>
      <c r="I839" s="385" t="s">
        <v>3477</v>
      </c>
      <c r="J839" s="385" t="s">
        <v>3476</v>
      </c>
      <c r="K839" s="385" t="str">
        <f>VLOOKUP(Table13[[#This Row],[CD_FUNCAO]],'BASE_FUNCOES (hide)'!A:X,2,FALSE)</f>
        <v>Rel Curva ABC/XYZ</v>
      </c>
    </row>
    <row r="840" spans="1:11" hidden="1">
      <c r="A840" s="385">
        <v>147</v>
      </c>
      <c r="B840" s="385" t="s">
        <v>174</v>
      </c>
      <c r="C840" s="385" t="s">
        <v>523</v>
      </c>
      <c r="D840" s="385" t="s">
        <v>524</v>
      </c>
      <c r="E840" s="385">
        <v>4</v>
      </c>
      <c r="F840" s="385" t="s">
        <v>10</v>
      </c>
      <c r="I840" s="385" t="s">
        <v>3477</v>
      </c>
      <c r="J840" s="385" t="s">
        <v>3476</v>
      </c>
      <c r="K840" s="385" t="str">
        <f>VLOOKUP(Table13[[#This Row],[CD_FUNCAO]],'BASE_FUNCOES (hide)'!A:X,2,FALSE)</f>
        <v>Dispensário Eletrônico</v>
      </c>
    </row>
    <row r="841" spans="1:11" hidden="1">
      <c r="A841" s="385">
        <v>146</v>
      </c>
      <c r="B841" s="385" t="s">
        <v>122</v>
      </c>
      <c r="C841" s="385" t="s">
        <v>525</v>
      </c>
      <c r="D841" s="385" t="s">
        <v>526</v>
      </c>
      <c r="E841" s="385">
        <v>4</v>
      </c>
      <c r="F841" s="385" t="s">
        <v>10</v>
      </c>
      <c r="I841" s="385" t="s">
        <v>3477</v>
      </c>
      <c r="J841" s="385" t="s">
        <v>3476</v>
      </c>
      <c r="K841" s="385" t="str">
        <f>VLOOKUP(Table13[[#This Row],[CD_FUNCAO]],'BASE_FUNCOES (hide)'!A:X,2,FALSE)</f>
        <v>Controle Transferências de Estoque</v>
      </c>
    </row>
    <row r="842" spans="1:11" hidden="1">
      <c r="A842" s="385">
        <v>143</v>
      </c>
      <c r="B842" s="385" t="s">
        <v>121</v>
      </c>
      <c r="C842" s="385" t="s">
        <v>531</v>
      </c>
      <c r="D842" s="385" t="s">
        <v>532</v>
      </c>
      <c r="E842" s="385">
        <v>4</v>
      </c>
      <c r="F842" s="385" t="s">
        <v>10</v>
      </c>
      <c r="I842" s="385" t="s">
        <v>3477</v>
      </c>
      <c r="J842" s="385" t="s">
        <v>3477</v>
      </c>
      <c r="K842" s="385" t="str">
        <f>VLOOKUP(Table13[[#This Row],[CD_FUNCAO]],'BASE_FUNCOES (hide)'!A:X,2,FALSE)</f>
        <v>Administração de Estoques</v>
      </c>
    </row>
    <row r="843" spans="1:11" hidden="1">
      <c r="A843" s="385">
        <v>330</v>
      </c>
      <c r="B843" s="385" t="s">
        <v>1697</v>
      </c>
      <c r="C843" s="385" t="s">
        <v>1698</v>
      </c>
      <c r="D843" s="385" t="s">
        <v>1699</v>
      </c>
      <c r="E843" s="385">
        <v>4</v>
      </c>
      <c r="F843" s="385" t="s">
        <v>10</v>
      </c>
      <c r="I843" s="385" t="s">
        <v>3477</v>
      </c>
      <c r="J843" s="385" t="s">
        <v>3476</v>
      </c>
      <c r="K843" s="385" t="str">
        <f>VLOOKUP(Table13[[#This Row],[CD_FUNCAO]],'BASE_FUNCOES (hide)'!A:X,2,FALSE)</f>
        <v>Rel. Razão de Estoque Consignado</v>
      </c>
    </row>
    <row r="844" spans="1:11" hidden="1">
      <c r="A844" s="385">
        <v>321</v>
      </c>
      <c r="B844" s="385" t="s">
        <v>1682</v>
      </c>
      <c r="C844" s="385" t="s">
        <v>1683</v>
      </c>
      <c r="D844" s="385" t="s">
        <v>4268</v>
      </c>
      <c r="E844" s="385">
        <v>4</v>
      </c>
      <c r="F844" s="385" t="s">
        <v>10</v>
      </c>
      <c r="I844" s="385" t="s">
        <v>3477</v>
      </c>
      <c r="J844" s="385" t="s">
        <v>3476</v>
      </c>
      <c r="K844" s="385" t="str">
        <f>VLOOKUP(Table13[[#This Row],[CD_FUNCAO]],'BASE_FUNCOES (hide)'!A:X,2,FALSE)</f>
        <v>Rel Razão do Estoque</v>
      </c>
    </row>
    <row r="845" spans="1:11" hidden="1">
      <c r="A845" s="385">
        <v>199</v>
      </c>
      <c r="B845" s="385" t="s">
        <v>1679</v>
      </c>
      <c r="C845" s="385" t="s">
        <v>1680</v>
      </c>
      <c r="D845" s="385" t="s">
        <v>4267</v>
      </c>
      <c r="E845" s="385">
        <v>4</v>
      </c>
      <c r="F845" s="385" t="s">
        <v>10</v>
      </c>
      <c r="I845" s="385" t="s">
        <v>3477</v>
      </c>
      <c r="J845" s="385" t="s">
        <v>3476</v>
      </c>
      <c r="K845" s="385" t="str">
        <f>VLOOKUP(Table13[[#This Row],[CD_FUNCAO]],'BASE_FUNCOES (hide)'!A:X,2,FALSE)</f>
        <v>Rel Saldo Estoque Consignados</v>
      </c>
    </row>
    <row r="846" spans="1:11" hidden="1">
      <c r="A846" s="385">
        <v>9042</v>
      </c>
      <c r="B846" s="385" t="s">
        <v>181</v>
      </c>
      <c r="C846" s="385" t="s">
        <v>533</v>
      </c>
      <c r="D846" s="385" t="s">
        <v>534</v>
      </c>
      <c r="E846" s="385">
        <v>5</v>
      </c>
      <c r="F846" s="385" t="s">
        <v>177</v>
      </c>
      <c r="G846" s="385" t="s">
        <v>2310</v>
      </c>
      <c r="H846" s="385" t="s">
        <v>2170</v>
      </c>
      <c r="I846" s="385" t="s">
        <v>3477</v>
      </c>
      <c r="J846" s="385" t="s">
        <v>3476</v>
      </c>
      <c r="K846" s="385" t="str">
        <f>VLOOKUP(Table13[[#This Row],[CD_FUNCAO]],'BASE_FUNCOES (hide)'!A:X,2,FALSE)</f>
        <v>Mapa dos Setores</v>
      </c>
    </row>
    <row r="847" spans="1:11" hidden="1">
      <c r="A847" s="385">
        <v>10021</v>
      </c>
      <c r="B847" s="385" t="s">
        <v>28</v>
      </c>
      <c r="C847" s="385" t="s">
        <v>548</v>
      </c>
      <c r="D847" s="385" t="s">
        <v>549</v>
      </c>
      <c r="E847" s="385">
        <v>5</v>
      </c>
      <c r="F847" s="385" t="s">
        <v>177</v>
      </c>
      <c r="G847" s="385" t="s">
        <v>2310</v>
      </c>
      <c r="H847" s="385" t="s">
        <v>2170</v>
      </c>
      <c r="I847" s="385" t="s">
        <v>3477</v>
      </c>
      <c r="J847" s="385" t="s">
        <v>3477</v>
      </c>
      <c r="K847" s="385" t="str">
        <f>VLOOKUP(Table13[[#This Row],[CD_FUNCAO]],'BASE_FUNCOES (hide)'!A:X,2,FALSE)</f>
        <v>Gerenciamento de Senhas</v>
      </c>
    </row>
    <row r="848" spans="1:11" hidden="1">
      <c r="A848" s="385">
        <v>914</v>
      </c>
      <c r="B848" s="385" t="s">
        <v>399</v>
      </c>
      <c r="C848" s="385" t="s">
        <v>1363</v>
      </c>
      <c r="D848" s="385" t="s">
        <v>1364</v>
      </c>
      <c r="E848" s="385">
        <v>5</v>
      </c>
      <c r="F848" s="385" t="s">
        <v>177</v>
      </c>
      <c r="G848" s="385" t="s">
        <v>2310</v>
      </c>
      <c r="H848" s="385" t="s">
        <v>2170</v>
      </c>
      <c r="I848" s="385" t="s">
        <v>3477</v>
      </c>
      <c r="J848" s="385" t="s">
        <v>3477</v>
      </c>
      <c r="K848" s="385" t="str">
        <f>VLOOKUP(Table13[[#This Row],[CD_FUNCAO]],'BASE_FUNCOES (hide)'!A:X,2,FALSE)</f>
        <v>Recepção</v>
      </c>
    </row>
    <row r="849" spans="1:11" hidden="1">
      <c r="A849" s="385">
        <v>1002</v>
      </c>
      <c r="B849" s="385" t="s">
        <v>180</v>
      </c>
      <c r="C849" s="385" t="s">
        <v>539</v>
      </c>
      <c r="D849" s="385" t="s">
        <v>540</v>
      </c>
      <c r="E849" s="385">
        <v>5</v>
      </c>
      <c r="F849" s="385" t="s">
        <v>177</v>
      </c>
      <c r="G849" s="385" t="s">
        <v>2310</v>
      </c>
      <c r="H849" s="385" t="s">
        <v>2170</v>
      </c>
      <c r="I849" s="385" t="s">
        <v>3477</v>
      </c>
      <c r="J849" s="385" t="s">
        <v>3476</v>
      </c>
      <c r="K849" s="385" t="str">
        <f>VLOOKUP(Table13[[#This Row],[CD_FUNCAO]],'BASE_FUNCOES (hide)'!A:X,2,FALSE)</f>
        <v>Gestão de Vagas</v>
      </c>
    </row>
    <row r="850" spans="1:11" hidden="1">
      <c r="A850" s="385">
        <v>991</v>
      </c>
      <c r="B850" s="385" t="s">
        <v>185</v>
      </c>
      <c r="C850" s="385" t="s">
        <v>541</v>
      </c>
      <c r="D850" s="385" t="s">
        <v>542</v>
      </c>
      <c r="E850" s="385">
        <v>5</v>
      </c>
      <c r="F850" s="385" t="s">
        <v>177</v>
      </c>
      <c r="G850" s="385" t="s">
        <v>2310</v>
      </c>
      <c r="H850" s="385" t="s">
        <v>2170</v>
      </c>
      <c r="I850" s="385" t="s">
        <v>3477</v>
      </c>
      <c r="J850" s="385" t="s">
        <v>3476</v>
      </c>
      <c r="K850" s="385" t="str">
        <f>VLOOKUP(Table13[[#This Row],[CD_FUNCAO]],'BASE_FUNCOES (hide)'!A:X,2,FALSE)</f>
        <v>Pertences Paciente</v>
      </c>
    </row>
    <row r="851" spans="1:11">
      <c r="A851" s="385">
        <v>1369</v>
      </c>
      <c r="B851" s="385" t="s">
        <v>3713</v>
      </c>
      <c r="C851" s="385" t="s">
        <v>3712</v>
      </c>
      <c r="D851" s="385" t="s">
        <v>3711</v>
      </c>
      <c r="E851" s="385">
        <v>836</v>
      </c>
      <c r="F851" s="385" t="s">
        <v>849</v>
      </c>
      <c r="I851" s="385" t="s">
        <v>3477</v>
      </c>
      <c r="J851" s="385" t="s">
        <v>3513</v>
      </c>
      <c r="K851" s="385" t="str">
        <f>VLOOKUP(Table13[[#This Row],[CD_FUNCAO]],'BASE_FUNCOES (hide)'!A:X,2,FALSE)</f>
        <v>OPS - Ajustes para Refaturamento</v>
      </c>
    </row>
    <row r="852" spans="1:11">
      <c r="A852" s="385">
        <v>1370</v>
      </c>
      <c r="B852" s="385" t="s">
        <v>4501</v>
      </c>
      <c r="C852" s="385" t="s">
        <v>4500</v>
      </c>
      <c r="D852" s="385" t="s">
        <v>4499</v>
      </c>
      <c r="E852" s="385">
        <v>380</v>
      </c>
      <c r="F852" s="385" t="s">
        <v>4474</v>
      </c>
      <c r="I852" s="385" t="s">
        <v>3477</v>
      </c>
      <c r="J852" s="385" t="s">
        <v>3513</v>
      </c>
      <c r="K852" s="385" t="str">
        <f>VLOOKUP(Table13[[#This Row],[CD_FUNCAO]],'BASE_FUNCOES (hide)'!A:X,2,FALSE)</f>
        <v>OPS - Envio de Informações Cadastrais de Prestadores Médicos (CPM)</v>
      </c>
    </row>
    <row r="853" spans="1:11">
      <c r="A853" s="385">
        <v>1371</v>
      </c>
      <c r="B853" s="385" t="s">
        <v>3829</v>
      </c>
      <c r="C853" s="385" t="s">
        <v>3828</v>
      </c>
      <c r="D853" s="385" t="s">
        <v>3827</v>
      </c>
      <c r="E853" s="385">
        <v>691</v>
      </c>
      <c r="F853" s="385" t="s">
        <v>3799</v>
      </c>
      <c r="I853" s="385" t="s">
        <v>3477</v>
      </c>
      <c r="J853" s="385" t="s">
        <v>3513</v>
      </c>
      <c r="K853" s="385" t="str">
        <f>VLOOKUP(Table13[[#This Row],[CD_FUNCAO]],'BASE_FUNCOES (hide)'!A:X,2,FALSE)</f>
        <v>OPS - Comunicação de Internação ou Alta do Beneficiário</v>
      </c>
    </row>
    <row r="854" spans="1:11" hidden="1">
      <c r="A854" s="385">
        <v>8009</v>
      </c>
      <c r="B854" s="385" t="s">
        <v>543</v>
      </c>
      <c r="C854" s="385" t="s">
        <v>544</v>
      </c>
      <c r="D854" s="385" t="s">
        <v>545</v>
      </c>
      <c r="E854" s="385">
        <v>5</v>
      </c>
      <c r="F854" s="385" t="s">
        <v>177</v>
      </c>
      <c r="G854" s="385" t="s">
        <v>2310</v>
      </c>
      <c r="H854" s="385" t="s">
        <v>2170</v>
      </c>
      <c r="I854" s="385" t="s">
        <v>3477</v>
      </c>
      <c r="J854" s="385" t="s">
        <v>3476</v>
      </c>
      <c r="K854" s="385" t="str">
        <f>VLOOKUP(Table13[[#This Row],[CD_FUNCAO]],'BASE_FUNCOES (hide)'!A:X,2,FALSE)</f>
        <v>CIHA - Controle de Informação Hospitalar e Ambulatorial</v>
      </c>
    </row>
    <row r="855" spans="1:11" hidden="1">
      <c r="A855" s="385">
        <v>145</v>
      </c>
      <c r="B855" s="385" t="s">
        <v>186</v>
      </c>
      <c r="C855" s="385" t="s">
        <v>559</v>
      </c>
      <c r="D855" s="385" t="s">
        <v>560</v>
      </c>
      <c r="E855" s="385">
        <v>5</v>
      </c>
      <c r="F855" s="385" t="s">
        <v>177</v>
      </c>
      <c r="G855" s="385" t="s">
        <v>2310</v>
      </c>
      <c r="H855" s="385" t="s">
        <v>2170</v>
      </c>
      <c r="I855" s="385" t="s">
        <v>3477</v>
      </c>
      <c r="K855" s="385" t="str">
        <f>VLOOKUP(Table13[[#This Row],[CD_FUNCAO]],'BASE_FUNCOES (hide)'!A:X,2,FALSE)</f>
        <v>Processos de Alta</v>
      </c>
    </row>
    <row r="856" spans="1:11" hidden="1">
      <c r="A856" s="385">
        <v>159</v>
      </c>
      <c r="B856" s="385" t="s">
        <v>1766</v>
      </c>
      <c r="C856" s="385" t="s">
        <v>4260</v>
      </c>
      <c r="D856" s="385" t="s">
        <v>1768</v>
      </c>
      <c r="E856" s="385">
        <v>5</v>
      </c>
      <c r="F856" s="385" t="s">
        <v>177</v>
      </c>
      <c r="G856" s="385" t="s">
        <v>2310</v>
      </c>
      <c r="H856" s="385" t="s">
        <v>2170</v>
      </c>
      <c r="I856" s="385" t="s">
        <v>3477</v>
      </c>
      <c r="J856" s="385" t="s">
        <v>3476</v>
      </c>
      <c r="K856" s="385" t="str">
        <f>VLOOKUP(Table13[[#This Row],[CD_FUNCAO]],'BASE_FUNCOES (hide)'!A:X,2,FALSE)</f>
        <v>Rel Diagnósticos</v>
      </c>
    </row>
    <row r="857" spans="1:11" hidden="1">
      <c r="A857" s="385">
        <v>151</v>
      </c>
      <c r="B857" s="385" t="s">
        <v>1772</v>
      </c>
      <c r="C857" s="385" t="s">
        <v>1773</v>
      </c>
      <c r="D857" s="385" t="s">
        <v>1774</v>
      </c>
      <c r="E857" s="385">
        <v>5</v>
      </c>
      <c r="F857" s="385" t="s">
        <v>177</v>
      </c>
      <c r="G857" s="385" t="s">
        <v>2310</v>
      </c>
      <c r="H857" s="385" t="s">
        <v>2170</v>
      </c>
      <c r="I857" s="385" t="s">
        <v>3477</v>
      </c>
      <c r="K857" s="385" t="str">
        <f>VLOOKUP(Table13[[#This Row],[CD_FUNCAO]],'BASE_FUNCOES (hide)'!A:X,2,FALSE)</f>
        <v>Rel Etiquetas</v>
      </c>
    </row>
    <row r="858" spans="1:11" hidden="1">
      <c r="A858" s="385">
        <v>156</v>
      </c>
      <c r="B858" s="385" t="s">
        <v>1718</v>
      </c>
      <c r="C858" s="385" t="s">
        <v>1719</v>
      </c>
      <c r="D858" s="385" t="s">
        <v>4259</v>
      </c>
      <c r="E858" s="385">
        <v>5</v>
      </c>
      <c r="F858" s="385" t="s">
        <v>177</v>
      </c>
      <c r="G858" s="385" t="s">
        <v>2310</v>
      </c>
      <c r="H858" s="385" t="s">
        <v>2170</v>
      </c>
      <c r="I858" s="385" t="s">
        <v>3477</v>
      </c>
      <c r="J858" s="385" t="s">
        <v>3476</v>
      </c>
      <c r="K858" s="385" t="str">
        <f>VLOOKUP(Table13[[#This Row],[CD_FUNCAO]],'BASE_FUNCOES (hide)'!A:X,2,FALSE)</f>
        <v>Rel Atendimentos</v>
      </c>
    </row>
    <row r="859" spans="1:11" hidden="1">
      <c r="A859" s="385">
        <v>32</v>
      </c>
      <c r="B859" s="385" t="s">
        <v>4258</v>
      </c>
      <c r="C859" s="385" t="s">
        <v>2953</v>
      </c>
      <c r="D859" s="385" t="s">
        <v>4257</v>
      </c>
      <c r="E859" s="385">
        <v>5</v>
      </c>
      <c r="F859" s="385" t="s">
        <v>177</v>
      </c>
      <c r="G859" s="385" t="s">
        <v>2310</v>
      </c>
      <c r="H859" s="385" t="s">
        <v>2170</v>
      </c>
      <c r="I859" s="385" t="s">
        <v>3477</v>
      </c>
      <c r="J859" s="385" t="s">
        <v>3476</v>
      </c>
      <c r="K859" s="385" t="str">
        <f>VLOOKUP(Table13[[#This Row],[CD_FUNCAO]],'BASE_FUNCOES (hide)'!A:X,2,FALSE)</f>
        <v>Cadastro simplificado de Pessoas</v>
      </c>
    </row>
    <row r="860" spans="1:11" hidden="1">
      <c r="A860" s="385">
        <v>106</v>
      </c>
      <c r="B860" s="385" t="s">
        <v>29</v>
      </c>
      <c r="C860" s="385" t="s">
        <v>550</v>
      </c>
      <c r="D860" s="385" t="s">
        <v>551</v>
      </c>
      <c r="E860" s="385">
        <v>5</v>
      </c>
      <c r="F860" s="385" t="s">
        <v>177</v>
      </c>
      <c r="G860" s="385" t="s">
        <v>2310</v>
      </c>
      <c r="H860" s="385" t="s">
        <v>2170</v>
      </c>
      <c r="I860" s="385" t="s">
        <v>3477</v>
      </c>
      <c r="J860" s="385" t="s">
        <v>3476</v>
      </c>
      <c r="K860" s="385" t="str">
        <f>VLOOKUP(Table13[[#This Row],[CD_FUNCAO]],'BASE_FUNCOES (hide)'!A:X,2,FALSE)</f>
        <v>Orçamento de Pacientes</v>
      </c>
    </row>
    <row r="861" spans="1:11" hidden="1">
      <c r="A861" s="385">
        <v>44</v>
      </c>
      <c r="B861" s="385" t="s">
        <v>183</v>
      </c>
      <c r="C861" s="385" t="s">
        <v>552</v>
      </c>
      <c r="D861" s="385" t="s">
        <v>553</v>
      </c>
      <c r="E861" s="385">
        <v>5</v>
      </c>
      <c r="F861" s="385" t="s">
        <v>177</v>
      </c>
      <c r="G861" s="385" t="s">
        <v>2310</v>
      </c>
      <c r="H861" s="385" t="s">
        <v>2170</v>
      </c>
      <c r="I861" s="385" t="s">
        <v>3477</v>
      </c>
      <c r="J861" s="385" t="s">
        <v>3476</v>
      </c>
      <c r="K861" s="385" t="str">
        <f>VLOOKUP(Table13[[#This Row],[CD_FUNCAO]],'BASE_FUNCOES (hide)'!A:X,2,FALSE)</f>
        <v>Ocupação Hospitalar</v>
      </c>
    </row>
    <row r="862" spans="1:11" hidden="1">
      <c r="A862" s="385">
        <v>194</v>
      </c>
      <c r="B862" s="385" t="s">
        <v>1763</v>
      </c>
      <c r="C862" s="385" t="s">
        <v>1764</v>
      </c>
      <c r="D862" s="385" t="s">
        <v>4256</v>
      </c>
      <c r="E862" s="385">
        <v>5</v>
      </c>
      <c r="F862" s="385" t="s">
        <v>177</v>
      </c>
      <c r="G862" s="385" t="s">
        <v>2310</v>
      </c>
      <c r="H862" s="385" t="s">
        <v>2170</v>
      </c>
      <c r="I862" s="385" t="s">
        <v>3477</v>
      </c>
      <c r="K862" s="385" t="str">
        <f>VLOOKUP(Table13[[#This Row],[CD_FUNCAO]],'BASE_FUNCOES (hide)'!A:X,2,FALSE)</f>
        <v>Rel Internações por Convênio</v>
      </c>
    </row>
    <row r="863" spans="1:11" hidden="1">
      <c r="A863" s="385">
        <v>3009</v>
      </c>
      <c r="B863" s="385" t="s">
        <v>179</v>
      </c>
      <c r="C863" s="385" t="s">
        <v>537</v>
      </c>
      <c r="D863" s="385" t="s">
        <v>538</v>
      </c>
      <c r="E863" s="385">
        <v>5</v>
      </c>
      <c r="F863" s="385" t="s">
        <v>177</v>
      </c>
      <c r="G863" s="385" t="s">
        <v>2310</v>
      </c>
      <c r="H863" s="385" t="s">
        <v>2170</v>
      </c>
      <c r="I863" s="385" t="s">
        <v>3477</v>
      </c>
      <c r="J863" s="385" t="s">
        <v>3476</v>
      </c>
      <c r="K863" s="385" t="str">
        <f>VLOOKUP(Table13[[#This Row],[CD_FUNCAO]],'BASE_FUNCOES (hide)'!A:X,2,FALSE)</f>
        <v>Escala de Plantões e Sobreavisos</v>
      </c>
    </row>
    <row r="864" spans="1:11" hidden="1">
      <c r="A864" s="385">
        <v>10020</v>
      </c>
      <c r="B864" s="385" t="s">
        <v>339</v>
      </c>
      <c r="C864" s="385" t="s">
        <v>546</v>
      </c>
      <c r="D864" s="385" t="s">
        <v>547</v>
      </c>
      <c r="E864" s="385">
        <v>5</v>
      </c>
      <c r="F864" s="385" t="s">
        <v>177</v>
      </c>
      <c r="G864" s="385" t="s">
        <v>2310</v>
      </c>
      <c r="H864" s="385" t="s">
        <v>2170</v>
      </c>
      <c r="I864" s="385" t="s">
        <v>3477</v>
      </c>
      <c r="J864" s="385" t="s">
        <v>3476</v>
      </c>
      <c r="K864" s="385" t="str">
        <f>VLOOKUP(Table13[[#This Row],[CD_FUNCAO]],'BASE_FUNCOES (hide)'!A:X,2,FALSE)</f>
        <v>Controle de Achados e Perdidos</v>
      </c>
    </row>
    <row r="865" spans="1:11" hidden="1">
      <c r="A865" s="385">
        <v>324</v>
      </c>
      <c r="B865" s="385" t="s">
        <v>1769</v>
      </c>
      <c r="C865" s="385" t="s">
        <v>1770</v>
      </c>
      <c r="D865" s="385" t="s">
        <v>4255</v>
      </c>
      <c r="E865" s="385">
        <v>5</v>
      </c>
      <c r="F865" s="385" t="s">
        <v>177</v>
      </c>
      <c r="G865" s="385" t="s">
        <v>2310</v>
      </c>
      <c r="H865" s="385" t="s">
        <v>2170</v>
      </c>
      <c r="I865" s="385" t="s">
        <v>3477</v>
      </c>
      <c r="J865" s="385" t="s">
        <v>3476</v>
      </c>
      <c r="K865" s="385" t="str">
        <f>VLOOKUP(Table13[[#This Row],[CD_FUNCAO]],'BASE_FUNCOES (hide)'!A:X,2,FALSE)</f>
        <v>Relat Atendimentos por convenio</v>
      </c>
    </row>
    <row r="866" spans="1:11" hidden="1">
      <c r="A866" s="385">
        <v>3111</v>
      </c>
      <c r="B866" s="385" t="s">
        <v>182</v>
      </c>
      <c r="C866" s="385" t="s">
        <v>554</v>
      </c>
      <c r="D866" s="385" t="s">
        <v>555</v>
      </c>
      <c r="E866" s="385">
        <v>5</v>
      </c>
      <c r="F866" s="385" t="s">
        <v>177</v>
      </c>
      <c r="G866" s="385" t="s">
        <v>2310</v>
      </c>
      <c r="H866" s="385" t="s">
        <v>2170</v>
      </c>
      <c r="I866" s="385" t="s">
        <v>3477</v>
      </c>
      <c r="J866" s="385" t="s">
        <v>3476</v>
      </c>
      <c r="K866" s="385" t="str">
        <f>VLOOKUP(Table13[[#This Row],[CD_FUNCAO]],'BASE_FUNCOES (hide)'!A:X,2,FALSE)</f>
        <v>Movimentação de Pacientes</v>
      </c>
    </row>
    <row r="867" spans="1:11" hidden="1">
      <c r="A867" s="385">
        <v>916</v>
      </c>
      <c r="B867" s="385" t="s">
        <v>178</v>
      </c>
      <c r="C867" s="385" t="s">
        <v>556</v>
      </c>
      <c r="D867" s="385" t="s">
        <v>178</v>
      </c>
      <c r="E867" s="385">
        <v>5</v>
      </c>
      <c r="F867" s="385" t="s">
        <v>177</v>
      </c>
      <c r="G867" s="385" t="s">
        <v>2310</v>
      </c>
      <c r="H867" s="385" t="s">
        <v>2170</v>
      </c>
      <c r="I867" s="385" t="s">
        <v>3477</v>
      </c>
      <c r="J867" s="385" t="s">
        <v>3476</v>
      </c>
      <c r="K867" s="385" t="str">
        <f>VLOOKUP(Table13[[#This Row],[CD_FUNCAO]],'BASE_FUNCOES (hide)'!A:X,2,FALSE)</f>
        <v>Entrada Única de Pacientes</v>
      </c>
    </row>
    <row r="868" spans="1:11" hidden="1">
      <c r="A868" s="385">
        <v>895</v>
      </c>
      <c r="B868" s="385" t="s">
        <v>184</v>
      </c>
      <c r="C868" s="385" t="s">
        <v>557</v>
      </c>
      <c r="D868" s="385" t="s">
        <v>558</v>
      </c>
      <c r="E868" s="385">
        <v>5</v>
      </c>
      <c r="F868" s="385" t="s">
        <v>177</v>
      </c>
      <c r="G868" s="385" t="s">
        <v>2310</v>
      </c>
      <c r="H868" s="385" t="s">
        <v>2170</v>
      </c>
      <c r="I868" s="385" t="s">
        <v>3477</v>
      </c>
      <c r="J868" s="385" t="s">
        <v>3476</v>
      </c>
      <c r="K868" s="385" t="str">
        <f>VLOOKUP(Table13[[#This Row],[CD_FUNCAO]],'BASE_FUNCOES (hide)'!A:X,2,FALSE)</f>
        <v>Pacientes em Fila de Espera</v>
      </c>
    </row>
    <row r="869" spans="1:11" hidden="1">
      <c r="A869" s="385">
        <v>325</v>
      </c>
      <c r="B869" s="385" t="s">
        <v>1760</v>
      </c>
      <c r="C869" s="385" t="s">
        <v>4254</v>
      </c>
      <c r="D869" s="385" t="s">
        <v>1762</v>
      </c>
      <c r="E869" s="385">
        <v>5</v>
      </c>
      <c r="F869" s="385" t="s">
        <v>177</v>
      </c>
      <c r="G869" s="385" t="s">
        <v>2310</v>
      </c>
      <c r="H869" s="385" t="s">
        <v>2170</v>
      </c>
      <c r="I869" s="385" t="s">
        <v>3477</v>
      </c>
      <c r="K869" s="385" t="str">
        <f>VLOOKUP(Table13[[#This Row],[CD_FUNCAO]],'BASE_FUNCOES (hide)'!A:X,2,FALSE)</f>
        <v>Rel. Consistência Dados Cadastrais Pac.</v>
      </c>
    </row>
    <row r="870" spans="1:11" hidden="1">
      <c r="A870" s="385">
        <v>83</v>
      </c>
      <c r="B870" s="385" t="s">
        <v>1757</v>
      </c>
      <c r="C870" s="385" t="s">
        <v>1758</v>
      </c>
      <c r="D870" s="385" t="s">
        <v>1759</v>
      </c>
      <c r="E870" s="385">
        <v>5</v>
      </c>
      <c r="F870" s="385" t="s">
        <v>177</v>
      </c>
      <c r="G870" s="385" t="s">
        <v>2310</v>
      </c>
      <c r="H870" s="385" t="s">
        <v>2170</v>
      </c>
      <c r="I870" s="385" t="s">
        <v>3477</v>
      </c>
      <c r="J870" s="385" t="s">
        <v>3476</v>
      </c>
      <c r="K870" s="385" t="str">
        <f>VLOOKUP(Table13[[#This Row],[CD_FUNCAO]],'BASE_FUNCOES (hide)'!A:X,2,FALSE)</f>
        <v>Rel de Atendimento por Município</v>
      </c>
    </row>
    <row r="871" spans="1:11" hidden="1">
      <c r="A871" s="385">
        <v>328</v>
      </c>
      <c r="B871" s="385" t="s">
        <v>1754</v>
      </c>
      <c r="C871" s="385" t="s">
        <v>4253</v>
      </c>
      <c r="D871" s="385" t="s">
        <v>1756</v>
      </c>
      <c r="E871" s="385">
        <v>5</v>
      </c>
      <c r="F871" s="385" t="s">
        <v>177</v>
      </c>
      <c r="G871" s="385" t="s">
        <v>2310</v>
      </c>
      <c r="H871" s="385" t="s">
        <v>2170</v>
      </c>
      <c r="I871" s="385" t="s">
        <v>3477</v>
      </c>
      <c r="K871" s="385" t="str">
        <f>VLOOKUP(Table13[[#This Row],[CD_FUNCAO]],'BASE_FUNCOES (hide)'!A:X,2,FALSE)</f>
        <v>Rel. Controle de Cauções</v>
      </c>
    </row>
    <row r="872" spans="1:11" hidden="1">
      <c r="A872" s="385">
        <v>164</v>
      </c>
      <c r="B872" s="385" t="s">
        <v>1721</v>
      </c>
      <c r="C872" s="385" t="s">
        <v>1722</v>
      </c>
      <c r="D872" s="385" t="s">
        <v>1723</v>
      </c>
      <c r="E872" s="385">
        <v>5</v>
      </c>
      <c r="F872" s="385" t="s">
        <v>177</v>
      </c>
      <c r="G872" s="385" t="s">
        <v>2310</v>
      </c>
      <c r="H872" s="385" t="s">
        <v>2170</v>
      </c>
      <c r="I872" s="385" t="s">
        <v>3477</v>
      </c>
      <c r="J872" s="385" t="s">
        <v>3476</v>
      </c>
      <c r="K872" s="385" t="str">
        <f>VLOOKUP(Table13[[#This Row],[CD_FUNCAO]],'BASE_FUNCOES (hide)'!A:X,2,FALSE)</f>
        <v>Rel Atendimento Setor</v>
      </c>
    </row>
    <row r="873" spans="1:11" hidden="1">
      <c r="A873" s="385">
        <v>5</v>
      </c>
      <c r="B873" s="385" t="s">
        <v>27</v>
      </c>
      <c r="C873" s="385" t="s">
        <v>535</v>
      </c>
      <c r="D873" s="385" t="s">
        <v>536</v>
      </c>
      <c r="E873" s="385">
        <v>5</v>
      </c>
      <c r="F873" s="385" t="s">
        <v>177</v>
      </c>
      <c r="G873" s="385" t="s">
        <v>2310</v>
      </c>
      <c r="H873" s="385" t="s">
        <v>2170</v>
      </c>
      <c r="I873" s="385" t="s">
        <v>3477</v>
      </c>
      <c r="J873" s="385" t="s">
        <v>3477</v>
      </c>
      <c r="K873" s="385" t="str">
        <f>VLOOKUP(Table13[[#This Row],[CD_FUNCAO]],'BASE_FUNCOES (hide)'!A:X,2,FALSE)</f>
        <v>Cadastro Completo de Pessoas</v>
      </c>
    </row>
    <row r="874" spans="1:11" hidden="1">
      <c r="A874" s="385">
        <v>7052</v>
      </c>
      <c r="B874" s="385" t="s">
        <v>344</v>
      </c>
      <c r="C874" s="385" t="s">
        <v>575</v>
      </c>
      <c r="D874" s="385" t="s">
        <v>4252</v>
      </c>
      <c r="E874" s="385">
        <v>6</v>
      </c>
      <c r="F874" s="385" t="s">
        <v>58</v>
      </c>
      <c r="I874" s="385" t="s">
        <v>3477</v>
      </c>
      <c r="K874" s="385" t="str">
        <f>VLOOKUP(Table13[[#This Row],[CD_FUNCAO]],'BASE_FUNCOES (hide)'!A:X,2,FALSE)</f>
        <v>Controle do Pré-Faturamento</v>
      </c>
    </row>
    <row r="875" spans="1:11" hidden="1">
      <c r="A875" s="385">
        <v>7051</v>
      </c>
      <c r="B875" s="385" t="s">
        <v>64</v>
      </c>
      <c r="C875" s="385" t="s">
        <v>561</v>
      </c>
      <c r="D875" s="385" t="s">
        <v>562</v>
      </c>
      <c r="E875" s="385">
        <v>6</v>
      </c>
      <c r="F875" s="385" t="s">
        <v>58</v>
      </c>
      <c r="I875" s="385" t="s">
        <v>3477</v>
      </c>
      <c r="J875" s="385" t="s">
        <v>3476</v>
      </c>
      <c r="K875" s="385" t="str">
        <f>VLOOKUP(Table13[[#This Row],[CD_FUNCAO]],'BASE_FUNCOES (hide)'!A:X,2,FALSE)</f>
        <v>Consulta Documentação Convênio</v>
      </c>
    </row>
    <row r="876" spans="1:11" hidden="1">
      <c r="A876" s="385">
        <v>3013</v>
      </c>
      <c r="B876" s="385" t="s">
        <v>74</v>
      </c>
      <c r="C876" s="385" t="s">
        <v>581</v>
      </c>
      <c r="D876" s="385" t="s">
        <v>582</v>
      </c>
      <c r="E876" s="385">
        <v>6</v>
      </c>
      <c r="F876" s="385" t="s">
        <v>58</v>
      </c>
      <c r="I876" s="385" t="s">
        <v>3477</v>
      </c>
      <c r="J876" s="385" t="s">
        <v>3477</v>
      </c>
      <c r="K876" s="385" t="str">
        <f>VLOOKUP(Table13[[#This Row],[CD_FUNCAO]],'BASE_FUNCOES (hide)'!A:X,2,FALSE)</f>
        <v>Central de Faturamento</v>
      </c>
    </row>
    <row r="877" spans="1:11" hidden="1">
      <c r="A877" s="385">
        <v>3401</v>
      </c>
      <c r="B877" s="385" t="s">
        <v>406</v>
      </c>
      <c r="C877" s="385" t="s">
        <v>406</v>
      </c>
      <c r="D877" s="385" t="s">
        <v>406</v>
      </c>
      <c r="E877" s="385">
        <v>6</v>
      </c>
      <c r="F877" s="385" t="s">
        <v>58</v>
      </c>
      <c r="I877" s="385" t="s">
        <v>3477</v>
      </c>
      <c r="J877" s="385" t="s">
        <v>3476</v>
      </c>
      <c r="K877" s="385" t="str">
        <f>VLOOKUP(Table13[[#This Row],[CD_FUNCAO]],'BASE_FUNCOES (hide)'!A:X,2,FALSE)</f>
        <v>TISS - Lotes de Anexos Clínicos</v>
      </c>
    </row>
    <row r="878" spans="1:11" hidden="1">
      <c r="A878" s="385">
        <v>3402</v>
      </c>
      <c r="B878" s="385" t="s">
        <v>583</v>
      </c>
      <c r="C878" s="385" t="s">
        <v>583</v>
      </c>
      <c r="D878" s="385" t="s">
        <v>583</v>
      </c>
      <c r="E878" s="385">
        <v>6</v>
      </c>
      <c r="F878" s="385" t="s">
        <v>58</v>
      </c>
      <c r="I878" s="385" t="s">
        <v>3477</v>
      </c>
      <c r="J878" s="385" t="s">
        <v>3477</v>
      </c>
      <c r="K878" s="385" t="str">
        <f>VLOOKUP(Table13[[#This Row],[CD_FUNCAO]],'BASE_FUNCOES (hide)'!A:X,2,FALSE)</f>
        <v>TISS - Comunicação de Internação / Alta do Beneficiário</v>
      </c>
    </row>
    <row r="879" spans="1:11" hidden="1">
      <c r="A879" s="385">
        <v>8600</v>
      </c>
      <c r="B879" s="385" t="s">
        <v>336</v>
      </c>
      <c r="C879" s="385" t="s">
        <v>336</v>
      </c>
      <c r="D879" s="385" t="s">
        <v>585</v>
      </c>
      <c r="E879" s="385">
        <v>6</v>
      </c>
      <c r="F879" s="385" t="s">
        <v>58</v>
      </c>
      <c r="I879" s="385" t="s">
        <v>3477</v>
      </c>
      <c r="J879" s="385" t="s">
        <v>3476</v>
      </c>
      <c r="K879" s="385" t="str">
        <f>VLOOKUP(Table13[[#This Row],[CD_FUNCAO]],'BASE_FUNCOES (hide)'!A:X,2,FALSE)</f>
        <v>Consulta Tabela TUSS (Mat/Med)</v>
      </c>
    </row>
    <row r="880" spans="1:11">
      <c r="A880" s="385">
        <v>1372</v>
      </c>
      <c r="B880" s="385" t="s">
        <v>4571</v>
      </c>
      <c r="C880" s="385" t="s">
        <v>4570</v>
      </c>
      <c r="D880" s="385" t="s">
        <v>4569</v>
      </c>
      <c r="E880" s="385">
        <v>377</v>
      </c>
      <c r="F880" s="385" t="s">
        <v>4538</v>
      </c>
      <c r="I880" s="385" t="s">
        <v>3510</v>
      </c>
      <c r="J880" s="385" t="s">
        <v>3513</v>
      </c>
      <c r="K880" s="385" t="e">
        <f>VLOOKUP(Table13[[#This Row],[CD_FUNCAO]],'BASE_FUNCOES (hide)'!A:X,2,FALSE)</f>
        <v>#N/A</v>
      </c>
    </row>
    <row r="881" spans="1:11" hidden="1">
      <c r="A881" s="385">
        <v>1112</v>
      </c>
      <c r="B881" s="385" t="s">
        <v>1785</v>
      </c>
      <c r="C881" s="385" t="s">
        <v>577</v>
      </c>
      <c r="D881" s="385" t="s">
        <v>578</v>
      </c>
      <c r="E881" s="385">
        <v>6</v>
      </c>
      <c r="F881" s="385" t="s">
        <v>58</v>
      </c>
      <c r="I881" s="385" t="s">
        <v>3477</v>
      </c>
      <c r="J881" s="385" t="s">
        <v>3476</v>
      </c>
      <c r="K881" s="385" t="str">
        <f>VLOOKUP(Table13[[#This Row],[CD_FUNCAO]],'BASE_FUNCOES (hide)'!A:X,2,FALSE)</f>
        <v>Protocolo de pesquisa</v>
      </c>
    </row>
    <row r="882" spans="1:11" hidden="1">
      <c r="A882" s="385">
        <v>-15</v>
      </c>
      <c r="B882" s="385" t="s">
        <v>73</v>
      </c>
      <c r="C882" s="385" t="s">
        <v>579</v>
      </c>
      <c r="D882" s="385" t="s">
        <v>580</v>
      </c>
      <c r="E882" s="385">
        <v>6</v>
      </c>
      <c r="F882" s="385" t="s">
        <v>58</v>
      </c>
      <c r="I882" s="385" t="s">
        <v>3477</v>
      </c>
      <c r="J882" s="385" t="s">
        <v>3476</v>
      </c>
      <c r="K882" s="385" t="str">
        <f>VLOOKUP(Table13[[#This Row],[CD_FUNCAO]],'BASE_FUNCOES (hide)'!A:X,2,FALSE)</f>
        <v>Transferência de gastos</v>
      </c>
    </row>
    <row r="883" spans="1:11" hidden="1">
      <c r="A883" s="385">
        <v>327</v>
      </c>
      <c r="B883" s="385" t="s">
        <v>1655</v>
      </c>
      <c r="C883" s="385" t="s">
        <v>1656</v>
      </c>
      <c r="D883" s="385" t="s">
        <v>1657</v>
      </c>
      <c r="E883" s="385">
        <v>6</v>
      </c>
      <c r="F883" s="385" t="s">
        <v>58</v>
      </c>
      <c r="I883" s="385" t="s">
        <v>3477</v>
      </c>
      <c r="J883" s="385" t="s">
        <v>3476</v>
      </c>
      <c r="K883" s="385" t="str">
        <f>VLOOKUP(Table13[[#This Row],[CD_FUNCAO]],'BASE_FUNCOES (hide)'!A:X,2,FALSE)</f>
        <v>Rel.Controle de Honorários Médicos</v>
      </c>
    </row>
    <row r="884" spans="1:11">
      <c r="A884" s="385">
        <v>1373</v>
      </c>
      <c r="B884" s="385" t="s">
        <v>4452</v>
      </c>
      <c r="C884" s="385" t="s">
        <v>4451</v>
      </c>
      <c r="D884" s="385" t="s">
        <v>4450</v>
      </c>
      <c r="E884" s="385">
        <v>381</v>
      </c>
      <c r="F884" s="385" t="s">
        <v>4377</v>
      </c>
      <c r="I884" s="385" t="s">
        <v>3506</v>
      </c>
      <c r="J884" s="385" t="s">
        <v>3513</v>
      </c>
      <c r="K884" s="385" t="e">
        <f>VLOOKUP(Table13[[#This Row],[CD_FUNCAO]],'BASE_FUNCOES (hide)'!A:X,2,FALSE)</f>
        <v>#N/A</v>
      </c>
    </row>
    <row r="885" spans="1:11">
      <c r="A885" s="385">
        <v>1374</v>
      </c>
      <c r="B885" s="385" t="s">
        <v>3826</v>
      </c>
      <c r="C885" s="385" t="s">
        <v>3825</v>
      </c>
      <c r="D885" s="385" t="s">
        <v>3824</v>
      </c>
      <c r="E885" s="385">
        <v>691</v>
      </c>
      <c r="F885" s="385" t="s">
        <v>3799</v>
      </c>
      <c r="I885" s="385" t="s">
        <v>3477</v>
      </c>
      <c r="J885" s="385" t="s">
        <v>3477</v>
      </c>
      <c r="K885" s="385" t="str">
        <f>VLOOKUP(Table13[[#This Row],[CD_FUNCAO]],'BASE_FUNCOES (hide)'!A:X,2,FALSE)</f>
        <v>OPS - Autorização Anexo Guias</v>
      </c>
    </row>
    <row r="886" spans="1:11" hidden="1">
      <c r="A886" s="385">
        <v>3400</v>
      </c>
      <c r="B886" s="385" t="s">
        <v>72</v>
      </c>
      <c r="C886" s="385" t="s">
        <v>4242</v>
      </c>
      <c r="D886" s="385" t="s">
        <v>4242</v>
      </c>
      <c r="E886" s="385">
        <v>6</v>
      </c>
      <c r="F886" s="385" t="s">
        <v>58</v>
      </c>
      <c r="I886" s="385" t="s">
        <v>3477</v>
      </c>
      <c r="J886" s="385" t="s">
        <v>3476</v>
      </c>
      <c r="K886" s="385" t="str">
        <f>VLOOKUP(Table13[[#This Row],[CD_FUNCAO]],'BASE_FUNCOES (hide)'!A:X,2,FALSE)</f>
        <v>TISS - Reapresentação de Contas</v>
      </c>
    </row>
    <row r="887" spans="1:11" hidden="1">
      <c r="A887" s="385">
        <v>987</v>
      </c>
      <c r="B887" s="385" t="s">
        <v>65</v>
      </c>
      <c r="C887" s="385" t="s">
        <v>569</v>
      </c>
      <c r="D887" s="385" t="s">
        <v>570</v>
      </c>
      <c r="E887" s="385">
        <v>6</v>
      </c>
      <c r="F887" s="385" t="s">
        <v>58</v>
      </c>
      <c r="I887" s="385" t="s">
        <v>3477</v>
      </c>
      <c r="J887" s="385" t="s">
        <v>3476</v>
      </c>
      <c r="K887" s="385" t="str">
        <f>VLOOKUP(Table13[[#This Row],[CD_FUNCAO]],'BASE_FUNCOES (hide)'!A:X,2,FALSE)</f>
        <v>Consulta Liberação Plano Convênio</v>
      </c>
    </row>
    <row r="888" spans="1:11" hidden="1">
      <c r="A888" s="385">
        <v>7021</v>
      </c>
      <c r="B888" s="385" t="s">
        <v>68</v>
      </c>
      <c r="C888" s="385" t="s">
        <v>571</v>
      </c>
      <c r="D888" s="385" t="s">
        <v>572</v>
      </c>
      <c r="E888" s="385">
        <v>6</v>
      </c>
      <c r="F888" s="385" t="s">
        <v>58</v>
      </c>
      <c r="I888" s="385" t="s">
        <v>3477</v>
      </c>
      <c r="J888" s="385" t="s">
        <v>3476</v>
      </c>
      <c r="K888" s="385" t="str">
        <f>VLOOKUP(Table13[[#This Row],[CD_FUNCAO]],'BASE_FUNCOES (hide)'!A:X,2,FALSE)</f>
        <v>Gestão de Pacotes</v>
      </c>
    </row>
    <row r="889" spans="1:11">
      <c r="A889" s="385">
        <v>1375</v>
      </c>
      <c r="B889" s="385" t="s">
        <v>4498</v>
      </c>
      <c r="C889" s="385" t="s">
        <v>4497</v>
      </c>
      <c r="D889" s="385" t="s">
        <v>4496</v>
      </c>
      <c r="E889" s="385">
        <v>380</v>
      </c>
      <c r="F889" s="385" t="s">
        <v>4474</v>
      </c>
      <c r="I889" s="385" t="s">
        <v>3477</v>
      </c>
      <c r="J889" s="385" t="s">
        <v>3513</v>
      </c>
      <c r="K889" s="385" t="str">
        <f>VLOOKUP(Table13[[#This Row],[CD_FUNCAO]],'BASE_FUNCOES (hide)'!A:X,2,FALSE)</f>
        <v>OPS - Registro de Planos de Saúde (RPS)</v>
      </c>
    </row>
    <row r="890" spans="1:11" hidden="1">
      <c r="A890" s="385">
        <v>171</v>
      </c>
      <c r="B890" s="385" t="s">
        <v>66</v>
      </c>
      <c r="C890" s="385" t="s">
        <v>594</v>
      </c>
      <c r="D890" s="385" t="s">
        <v>595</v>
      </c>
      <c r="E890" s="385">
        <v>6</v>
      </c>
      <c r="F890" s="385" t="s">
        <v>58</v>
      </c>
      <c r="I890" s="385" t="s">
        <v>3477</v>
      </c>
      <c r="J890" s="385" t="s">
        <v>3476</v>
      </c>
      <c r="K890" s="385" t="str">
        <f>VLOOKUP(Table13[[#This Row],[CD_FUNCAO]],'BASE_FUNCOES (hide)'!A:X,2,FALSE)</f>
        <v>Consulta Receita de Atendimentos</v>
      </c>
    </row>
    <row r="891" spans="1:11" hidden="1">
      <c r="A891" s="385">
        <v>313</v>
      </c>
      <c r="B891" s="385" t="s">
        <v>1631</v>
      </c>
      <c r="C891" s="385" t="s">
        <v>1632</v>
      </c>
      <c r="D891" s="385" t="s">
        <v>4238</v>
      </c>
      <c r="E891" s="385">
        <v>6</v>
      </c>
      <c r="F891" s="385" t="s">
        <v>58</v>
      </c>
      <c r="I891" s="385" t="s">
        <v>3477</v>
      </c>
      <c r="J891" s="385" t="s">
        <v>3476</v>
      </c>
      <c r="K891" s="385" t="str">
        <f>VLOOKUP(Table13[[#This Row],[CD_FUNCAO]],'BASE_FUNCOES (hide)'!A:X,2,FALSE)</f>
        <v>Rel Materiais/Medic por Atendimento</v>
      </c>
    </row>
    <row r="892" spans="1:11" hidden="1">
      <c r="A892" s="385">
        <v>315</v>
      </c>
      <c r="B892" s="385" t="s">
        <v>1628</v>
      </c>
      <c r="C892" s="385" t="s">
        <v>4237</v>
      </c>
      <c r="D892" s="385" t="s">
        <v>1630</v>
      </c>
      <c r="E892" s="385">
        <v>6</v>
      </c>
      <c r="F892" s="385" t="s">
        <v>58</v>
      </c>
      <c r="I892" s="385" t="s">
        <v>3477</v>
      </c>
      <c r="J892" s="385" t="s">
        <v>3476</v>
      </c>
      <c r="K892" s="385" t="str">
        <f>VLOOKUP(Table13[[#This Row],[CD_FUNCAO]],'BASE_FUNCOES (hide)'!A:X,2,FALSE)</f>
        <v>Rel Ortese, Protese e Material Especial</v>
      </c>
    </row>
    <row r="893" spans="1:11" hidden="1">
      <c r="A893" s="385">
        <v>195</v>
      </c>
      <c r="B893" s="385" t="s">
        <v>1775</v>
      </c>
      <c r="C893" s="385" t="s">
        <v>1776</v>
      </c>
      <c r="D893" s="385" t="s">
        <v>1777</v>
      </c>
      <c r="E893" s="385">
        <v>6</v>
      </c>
      <c r="F893" s="385" t="s">
        <v>58</v>
      </c>
      <c r="I893" s="385" t="s">
        <v>3477</v>
      </c>
      <c r="J893" s="385" t="s">
        <v>3476</v>
      </c>
      <c r="K893" s="385" t="str">
        <f>VLOOKUP(Table13[[#This Row],[CD_FUNCAO]],'BASE_FUNCOES (hide)'!A:X,2,FALSE)</f>
        <v>Rel Estatística Acerto Conta</v>
      </c>
    </row>
    <row r="894" spans="1:11" hidden="1">
      <c r="A894" s="385">
        <v>85</v>
      </c>
      <c r="B894" s="385" t="s">
        <v>71</v>
      </c>
      <c r="C894" s="385" t="s">
        <v>596</v>
      </c>
      <c r="D894" s="385" t="s">
        <v>597</v>
      </c>
      <c r="E894" s="385">
        <v>6</v>
      </c>
      <c r="F894" s="385" t="s">
        <v>58</v>
      </c>
      <c r="I894" s="385" t="s">
        <v>3477</v>
      </c>
      <c r="J894" s="385" t="s">
        <v>3476</v>
      </c>
      <c r="K894" s="385" t="str">
        <f>VLOOKUP(Table13[[#This Row],[CD_FUNCAO]],'BASE_FUNCOES (hide)'!A:X,2,FALSE)</f>
        <v>Protocolo Convênio</v>
      </c>
    </row>
    <row r="895" spans="1:11" hidden="1">
      <c r="A895" s="385">
        <v>86</v>
      </c>
      <c r="B895" s="385" t="s">
        <v>60</v>
      </c>
      <c r="C895" s="385" t="s">
        <v>598</v>
      </c>
      <c r="D895" s="385" t="s">
        <v>599</v>
      </c>
      <c r="E895" s="385">
        <v>6</v>
      </c>
      <c r="F895" s="385" t="s">
        <v>58</v>
      </c>
      <c r="I895" s="385" t="s">
        <v>3477</v>
      </c>
      <c r="J895" s="385" t="s">
        <v>3476</v>
      </c>
      <c r="K895" s="385" t="str">
        <f>VLOOKUP(Table13[[#This Row],[CD_FUNCAO]],'BASE_FUNCOES (hide)'!A:X,2,FALSE)</f>
        <v>Alterar Convênio Atendimento</v>
      </c>
    </row>
    <row r="896" spans="1:11" hidden="1">
      <c r="A896" s="385">
        <v>304</v>
      </c>
      <c r="B896" s="385" t="s">
        <v>1667</v>
      </c>
      <c r="C896" s="385" t="s">
        <v>1668</v>
      </c>
      <c r="D896" s="385" t="s">
        <v>4236</v>
      </c>
      <c r="E896" s="385">
        <v>6</v>
      </c>
      <c r="F896" s="385" t="s">
        <v>58</v>
      </c>
      <c r="I896" s="385" t="s">
        <v>3477</v>
      </c>
      <c r="J896" s="385" t="s">
        <v>3476</v>
      </c>
      <c r="K896" s="385" t="str">
        <f>VLOOKUP(Table13[[#This Row],[CD_FUNCAO]],'BASE_FUNCOES (hide)'!A:X,2,FALSE)</f>
        <v>Rel Preço Material por Convênio</v>
      </c>
    </row>
    <row r="897" spans="1:11" hidden="1">
      <c r="A897" s="385">
        <v>48</v>
      </c>
      <c r="B897" s="385" t="s">
        <v>75</v>
      </c>
      <c r="C897" s="385" t="s">
        <v>600</v>
      </c>
      <c r="D897" s="385" t="s">
        <v>601</v>
      </c>
      <c r="E897" s="385">
        <v>6</v>
      </c>
      <c r="F897" s="385" t="s">
        <v>58</v>
      </c>
      <c r="I897" s="385" t="s">
        <v>3477</v>
      </c>
      <c r="J897" s="385" t="s">
        <v>3476</v>
      </c>
      <c r="K897" s="385" t="str">
        <f>VLOOKUP(Table13[[#This Row],[CD_FUNCAO]],'BASE_FUNCOES (hide)'!A:X,2,FALSE)</f>
        <v>Transferência entre Atendimentos</v>
      </c>
    </row>
    <row r="898" spans="1:11" hidden="1">
      <c r="A898" s="385">
        <v>84</v>
      </c>
      <c r="B898" s="385" t="s">
        <v>59</v>
      </c>
      <c r="C898" s="385" t="s">
        <v>602</v>
      </c>
      <c r="D898" s="385" t="s">
        <v>603</v>
      </c>
      <c r="E898" s="385">
        <v>6</v>
      </c>
      <c r="F898" s="385" t="s">
        <v>58</v>
      </c>
      <c r="I898" s="385" t="s">
        <v>3477</v>
      </c>
      <c r="J898" s="385" t="s">
        <v>3476</v>
      </c>
      <c r="K898" s="385" t="str">
        <f>VLOOKUP(Table13[[#This Row],[CD_FUNCAO]],'BASE_FUNCOES (hide)'!A:X,2,FALSE)</f>
        <v>Alteração Convênio Procedimento Exec.</v>
      </c>
    </row>
    <row r="899" spans="1:11" hidden="1">
      <c r="A899" s="385">
        <v>306</v>
      </c>
      <c r="B899" s="385" t="s">
        <v>1782</v>
      </c>
      <c r="C899" s="385" t="s">
        <v>1783</v>
      </c>
      <c r="D899" s="385" t="s">
        <v>4235</v>
      </c>
      <c r="E899" s="385">
        <v>6</v>
      </c>
      <c r="F899" s="385" t="s">
        <v>58</v>
      </c>
      <c r="I899" s="385" t="s">
        <v>3477</v>
      </c>
      <c r="J899" s="385" t="s">
        <v>3476</v>
      </c>
      <c r="K899" s="385" t="str">
        <f>VLOOKUP(Table13[[#This Row],[CD_FUNCAO]],'BASE_FUNCOES (hide)'!A:X,2,FALSE)</f>
        <v>Rel Totais das Contas por Convênio</v>
      </c>
    </row>
    <row r="900" spans="1:11" hidden="1">
      <c r="A900" s="385">
        <v>79</v>
      </c>
      <c r="B900" s="385" t="s">
        <v>63</v>
      </c>
      <c r="C900" s="385" t="s">
        <v>586</v>
      </c>
      <c r="D900" s="385" t="s">
        <v>587</v>
      </c>
      <c r="E900" s="385">
        <v>6</v>
      </c>
      <c r="F900" s="385" t="s">
        <v>58</v>
      </c>
      <c r="I900" s="385" t="s">
        <v>3477</v>
      </c>
      <c r="J900" s="385" t="s">
        <v>3476</v>
      </c>
      <c r="K900" s="385" t="str">
        <f>VLOOKUP(Table13[[#This Row],[CD_FUNCAO]],'BASE_FUNCOES (hide)'!A:X,2,FALSE)</f>
        <v>Atualizações Faturamento</v>
      </c>
    </row>
    <row r="901" spans="1:11" hidden="1">
      <c r="A901" s="385">
        <v>300</v>
      </c>
      <c r="B901" s="385" t="s">
        <v>1779</v>
      </c>
      <c r="C901" s="385" t="s">
        <v>1780</v>
      </c>
      <c r="D901" s="385" t="s">
        <v>1781</v>
      </c>
      <c r="E901" s="385">
        <v>6</v>
      </c>
      <c r="F901" s="385" t="s">
        <v>58</v>
      </c>
      <c r="I901" s="385" t="s">
        <v>3477</v>
      </c>
      <c r="J901" s="385" t="s">
        <v>3476</v>
      </c>
      <c r="K901" s="385" t="str">
        <f>VLOOKUP(Table13[[#This Row],[CD_FUNCAO]],'BASE_FUNCOES (hide)'!A:X,2,FALSE)</f>
        <v>Rel Preço Procedimentos</v>
      </c>
    </row>
    <row r="902" spans="1:11" hidden="1">
      <c r="A902" s="385">
        <v>302</v>
      </c>
      <c r="B902" s="385" t="s">
        <v>1670</v>
      </c>
      <c r="C902" s="385" t="s">
        <v>1671</v>
      </c>
      <c r="D902" s="385" t="s">
        <v>4234</v>
      </c>
      <c r="E902" s="385">
        <v>6</v>
      </c>
      <c r="F902" s="385" t="s">
        <v>58</v>
      </c>
      <c r="I902" s="385" t="s">
        <v>3477</v>
      </c>
      <c r="J902" s="385" t="s">
        <v>3476</v>
      </c>
      <c r="K902" s="385" t="str">
        <f>VLOOKUP(Table13[[#This Row],[CD_FUNCAO]],'BASE_FUNCOES (hide)'!A:X,2,FALSE)</f>
        <v>Rel Materiais Sem Preço</v>
      </c>
    </row>
    <row r="903" spans="1:11">
      <c r="A903" s="385">
        <v>1376</v>
      </c>
      <c r="B903" s="385" t="s">
        <v>4449</v>
      </c>
      <c r="C903" s="385" t="s">
        <v>4448</v>
      </c>
      <c r="D903" s="385" t="s">
        <v>4447</v>
      </c>
      <c r="E903" s="385">
        <v>381</v>
      </c>
      <c r="F903" s="385" t="s">
        <v>4377</v>
      </c>
      <c r="I903" s="385" t="s">
        <v>3506</v>
      </c>
      <c r="J903" s="385" t="s">
        <v>3477</v>
      </c>
      <c r="K903" s="385" t="e">
        <f>VLOOKUP(Table13[[#This Row],[CD_FUNCAO]],'BASE_FUNCOES (hide)'!A:X,2,FALSE)</f>
        <v>#N/A</v>
      </c>
    </row>
    <row r="904" spans="1:11">
      <c r="A904" s="385">
        <v>1377</v>
      </c>
      <c r="B904" s="385" t="s">
        <v>5363</v>
      </c>
      <c r="C904" s="385" t="s">
        <v>5362</v>
      </c>
      <c r="D904" s="385" t="s">
        <v>5361</v>
      </c>
      <c r="E904" s="385">
        <v>283</v>
      </c>
      <c r="F904" s="385" t="s">
        <v>4705</v>
      </c>
      <c r="G904" s="385" t="s">
        <v>4704</v>
      </c>
      <c r="H904" s="385" t="s">
        <v>4703</v>
      </c>
      <c r="I904" s="385" t="s">
        <v>3485</v>
      </c>
      <c r="J904" s="385" t="s">
        <v>3477</v>
      </c>
      <c r="K904" s="385" t="e">
        <f>VLOOKUP(Table13[[#This Row],[CD_FUNCAO]],'BASE_FUNCOES (hide)'!A:X,2,FALSE)</f>
        <v>#N/A</v>
      </c>
    </row>
    <row r="905" spans="1:11" hidden="1">
      <c r="A905" s="385">
        <v>7042</v>
      </c>
      <c r="B905" s="385" t="s">
        <v>148</v>
      </c>
      <c r="C905" s="385" t="s">
        <v>563</v>
      </c>
      <c r="D905" s="385" t="s">
        <v>564</v>
      </c>
      <c r="E905" s="385">
        <v>6</v>
      </c>
      <c r="F905" s="385" t="s">
        <v>58</v>
      </c>
      <c r="I905" s="385" t="s">
        <v>3477</v>
      </c>
      <c r="J905" s="385" t="s">
        <v>3476</v>
      </c>
      <c r="K905" s="385" t="str">
        <f>VLOOKUP(Table13[[#This Row],[CD_FUNCAO]],'BASE_FUNCOES (hide)'!A:X,2,FALSE)</f>
        <v>Gestão de Pendências da Conta do Paciente</v>
      </c>
    </row>
    <row r="906" spans="1:11" hidden="1">
      <c r="A906" s="385">
        <v>7048</v>
      </c>
      <c r="B906" s="385" t="s">
        <v>62</v>
      </c>
      <c r="C906" s="385" t="s">
        <v>573</v>
      </c>
      <c r="D906" s="385" t="s">
        <v>574</v>
      </c>
      <c r="E906" s="385">
        <v>6</v>
      </c>
      <c r="F906" s="385" t="s">
        <v>58</v>
      </c>
      <c r="I906" s="385" t="s">
        <v>3477</v>
      </c>
      <c r="J906" s="385" t="s">
        <v>3476</v>
      </c>
      <c r="K906" s="385" t="str">
        <f>VLOOKUP(Table13[[#This Row],[CD_FUNCAO]],'BASE_FUNCOES (hide)'!A:X,2,FALSE)</f>
        <v>Análise do Faturamento por Médico</v>
      </c>
    </row>
    <row r="907" spans="1:11" hidden="1">
      <c r="A907" s="385">
        <v>13</v>
      </c>
      <c r="B907" s="385" t="s">
        <v>327</v>
      </c>
      <c r="C907" s="385" t="s">
        <v>565</v>
      </c>
      <c r="D907" s="385" t="s">
        <v>566</v>
      </c>
      <c r="E907" s="385">
        <v>6</v>
      </c>
      <c r="F907" s="385" t="s">
        <v>58</v>
      </c>
      <c r="I907" s="385" t="s">
        <v>3477</v>
      </c>
      <c r="K907" s="385" t="str">
        <f>VLOOKUP(Table13[[#This Row],[CD_FUNCAO]],'BASE_FUNCOES (hide)'!A:X,2,FALSE)</f>
        <v>Cadastro de pessoas CNS</v>
      </c>
    </row>
    <row r="908" spans="1:11" hidden="1">
      <c r="A908" s="385">
        <v>1199</v>
      </c>
      <c r="B908" s="385" t="s">
        <v>67</v>
      </c>
      <c r="C908" s="385" t="s">
        <v>588</v>
      </c>
      <c r="D908" s="385" t="s">
        <v>589</v>
      </c>
      <c r="E908" s="385">
        <v>6</v>
      </c>
      <c r="F908" s="385" t="s">
        <v>58</v>
      </c>
      <c r="I908" s="385" t="s">
        <v>3477</v>
      </c>
      <c r="J908" s="385" t="s">
        <v>3476</v>
      </c>
      <c r="K908" s="385" t="str">
        <f>VLOOKUP(Table13[[#This Row],[CD_FUNCAO]],'BASE_FUNCOES (hide)'!A:X,2,FALSE)</f>
        <v>Controle de Produção de Terceiros</v>
      </c>
    </row>
    <row r="909" spans="1:11">
      <c r="A909" s="385">
        <v>1378</v>
      </c>
      <c r="B909" s="385" t="s">
        <v>4568</v>
      </c>
      <c r="C909" s="385" t="s">
        <v>4567</v>
      </c>
      <c r="D909" s="385" t="s">
        <v>4566</v>
      </c>
      <c r="E909" s="385">
        <v>377</v>
      </c>
      <c r="F909" s="385" t="s">
        <v>4538</v>
      </c>
      <c r="I909" s="385" t="s">
        <v>3477</v>
      </c>
      <c r="J909" s="385" t="s">
        <v>3477</v>
      </c>
      <c r="K909" s="385" t="str">
        <f>VLOOKUP(Table13[[#This Row],[CD_FUNCAO]],'BASE_FUNCOES (hide)'!A:X,2,FALSE)</f>
        <v>OPS - Produção - Recurso de Glosa</v>
      </c>
    </row>
    <row r="910" spans="1:11" hidden="1">
      <c r="A910" s="385">
        <v>67</v>
      </c>
      <c r="B910" s="385" t="s">
        <v>147</v>
      </c>
      <c r="C910" s="385" t="s">
        <v>4224</v>
      </c>
      <c r="D910" s="385" t="s">
        <v>591</v>
      </c>
      <c r="E910" s="385">
        <v>6</v>
      </c>
      <c r="F910" s="385" t="s">
        <v>58</v>
      </c>
      <c r="I910" s="385" t="s">
        <v>3477</v>
      </c>
      <c r="J910" s="385" t="s">
        <v>3476</v>
      </c>
      <c r="K910" s="385" t="str">
        <f>VLOOKUP(Table13[[#This Row],[CD_FUNCAO]],'BASE_FUNCOES (hide)'!A:X,2,FALSE)</f>
        <v>Conta Paciente</v>
      </c>
    </row>
    <row r="911" spans="1:11" hidden="1">
      <c r="A911" s="385">
        <v>232</v>
      </c>
      <c r="B911" s="385" t="s">
        <v>61</v>
      </c>
      <c r="C911" s="385" t="s">
        <v>592</v>
      </c>
      <c r="D911" s="385" t="s">
        <v>593</v>
      </c>
      <c r="E911" s="385">
        <v>6</v>
      </c>
      <c r="F911" s="385" t="s">
        <v>58</v>
      </c>
      <c r="I911" s="385" t="s">
        <v>3477</v>
      </c>
      <c r="J911" s="385" t="s">
        <v>3476</v>
      </c>
      <c r="K911" s="385" t="str">
        <f>VLOOKUP(Table13[[#This Row],[CD_FUNCAO]],'BASE_FUNCOES (hide)'!A:X,2,FALSE)</f>
        <v>Análise de Contas</v>
      </c>
    </row>
    <row r="912" spans="1:11" hidden="1">
      <c r="A912" s="385">
        <v>319</v>
      </c>
      <c r="B912" s="385" t="s">
        <v>1661</v>
      </c>
      <c r="C912" s="385" t="s">
        <v>1662</v>
      </c>
      <c r="D912" s="385" t="s">
        <v>1663</v>
      </c>
      <c r="E912" s="385">
        <v>6</v>
      </c>
      <c r="F912" s="385" t="s">
        <v>58</v>
      </c>
      <c r="I912" s="385" t="s">
        <v>3477</v>
      </c>
      <c r="J912" s="385" t="s">
        <v>3476</v>
      </c>
      <c r="K912" s="385" t="str">
        <f>VLOOKUP(Table13[[#This Row],[CD_FUNCAO]],'BASE_FUNCOES (hide)'!A:X,2,FALSE)</f>
        <v>Rel. Resumo Setor Faturamento</v>
      </c>
    </row>
    <row r="913" spans="1:11" hidden="1">
      <c r="A913" s="385">
        <v>323</v>
      </c>
      <c r="B913" s="385" t="s">
        <v>4223</v>
      </c>
      <c r="C913" s="385" t="s">
        <v>4222</v>
      </c>
      <c r="D913" s="385" t="s">
        <v>4221</v>
      </c>
      <c r="E913" s="385">
        <v>6</v>
      </c>
      <c r="F913" s="385" t="s">
        <v>58</v>
      </c>
      <c r="I913" s="385" t="s">
        <v>3477</v>
      </c>
      <c r="J913" s="385" t="s">
        <v>3476</v>
      </c>
      <c r="K913" s="385" t="str">
        <f>VLOOKUP(Table13[[#This Row],[CD_FUNCAO]],'BASE_FUNCOES (hide)'!A:X,2,FALSE)</f>
        <v>Rel. Yesulação de Cálculo da Conta de Pa</v>
      </c>
    </row>
    <row r="914" spans="1:11" hidden="1">
      <c r="A914" s="385">
        <v>320</v>
      </c>
      <c r="B914" s="385" t="s">
        <v>1658</v>
      </c>
      <c r="C914" s="385" t="s">
        <v>1659</v>
      </c>
      <c r="D914" s="385" t="s">
        <v>1660</v>
      </c>
      <c r="E914" s="385">
        <v>6</v>
      </c>
      <c r="F914" s="385" t="s">
        <v>58</v>
      </c>
      <c r="I914" s="385" t="s">
        <v>3477</v>
      </c>
      <c r="J914" s="385" t="s">
        <v>3476</v>
      </c>
      <c r="K914" s="385" t="str">
        <f>VLOOKUP(Table13[[#This Row],[CD_FUNCAO]],'BASE_FUNCOES (hide)'!A:X,2,FALSE)</f>
        <v>Rel. Receita por Grupo de Receita Sint.</v>
      </c>
    </row>
    <row r="915" spans="1:11" hidden="1">
      <c r="A915" s="385">
        <v>216</v>
      </c>
      <c r="B915" s="385" t="s">
        <v>1664</v>
      </c>
      <c r="C915" s="385" t="s">
        <v>1665</v>
      </c>
      <c r="D915" s="385" t="s">
        <v>1666</v>
      </c>
      <c r="E915" s="385">
        <v>6</v>
      </c>
      <c r="F915" s="385" t="s">
        <v>58</v>
      </c>
      <c r="I915" s="385" t="s">
        <v>3477</v>
      </c>
      <c r="J915" s="385" t="s">
        <v>3476</v>
      </c>
      <c r="K915" s="385" t="str">
        <f>VLOOKUP(Table13[[#This Row],[CD_FUNCAO]],'BASE_FUNCOES (hide)'!A:X,2,FALSE)</f>
        <v>Rel. de Rentabilidade de Pacote</v>
      </c>
    </row>
    <row r="916" spans="1:11" hidden="1">
      <c r="A916" s="385">
        <v>58</v>
      </c>
      <c r="B916" s="385" t="s">
        <v>1640</v>
      </c>
      <c r="C916" s="385" t="s">
        <v>4220</v>
      </c>
      <c r="D916" s="385" t="s">
        <v>1642</v>
      </c>
      <c r="E916" s="385">
        <v>6</v>
      </c>
      <c r="F916" s="385" t="s">
        <v>58</v>
      </c>
      <c r="I916" s="385" t="s">
        <v>3477</v>
      </c>
      <c r="J916" s="385" t="s">
        <v>3476</v>
      </c>
      <c r="K916" s="385" t="str">
        <f>VLOOKUP(Table13[[#This Row],[CD_FUNCAO]],'BASE_FUNCOES (hide)'!A:X,2,FALSE)</f>
        <v>Rel. Resultado Atendimentos</v>
      </c>
    </row>
    <row r="917" spans="1:11" hidden="1">
      <c r="A917" s="385">
        <v>1901</v>
      </c>
      <c r="B917" s="385" t="s">
        <v>70</v>
      </c>
      <c r="C917" s="385" t="s">
        <v>1778</v>
      </c>
      <c r="D917" s="385" t="s">
        <v>1778</v>
      </c>
      <c r="E917" s="385">
        <v>6</v>
      </c>
      <c r="F917" s="385" t="s">
        <v>58</v>
      </c>
      <c r="I917" s="385" t="s">
        <v>3477</v>
      </c>
      <c r="J917" s="385" t="s">
        <v>3476</v>
      </c>
      <c r="K917" s="385" t="str">
        <f>VLOOKUP(Table13[[#This Row],[CD_FUNCAO]],'BASE_FUNCOES (hide)'!A:X,2,FALSE)</f>
        <v>Log Transações TISS</v>
      </c>
    </row>
    <row r="918" spans="1:11" hidden="1">
      <c r="A918" s="385">
        <v>1902</v>
      </c>
      <c r="B918" s="385" t="s">
        <v>69</v>
      </c>
      <c r="C918" s="385" t="s">
        <v>567</v>
      </c>
      <c r="D918" s="385" t="s">
        <v>568</v>
      </c>
      <c r="E918" s="385">
        <v>6</v>
      </c>
      <c r="F918" s="385" t="s">
        <v>58</v>
      </c>
      <c r="I918" s="385" t="s">
        <v>3477</v>
      </c>
      <c r="J918" s="385" t="s">
        <v>3476</v>
      </c>
      <c r="K918" s="385" t="str">
        <f>VLOOKUP(Table13[[#This Row],[CD_FUNCAO]],'BASE_FUNCOES (hide)'!A:X,2,FALSE)</f>
        <v>Integrações TISS</v>
      </c>
    </row>
    <row r="919" spans="1:11" hidden="1">
      <c r="A919" s="385">
        <v>1750</v>
      </c>
      <c r="B919" s="385" t="s">
        <v>187</v>
      </c>
      <c r="C919" s="385" t="s">
        <v>604</v>
      </c>
      <c r="D919" s="385" t="s">
        <v>605</v>
      </c>
      <c r="E919" s="385">
        <v>7</v>
      </c>
      <c r="F919" s="385" t="s">
        <v>15</v>
      </c>
      <c r="I919" s="385" t="s">
        <v>3477</v>
      </c>
      <c r="J919" s="385" t="s">
        <v>3476</v>
      </c>
      <c r="K919" s="385" t="str">
        <f>VLOOKUP(Table13[[#This Row],[CD_FUNCAO]],'BASE_FUNCOES (hide)'!A:X,2,FALSE)</f>
        <v>Gerenciamento para integração OPME</v>
      </c>
    </row>
    <row r="920" spans="1:11" hidden="1">
      <c r="A920" s="385">
        <v>45</v>
      </c>
      <c r="B920" s="385" t="s">
        <v>1315</v>
      </c>
      <c r="C920" s="385" t="s">
        <v>1316</v>
      </c>
      <c r="D920" s="385" t="s">
        <v>1317</v>
      </c>
      <c r="E920" s="385">
        <v>7</v>
      </c>
      <c r="F920" s="385" t="s">
        <v>15</v>
      </c>
      <c r="I920" s="385" t="s">
        <v>3488</v>
      </c>
      <c r="J920" s="385" t="s">
        <v>3477</v>
      </c>
      <c r="K920" s="385" t="str">
        <f>VLOOKUP(Table13[[#This Row],[CD_FUNCAO]],'BASE_FUNCOES (hide)'!A:X,2,FALSE)</f>
        <v>Devolução de Nota Fiscal</v>
      </c>
    </row>
    <row r="921" spans="1:11">
      <c r="A921" s="385">
        <v>1379</v>
      </c>
      <c r="B921" s="385" t="s">
        <v>3684</v>
      </c>
      <c r="C921" s="385" t="s">
        <v>3685</v>
      </c>
      <c r="D921" s="385" t="s">
        <v>3684</v>
      </c>
      <c r="E921" s="385">
        <v>824</v>
      </c>
      <c r="F921" s="385" t="s">
        <v>3683</v>
      </c>
      <c r="I921" s="385" t="s">
        <v>3506</v>
      </c>
      <c r="J921" s="385" t="s">
        <v>3477</v>
      </c>
      <c r="K921" s="385" t="e">
        <f>VLOOKUP(Table13[[#This Row],[CD_FUNCAO]],'BASE_FUNCOES (hide)'!A:X,2,FALSE)</f>
        <v>#N/A</v>
      </c>
    </row>
    <row r="922" spans="1:11" hidden="1">
      <c r="A922" s="385">
        <v>124</v>
      </c>
      <c r="B922" s="385" t="s">
        <v>114</v>
      </c>
      <c r="C922" s="385" t="s">
        <v>623</v>
      </c>
      <c r="D922" s="385" t="s">
        <v>624</v>
      </c>
      <c r="E922" s="385">
        <v>7</v>
      </c>
      <c r="F922" s="385" t="s">
        <v>15</v>
      </c>
      <c r="I922" s="385" t="s">
        <v>3477</v>
      </c>
      <c r="J922" s="385" t="s">
        <v>3476</v>
      </c>
      <c r="K922" s="385" t="str">
        <f>VLOOKUP(Table13[[#This Row],[CD_FUNCAO]],'BASE_FUNCOES (hide)'!A:X,2,FALSE)</f>
        <v>Emissão da Solicitação de Compra</v>
      </c>
    </row>
    <row r="923" spans="1:11" hidden="1">
      <c r="A923" s="385">
        <v>126</v>
      </c>
      <c r="B923" s="385" t="s">
        <v>115</v>
      </c>
      <c r="C923" s="385" t="s">
        <v>625</v>
      </c>
      <c r="D923" s="385" t="s">
        <v>626</v>
      </c>
      <c r="E923" s="385">
        <v>7</v>
      </c>
      <c r="F923" s="385" t="s">
        <v>15</v>
      </c>
      <c r="I923" s="385" t="s">
        <v>3477</v>
      </c>
      <c r="J923" s="385" t="s">
        <v>3476</v>
      </c>
      <c r="K923" s="385" t="str">
        <f>VLOOKUP(Table13[[#This Row],[CD_FUNCAO]],'BASE_FUNCOES (hide)'!A:X,2,FALSE)</f>
        <v>Emissão Solicitações/Ordem/Autorizações</v>
      </c>
    </row>
    <row r="924" spans="1:11" hidden="1">
      <c r="A924" s="385">
        <v>197</v>
      </c>
      <c r="B924" s="385" t="s">
        <v>1795</v>
      </c>
      <c r="C924" s="385" t="s">
        <v>1790</v>
      </c>
      <c r="D924" s="385" t="s">
        <v>1796</v>
      </c>
      <c r="E924" s="385">
        <v>7</v>
      </c>
      <c r="F924" s="385" t="s">
        <v>15</v>
      </c>
      <c r="I924" s="385" t="s">
        <v>3477</v>
      </c>
      <c r="J924" s="385" t="s">
        <v>3476</v>
      </c>
      <c r="K924" s="385" t="str">
        <f>VLOOKUP(Table13[[#This Row],[CD_FUNCAO]],'BASE_FUNCOES (hide)'!A:X,2,FALSE)</f>
        <v>Rel Solicitação de Compra</v>
      </c>
    </row>
    <row r="925" spans="1:11" hidden="1">
      <c r="A925" s="385">
        <v>198</v>
      </c>
      <c r="B925" s="385" t="s">
        <v>1792</v>
      </c>
      <c r="C925" s="385" t="s">
        <v>1793</v>
      </c>
      <c r="D925" s="385" t="s">
        <v>1794</v>
      </c>
      <c r="E925" s="385">
        <v>7</v>
      </c>
      <c r="F925" s="385" t="s">
        <v>15</v>
      </c>
      <c r="I925" s="385" t="s">
        <v>3477</v>
      </c>
      <c r="J925" s="385" t="s">
        <v>3476</v>
      </c>
      <c r="K925" s="385" t="str">
        <f>VLOOKUP(Table13[[#This Row],[CD_FUNCAO]],'BASE_FUNCOES (hide)'!A:X,2,FALSE)</f>
        <v>Rel Ordem de Compra</v>
      </c>
    </row>
    <row r="926" spans="1:11" hidden="1">
      <c r="A926" s="385">
        <v>188</v>
      </c>
      <c r="B926" s="385" t="s">
        <v>1700</v>
      </c>
      <c r="C926" s="385" t="s">
        <v>1701</v>
      </c>
      <c r="D926" s="385" t="s">
        <v>4216</v>
      </c>
      <c r="E926" s="385">
        <v>7</v>
      </c>
      <c r="F926" s="385" t="s">
        <v>15</v>
      </c>
      <c r="I926" s="385" t="s">
        <v>3477</v>
      </c>
      <c r="J926" s="385" t="s">
        <v>3476</v>
      </c>
      <c r="K926" s="385" t="str">
        <f>VLOOKUP(Table13[[#This Row],[CD_FUNCAO]],'BASE_FUNCOES (hide)'!A:X,2,FALSE)</f>
        <v>Rel Compras por Fornecedor</v>
      </c>
    </row>
    <row r="927" spans="1:11" hidden="1">
      <c r="A927" s="385">
        <v>193</v>
      </c>
      <c r="B927" s="385" t="s">
        <v>1789</v>
      </c>
      <c r="C927" s="385" t="s">
        <v>1790</v>
      </c>
      <c r="D927" s="385" t="s">
        <v>1791</v>
      </c>
      <c r="E927" s="385">
        <v>7</v>
      </c>
      <c r="F927" s="385" t="s">
        <v>15</v>
      </c>
      <c r="I927" s="385" t="s">
        <v>3477</v>
      </c>
      <c r="J927" s="385" t="s">
        <v>3476</v>
      </c>
      <c r="K927" s="385" t="str">
        <f>VLOOKUP(Table13[[#This Row],[CD_FUNCAO]],'BASE_FUNCOES (hide)'!A:X,2,FALSE)</f>
        <v>Rel Solicitação Compras</v>
      </c>
    </row>
    <row r="928" spans="1:11">
      <c r="A928" s="385">
        <v>1380</v>
      </c>
      <c r="B928" s="385" t="s">
        <v>4494</v>
      </c>
      <c r="C928" s="385" t="s">
        <v>4495</v>
      </c>
      <c r="D928" s="385" t="s">
        <v>4494</v>
      </c>
      <c r="E928" s="385">
        <v>380</v>
      </c>
      <c r="F928" s="385" t="s">
        <v>4474</v>
      </c>
      <c r="I928" s="385" t="s">
        <v>3477</v>
      </c>
      <c r="J928" s="385" t="s">
        <v>3513</v>
      </c>
      <c r="K928" s="385" t="str">
        <f>VLOOKUP(Table13[[#This Row],[CD_FUNCAO]],'BASE_FUNCOES (hide)'!A:X,2,FALSE)</f>
        <v>OPS - Radar TISS</v>
      </c>
    </row>
    <row r="929" spans="1:11" hidden="1">
      <c r="A929" s="385">
        <v>4100</v>
      </c>
      <c r="B929" s="385" t="s">
        <v>116</v>
      </c>
      <c r="C929" s="385" t="s">
        <v>610</v>
      </c>
      <c r="D929" s="385" t="s">
        <v>611</v>
      </c>
      <c r="E929" s="385">
        <v>7</v>
      </c>
      <c r="F929" s="385" t="s">
        <v>15</v>
      </c>
      <c r="I929" s="385" t="s">
        <v>3477</v>
      </c>
      <c r="J929" s="385" t="s">
        <v>3476</v>
      </c>
      <c r="K929" s="385" t="str">
        <f>VLOOKUP(Table13[[#This Row],[CD_FUNCAO]],'BASE_FUNCOES (hide)'!A:X,2,FALSE)</f>
        <v>Gestão da Avaliação de Produtos</v>
      </c>
    </row>
    <row r="930" spans="1:11" hidden="1">
      <c r="A930" s="385">
        <v>1200</v>
      </c>
      <c r="B930" s="385" t="s">
        <v>112</v>
      </c>
      <c r="C930" s="385" t="s">
        <v>612</v>
      </c>
      <c r="D930" s="385" t="s">
        <v>613</v>
      </c>
      <c r="E930" s="385">
        <v>7</v>
      </c>
      <c r="F930" s="385" t="s">
        <v>15</v>
      </c>
      <c r="I930" s="385" t="s">
        <v>3477</v>
      </c>
      <c r="J930" s="385" t="s">
        <v>3477</v>
      </c>
      <c r="K930" s="385" t="str">
        <f>VLOOKUP(Table13[[#This Row],[CD_FUNCAO]],'BASE_FUNCOES (hide)'!A:X,2,FALSE)</f>
        <v>Controle de Contratos</v>
      </c>
    </row>
    <row r="931" spans="1:11" hidden="1">
      <c r="A931" s="385">
        <v>913</v>
      </c>
      <c r="B931" s="385" t="s">
        <v>120</v>
      </c>
      <c r="C931" s="385" t="s">
        <v>614</v>
      </c>
      <c r="D931" s="385" t="s">
        <v>615</v>
      </c>
      <c r="E931" s="385">
        <v>7</v>
      </c>
      <c r="F931" s="385" t="s">
        <v>15</v>
      </c>
      <c r="I931" s="385" t="s">
        <v>3477</v>
      </c>
      <c r="J931" s="385" t="s">
        <v>3476</v>
      </c>
      <c r="K931" s="385" t="str">
        <f>VLOOKUP(Table13[[#This Row],[CD_FUNCAO]],'BASE_FUNCOES (hide)'!A:X,2,FALSE)</f>
        <v>Solicitação de Compra</v>
      </c>
    </row>
    <row r="932" spans="1:11" hidden="1">
      <c r="A932" s="385">
        <v>915</v>
      </c>
      <c r="B932" s="385" t="s">
        <v>113</v>
      </c>
      <c r="C932" s="385" t="s">
        <v>4212</v>
      </c>
      <c r="D932" s="385" t="s">
        <v>617</v>
      </c>
      <c r="E932" s="385">
        <v>7</v>
      </c>
      <c r="F932" s="385" t="s">
        <v>15</v>
      </c>
      <c r="I932" s="385" t="s">
        <v>3477</v>
      </c>
      <c r="J932" s="385" t="s">
        <v>3476</v>
      </c>
      <c r="K932" s="385" t="str">
        <f>VLOOKUP(Table13[[#This Row],[CD_FUNCAO]],'BASE_FUNCOES (hide)'!A:X,2,FALSE)</f>
        <v>Cotação de Compra</v>
      </c>
    </row>
    <row r="933" spans="1:11" hidden="1">
      <c r="A933" s="385">
        <v>917</v>
      </c>
      <c r="B933" s="385" t="s">
        <v>4211</v>
      </c>
      <c r="C933" s="385" t="s">
        <v>4210</v>
      </c>
      <c r="D933" s="385" t="s">
        <v>4209</v>
      </c>
      <c r="E933" s="385">
        <v>7</v>
      </c>
      <c r="F933" s="385" t="s">
        <v>15</v>
      </c>
      <c r="I933" s="385" t="s">
        <v>3477</v>
      </c>
      <c r="J933" s="385" t="s">
        <v>3476</v>
      </c>
      <c r="K933" s="385" t="str">
        <f>VLOOKUP(Table13[[#This Row],[CD_FUNCAO]],'BASE_FUNCOES (hide)'!A:X,2,FALSE)</f>
        <v>Ordem compra</v>
      </c>
    </row>
    <row r="934" spans="1:11" hidden="1">
      <c r="A934" s="385">
        <v>318</v>
      </c>
      <c r="B934" s="385" t="s">
        <v>119</v>
      </c>
      <c r="C934" s="385" t="s">
        <v>621</v>
      </c>
      <c r="D934" s="385" t="s">
        <v>622</v>
      </c>
      <c r="E934" s="385">
        <v>7</v>
      </c>
      <c r="F934" s="385" t="s">
        <v>15</v>
      </c>
      <c r="I934" s="385" t="s">
        <v>3477</v>
      </c>
      <c r="J934" s="385" t="s">
        <v>3476</v>
      </c>
      <c r="K934" s="385" t="str">
        <f>VLOOKUP(Table13[[#This Row],[CD_FUNCAO]],'BASE_FUNCOES (hide)'!A:X,2,FALSE)</f>
        <v>Materiais Consig. c/ Preço Última Compra</v>
      </c>
    </row>
    <row r="935" spans="1:11" hidden="1">
      <c r="A935" s="385">
        <v>267</v>
      </c>
      <c r="B935" s="385" t="s">
        <v>111</v>
      </c>
      <c r="C935" s="385" t="s">
        <v>627</v>
      </c>
      <c r="D935" s="385" t="s">
        <v>628</v>
      </c>
      <c r="E935" s="385">
        <v>7</v>
      </c>
      <c r="F935" s="385" t="s">
        <v>15</v>
      </c>
      <c r="I935" s="385" t="s">
        <v>3477</v>
      </c>
      <c r="J935" s="385" t="s">
        <v>3476</v>
      </c>
      <c r="K935" s="385" t="str">
        <f>VLOOKUP(Table13[[#This Row],[CD_FUNCAO]],'BASE_FUNCOES (hide)'!A:X,2,FALSE)</f>
        <v>Aprovações Pendentes</v>
      </c>
    </row>
    <row r="936" spans="1:11" hidden="1">
      <c r="A936" s="385">
        <v>179</v>
      </c>
      <c r="B936" s="385" t="s">
        <v>1786</v>
      </c>
      <c r="C936" s="385" t="s">
        <v>1787</v>
      </c>
      <c r="D936" s="385" t="s">
        <v>1788</v>
      </c>
      <c r="E936" s="385">
        <v>7</v>
      </c>
      <c r="F936" s="385" t="s">
        <v>15</v>
      </c>
      <c r="I936" s="385" t="s">
        <v>3477</v>
      </c>
      <c r="J936" s="385" t="s">
        <v>3476</v>
      </c>
      <c r="K936" s="385" t="str">
        <f>VLOOKUP(Table13[[#This Row],[CD_FUNCAO]],'BASE_FUNCOES (hide)'!A:X,2,FALSE)</f>
        <v>Rel Divergência Ordem Compra Item</v>
      </c>
    </row>
    <row r="937" spans="1:11" hidden="1">
      <c r="A937" s="385">
        <v>120</v>
      </c>
      <c r="B937" s="385" t="s">
        <v>118</v>
      </c>
      <c r="C937" s="385" t="s">
        <v>606</v>
      </c>
      <c r="D937" s="385" t="s">
        <v>607</v>
      </c>
      <c r="E937" s="385">
        <v>7</v>
      </c>
      <c r="F937" s="385" t="s">
        <v>15</v>
      </c>
      <c r="I937" s="385" t="s">
        <v>3477</v>
      </c>
      <c r="J937" s="385" t="s">
        <v>3476</v>
      </c>
      <c r="K937" s="385" t="str">
        <f>VLOOKUP(Table13[[#This Row],[CD_FUNCAO]],'BASE_FUNCOES (hide)'!A:X,2,FALSE)</f>
        <v>Integração de compras</v>
      </c>
    </row>
    <row r="938" spans="1:11" hidden="1">
      <c r="A938" s="385">
        <v>920</v>
      </c>
      <c r="B938" s="385" t="s">
        <v>117</v>
      </c>
      <c r="C938" s="385" t="s">
        <v>608</v>
      </c>
      <c r="D938" s="385" t="s">
        <v>609</v>
      </c>
      <c r="E938" s="385">
        <v>7</v>
      </c>
      <c r="F938" s="385" t="s">
        <v>15</v>
      </c>
      <c r="I938" s="385" t="s">
        <v>3477</v>
      </c>
      <c r="J938" s="385" t="s">
        <v>3476</v>
      </c>
      <c r="K938" s="385" t="str">
        <f>VLOOKUP(Table13[[#This Row],[CD_FUNCAO]],'BASE_FUNCOES (hide)'!A:X,2,FALSE)</f>
        <v>Gestão de Fornecimento</v>
      </c>
    </row>
    <row r="939" spans="1:11" hidden="1">
      <c r="A939" s="385">
        <v>-2009</v>
      </c>
      <c r="B939" s="385" t="s">
        <v>331</v>
      </c>
      <c r="C939" s="385" t="s">
        <v>4205</v>
      </c>
      <c r="D939" s="385" t="s">
        <v>331</v>
      </c>
      <c r="E939" s="385">
        <v>8</v>
      </c>
      <c r="F939" s="385" t="s">
        <v>188</v>
      </c>
      <c r="I939" s="385" t="s">
        <v>3477</v>
      </c>
      <c r="K939" s="385" t="str">
        <f>VLOOKUP(Table13[[#This Row],[CD_FUNCAO]],'BASE_FUNCOES (hide)'!A:X,2,FALSE)</f>
        <v>Código de barras</v>
      </c>
    </row>
    <row r="940" spans="1:11" hidden="1">
      <c r="A940" s="385">
        <v>9044</v>
      </c>
      <c r="B940" s="385" t="s">
        <v>393</v>
      </c>
      <c r="C940" s="385" t="s">
        <v>1187</v>
      </c>
      <c r="D940" s="385" t="s">
        <v>1188</v>
      </c>
      <c r="E940" s="385">
        <v>8</v>
      </c>
      <c r="F940" s="385" t="s">
        <v>188</v>
      </c>
      <c r="I940" s="385" t="s">
        <v>3477</v>
      </c>
      <c r="J940" s="385" t="s">
        <v>3476</v>
      </c>
      <c r="K940" s="385" t="str">
        <f>VLOOKUP(Table13[[#This Row],[CD_FUNCAO]],'BASE_FUNCOES (hide)'!A:X,2,FALSE)</f>
        <v>Produção de Medicamentos</v>
      </c>
    </row>
    <row r="941" spans="1:11">
      <c r="A941" s="385">
        <v>1381</v>
      </c>
      <c r="B941" s="385" t="s">
        <v>4443</v>
      </c>
      <c r="C941" s="385" t="s">
        <v>4442</v>
      </c>
      <c r="D941" s="385" t="s">
        <v>4441</v>
      </c>
      <c r="E941" s="385">
        <v>381</v>
      </c>
      <c r="F941" s="385" t="s">
        <v>4377</v>
      </c>
      <c r="I941" s="385" t="s">
        <v>3506</v>
      </c>
      <c r="J941" s="385" t="s">
        <v>3477</v>
      </c>
      <c r="K941" s="385" t="e">
        <f>VLOOKUP(Table13[[#This Row],[CD_FUNCAO]],'BASE_FUNCOES (hide)'!A:X,2,FALSE)</f>
        <v>#N/A</v>
      </c>
    </row>
    <row r="942" spans="1:11" hidden="1">
      <c r="A942" s="385">
        <v>-700</v>
      </c>
      <c r="B942" s="385" t="s">
        <v>635</v>
      </c>
      <c r="C942" s="385" t="s">
        <v>636</v>
      </c>
      <c r="D942" s="385" t="s">
        <v>637</v>
      </c>
      <c r="E942" s="385">
        <v>8</v>
      </c>
      <c r="F942" s="385" t="s">
        <v>188</v>
      </c>
      <c r="I942" s="385" t="s">
        <v>3477</v>
      </c>
      <c r="J942" s="385" t="s">
        <v>3476</v>
      </c>
      <c r="K942" s="385" t="str">
        <f>VLOOKUP(Table13[[#This Row],[CD_FUNCAO]],'BASE_FUNCOES (hide)'!A:X,2,FALSE)</f>
        <v>Localizador de Medicamentos</v>
      </c>
    </row>
    <row r="943" spans="1:11">
      <c r="A943" s="385">
        <v>1382</v>
      </c>
      <c r="B943" s="385" t="s">
        <v>3707</v>
      </c>
      <c r="C943" s="385" t="s">
        <v>3706</v>
      </c>
      <c r="D943" s="385" t="s">
        <v>3705</v>
      </c>
      <c r="E943" s="385">
        <v>836</v>
      </c>
      <c r="F943" s="385" t="s">
        <v>849</v>
      </c>
      <c r="I943" s="385" t="s">
        <v>3477</v>
      </c>
      <c r="J943" s="385" t="s">
        <v>3513</v>
      </c>
      <c r="K943" s="385" t="str">
        <f>VLOOKUP(Table13[[#This Row],[CD_FUNCAO]],'BASE_FUNCOES (hide)'!A:X,2,FALSE)</f>
        <v>OPS - Controle de Coparticipações e Pós-estabelecidos</v>
      </c>
    </row>
    <row r="944" spans="1:11">
      <c r="A944" s="385">
        <v>1383</v>
      </c>
      <c r="B944" s="385" t="s">
        <v>4560</v>
      </c>
      <c r="C944" s="385" t="s">
        <v>4559</v>
      </c>
      <c r="D944" s="385" t="s">
        <v>4559</v>
      </c>
      <c r="E944" s="385">
        <v>377</v>
      </c>
      <c r="F944" s="385" t="s">
        <v>4538</v>
      </c>
      <c r="I944" s="385" t="s">
        <v>3477</v>
      </c>
      <c r="J944" s="385" t="s">
        <v>3477</v>
      </c>
      <c r="K944" s="385" t="str">
        <f>VLOOKUP(Table13[[#This Row],[CD_FUNCAO]],'BASE_FUNCOES (hide)'!A:X,2,FALSE)</f>
        <v>OPS - Produção - Processos de Contas Médicas</v>
      </c>
    </row>
    <row r="945" spans="1:11" hidden="1">
      <c r="A945" s="385">
        <v>165</v>
      </c>
      <c r="B945" s="385" t="s">
        <v>1814</v>
      </c>
      <c r="C945" s="385" t="s">
        <v>1815</v>
      </c>
      <c r="D945" s="385" t="s">
        <v>1816</v>
      </c>
      <c r="E945" s="385">
        <v>8</v>
      </c>
      <c r="F945" s="385" t="s">
        <v>188</v>
      </c>
      <c r="I945" s="385" t="s">
        <v>3477</v>
      </c>
      <c r="J945" s="385" t="s">
        <v>3476</v>
      </c>
      <c r="K945" s="385" t="str">
        <f>VLOOKUP(Table13[[#This Row],[CD_FUNCAO]],'BASE_FUNCOES (hide)'!A:X,2,FALSE)</f>
        <v>Relação de Medicamentos</v>
      </c>
    </row>
    <row r="946" spans="1:11" hidden="1">
      <c r="A946" s="385">
        <v>998</v>
      </c>
      <c r="B946" s="385" t="s">
        <v>206</v>
      </c>
      <c r="C946" s="385" t="s">
        <v>647</v>
      </c>
      <c r="D946" s="385" t="s">
        <v>648</v>
      </c>
      <c r="E946" s="385">
        <v>8</v>
      </c>
      <c r="F946" s="385" t="s">
        <v>188</v>
      </c>
      <c r="I946" s="385" t="s">
        <v>3477</v>
      </c>
      <c r="J946" s="385" t="s">
        <v>3476</v>
      </c>
      <c r="K946" s="385" t="str">
        <f>VLOOKUP(Table13[[#This Row],[CD_FUNCAO]],'BASE_FUNCOES (hide)'!A:X,2,FALSE)</f>
        <v>Prescrição de Emergência</v>
      </c>
    </row>
    <row r="947" spans="1:11" hidden="1">
      <c r="A947" s="385">
        <v>7010</v>
      </c>
      <c r="B947" s="385" t="s">
        <v>201</v>
      </c>
      <c r="C947" s="385" t="s">
        <v>4201</v>
      </c>
      <c r="D947" s="385" t="s">
        <v>650</v>
      </c>
      <c r="E947" s="385">
        <v>8</v>
      </c>
      <c r="F947" s="385" t="s">
        <v>188</v>
      </c>
      <c r="I947" s="385" t="s">
        <v>3477</v>
      </c>
      <c r="J947" s="385" t="s">
        <v>3476</v>
      </c>
      <c r="K947" s="385" t="str">
        <f>VLOOKUP(Table13[[#This Row],[CD_FUNCAO]],'BASE_FUNCOES (hide)'!A:X,2,FALSE)</f>
        <v>Gestão das Prescrições pela Farmácia Clínica</v>
      </c>
    </row>
    <row r="948" spans="1:11" hidden="1">
      <c r="A948" s="385">
        <v>7029</v>
      </c>
      <c r="B948" s="385" t="s">
        <v>190</v>
      </c>
      <c r="C948" s="385" t="s">
        <v>651</v>
      </c>
      <c r="D948" s="385" t="s">
        <v>652</v>
      </c>
      <c r="E948" s="385">
        <v>8</v>
      </c>
      <c r="F948" s="385" t="s">
        <v>188</v>
      </c>
      <c r="I948" s="385" t="s">
        <v>3477</v>
      </c>
      <c r="J948" s="385" t="s">
        <v>3476</v>
      </c>
      <c r="K948" s="385" t="str">
        <f>VLOOKUP(Table13[[#This Row],[CD_FUNCAO]],'BASE_FUNCOES (hide)'!A:X,2,FALSE)</f>
        <v>Atendimento do Lote da Prescrição</v>
      </c>
    </row>
    <row r="949" spans="1:11" hidden="1">
      <c r="A949" s="385">
        <v>7031</v>
      </c>
      <c r="B949" s="385" t="s">
        <v>196</v>
      </c>
      <c r="C949" s="385" t="s">
        <v>643</v>
      </c>
      <c r="D949" s="385" t="s">
        <v>644</v>
      </c>
      <c r="E949" s="385">
        <v>8</v>
      </c>
      <c r="F949" s="385" t="s">
        <v>188</v>
      </c>
      <c r="I949" s="385" t="s">
        <v>3477</v>
      </c>
      <c r="J949" s="385" t="s">
        <v>3476</v>
      </c>
      <c r="K949" s="385" t="str">
        <f>VLOOKUP(Table13[[#This Row],[CD_FUNCAO]],'BASE_FUNCOES (hide)'!A:X,2,FALSE)</f>
        <v>Emissão do Lote da Prescrição</v>
      </c>
    </row>
    <row r="950" spans="1:11" hidden="1">
      <c r="A950" s="385">
        <v>3112</v>
      </c>
      <c r="B950" s="385" t="s">
        <v>653</v>
      </c>
      <c r="C950" s="385" t="s">
        <v>4200</v>
      </c>
      <c r="D950" s="385" t="s">
        <v>655</v>
      </c>
      <c r="E950" s="385">
        <v>8</v>
      </c>
      <c r="F950" s="385" t="s">
        <v>188</v>
      </c>
      <c r="I950" s="385" t="s">
        <v>3477</v>
      </c>
      <c r="J950" s="385" t="s">
        <v>3476</v>
      </c>
      <c r="K950" s="385" t="str">
        <f>VLOOKUP(Table13[[#This Row],[CD_FUNCAO]],'BASE_FUNCOES (hide)'!A:X,2,FALSE)</f>
        <v>Gestão de Dispensação dos Processos ADEP - GEDIPA</v>
      </c>
    </row>
    <row r="951" spans="1:11" hidden="1">
      <c r="A951" s="385">
        <v>1700</v>
      </c>
      <c r="B951" s="385" t="s">
        <v>202</v>
      </c>
      <c r="C951" s="385" t="s">
        <v>640</v>
      </c>
      <c r="D951" s="385" t="s">
        <v>641</v>
      </c>
      <c r="E951" s="385">
        <v>8</v>
      </c>
      <c r="F951" s="385" t="s">
        <v>188</v>
      </c>
      <c r="I951" s="385" t="s">
        <v>3477</v>
      </c>
      <c r="J951" s="385" t="s">
        <v>3476</v>
      </c>
      <c r="K951" s="385" t="str">
        <f>VLOOKUP(Table13[[#This Row],[CD_FUNCAO]],'BASE_FUNCOES (hide)'!A:X,2,FALSE)</f>
        <v>Gestão de Transcrição</v>
      </c>
    </row>
    <row r="952" spans="1:11">
      <c r="A952" s="385">
        <v>1384</v>
      </c>
      <c r="B952" s="385" t="s">
        <v>4528</v>
      </c>
      <c r="C952" s="385" t="s">
        <v>4527</v>
      </c>
      <c r="D952" s="385" t="s">
        <v>4526</v>
      </c>
      <c r="E952" s="385">
        <v>379</v>
      </c>
      <c r="F952" s="385" t="s">
        <v>4502</v>
      </c>
      <c r="I952" s="385" t="s">
        <v>3477</v>
      </c>
      <c r="J952" s="385" t="s">
        <v>3477</v>
      </c>
      <c r="K952" s="385" t="str">
        <f>VLOOKUP(Table13[[#This Row],[CD_FUNCAO]],'BASE_FUNCOES (hide)'!A:X,2,FALSE)</f>
        <v>OPS - Geração de Boletos</v>
      </c>
    </row>
    <row r="953" spans="1:11" hidden="1">
      <c r="A953" s="385">
        <v>7030</v>
      </c>
      <c r="B953" s="385" t="s">
        <v>203</v>
      </c>
      <c r="C953" s="385" t="s">
        <v>638</v>
      </c>
      <c r="D953" s="385" t="s">
        <v>639</v>
      </c>
      <c r="E953" s="385">
        <v>8</v>
      </c>
      <c r="F953" s="385" t="s">
        <v>188</v>
      </c>
      <c r="I953" s="385" t="s">
        <v>3477</v>
      </c>
      <c r="J953" s="385" t="s">
        <v>3476</v>
      </c>
      <c r="K953" s="385" t="str">
        <f>VLOOKUP(Table13[[#This Row],[CD_FUNCAO]],'BASE_FUNCOES (hide)'!A:X,2,FALSE)</f>
        <v>Gestão dos Lotes da Dispensação</v>
      </c>
    </row>
    <row r="954" spans="1:11" hidden="1">
      <c r="A954" s="385">
        <v>47</v>
      </c>
      <c r="B954" s="385" t="s">
        <v>4196</v>
      </c>
      <c r="C954" s="385" t="s">
        <v>667</v>
      </c>
      <c r="D954" s="385" t="s">
        <v>668</v>
      </c>
      <c r="E954" s="385">
        <v>8</v>
      </c>
      <c r="F954" s="385" t="s">
        <v>188</v>
      </c>
      <c r="I954" s="385" t="s">
        <v>3477</v>
      </c>
      <c r="J954" s="385" t="s">
        <v>3476</v>
      </c>
      <c r="K954" s="385" t="str">
        <f>VLOOKUP(Table13[[#This Row],[CD_FUNCAO]],'BASE_FUNCOES (hide)'!A:X,2,FALSE)</f>
        <v>Liberação Medicamentos No Padronizados</v>
      </c>
    </row>
    <row r="955" spans="1:11" hidden="1">
      <c r="A955" s="385">
        <v>122</v>
      </c>
      <c r="B955" s="385" t="s">
        <v>197</v>
      </c>
      <c r="C955" s="385" t="s">
        <v>4195</v>
      </c>
      <c r="D955" s="385" t="s">
        <v>4194</v>
      </c>
      <c r="E955" s="385">
        <v>8</v>
      </c>
      <c r="F955" s="385" t="s">
        <v>188</v>
      </c>
      <c r="I955" s="385" t="s">
        <v>3477</v>
      </c>
      <c r="J955" s="385" t="s">
        <v>3476</v>
      </c>
      <c r="K955" s="385" t="str">
        <f>VLOOKUP(Table13[[#This Row],[CD_FUNCAO]],'BASE_FUNCOES (hide)'!A:X,2,FALSE)</f>
        <v>Emissão dos Atendimentos (Req/Presc)</v>
      </c>
    </row>
    <row r="956" spans="1:11" hidden="1">
      <c r="A956" s="385">
        <v>116</v>
      </c>
      <c r="B956" s="385" t="s">
        <v>194</v>
      </c>
      <c r="C956" s="385" t="s">
        <v>671</v>
      </c>
      <c r="D956" s="385" t="s">
        <v>672</v>
      </c>
      <c r="E956" s="385">
        <v>8</v>
      </c>
      <c r="F956" s="385" t="s">
        <v>188</v>
      </c>
      <c r="I956" s="385" t="s">
        <v>3477</v>
      </c>
      <c r="J956" s="385" t="s">
        <v>3476</v>
      </c>
      <c r="K956" s="385" t="str">
        <f>VLOOKUP(Table13[[#This Row],[CD_FUNCAO]],'BASE_FUNCOES (hide)'!A:X,2,FALSE)</f>
        <v>Emissão Código de Barras</v>
      </c>
    </row>
    <row r="957" spans="1:11" hidden="1">
      <c r="A957" s="385">
        <v>196</v>
      </c>
      <c r="B957" s="385" t="s">
        <v>4193</v>
      </c>
      <c r="C957" s="385" t="s">
        <v>1800</v>
      </c>
      <c r="D957" s="385" t="s">
        <v>1801</v>
      </c>
      <c r="E957" s="385">
        <v>8</v>
      </c>
      <c r="F957" s="385" t="s">
        <v>188</v>
      </c>
      <c r="I957" s="385" t="s">
        <v>3477</v>
      </c>
      <c r="J957" s="385" t="s">
        <v>3476</v>
      </c>
      <c r="K957" s="385" t="str">
        <f>VLOOKUP(Table13[[#This Row],[CD_FUNCAO]],'BASE_FUNCOES (hide)'!A:X,2,FALSE)</f>
        <v>Rel Medicamentos No Padronizados</v>
      </c>
    </row>
    <row r="958" spans="1:11" hidden="1">
      <c r="A958" s="385">
        <v>307</v>
      </c>
      <c r="B958" s="385" t="s">
        <v>1715</v>
      </c>
      <c r="C958" s="385" t="s">
        <v>1716</v>
      </c>
      <c r="D958" s="385" t="s">
        <v>1717</v>
      </c>
      <c r="E958" s="385">
        <v>8</v>
      </c>
      <c r="F958" s="385" t="s">
        <v>188</v>
      </c>
      <c r="I958" s="385" t="s">
        <v>3477</v>
      </c>
      <c r="J958" s="385" t="s">
        <v>3476</v>
      </c>
      <c r="K958" s="385" t="str">
        <f>VLOOKUP(Table13[[#This Row],[CD_FUNCAO]],'BASE_FUNCOES (hide)'!A:X,2,FALSE)</f>
        <v>Rel Utilização Material/Medicamento</v>
      </c>
    </row>
    <row r="959" spans="1:11" hidden="1">
      <c r="A959" s="385">
        <v>182</v>
      </c>
      <c r="B959" s="385" t="s">
        <v>1811</v>
      </c>
      <c r="C959" s="385" t="s">
        <v>1812</v>
      </c>
      <c r="D959" s="385" t="s">
        <v>1813</v>
      </c>
      <c r="E959" s="385">
        <v>8</v>
      </c>
      <c r="F959" s="385" t="s">
        <v>188</v>
      </c>
      <c r="I959" s="385" t="s">
        <v>3477</v>
      </c>
      <c r="J959" s="385" t="s">
        <v>3476</v>
      </c>
      <c r="K959" s="385" t="str">
        <f>VLOOKUP(Table13[[#This Row],[CD_FUNCAO]],'BASE_FUNCOES (hide)'!A:X,2,FALSE)</f>
        <v>Rel Materiais</v>
      </c>
    </row>
    <row r="960" spans="1:11" hidden="1">
      <c r="A960" s="385">
        <v>184</v>
      </c>
      <c r="B960" s="385" t="s">
        <v>1808</v>
      </c>
      <c r="C960" s="385" t="s">
        <v>1809</v>
      </c>
      <c r="D960" s="385" t="s">
        <v>1810</v>
      </c>
      <c r="E960" s="385">
        <v>8</v>
      </c>
      <c r="F960" s="385" t="s">
        <v>188</v>
      </c>
      <c r="I960" s="385" t="s">
        <v>3477</v>
      </c>
      <c r="J960" s="385" t="s">
        <v>3476</v>
      </c>
      <c r="K960" s="385" t="str">
        <f>VLOOKUP(Table13[[#This Row],[CD_FUNCAO]],'BASE_FUNCOES (hide)'!A:X,2,FALSE)</f>
        <v>Rel Estrutura Materiais</v>
      </c>
    </row>
    <row r="961" spans="1:11" hidden="1">
      <c r="A961" s="385">
        <v>157</v>
      </c>
      <c r="B961" s="385" t="s">
        <v>1634</v>
      </c>
      <c r="C961" s="385" t="s">
        <v>1635</v>
      </c>
      <c r="D961" s="385" t="s">
        <v>4192</v>
      </c>
      <c r="E961" s="385">
        <v>8</v>
      </c>
      <c r="F961" s="385" t="s">
        <v>188</v>
      </c>
      <c r="I961" s="385" t="s">
        <v>3477</v>
      </c>
      <c r="J961" s="385" t="s">
        <v>3476</v>
      </c>
      <c r="K961" s="385" t="str">
        <f>VLOOKUP(Table13[[#This Row],[CD_FUNCAO]],'BASE_FUNCOES (hide)'!A:X,2,FALSE)</f>
        <v>Rel Medic/Mat Utilizados</v>
      </c>
    </row>
    <row r="962" spans="1:11" hidden="1">
      <c r="A962" s="385">
        <v>36</v>
      </c>
      <c r="B962" s="385" t="s">
        <v>189</v>
      </c>
      <c r="C962" s="385" t="s">
        <v>660</v>
      </c>
      <c r="D962" s="385" t="s">
        <v>661</v>
      </c>
      <c r="E962" s="385">
        <v>8</v>
      </c>
      <c r="F962" s="385" t="s">
        <v>188</v>
      </c>
      <c r="I962" s="385" t="s">
        <v>3477</v>
      </c>
      <c r="J962" s="385" t="s">
        <v>3476</v>
      </c>
      <c r="K962" s="385" t="str">
        <f>VLOOKUP(Table13[[#This Row],[CD_FUNCAO]],'BASE_FUNCOES (hide)'!A:X,2,FALSE)</f>
        <v>Atendimento da Prescrição</v>
      </c>
    </row>
    <row r="963" spans="1:11" hidden="1">
      <c r="A963" s="385">
        <v>301</v>
      </c>
      <c r="B963" s="385" t="s">
        <v>1805</v>
      </c>
      <c r="C963" s="385" t="s">
        <v>1806</v>
      </c>
      <c r="D963" s="385" t="s">
        <v>1807</v>
      </c>
      <c r="E963" s="385">
        <v>8</v>
      </c>
      <c r="F963" s="385" t="s">
        <v>188</v>
      </c>
      <c r="I963" s="385" t="s">
        <v>3477</v>
      </c>
      <c r="J963" s="385" t="s">
        <v>3476</v>
      </c>
      <c r="K963" s="385" t="str">
        <f>VLOOKUP(Table13[[#This Row],[CD_FUNCAO]],'BASE_FUNCOES (hide)'!A:X,2,FALSE)</f>
        <v>Rel Material Brasíndice</v>
      </c>
    </row>
    <row r="964" spans="1:11" hidden="1">
      <c r="A964" s="385">
        <v>42</v>
      </c>
      <c r="B964" s="385" t="s">
        <v>193</v>
      </c>
      <c r="C964" s="385" t="s">
        <v>662</v>
      </c>
      <c r="D964" s="385" t="s">
        <v>663</v>
      </c>
      <c r="E964" s="385">
        <v>8</v>
      </c>
      <c r="F964" s="385" t="s">
        <v>188</v>
      </c>
      <c r="I964" s="385" t="s">
        <v>3477</v>
      </c>
      <c r="J964" s="385" t="s">
        <v>3476</v>
      </c>
      <c r="K964" s="385" t="str">
        <f>VLOOKUP(Table13[[#This Row],[CD_FUNCAO]],'BASE_FUNCOES (hide)'!A:X,2,FALSE)</f>
        <v>Devolução Material Paciente</v>
      </c>
    </row>
    <row r="965" spans="1:11">
      <c r="A965" s="385">
        <v>1385</v>
      </c>
      <c r="B965" s="385" t="s">
        <v>3823</v>
      </c>
      <c r="C965" s="385" t="s">
        <v>3822</v>
      </c>
      <c r="D965" s="385" t="s">
        <v>3821</v>
      </c>
      <c r="E965" s="385">
        <v>691</v>
      </c>
      <c r="F965" s="385" t="s">
        <v>3799</v>
      </c>
      <c r="I965" s="385" t="s">
        <v>3477</v>
      </c>
      <c r="J965" s="385" t="s">
        <v>3477</v>
      </c>
      <c r="K965" s="385" t="str">
        <f>VLOOKUP(Table13[[#This Row],[CD_FUNCAO]],'BASE_FUNCOES (hide)'!A:X,2,FALSE)</f>
        <v>OPS - Emissão de Requisição/Guia em Lote</v>
      </c>
    </row>
    <row r="966" spans="1:11" hidden="1">
      <c r="A966" s="385">
        <v>10015</v>
      </c>
      <c r="B966" s="385" t="s">
        <v>200</v>
      </c>
      <c r="C966" s="385" t="s">
        <v>656</v>
      </c>
      <c r="D966" s="385" t="s">
        <v>4188</v>
      </c>
      <c r="E966" s="385">
        <v>8</v>
      </c>
      <c r="F966" s="385" t="s">
        <v>188</v>
      </c>
      <c r="I966" s="385" t="s">
        <v>3477</v>
      </c>
      <c r="J966" s="385" t="s">
        <v>3476</v>
      </c>
      <c r="K966" s="385" t="str">
        <f>VLOOKUP(Table13[[#This Row],[CD_FUNCAO]],'BASE_FUNCOES (hide)'!A:X,2,FALSE)</f>
        <v>Farmácia Ambulatorial</v>
      </c>
    </row>
    <row r="967" spans="1:11" hidden="1">
      <c r="A967" s="385">
        <v>1580</v>
      </c>
      <c r="B967" s="385" t="s">
        <v>204</v>
      </c>
      <c r="C967" s="385" t="s">
        <v>4028</v>
      </c>
      <c r="D967" s="385" t="s">
        <v>204</v>
      </c>
      <c r="E967" s="385">
        <v>8</v>
      </c>
      <c r="F967" s="385" t="s">
        <v>188</v>
      </c>
      <c r="I967" s="385" t="s">
        <v>3477</v>
      </c>
      <c r="J967" s="385" t="s">
        <v>3476</v>
      </c>
      <c r="K967" s="385" t="str">
        <f>VLOOKUP(Table13[[#This Row],[CD_FUNCAO]],'BASE_FUNCOES (hide)'!A:X,2,FALSE)</f>
        <v>Medicamento</v>
      </c>
    </row>
    <row r="968" spans="1:11" hidden="1">
      <c r="A968" s="385">
        <v>130</v>
      </c>
      <c r="B968" s="385" t="s">
        <v>192</v>
      </c>
      <c r="C968" s="385" t="s">
        <v>665</v>
      </c>
      <c r="D968" s="385" t="s">
        <v>666</v>
      </c>
      <c r="E968" s="385">
        <v>8</v>
      </c>
      <c r="F968" s="385" t="s">
        <v>188</v>
      </c>
      <c r="I968" s="385" t="s">
        <v>3477</v>
      </c>
      <c r="J968" s="385" t="s">
        <v>3476</v>
      </c>
      <c r="K968" s="385" t="str">
        <f>VLOOKUP(Table13[[#This Row],[CD_FUNCAO]],'BASE_FUNCOES (hide)'!A:X,2,FALSE)</f>
        <v>Consumo de Materiais/Medic. por Barras</v>
      </c>
    </row>
    <row r="969" spans="1:11" hidden="1">
      <c r="A969" s="385">
        <v>213</v>
      </c>
      <c r="B969" s="385" t="s">
        <v>1802</v>
      </c>
      <c r="C969" s="385" t="s">
        <v>1803</v>
      </c>
      <c r="D969" s="385" t="s">
        <v>1804</v>
      </c>
      <c r="E969" s="385">
        <v>8</v>
      </c>
      <c r="F969" s="385" t="s">
        <v>188</v>
      </c>
      <c r="I969" s="385" t="s">
        <v>3477</v>
      </c>
      <c r="J969" s="385" t="s">
        <v>3476</v>
      </c>
      <c r="K969" s="385" t="str">
        <f>VLOOKUP(Table13[[#This Row],[CD_FUNCAO]],'BASE_FUNCOES (hide)'!A:X,2,FALSE)</f>
        <v>Rel de Materiais Controlados</v>
      </c>
    </row>
    <row r="970" spans="1:11" hidden="1">
      <c r="A970" s="385">
        <v>138</v>
      </c>
      <c r="B970" s="385" t="s">
        <v>198</v>
      </c>
      <c r="C970" s="385" t="s">
        <v>629</v>
      </c>
      <c r="D970" s="385" t="s">
        <v>630</v>
      </c>
      <c r="E970" s="385">
        <v>8</v>
      </c>
      <c r="F970" s="385" t="s">
        <v>188</v>
      </c>
      <c r="I970" s="385" t="s">
        <v>3477</v>
      </c>
      <c r="J970" s="385" t="s">
        <v>3476</v>
      </c>
      <c r="K970" s="385" t="str">
        <f>VLOOKUP(Table13[[#This Row],[CD_FUNCAO]],'BASE_FUNCOES (hide)'!A:X,2,FALSE)</f>
        <v>Emissão Prescrição Procedimentos</v>
      </c>
    </row>
    <row r="971" spans="1:11" hidden="1">
      <c r="A971" s="385">
        <v>139</v>
      </c>
      <c r="B971" s="385" t="s">
        <v>191</v>
      </c>
      <c r="C971" s="385" t="s">
        <v>631</v>
      </c>
      <c r="D971" s="385" t="s">
        <v>632</v>
      </c>
      <c r="E971" s="385">
        <v>8</v>
      </c>
      <c r="F971" s="385" t="s">
        <v>188</v>
      </c>
      <c r="I971" s="385" t="s">
        <v>3477</v>
      </c>
      <c r="J971" s="385" t="s">
        <v>3476</v>
      </c>
      <c r="K971" s="385" t="str">
        <f>VLOOKUP(Table13[[#This Row],[CD_FUNCAO]],'BASE_FUNCOES (hide)'!A:X,2,FALSE)</f>
        <v>Conferência da Prescrição - Barras</v>
      </c>
    </row>
    <row r="972" spans="1:11" hidden="1">
      <c r="A972" s="385">
        <v>162</v>
      </c>
      <c r="B972" s="385" t="s">
        <v>205</v>
      </c>
      <c r="C972" s="385" t="s">
        <v>633</v>
      </c>
      <c r="D972" s="385" t="s">
        <v>634</v>
      </c>
      <c r="E972" s="385">
        <v>8</v>
      </c>
      <c r="F972" s="385" t="s">
        <v>188</v>
      </c>
      <c r="I972" s="385" t="s">
        <v>3477</v>
      </c>
      <c r="J972" s="385" t="s">
        <v>3476</v>
      </c>
      <c r="K972" s="385" t="str">
        <f>VLOOKUP(Table13[[#This Row],[CD_FUNCAO]],'BASE_FUNCOES (hide)'!A:X,2,FALSE)</f>
        <v>Medicamentos por Médico e Paciente</v>
      </c>
    </row>
    <row r="973" spans="1:11" hidden="1">
      <c r="A973" s="385">
        <v>91</v>
      </c>
      <c r="B973" s="385" t="s">
        <v>195</v>
      </c>
      <c r="C973" s="385" t="s">
        <v>658</v>
      </c>
      <c r="D973" s="385" t="s">
        <v>659</v>
      </c>
      <c r="E973" s="385">
        <v>8</v>
      </c>
      <c r="F973" s="385" t="s">
        <v>188</v>
      </c>
      <c r="I973" s="385" t="s">
        <v>3477</v>
      </c>
      <c r="J973" s="385" t="s">
        <v>3476</v>
      </c>
      <c r="K973" s="385" t="str">
        <f>VLOOKUP(Table13[[#This Row],[CD_FUNCAO]],'BASE_FUNCOES (hide)'!A:X,2,FALSE)</f>
        <v>Emissão das Prescrições por Horário</v>
      </c>
    </row>
    <row r="974" spans="1:11" hidden="1">
      <c r="A974" s="385">
        <v>310</v>
      </c>
      <c r="B974" s="385" t="s">
        <v>1797</v>
      </c>
      <c r="C974" s="385" t="s">
        <v>1798</v>
      </c>
      <c r="D974" s="385" t="s">
        <v>1799</v>
      </c>
      <c r="E974" s="385">
        <v>8</v>
      </c>
      <c r="F974" s="385" t="s">
        <v>188</v>
      </c>
      <c r="I974" s="385" t="s">
        <v>3477</v>
      </c>
      <c r="J974" s="385" t="s">
        <v>3476</v>
      </c>
      <c r="K974" s="385" t="str">
        <f>VLOOKUP(Table13[[#This Row],[CD_FUNCAO]],'BASE_FUNCOES (hide)'!A:X,2,FALSE)</f>
        <v>Rel Comparativo Materiais com/sem Prescr</v>
      </c>
    </row>
    <row r="975" spans="1:11" hidden="1">
      <c r="A975" s="385">
        <v>24</v>
      </c>
      <c r="B975" s="385" t="s">
        <v>199</v>
      </c>
      <c r="C975" s="385" t="s">
        <v>645</v>
      </c>
      <c r="D975" s="385" t="s">
        <v>646</v>
      </c>
      <c r="E975" s="385">
        <v>8</v>
      </c>
      <c r="F975" s="385" t="s">
        <v>188</v>
      </c>
      <c r="I975" s="385" t="s">
        <v>3477</v>
      </c>
      <c r="J975" s="385" t="s">
        <v>3476</v>
      </c>
      <c r="K975" s="385" t="str">
        <f>VLOOKUP(Table13[[#This Row],[CD_FUNCAO]],'BASE_FUNCOES (hide)'!A:X,2,FALSE)</f>
        <v>Execução Prescrição</v>
      </c>
    </row>
    <row r="976" spans="1:11" hidden="1">
      <c r="A976" s="385">
        <v>9039</v>
      </c>
      <c r="B976" s="385" t="s">
        <v>211</v>
      </c>
      <c r="C976" s="385" t="s">
        <v>4187</v>
      </c>
      <c r="D976" s="385" t="s">
        <v>4186</v>
      </c>
      <c r="E976" s="385">
        <v>9</v>
      </c>
      <c r="F976" s="385" t="s">
        <v>0</v>
      </c>
      <c r="I976" s="385" t="s">
        <v>3477</v>
      </c>
      <c r="J976" s="385" t="s">
        <v>3476</v>
      </c>
      <c r="K976" s="385" t="str">
        <f>VLOOKUP(Table13[[#This Row],[CD_FUNCAO]],'BASE_FUNCOES (hide)'!A:X,2,FALSE)</f>
        <v>Painel de chamadas de exames</v>
      </c>
    </row>
    <row r="977" spans="1:11" hidden="1">
      <c r="A977" s="385">
        <v>99010</v>
      </c>
      <c r="B977" s="385" t="s">
        <v>33</v>
      </c>
      <c r="C977" s="385" t="s">
        <v>1817</v>
      </c>
      <c r="D977" s="385" t="s">
        <v>689</v>
      </c>
      <c r="E977" s="385">
        <v>9</v>
      </c>
      <c r="F977" s="385" t="s">
        <v>0</v>
      </c>
      <c r="I977" s="385" t="s">
        <v>3477</v>
      </c>
      <c r="J977" s="385" t="s">
        <v>3476</v>
      </c>
      <c r="K977" s="385" t="str">
        <f>VLOOKUP(Table13[[#This Row],[CD_FUNCAO]],'BASE_FUNCOES (hide)'!A:X,2,FALSE)</f>
        <v>Central de Laudos</v>
      </c>
    </row>
    <row r="978" spans="1:11" hidden="1">
      <c r="A978" s="385">
        <v>99013</v>
      </c>
      <c r="B978" s="385" t="s">
        <v>48</v>
      </c>
      <c r="C978" s="385" t="s">
        <v>1372</v>
      </c>
      <c r="D978" s="385" t="s">
        <v>1373</v>
      </c>
      <c r="E978" s="385">
        <v>9</v>
      </c>
      <c r="F978" s="385" t="s">
        <v>0</v>
      </c>
      <c r="I978" s="385" t="s">
        <v>3477</v>
      </c>
      <c r="J978" s="385" t="s">
        <v>3476</v>
      </c>
      <c r="K978" s="385" t="str">
        <f>VLOOKUP(Table13[[#This Row],[CD_FUNCAO]],'BASE_FUNCOES (hide)'!A:X,2,FALSE)</f>
        <v>Infraestrutura Laudo</v>
      </c>
    </row>
    <row r="979" spans="1:11" hidden="1">
      <c r="A979" s="385">
        <v>-6950</v>
      </c>
      <c r="B979" s="385" t="s">
        <v>690</v>
      </c>
      <c r="C979" s="385" t="s">
        <v>691</v>
      </c>
      <c r="D979" s="385" t="s">
        <v>692</v>
      </c>
      <c r="E979" s="385">
        <v>9</v>
      </c>
      <c r="F979" s="385" t="s">
        <v>0</v>
      </c>
      <c r="I979" s="385" t="s">
        <v>3477</v>
      </c>
      <c r="J979" s="385" t="s">
        <v>3476</v>
      </c>
      <c r="K979" s="385" t="str">
        <f>VLOOKUP(Table13[[#This Row],[CD_FUNCAO]],'BASE_FUNCOES (hide)'!A:X,2,FALSE)</f>
        <v>Captura de imagens</v>
      </c>
    </row>
    <row r="980" spans="1:11">
      <c r="A980" s="385">
        <v>1386</v>
      </c>
      <c r="B980" s="385" t="s">
        <v>4493</v>
      </c>
      <c r="C980" s="385" t="s">
        <v>4492</v>
      </c>
      <c r="D980" s="385" t="s">
        <v>4491</v>
      </c>
      <c r="E980" s="385">
        <v>380</v>
      </c>
      <c r="F980" s="385" t="s">
        <v>4474</v>
      </c>
      <c r="I980" s="385" t="s">
        <v>3477</v>
      </c>
      <c r="J980" s="385" t="s">
        <v>3513</v>
      </c>
      <c r="K980" s="385" t="str">
        <f>VLOOKUP(Table13[[#This Row],[CD_FUNCAO]],'BASE_FUNCOES (hide)'!A:X,2,FALSE)</f>
        <v>OPS - Monitoramento ANS - Envio de dados para ANS</v>
      </c>
    </row>
    <row r="981" spans="1:11">
      <c r="A981" s="385">
        <v>1387</v>
      </c>
      <c r="B981" s="385" t="s">
        <v>3752</v>
      </c>
      <c r="C981" s="385" t="s">
        <v>3751</v>
      </c>
      <c r="D981" s="385" t="s">
        <v>3750</v>
      </c>
      <c r="E981" s="385">
        <v>583</v>
      </c>
      <c r="F981" s="385" t="s">
        <v>3746</v>
      </c>
      <c r="I981" s="385" t="s">
        <v>3477</v>
      </c>
      <c r="J981" s="385" t="s">
        <v>3477</v>
      </c>
      <c r="K981" s="385" t="str">
        <f>VLOOKUP(Table13[[#This Row],[CD_FUNCAO]],'BASE_FUNCOES (hide)'!A:X,2,FALSE)</f>
        <v>OPS - Escriturações de Quotas de Cooperados</v>
      </c>
    </row>
    <row r="982" spans="1:11">
      <c r="A982" s="385">
        <v>1388</v>
      </c>
      <c r="B982" s="385" t="s">
        <v>4563</v>
      </c>
      <c r="C982" s="385" t="s">
        <v>4562</v>
      </c>
      <c r="D982" s="385" t="s">
        <v>4561</v>
      </c>
      <c r="E982" s="385">
        <v>377</v>
      </c>
      <c r="F982" s="385" t="s">
        <v>4538</v>
      </c>
      <c r="I982" s="385" t="s">
        <v>3510</v>
      </c>
      <c r="J982" s="385" t="s">
        <v>3477</v>
      </c>
      <c r="K982" s="385" t="e">
        <f>VLOOKUP(Table13[[#This Row],[CD_FUNCAO]],'BASE_FUNCOES (hide)'!A:X,2,FALSE)</f>
        <v>#N/A</v>
      </c>
    </row>
    <row r="983" spans="1:11" hidden="1">
      <c r="A983" s="385">
        <v>994</v>
      </c>
      <c r="B983" s="385" t="s">
        <v>212</v>
      </c>
      <c r="C983" s="385" t="s">
        <v>4179</v>
      </c>
      <c r="D983" s="385" t="s">
        <v>686</v>
      </c>
      <c r="E983" s="385">
        <v>9</v>
      </c>
      <c r="F983" s="385" t="s">
        <v>0</v>
      </c>
      <c r="I983" s="385" t="s">
        <v>3477</v>
      </c>
      <c r="J983" s="385" t="s">
        <v>3476</v>
      </c>
      <c r="K983" s="385" t="str">
        <f>VLOOKUP(Table13[[#This Row],[CD_FUNCAO]],'BASE_FUNCOES (hide)'!A:X,2,FALSE)</f>
        <v>Registro da Localização dos Laudos</v>
      </c>
    </row>
    <row r="984" spans="1:11" hidden="1">
      <c r="A984" s="385">
        <v>951</v>
      </c>
      <c r="B984" s="385" t="s">
        <v>210</v>
      </c>
      <c r="C984" s="385" t="s">
        <v>687</v>
      </c>
      <c r="D984" s="385" t="s">
        <v>688</v>
      </c>
      <c r="E984" s="385">
        <v>9</v>
      </c>
      <c r="F984" s="385" t="s">
        <v>0</v>
      </c>
      <c r="I984" s="385" t="s">
        <v>3477</v>
      </c>
      <c r="J984" s="385" t="s">
        <v>3476</v>
      </c>
      <c r="K984" s="385" t="str">
        <f>VLOOKUP(Table13[[#This Row],[CD_FUNCAO]],'BASE_FUNCOES (hide)'!A:X,2,FALSE)</f>
        <v>Medidas de Laudos</v>
      </c>
    </row>
    <row r="985" spans="1:11" hidden="1">
      <c r="A985" s="385">
        <v>7011</v>
      </c>
      <c r="B985" s="385" t="s">
        <v>4178</v>
      </c>
      <c r="C985" s="385" t="s">
        <v>673</v>
      </c>
      <c r="D985" s="385" t="s">
        <v>675</v>
      </c>
      <c r="E985" s="385">
        <v>9</v>
      </c>
      <c r="F985" s="385" t="s">
        <v>0</v>
      </c>
      <c r="I985" s="385" t="s">
        <v>3477</v>
      </c>
      <c r="J985" s="385" t="s">
        <v>3476</v>
      </c>
      <c r="K985" s="385" t="str">
        <f>VLOOKUP(Table13[[#This Row],[CD_FUNCAO]],'BASE_FUNCOES (hide)'!A:X,2,FALSE)</f>
        <v>Digitação de Resultados de Exames No Laboratoriais Externos</v>
      </c>
    </row>
    <row r="986" spans="1:11" hidden="1">
      <c r="A986" s="385">
        <v>148</v>
      </c>
      <c r="B986" s="385" t="s">
        <v>207</v>
      </c>
      <c r="C986" s="385" t="s">
        <v>693</v>
      </c>
      <c r="D986" s="385" t="s">
        <v>694</v>
      </c>
      <c r="E986" s="385">
        <v>9</v>
      </c>
      <c r="F986" s="385" t="s">
        <v>0</v>
      </c>
      <c r="I986" s="385" t="s">
        <v>3477</v>
      </c>
      <c r="J986" s="385" t="s">
        <v>3476</v>
      </c>
      <c r="K986" s="385" t="str">
        <f>VLOOKUP(Table13[[#This Row],[CD_FUNCAO]],'BASE_FUNCOES (hide)'!A:X,2,FALSE)</f>
        <v>Acompanhamento de Laudos</v>
      </c>
    </row>
    <row r="987" spans="1:11" hidden="1">
      <c r="A987" s="385">
        <v>153</v>
      </c>
      <c r="B987" s="385" t="s">
        <v>1637</v>
      </c>
      <c r="C987" s="385" t="s">
        <v>1638</v>
      </c>
      <c r="D987" s="385" t="s">
        <v>4177</v>
      </c>
      <c r="E987" s="385">
        <v>9</v>
      </c>
      <c r="F987" s="385" t="s">
        <v>0</v>
      </c>
      <c r="I987" s="385" t="s">
        <v>3477</v>
      </c>
      <c r="J987" s="385" t="s">
        <v>3476</v>
      </c>
      <c r="K987" s="385" t="str">
        <f>VLOOKUP(Table13[[#This Row],[CD_FUNCAO]],'BASE_FUNCOES (hide)'!A:X,2,FALSE)</f>
        <v>Rel Exames Realizados</v>
      </c>
    </row>
    <row r="988" spans="1:11" hidden="1">
      <c r="A988" s="385">
        <v>154</v>
      </c>
      <c r="B988" s="385" t="s">
        <v>1820</v>
      </c>
      <c r="C988" s="385" t="s">
        <v>1821</v>
      </c>
      <c r="D988" s="385" t="s">
        <v>1822</v>
      </c>
      <c r="E988" s="385">
        <v>9</v>
      </c>
      <c r="F988" s="385" t="s">
        <v>0</v>
      </c>
      <c r="I988" s="385" t="s">
        <v>3477</v>
      </c>
      <c r="K988" s="385" t="str">
        <f>VLOOKUP(Table13[[#This Row],[CD_FUNCAO]],'BASE_FUNCOES (hide)'!A:X,2,FALSE)</f>
        <v>Rel Protocolos - Frases Padrão</v>
      </c>
    </row>
    <row r="989" spans="1:11" hidden="1">
      <c r="A989" s="385">
        <v>155</v>
      </c>
      <c r="B989" s="385" t="s">
        <v>4176</v>
      </c>
      <c r="C989" s="385" t="s">
        <v>1818</v>
      </c>
      <c r="D989" s="385" t="s">
        <v>1819</v>
      </c>
      <c r="E989" s="385">
        <v>9</v>
      </c>
      <c r="F989" s="385" t="s">
        <v>0</v>
      </c>
      <c r="I989" s="385" t="s">
        <v>3477</v>
      </c>
      <c r="K989" s="385" t="str">
        <f>VLOOKUP(Table13[[#This Row],[CD_FUNCAO]],'BASE_FUNCOES (hide)'!A:X,2,FALSE)</f>
        <v>Rel Exames No Confirmados</v>
      </c>
    </row>
    <row r="990" spans="1:11" hidden="1">
      <c r="A990" s="385">
        <v>942</v>
      </c>
      <c r="B990" s="385" t="s">
        <v>32</v>
      </c>
      <c r="C990" s="385" t="s">
        <v>683</v>
      </c>
      <c r="D990" s="385" t="s">
        <v>684</v>
      </c>
      <c r="E990" s="385">
        <v>9</v>
      </c>
      <c r="F990" s="385" t="s">
        <v>0</v>
      </c>
      <c r="I990" s="385" t="s">
        <v>3477</v>
      </c>
      <c r="J990" s="385" t="s">
        <v>3476</v>
      </c>
      <c r="K990" s="385" t="str">
        <f>VLOOKUP(Table13[[#This Row],[CD_FUNCAO]],'BASE_FUNCOES (hide)'!A:X,2,FALSE)</f>
        <v>Gestão de Exames</v>
      </c>
    </row>
    <row r="991" spans="1:11" hidden="1">
      <c r="A991" s="385">
        <v>9047</v>
      </c>
      <c r="B991" s="385" t="s">
        <v>208</v>
      </c>
      <c r="C991" s="385" t="s">
        <v>677</v>
      </c>
      <c r="D991" s="385" t="s">
        <v>678</v>
      </c>
      <c r="E991" s="385">
        <v>9</v>
      </c>
      <c r="F991" s="385" t="s">
        <v>0</v>
      </c>
      <c r="I991" s="385" t="s">
        <v>3477</v>
      </c>
      <c r="J991" s="385" t="s">
        <v>3476</v>
      </c>
      <c r="K991" s="385" t="str">
        <f>VLOOKUP(Table13[[#This Row],[CD_FUNCAO]],'BASE_FUNCOES (hide)'!A:X,2,FALSE)</f>
        <v>Gestão de Entregas de Laudos</v>
      </c>
    </row>
    <row r="992" spans="1:11">
      <c r="A992" s="385">
        <v>1389</v>
      </c>
      <c r="B992" s="385" t="s">
        <v>4525</v>
      </c>
      <c r="C992" s="385" t="s">
        <v>4524</v>
      </c>
      <c r="D992" s="385" t="s">
        <v>4523</v>
      </c>
      <c r="E992" s="385">
        <v>379</v>
      </c>
      <c r="F992" s="385" t="s">
        <v>4502</v>
      </c>
      <c r="I992" s="385" t="s">
        <v>3477</v>
      </c>
      <c r="J992" s="385" t="s">
        <v>3513</v>
      </c>
      <c r="K992" s="385" t="str">
        <f>VLOOKUP(Table13[[#This Row],[CD_FUNCAO]],'BASE_FUNCOES (hide)'!A:X,2,FALSE)</f>
        <v>OPS - AME - Arquivos de Mensalidade Empresarial</v>
      </c>
    </row>
    <row r="993" spans="1:11" hidden="1">
      <c r="A993" s="385">
        <v>28</v>
      </c>
      <c r="B993" s="385" t="s">
        <v>209</v>
      </c>
      <c r="C993" s="385" t="s">
        <v>4173</v>
      </c>
      <c r="D993" s="385" t="s">
        <v>682</v>
      </c>
      <c r="E993" s="385">
        <v>9</v>
      </c>
      <c r="F993" s="385" t="s">
        <v>0</v>
      </c>
      <c r="I993" s="385" t="s">
        <v>3477</v>
      </c>
      <c r="J993" s="385" t="s">
        <v>3476</v>
      </c>
      <c r="K993" s="385" t="str">
        <f>VLOOKUP(Table13[[#This Row],[CD_FUNCAO]],'BASE_FUNCOES (hide)'!A:X,2,FALSE)</f>
        <v>Laudo Paciente</v>
      </c>
    </row>
    <row r="994" spans="1:11" hidden="1">
      <c r="A994" s="385">
        <v>950</v>
      </c>
      <c r="B994" s="385" t="s">
        <v>700</v>
      </c>
      <c r="C994" s="385" t="s">
        <v>701</v>
      </c>
      <c r="D994" s="385" t="s">
        <v>702</v>
      </c>
      <c r="E994" s="385">
        <v>10</v>
      </c>
      <c r="F994" s="385" t="s">
        <v>213</v>
      </c>
      <c r="I994" s="385" t="s">
        <v>3477</v>
      </c>
      <c r="J994" s="385" t="s">
        <v>3476</v>
      </c>
      <c r="K994" s="385" t="str">
        <f>VLOOKUP(Table13[[#This Row],[CD_FUNCAO]],'BASE_FUNCOES (hide)'!A:X,2,FALSE)</f>
        <v>Prescrição Eletrônica Paciente - Plano Terapêutico (REP - PT)</v>
      </c>
    </row>
    <row r="995" spans="1:11" hidden="1">
      <c r="A995" s="385">
        <v>2314</v>
      </c>
      <c r="B995" s="385" t="s">
        <v>216</v>
      </c>
      <c r="C995" s="385" t="s">
        <v>216</v>
      </c>
      <c r="D995" s="385" t="s">
        <v>216</v>
      </c>
      <c r="E995" s="385">
        <v>10</v>
      </c>
      <c r="F995" s="385" t="s">
        <v>213</v>
      </c>
      <c r="I995" s="385" t="s">
        <v>3477</v>
      </c>
      <c r="J995" s="385" t="s">
        <v>3477</v>
      </c>
      <c r="K995" s="385" t="str">
        <f>VLOOKUP(Table13[[#This Row],[CD_FUNCAO]],'BASE_FUNCOES (hide)'!A:X,2,FALSE)</f>
        <v>CPOE</v>
      </c>
    </row>
    <row r="996" spans="1:11">
      <c r="A996" s="385">
        <v>1390</v>
      </c>
      <c r="B996" s="385" t="s">
        <v>3723</v>
      </c>
      <c r="C996" s="385" t="s">
        <v>3722</v>
      </c>
      <c r="D996" s="385" t="s">
        <v>3721</v>
      </c>
      <c r="E996" s="385">
        <v>835</v>
      </c>
      <c r="F996" s="385" t="s">
        <v>3714</v>
      </c>
      <c r="I996" s="385" t="s">
        <v>3477</v>
      </c>
      <c r="J996" s="385" t="s">
        <v>3513</v>
      </c>
      <c r="K996" s="385" t="str">
        <f>VLOOKUP(Table13[[#This Row],[CD_FUNCAO]],'BASE_FUNCOES (hide)'!A:X,2,FALSE)</f>
        <v>OPS - Prestadores de Intercâmbio</v>
      </c>
    </row>
    <row r="997" spans="1:11">
      <c r="A997" s="385">
        <v>1391</v>
      </c>
      <c r="B997" s="385" t="s">
        <v>4564</v>
      </c>
      <c r="C997" s="385" t="s">
        <v>4565</v>
      </c>
      <c r="D997" s="385" t="s">
        <v>4564</v>
      </c>
      <c r="E997" s="385">
        <v>377</v>
      </c>
      <c r="F997" s="385" t="s">
        <v>4538</v>
      </c>
      <c r="I997" s="385" t="s">
        <v>3477</v>
      </c>
      <c r="J997" s="385" t="s">
        <v>3477</v>
      </c>
      <c r="K997" s="385" t="str">
        <f>VLOOKUP(Table13[[#This Row],[CD_FUNCAO]],'BASE_FUNCOES (hide)'!A:X,2,FALSE)</f>
        <v>OPS - Odontograma</v>
      </c>
    </row>
    <row r="998" spans="1:11">
      <c r="A998" s="385">
        <v>1392</v>
      </c>
      <c r="B998" s="385" t="s">
        <v>5352</v>
      </c>
      <c r="C998" s="385" t="s">
        <v>5351</v>
      </c>
      <c r="D998" s="385" t="s">
        <v>5350</v>
      </c>
      <c r="E998" s="385">
        <v>283</v>
      </c>
      <c r="F998" s="385" t="s">
        <v>4705</v>
      </c>
      <c r="G998" s="385" t="s">
        <v>4704</v>
      </c>
      <c r="H998" s="385" t="s">
        <v>4703</v>
      </c>
      <c r="I998" s="385" t="s">
        <v>3485</v>
      </c>
      <c r="J998" s="385" t="s">
        <v>3477</v>
      </c>
      <c r="K998" s="385" t="e">
        <f>VLOOKUP(Table13[[#This Row],[CD_FUNCAO]],'BASE_FUNCOES (hide)'!A:X,2,FALSE)</f>
        <v>#N/A</v>
      </c>
    </row>
    <row r="999" spans="1:11" hidden="1">
      <c r="A999" s="385">
        <v>-16</v>
      </c>
      <c r="B999" s="385" t="s">
        <v>214</v>
      </c>
      <c r="C999" s="385" t="s">
        <v>695</v>
      </c>
      <c r="D999" s="385" t="s">
        <v>696</v>
      </c>
      <c r="E999" s="385">
        <v>10</v>
      </c>
      <c r="F999" s="385" t="s">
        <v>213</v>
      </c>
      <c r="I999" s="385" t="s">
        <v>3477</v>
      </c>
      <c r="J999" s="385" t="s">
        <v>3476</v>
      </c>
      <c r="K999" s="385" t="str">
        <f>VLOOKUP(Table13[[#This Row],[CD_FUNCAO]],'BASE_FUNCOES (hide)'!A:X,2,FALSE)</f>
        <v>Cópia de Prescrição</v>
      </c>
    </row>
    <row r="1000" spans="1:11">
      <c r="A1000" s="385">
        <v>1393</v>
      </c>
      <c r="B1000" s="385" t="s">
        <v>3786</v>
      </c>
      <c r="C1000" s="385" t="s">
        <v>3785</v>
      </c>
      <c r="D1000" s="385" t="s">
        <v>3784</v>
      </c>
      <c r="E1000" s="385">
        <v>692</v>
      </c>
      <c r="F1000" s="385" t="s">
        <v>3780</v>
      </c>
      <c r="I1000" s="385" t="s">
        <v>3477</v>
      </c>
      <c r="J1000" s="385" t="s">
        <v>3513</v>
      </c>
      <c r="K1000" s="385" t="str">
        <f>VLOOKUP(Table13[[#This Row],[CD_FUNCAO]],'BASE_FUNCOES (hide)'!A:X,2,FALSE)</f>
        <v>OPS - Ordem de Serviço Intercâmbio</v>
      </c>
    </row>
    <row r="1001" spans="1:11">
      <c r="A1001" s="385">
        <v>1394</v>
      </c>
      <c r="B1001" s="385" t="s">
        <v>4446</v>
      </c>
      <c r="C1001" s="385" t="s">
        <v>4445</v>
      </c>
      <c r="D1001" s="385" t="s">
        <v>4444</v>
      </c>
      <c r="E1001" s="385">
        <v>381</v>
      </c>
      <c r="F1001" s="385" t="s">
        <v>4377</v>
      </c>
      <c r="I1001" s="385" t="s">
        <v>3506</v>
      </c>
      <c r="J1001" s="385" t="s">
        <v>3477</v>
      </c>
      <c r="K1001" s="385" t="e">
        <f>VLOOKUP(Table13[[#This Row],[CD_FUNCAO]],'BASE_FUNCOES (hide)'!A:X,2,FALSE)</f>
        <v>#N/A</v>
      </c>
    </row>
    <row r="1002" spans="1:11" hidden="1">
      <c r="A1002" s="385">
        <v>8030</v>
      </c>
      <c r="B1002" s="385" t="s">
        <v>697</v>
      </c>
      <c r="C1002" s="385" t="s">
        <v>698</v>
      </c>
      <c r="D1002" s="385" t="s">
        <v>699</v>
      </c>
      <c r="E1002" s="385">
        <v>10</v>
      </c>
      <c r="F1002" s="385" t="s">
        <v>213</v>
      </c>
      <c r="I1002" s="385" t="s">
        <v>3477</v>
      </c>
      <c r="J1002" s="385" t="s">
        <v>3476</v>
      </c>
      <c r="K1002" s="385" t="str">
        <f>VLOOKUP(Table13[[#This Row],[CD_FUNCAO]],'BASE_FUNCOES (hide)'!A:X,2,FALSE)</f>
        <v>Visualização Integrada das Prescrições Eletrônicas - VIPE</v>
      </c>
    </row>
    <row r="1003" spans="1:11">
      <c r="A1003" s="385">
        <v>1395</v>
      </c>
      <c r="B1003" s="385" t="s">
        <v>4674</v>
      </c>
      <c r="C1003" s="385" t="s">
        <v>4673</v>
      </c>
      <c r="D1003" s="385" t="s">
        <v>4673</v>
      </c>
      <c r="E1003" s="385">
        <v>374</v>
      </c>
      <c r="F1003" s="385" t="s">
        <v>4648</v>
      </c>
      <c r="I1003" s="385" t="s">
        <v>3477</v>
      </c>
      <c r="J1003" s="385" t="s">
        <v>3513</v>
      </c>
      <c r="K1003" s="385" t="str">
        <f>VLOOKUP(Table13[[#This Row],[CD_FUNCAO]],'BASE_FUNCOES (hide)'!A:X,2,FALSE)</f>
        <v>OPS - Solicitação de Proposta Online</v>
      </c>
    </row>
    <row r="1004" spans="1:11">
      <c r="A1004" s="385">
        <v>1396</v>
      </c>
      <c r="B1004" s="385" t="s">
        <v>5034</v>
      </c>
      <c r="C1004" s="385" t="s">
        <v>5033</v>
      </c>
      <c r="D1004" s="385" t="s">
        <v>5032</v>
      </c>
      <c r="E1004" s="385">
        <v>283</v>
      </c>
      <c r="F1004" s="385" t="s">
        <v>4705</v>
      </c>
      <c r="G1004" s="385" t="s">
        <v>4704</v>
      </c>
      <c r="H1004" s="385" t="s">
        <v>4703</v>
      </c>
      <c r="I1004" s="385" t="s">
        <v>3485</v>
      </c>
      <c r="J1004" s="385" t="s">
        <v>3477</v>
      </c>
      <c r="K1004" s="385" t="e">
        <f>VLOOKUP(Table13[[#This Row],[CD_FUNCAO]],'BASE_FUNCOES (hide)'!A:X,2,FALSE)</f>
        <v>#N/A</v>
      </c>
    </row>
    <row r="1005" spans="1:11">
      <c r="A1005" s="385">
        <v>1397</v>
      </c>
      <c r="B1005" s="385" t="s">
        <v>5031</v>
      </c>
      <c r="C1005" s="385" t="s">
        <v>5030</v>
      </c>
      <c r="D1005" s="385" t="s">
        <v>5029</v>
      </c>
      <c r="E1005" s="385">
        <v>283</v>
      </c>
      <c r="F1005" s="385" t="s">
        <v>4705</v>
      </c>
      <c r="G1005" s="385" t="s">
        <v>4704</v>
      </c>
      <c r="H1005" s="385" t="s">
        <v>4703</v>
      </c>
      <c r="I1005" s="385" t="s">
        <v>3477</v>
      </c>
      <c r="J1005" s="385" t="s">
        <v>3477</v>
      </c>
      <c r="K1005" s="385" t="str">
        <f>VLOOKUP(Table13[[#This Row],[CD_FUNCAO]],'BASE_FUNCOES (hide)'!A:X,2,FALSE)</f>
        <v>OPS - Auditoria Concorrente</v>
      </c>
    </row>
    <row r="1006" spans="1:11">
      <c r="A1006" s="385">
        <v>1410</v>
      </c>
      <c r="B1006" s="385" t="s">
        <v>5784</v>
      </c>
      <c r="C1006" s="385" t="s">
        <v>5783</v>
      </c>
      <c r="D1006" s="385" t="s">
        <v>5782</v>
      </c>
      <c r="E1006" s="385">
        <v>304</v>
      </c>
      <c r="F1006" s="385" t="s">
        <v>1478</v>
      </c>
      <c r="G1006" s="385" t="s">
        <v>1480</v>
      </c>
      <c r="H1006" s="385" t="s">
        <v>1482</v>
      </c>
      <c r="I1006" s="385" t="s">
        <v>3510</v>
      </c>
      <c r="K1006" s="385" t="e">
        <f>VLOOKUP(Table13[[#This Row],[CD_FUNCAO]],'BASE_FUNCOES (hide)'!A:X,2,FALSE)</f>
        <v>#N/A</v>
      </c>
    </row>
    <row r="1007" spans="1:11" hidden="1">
      <c r="A1007" s="385">
        <v>924</v>
      </c>
      <c r="B1007" s="385" t="s">
        <v>215</v>
      </c>
      <c r="C1007" s="385" t="s">
        <v>703</v>
      </c>
      <c r="D1007" s="385" t="s">
        <v>704</v>
      </c>
      <c r="E1007" s="385">
        <v>10</v>
      </c>
      <c r="F1007" s="385" t="s">
        <v>213</v>
      </c>
      <c r="I1007" s="385" t="s">
        <v>3477</v>
      </c>
      <c r="J1007" s="385" t="s">
        <v>3476</v>
      </c>
      <c r="K1007" s="385" t="str">
        <f>VLOOKUP(Table13[[#This Row],[CD_FUNCAO]],'BASE_FUNCOES (hide)'!A:X,2,FALSE)</f>
        <v>Prescrição Eletrônica Paciente - REP</v>
      </c>
    </row>
    <row r="1008" spans="1:11">
      <c r="A1008" s="385">
        <v>1420</v>
      </c>
      <c r="B1008" s="385" t="s">
        <v>4819</v>
      </c>
      <c r="C1008" s="385" t="s">
        <v>4818</v>
      </c>
      <c r="D1008" s="385" t="s">
        <v>4817</v>
      </c>
      <c r="E1008" s="385">
        <v>283</v>
      </c>
      <c r="F1008" s="385" t="s">
        <v>4705</v>
      </c>
      <c r="G1008" s="385" t="s">
        <v>4704</v>
      </c>
      <c r="H1008" s="385" t="s">
        <v>4703</v>
      </c>
      <c r="I1008" s="385" t="s">
        <v>3510</v>
      </c>
      <c r="J1008" s="385" t="s">
        <v>3476</v>
      </c>
      <c r="K1008" s="385" t="e">
        <f>VLOOKUP(Table13[[#This Row],[CD_FUNCAO]],'BASE_FUNCOES (hide)'!A:X,2,FALSE)</f>
        <v>#N/A</v>
      </c>
    </row>
    <row r="1009" spans="1:11" hidden="1">
      <c r="A1009" s="385">
        <v>9056</v>
      </c>
      <c r="B1009" s="385" t="s">
        <v>351</v>
      </c>
      <c r="C1009" s="385" t="s">
        <v>1823</v>
      </c>
      <c r="D1009" s="385" t="s">
        <v>717</v>
      </c>
      <c r="E1009" s="385">
        <v>11</v>
      </c>
      <c r="F1009" s="385" t="s">
        <v>6</v>
      </c>
      <c r="I1009" s="385" t="s">
        <v>3477</v>
      </c>
      <c r="J1009" s="385" t="s">
        <v>3477</v>
      </c>
      <c r="K1009" s="385" t="str">
        <f>VLOOKUP(Table13[[#This Row],[CD_FUNCAO]],'BASE_FUNCOES (hide)'!A:X,2,FALSE)</f>
        <v>Encontro de Contas</v>
      </c>
    </row>
    <row r="1010" spans="1:11" hidden="1">
      <c r="A1010" s="385">
        <v>7506</v>
      </c>
      <c r="B1010" s="385" t="s">
        <v>335</v>
      </c>
      <c r="C1010" s="385" t="s">
        <v>718</v>
      </c>
      <c r="D1010" s="385" t="s">
        <v>719</v>
      </c>
      <c r="E1010" s="385">
        <v>11</v>
      </c>
      <c r="F1010" s="385" t="s">
        <v>6</v>
      </c>
      <c r="I1010" s="385" t="s">
        <v>3477</v>
      </c>
      <c r="J1010" s="385" t="s">
        <v>3477</v>
      </c>
      <c r="K1010" s="385" t="str">
        <f>VLOOKUP(Table13[[#This Row],[CD_FUNCAO]],'BASE_FUNCOES (hide)'!A:X,2,FALSE)</f>
        <v>Consulta de Notas Fiscais</v>
      </c>
    </row>
    <row r="1011" spans="1:11">
      <c r="A1011" s="385">
        <v>1430</v>
      </c>
      <c r="B1011" s="385" t="s">
        <v>4816</v>
      </c>
      <c r="C1011" s="385" t="s">
        <v>4815</v>
      </c>
      <c r="D1011" s="385" t="s">
        <v>4814</v>
      </c>
      <c r="E1011" s="385">
        <v>283</v>
      </c>
      <c r="F1011" s="385" t="s">
        <v>4705</v>
      </c>
      <c r="G1011" s="385" t="s">
        <v>4704</v>
      </c>
      <c r="H1011" s="385" t="s">
        <v>4703</v>
      </c>
      <c r="I1011" s="385" t="s">
        <v>3485</v>
      </c>
      <c r="J1011" s="385" t="s">
        <v>3476</v>
      </c>
      <c r="K1011" s="385" t="e">
        <f>VLOOKUP(Table13[[#This Row],[CD_FUNCAO]],'BASE_FUNCOES (hide)'!A:X,2,FALSE)</f>
        <v>#N/A</v>
      </c>
    </row>
    <row r="1012" spans="1:11" hidden="1">
      <c r="A1012" s="385">
        <v>7101</v>
      </c>
      <c r="B1012" s="385" t="s">
        <v>720</v>
      </c>
      <c r="C1012" s="385" t="s">
        <v>721</v>
      </c>
      <c r="D1012" s="385" t="s">
        <v>722</v>
      </c>
      <c r="E1012" s="385">
        <v>11</v>
      </c>
      <c r="F1012" s="385" t="s">
        <v>6</v>
      </c>
      <c r="I1012" s="385" t="s">
        <v>3485</v>
      </c>
      <c r="J1012" s="385" t="s">
        <v>3477</v>
      </c>
      <c r="K1012" s="385" t="str">
        <f>VLOOKUP(Table13[[#This Row],[CD_FUNCAO]],'BASE_FUNCOES (hide)'!A:X,2,FALSE)</f>
        <v>Conciliação Contábil</v>
      </c>
    </row>
    <row r="1013" spans="1:11" hidden="1">
      <c r="A1013" s="385">
        <v>5511</v>
      </c>
      <c r="B1013" s="385" t="s">
        <v>126</v>
      </c>
      <c r="C1013" s="385" t="s">
        <v>713</v>
      </c>
      <c r="D1013" s="385" t="s">
        <v>714</v>
      </c>
      <c r="E1013" s="385">
        <v>11</v>
      </c>
      <c r="F1013" s="385" t="s">
        <v>6</v>
      </c>
      <c r="I1013" s="385" t="s">
        <v>3477</v>
      </c>
      <c r="J1013" s="385" t="s">
        <v>3476</v>
      </c>
      <c r="K1013" s="385" t="str">
        <f>VLOOKUP(Table13[[#This Row],[CD_FUNCAO]],'BASE_FUNCOES (hide)'!A:X,2,FALSE)</f>
        <v>Fechamento Financeiro</v>
      </c>
    </row>
    <row r="1014" spans="1:11" hidden="1">
      <c r="A1014" s="385">
        <v>312</v>
      </c>
      <c r="B1014" s="385" t="s">
        <v>4139</v>
      </c>
      <c r="C1014" s="385" t="s">
        <v>1827</v>
      </c>
      <c r="D1014" s="385" t="s">
        <v>1828</v>
      </c>
      <c r="E1014" s="385">
        <v>11</v>
      </c>
      <c r="F1014" s="385" t="s">
        <v>6</v>
      </c>
      <c r="I1014" s="385" t="s">
        <v>3477</v>
      </c>
      <c r="J1014" s="385" t="s">
        <v>3476</v>
      </c>
      <c r="K1014" s="385" t="str">
        <f>VLOOKUP(Table13[[#This Row],[CD_FUNCAO]],'BASE_FUNCOES (hide)'!A:X,2,FALSE)</f>
        <v>Rel Contas Paciente No Contabilizadas</v>
      </c>
    </row>
    <row r="1015" spans="1:11" hidden="1">
      <c r="A1015" s="385">
        <v>314</v>
      </c>
      <c r="B1015" s="385" t="s">
        <v>1712</v>
      </c>
      <c r="C1015" s="385" t="s">
        <v>1713</v>
      </c>
      <c r="D1015" s="385" t="s">
        <v>4138</v>
      </c>
      <c r="E1015" s="385">
        <v>11</v>
      </c>
      <c r="F1015" s="385" t="s">
        <v>6</v>
      </c>
      <c r="I1015" s="385" t="s">
        <v>3477</v>
      </c>
      <c r="J1015" s="385" t="s">
        <v>3476</v>
      </c>
      <c r="K1015" s="385" t="str">
        <f>VLOOKUP(Table13[[#This Row],[CD_FUNCAO]],'BASE_FUNCOES (hide)'!A:X,2,FALSE)</f>
        <v>Rel Notas por Conta Contábil</v>
      </c>
    </row>
    <row r="1016" spans="1:11" hidden="1">
      <c r="A1016" s="385">
        <v>192</v>
      </c>
      <c r="B1016" s="385" t="s">
        <v>1685</v>
      </c>
      <c r="C1016" s="385" t="s">
        <v>1686</v>
      </c>
      <c r="D1016" s="385" t="s">
        <v>4137</v>
      </c>
      <c r="E1016" s="385">
        <v>11</v>
      </c>
      <c r="F1016" s="385" t="s">
        <v>6</v>
      </c>
      <c r="I1016" s="385" t="s">
        <v>3477</v>
      </c>
      <c r="J1016" s="385" t="s">
        <v>3476</v>
      </c>
      <c r="K1016" s="385" t="str">
        <f>VLOOKUP(Table13[[#This Row],[CD_FUNCAO]],'BASE_FUNCOES (hide)'!A:X,2,FALSE)</f>
        <v>Rel Movto Sintético Operação</v>
      </c>
    </row>
    <row r="1017" spans="1:11" hidden="1">
      <c r="A1017" s="385">
        <v>8016</v>
      </c>
      <c r="B1017" s="385" t="s">
        <v>124</v>
      </c>
      <c r="C1017" s="385" t="s">
        <v>715</v>
      </c>
      <c r="D1017" s="385" t="s">
        <v>716</v>
      </c>
      <c r="E1017" s="385">
        <v>11</v>
      </c>
      <c r="F1017" s="385" t="s">
        <v>6</v>
      </c>
      <c r="I1017" s="385" t="s">
        <v>3488</v>
      </c>
      <c r="J1017" s="385" t="s">
        <v>3477</v>
      </c>
      <c r="K1017" s="385" t="str">
        <f>VLOOKUP(Table13[[#This Row],[CD_FUNCAO]],'BASE_FUNCOES (hide)'!A:X,2,FALSE)</f>
        <v>Análise do Lote Contábil</v>
      </c>
    </row>
    <row r="1018" spans="1:11" hidden="1">
      <c r="A1018" s="385">
        <v>7050</v>
      </c>
      <c r="B1018" s="385" t="s">
        <v>128</v>
      </c>
      <c r="C1018" s="385" t="s">
        <v>711</v>
      </c>
      <c r="D1018" s="385" t="s">
        <v>712</v>
      </c>
      <c r="E1018" s="385">
        <v>11</v>
      </c>
      <c r="F1018" s="385" t="s">
        <v>6</v>
      </c>
      <c r="I1018" s="385" t="s">
        <v>3477</v>
      </c>
      <c r="J1018" s="385" t="s">
        <v>3477</v>
      </c>
      <c r="K1018" s="385" t="str">
        <f>VLOOKUP(Table13[[#This Row],[CD_FUNCAO]],'BASE_FUNCOES (hide)'!A:X,2,FALSE)</f>
        <v>Parâmetros Contabilidade</v>
      </c>
    </row>
    <row r="1019" spans="1:11">
      <c r="A1019" s="385">
        <v>1440</v>
      </c>
      <c r="B1019" s="385" t="s">
        <v>4813</v>
      </c>
      <c r="C1019" s="385" t="s">
        <v>4812</v>
      </c>
      <c r="D1019" s="385" t="s">
        <v>4811</v>
      </c>
      <c r="E1019" s="385">
        <v>283</v>
      </c>
      <c r="F1019" s="385" t="s">
        <v>4705</v>
      </c>
      <c r="G1019" s="385" t="s">
        <v>4704</v>
      </c>
      <c r="H1019" s="385" t="s">
        <v>4703</v>
      </c>
      <c r="I1019" s="385" t="s">
        <v>3485</v>
      </c>
      <c r="K1019" s="385" t="e">
        <f>VLOOKUP(Table13[[#This Row],[CD_FUNCAO]],'BASE_FUNCOES (hide)'!A:X,2,FALSE)</f>
        <v>#N/A</v>
      </c>
    </row>
    <row r="1020" spans="1:11" hidden="1">
      <c r="A1020" s="385">
        <v>923</v>
      </c>
      <c r="B1020" s="385" t="s">
        <v>6</v>
      </c>
      <c r="C1020" s="385" t="s">
        <v>4133</v>
      </c>
      <c r="D1020" s="385" t="s">
        <v>706</v>
      </c>
      <c r="E1020" s="385">
        <v>11</v>
      </c>
      <c r="F1020" s="385" t="s">
        <v>6</v>
      </c>
      <c r="I1020" s="385" t="s">
        <v>3477</v>
      </c>
      <c r="J1020" s="385" t="s">
        <v>3477</v>
      </c>
      <c r="K1020" s="385" t="str">
        <f>VLOOKUP(Table13[[#This Row],[CD_FUNCAO]],'BASE_FUNCOES (hide)'!A:X,2,FALSE)</f>
        <v>Contabilidade</v>
      </c>
    </row>
    <row r="1021" spans="1:11" hidden="1">
      <c r="A1021" s="385">
        <v>317</v>
      </c>
      <c r="B1021" s="385" t="s">
        <v>129</v>
      </c>
      <c r="C1021" s="385" t="s">
        <v>723</v>
      </c>
      <c r="D1021" s="385" t="s">
        <v>724</v>
      </c>
      <c r="E1021" s="385">
        <v>11</v>
      </c>
      <c r="F1021" s="385" t="s">
        <v>6</v>
      </c>
      <c r="I1021" s="385" t="s">
        <v>3477</v>
      </c>
      <c r="J1021" s="385" t="s">
        <v>3476</v>
      </c>
      <c r="K1021" s="385" t="str">
        <f>VLOOKUP(Table13[[#This Row],[CD_FUNCAO]],'BASE_FUNCOES (hide)'!A:X,2,FALSE)</f>
        <v>Resumo Contábil SUS</v>
      </c>
    </row>
    <row r="1022" spans="1:11" hidden="1">
      <c r="A1022" s="385">
        <v>218</v>
      </c>
      <c r="B1022" s="385" t="s">
        <v>1824</v>
      </c>
      <c r="C1022" s="385" t="s">
        <v>1825</v>
      </c>
      <c r="D1022" s="385" t="s">
        <v>1826</v>
      </c>
      <c r="E1022" s="385">
        <v>11</v>
      </c>
      <c r="F1022" s="385" t="s">
        <v>6</v>
      </c>
      <c r="I1022" s="385" t="s">
        <v>3477</v>
      </c>
      <c r="J1022" s="385" t="s">
        <v>3476</v>
      </c>
      <c r="K1022" s="385" t="str">
        <f>VLOOKUP(Table13[[#This Row],[CD_FUNCAO]],'BASE_FUNCOES (hide)'!A:X,2,FALSE)</f>
        <v>Rel. Gasto de Terceiros</v>
      </c>
    </row>
    <row r="1023" spans="1:11" hidden="1">
      <c r="A1023" s="385">
        <v>135</v>
      </c>
      <c r="B1023" s="385" t="s">
        <v>127</v>
      </c>
      <c r="C1023" s="385" t="s">
        <v>707</v>
      </c>
      <c r="D1023" s="385" t="s">
        <v>708</v>
      </c>
      <c r="E1023" s="385">
        <v>11</v>
      </c>
      <c r="F1023" s="385" t="s">
        <v>6</v>
      </c>
      <c r="I1023" s="385" t="s">
        <v>3477</v>
      </c>
      <c r="J1023" s="385" t="s">
        <v>3477</v>
      </c>
      <c r="K1023" s="385" t="str">
        <f>VLOOKUP(Table13[[#This Row],[CD_FUNCAO]],'BASE_FUNCOES (hide)'!A:X,2,FALSE)</f>
        <v>Geração do Lote Contábil</v>
      </c>
    </row>
    <row r="1024" spans="1:11" hidden="1">
      <c r="A1024" s="385">
        <v>137</v>
      </c>
      <c r="B1024" s="385" t="s">
        <v>130</v>
      </c>
      <c r="C1024" s="385" t="s">
        <v>709</v>
      </c>
      <c r="D1024" s="385" t="s">
        <v>710</v>
      </c>
      <c r="E1024" s="385">
        <v>11</v>
      </c>
      <c r="F1024" s="385" t="s">
        <v>6</v>
      </c>
      <c r="I1024" s="385" t="s">
        <v>3477</v>
      </c>
      <c r="J1024" s="385" t="s">
        <v>3477</v>
      </c>
      <c r="K1024" s="385" t="str">
        <f>VLOOKUP(Table13[[#This Row],[CD_FUNCAO]],'BASE_FUNCOES (hide)'!A:X,2,FALSE)</f>
        <v>Tipo de Lote Contábil/Eventos Contábeis</v>
      </c>
    </row>
    <row r="1025" spans="1:11" hidden="1">
      <c r="A1025" s="385">
        <v>308</v>
      </c>
      <c r="B1025" s="385" t="s">
        <v>1829</v>
      </c>
      <c r="C1025" s="385" t="s">
        <v>1830</v>
      </c>
      <c r="D1025" s="385" t="s">
        <v>1831</v>
      </c>
      <c r="E1025" s="385">
        <v>11</v>
      </c>
      <c r="F1025" s="385" t="s">
        <v>6</v>
      </c>
      <c r="I1025" s="385" t="s">
        <v>3477</v>
      </c>
      <c r="J1025" s="385" t="s">
        <v>3476</v>
      </c>
      <c r="K1025" s="385" t="str">
        <f>VLOOKUP(Table13[[#This Row],[CD_FUNCAO]],'BASE_FUNCOES (hide)'!A:X,2,FALSE)</f>
        <v>Rel Contas de Receita</v>
      </c>
    </row>
    <row r="1026" spans="1:11">
      <c r="A1026" s="385">
        <v>1450</v>
      </c>
      <c r="B1026" s="385" t="s">
        <v>4810</v>
      </c>
      <c r="C1026" s="385" t="s">
        <v>4809</v>
      </c>
      <c r="D1026" s="385" t="s">
        <v>4808</v>
      </c>
      <c r="E1026" s="385">
        <v>283</v>
      </c>
      <c r="F1026" s="385" t="s">
        <v>4705</v>
      </c>
      <c r="G1026" s="385" t="s">
        <v>4704</v>
      </c>
      <c r="H1026" s="385" t="s">
        <v>4703</v>
      </c>
      <c r="I1026" s="385" t="s">
        <v>3485</v>
      </c>
      <c r="J1026" s="385" t="s">
        <v>3476</v>
      </c>
      <c r="K1026" s="385" t="e">
        <f>VLOOKUP(Table13[[#This Row],[CD_FUNCAO]],'BASE_FUNCOES (hide)'!A:X,2,FALSE)</f>
        <v>#N/A</v>
      </c>
    </row>
    <row r="1027" spans="1:11" hidden="1">
      <c r="A1027" s="385">
        <v>104</v>
      </c>
      <c r="B1027" s="385" t="s">
        <v>86</v>
      </c>
      <c r="C1027" s="385" t="s">
        <v>733</v>
      </c>
      <c r="D1027" s="385" t="s">
        <v>734</v>
      </c>
      <c r="E1027" s="385">
        <v>12</v>
      </c>
      <c r="F1027" s="385" t="s">
        <v>4</v>
      </c>
      <c r="G1027" s="385" t="s">
        <v>4119</v>
      </c>
      <c r="H1027" s="385" t="s">
        <v>728</v>
      </c>
      <c r="I1027" s="385" t="s">
        <v>3477</v>
      </c>
      <c r="J1027" s="385" t="s">
        <v>3476</v>
      </c>
      <c r="K1027" s="385" t="str">
        <f>VLOOKUP(Table13[[#This Row],[CD_FUNCAO]],'BASE_FUNCOES (hide)'!A:X,2,FALSE)</f>
        <v>DL - Regras de Distribuição de Lucros</v>
      </c>
    </row>
    <row r="1028" spans="1:11" hidden="1">
      <c r="A1028" s="385">
        <v>105</v>
      </c>
      <c r="B1028" s="385" t="s">
        <v>85</v>
      </c>
      <c r="C1028" s="385" t="s">
        <v>735</v>
      </c>
      <c r="D1028" s="385" t="s">
        <v>736</v>
      </c>
      <c r="E1028" s="385">
        <v>12</v>
      </c>
      <c r="F1028" s="385" t="s">
        <v>4</v>
      </c>
      <c r="G1028" s="385" t="s">
        <v>4119</v>
      </c>
      <c r="H1028" s="385" t="s">
        <v>728</v>
      </c>
      <c r="I1028" s="385" t="s">
        <v>3477</v>
      </c>
      <c r="J1028" s="385" t="s">
        <v>3476</v>
      </c>
      <c r="K1028" s="385" t="str">
        <f>VLOOKUP(Table13[[#This Row],[CD_FUNCAO]],'BASE_FUNCOES (hide)'!A:X,2,FALSE)</f>
        <v>DL - Distribuição de Lucros</v>
      </c>
    </row>
    <row r="1029" spans="1:11" hidden="1">
      <c r="A1029" s="385">
        <v>103</v>
      </c>
      <c r="B1029" s="385" t="s">
        <v>87</v>
      </c>
      <c r="C1029" s="385" t="s">
        <v>731</v>
      </c>
      <c r="D1029" s="385" t="s">
        <v>732</v>
      </c>
      <c r="E1029" s="385">
        <v>12</v>
      </c>
      <c r="F1029" s="385" t="s">
        <v>4</v>
      </c>
      <c r="G1029" s="385" t="s">
        <v>4119</v>
      </c>
      <c r="H1029" s="385" t="s">
        <v>728</v>
      </c>
      <c r="I1029" s="385" t="s">
        <v>3477</v>
      </c>
      <c r="J1029" s="385" t="s">
        <v>3476</v>
      </c>
      <c r="K1029" s="385" t="str">
        <f>VLOOKUP(Table13[[#This Row],[CD_FUNCAO]],'BASE_FUNCOES (hide)'!A:X,2,FALSE)</f>
        <v>DL - Reunião de Sócios</v>
      </c>
    </row>
    <row r="1030" spans="1:11" hidden="1">
      <c r="A1030" s="385">
        <v>332</v>
      </c>
      <c r="B1030" s="385" t="s">
        <v>4131</v>
      </c>
      <c r="C1030" s="385" t="s">
        <v>4130</v>
      </c>
      <c r="D1030" s="385" t="s">
        <v>4129</v>
      </c>
      <c r="E1030" s="385">
        <v>12</v>
      </c>
      <c r="F1030" s="385" t="s">
        <v>4</v>
      </c>
      <c r="G1030" s="385" t="s">
        <v>4119</v>
      </c>
      <c r="H1030" s="385" t="s">
        <v>728</v>
      </c>
      <c r="I1030" s="385" t="s">
        <v>3477</v>
      </c>
      <c r="J1030" s="385" t="s">
        <v>3477</v>
      </c>
      <c r="K1030" s="385" t="str">
        <f>VLOOKUP(Table13[[#This Row],[CD_FUNCAO]],'BASE_FUNCOES (hide)'!A:X,2,FALSE)</f>
        <v>Rel Títulos a Pagar</v>
      </c>
    </row>
    <row r="1031" spans="1:11" hidden="1">
      <c r="A1031" s="385">
        <v>1118</v>
      </c>
      <c r="B1031" s="385" t="s">
        <v>80</v>
      </c>
      <c r="C1031" s="385" t="s">
        <v>739</v>
      </c>
      <c r="D1031" s="385" t="s">
        <v>740</v>
      </c>
      <c r="E1031" s="385">
        <v>12</v>
      </c>
      <c r="F1031" s="385" t="s">
        <v>4</v>
      </c>
      <c r="G1031" s="385" t="s">
        <v>4119</v>
      </c>
      <c r="H1031" s="385" t="s">
        <v>728</v>
      </c>
      <c r="I1031" s="385" t="s">
        <v>3477</v>
      </c>
      <c r="J1031" s="385" t="s">
        <v>3476</v>
      </c>
      <c r="K1031" s="385" t="str">
        <f>VLOOKUP(Table13[[#This Row],[CD_FUNCAO]],'BASE_FUNCOES (hide)'!A:X,2,FALSE)</f>
        <v>Alteração de Classificação de Títulos</v>
      </c>
    </row>
    <row r="1032" spans="1:11">
      <c r="A1032" s="385">
        <v>1510</v>
      </c>
      <c r="B1032" s="385" t="s">
        <v>4988</v>
      </c>
      <c r="C1032" s="385" t="s">
        <v>4987</v>
      </c>
      <c r="D1032" s="385" t="s">
        <v>4987</v>
      </c>
      <c r="E1032" s="385">
        <v>283</v>
      </c>
      <c r="F1032" s="385" t="s">
        <v>4705</v>
      </c>
      <c r="G1032" s="385" t="s">
        <v>4704</v>
      </c>
      <c r="H1032" s="385" t="s">
        <v>4703</v>
      </c>
      <c r="I1032" s="385" t="s">
        <v>3510</v>
      </c>
      <c r="J1032" s="385" t="s">
        <v>3477</v>
      </c>
      <c r="K1032" s="385" t="e">
        <f>VLOOKUP(Table13[[#This Row],[CD_FUNCAO]],'BASE_FUNCOES (hide)'!A:X,2,FALSE)</f>
        <v>#N/A</v>
      </c>
    </row>
    <row r="1033" spans="1:11" hidden="1">
      <c r="A1033" s="385">
        <v>186</v>
      </c>
      <c r="B1033" s="385" t="s">
        <v>1835</v>
      </c>
      <c r="C1033" s="385" t="s">
        <v>1836</v>
      </c>
      <c r="D1033" s="385" t="s">
        <v>1837</v>
      </c>
      <c r="E1033" s="385">
        <v>12</v>
      </c>
      <c r="F1033" s="385" t="s">
        <v>4</v>
      </c>
      <c r="G1033" s="385" t="s">
        <v>4119</v>
      </c>
      <c r="H1033" s="385" t="s">
        <v>728</v>
      </c>
      <c r="I1033" s="385" t="s">
        <v>3477</v>
      </c>
      <c r="J1033" s="385" t="s">
        <v>3476</v>
      </c>
      <c r="K1033" s="385" t="str">
        <f>VLOOKUP(Table13[[#This Row],[CD_FUNCAO]],'BASE_FUNCOES (hide)'!A:X,2,FALSE)</f>
        <v>Rel Notas Fiscais Vencimento</v>
      </c>
    </row>
    <row r="1034" spans="1:11" hidden="1">
      <c r="A1034" s="385">
        <v>8559</v>
      </c>
      <c r="B1034" s="385" t="s">
        <v>741</v>
      </c>
      <c r="C1034" s="385" t="s">
        <v>742</v>
      </c>
      <c r="D1034" s="385" t="s">
        <v>743</v>
      </c>
      <c r="E1034" s="385">
        <v>12</v>
      </c>
      <c r="F1034" s="385" t="s">
        <v>4</v>
      </c>
      <c r="G1034" s="385" t="s">
        <v>4119</v>
      </c>
      <c r="H1034" s="385" t="s">
        <v>728</v>
      </c>
      <c r="I1034" s="385" t="s">
        <v>3477</v>
      </c>
      <c r="J1034" s="385" t="s">
        <v>3476</v>
      </c>
      <c r="K1034" s="385" t="str">
        <f>VLOOKUP(Table13[[#This Row],[CD_FUNCAO]],'BASE_FUNCOES (hide)'!A:X,2,FALSE)</f>
        <v>Aprovação de Pagamentos</v>
      </c>
    </row>
    <row r="1035" spans="1:11" hidden="1">
      <c r="A1035" s="385">
        <v>9051</v>
      </c>
      <c r="B1035" s="385" t="s">
        <v>83</v>
      </c>
      <c r="C1035" s="385" t="s">
        <v>4125</v>
      </c>
      <c r="D1035" s="385" t="s">
        <v>4124</v>
      </c>
      <c r="E1035" s="385">
        <v>12</v>
      </c>
      <c r="F1035" s="385" t="s">
        <v>4</v>
      </c>
      <c r="G1035" s="385" t="s">
        <v>4119</v>
      </c>
      <c r="H1035" s="385" t="s">
        <v>728</v>
      </c>
      <c r="I1035" s="385" t="s">
        <v>3477</v>
      </c>
      <c r="J1035" s="385" t="s">
        <v>3477</v>
      </c>
      <c r="K1035" s="385" t="str">
        <f>VLOOKUP(Table13[[#This Row],[CD_FUNCAO]],'BASE_FUNCOES (hide)'!A:X,2,FALSE)</f>
        <v>Controle de Notas de Crédito (a pagar)</v>
      </c>
    </row>
    <row r="1036" spans="1:11" hidden="1">
      <c r="A1036" s="385">
        <v>127</v>
      </c>
      <c r="B1036" s="385" t="s">
        <v>84</v>
      </c>
      <c r="C1036" s="385" t="s">
        <v>744</v>
      </c>
      <c r="D1036" s="385" t="s">
        <v>745</v>
      </c>
      <c r="E1036" s="385">
        <v>12</v>
      </c>
      <c r="F1036" s="385" t="s">
        <v>4</v>
      </c>
      <c r="G1036" s="385" t="s">
        <v>4119</v>
      </c>
      <c r="H1036" s="385" t="s">
        <v>728</v>
      </c>
      <c r="I1036" s="385" t="s">
        <v>3477</v>
      </c>
      <c r="J1036" s="385" t="s">
        <v>3477</v>
      </c>
      <c r="K1036" s="385" t="str">
        <f>VLOOKUP(Table13[[#This Row],[CD_FUNCAO]],'BASE_FUNCOES (hide)'!A:X,2,FALSE)</f>
        <v>Digitação de Cheques</v>
      </c>
    </row>
    <row r="1037" spans="1:11" hidden="1">
      <c r="A1037" s="385">
        <v>851</v>
      </c>
      <c r="B1037" s="385" t="s">
        <v>90</v>
      </c>
      <c r="C1037" s="385" t="s">
        <v>746</v>
      </c>
      <c r="D1037" s="385" t="s">
        <v>747</v>
      </c>
      <c r="E1037" s="385">
        <v>12</v>
      </c>
      <c r="F1037" s="385" t="s">
        <v>4</v>
      </c>
      <c r="G1037" s="385" t="s">
        <v>4119</v>
      </c>
      <c r="H1037" s="385" t="s">
        <v>728</v>
      </c>
      <c r="I1037" s="385" t="s">
        <v>3477</v>
      </c>
      <c r="J1037" s="385" t="s">
        <v>3477</v>
      </c>
      <c r="K1037" s="385" t="str">
        <f>VLOOKUP(Table13[[#This Row],[CD_FUNCAO]],'BASE_FUNCOES (hide)'!A:X,2,FALSE)</f>
        <v>Títulos a Pagar</v>
      </c>
    </row>
    <row r="1038" spans="1:11" hidden="1">
      <c r="A1038" s="385">
        <v>854</v>
      </c>
      <c r="B1038" s="385" t="s">
        <v>82</v>
      </c>
      <c r="C1038" s="385" t="s">
        <v>4123</v>
      </c>
      <c r="D1038" s="385" t="s">
        <v>4122</v>
      </c>
      <c r="E1038" s="385">
        <v>12</v>
      </c>
      <c r="F1038" s="385" t="s">
        <v>4</v>
      </c>
      <c r="G1038" s="385" t="s">
        <v>4119</v>
      </c>
      <c r="H1038" s="385" t="s">
        <v>728</v>
      </c>
      <c r="I1038" s="385" t="s">
        <v>3477</v>
      </c>
      <c r="J1038" s="385" t="s">
        <v>3477</v>
      </c>
      <c r="K1038" s="385" t="str">
        <f>VLOOKUP(Table13[[#This Row],[CD_FUNCAO]],'BASE_FUNCOES (hide)'!A:X,2,FALSE)</f>
        <v>Consulta de Títulos a Pagar</v>
      </c>
    </row>
    <row r="1039" spans="1:11" hidden="1">
      <c r="A1039" s="385">
        <v>855</v>
      </c>
      <c r="B1039" s="385" t="s">
        <v>81</v>
      </c>
      <c r="C1039" s="385" t="s">
        <v>750</v>
      </c>
      <c r="D1039" s="385" t="s">
        <v>751</v>
      </c>
      <c r="E1039" s="385">
        <v>12</v>
      </c>
      <c r="F1039" s="385" t="s">
        <v>4</v>
      </c>
      <c r="G1039" s="385" t="s">
        <v>4119</v>
      </c>
      <c r="H1039" s="385" t="s">
        <v>728</v>
      </c>
      <c r="I1039" s="385" t="s">
        <v>3477</v>
      </c>
      <c r="J1039" s="385" t="s">
        <v>3477</v>
      </c>
      <c r="K1039" s="385" t="str">
        <f>VLOOKUP(Table13[[#This Row],[CD_FUNCAO]],'BASE_FUNCOES (hide)'!A:X,2,FALSE)</f>
        <v>Borderô a Pagar</v>
      </c>
    </row>
    <row r="1040" spans="1:11" hidden="1">
      <c r="A1040" s="385">
        <v>857</v>
      </c>
      <c r="B1040" s="385" t="s">
        <v>89</v>
      </c>
      <c r="C1040" s="385" t="s">
        <v>4121</v>
      </c>
      <c r="D1040" s="385" t="s">
        <v>4120</v>
      </c>
      <c r="E1040" s="385">
        <v>12</v>
      </c>
      <c r="F1040" s="385" t="s">
        <v>4</v>
      </c>
      <c r="G1040" s="385" t="s">
        <v>4119</v>
      </c>
      <c r="H1040" s="385" t="s">
        <v>728</v>
      </c>
      <c r="I1040" s="385" t="s">
        <v>3477</v>
      </c>
      <c r="J1040" s="385" t="s">
        <v>3477</v>
      </c>
      <c r="K1040" s="385" t="str">
        <f>VLOOKUP(Table13[[#This Row],[CD_FUNCAO]],'BASE_FUNCOES (hide)'!A:X,2,FALSE)</f>
        <v>Pagamento Escritural</v>
      </c>
    </row>
    <row r="1041" spans="1:11" hidden="1">
      <c r="A1041" s="385">
        <v>908</v>
      </c>
      <c r="B1041" s="385" t="s">
        <v>88</v>
      </c>
      <c r="C1041" s="385" t="s">
        <v>725</v>
      </c>
      <c r="D1041" s="385" t="s">
        <v>727</v>
      </c>
      <c r="E1041" s="385">
        <v>12</v>
      </c>
      <c r="F1041" s="385" t="s">
        <v>4</v>
      </c>
      <c r="G1041" s="385" t="s">
        <v>4119</v>
      </c>
      <c r="H1041" s="385" t="s">
        <v>728</v>
      </c>
      <c r="I1041" s="385" t="s">
        <v>3477</v>
      </c>
      <c r="J1041" s="385" t="s">
        <v>3477</v>
      </c>
      <c r="K1041" s="385" t="str">
        <f>VLOOKUP(Table13[[#This Row],[CD_FUNCAO]],'BASE_FUNCOES (hide)'!A:X,2,FALSE)</f>
        <v>Geração Interface Contas a Pagar</v>
      </c>
    </row>
    <row r="1042" spans="1:11" hidden="1">
      <c r="A1042" s="385">
        <v>858</v>
      </c>
      <c r="B1042" s="385" t="s">
        <v>79</v>
      </c>
      <c r="C1042" s="385" t="s">
        <v>729</v>
      </c>
      <c r="D1042" s="385" t="s">
        <v>730</v>
      </c>
      <c r="E1042" s="385">
        <v>12</v>
      </c>
      <c r="F1042" s="385" t="s">
        <v>4</v>
      </c>
      <c r="G1042" s="385" t="s">
        <v>4119</v>
      </c>
      <c r="H1042" s="385" t="s">
        <v>728</v>
      </c>
      <c r="I1042" s="385" t="s">
        <v>3477</v>
      </c>
      <c r="J1042" s="385" t="s">
        <v>3477</v>
      </c>
      <c r="K1042" s="385" t="str">
        <f>VLOOKUP(Table13[[#This Row],[CD_FUNCAO]],'BASE_FUNCOES (hide)'!A:X,2,FALSE)</f>
        <v>Adiantamento Pago</v>
      </c>
    </row>
    <row r="1043" spans="1:11">
      <c r="A1043" s="385">
        <v>1600</v>
      </c>
      <c r="B1043" s="385" t="s">
        <v>4729</v>
      </c>
      <c r="C1043" s="385" t="s">
        <v>4728</v>
      </c>
      <c r="D1043" s="385" t="s">
        <v>4727</v>
      </c>
      <c r="E1043" s="385">
        <v>283</v>
      </c>
      <c r="F1043" s="385" t="s">
        <v>4705</v>
      </c>
      <c r="G1043" s="385" t="s">
        <v>4704</v>
      </c>
      <c r="H1043" s="385" t="s">
        <v>4703</v>
      </c>
      <c r="I1043" s="385" t="s">
        <v>3485</v>
      </c>
      <c r="J1043" s="385" t="s">
        <v>3476</v>
      </c>
      <c r="K1043" s="385" t="e">
        <f>VLOOKUP(Table13[[#This Row],[CD_FUNCAO]],'BASE_FUNCOES (hide)'!A:X,2,FALSE)</f>
        <v>#N/A</v>
      </c>
    </row>
    <row r="1044" spans="1:11">
      <c r="A1044" s="385">
        <v>1601</v>
      </c>
      <c r="B1044" s="385" t="s">
        <v>4726</v>
      </c>
      <c r="C1044" s="385" t="s">
        <v>4725</v>
      </c>
      <c r="D1044" s="385" t="s">
        <v>4724</v>
      </c>
      <c r="E1044" s="385">
        <v>283</v>
      </c>
      <c r="F1044" s="385" t="s">
        <v>4705</v>
      </c>
      <c r="G1044" s="385" t="s">
        <v>4704</v>
      </c>
      <c r="H1044" s="385" t="s">
        <v>4703</v>
      </c>
      <c r="I1044" s="385" t="s">
        <v>3485</v>
      </c>
      <c r="J1044" s="385" t="s">
        <v>3476</v>
      </c>
      <c r="K1044" s="385" t="e">
        <f>VLOOKUP(Table13[[#This Row],[CD_FUNCAO]],'BASE_FUNCOES (hide)'!A:X,2,FALSE)</f>
        <v>#N/A</v>
      </c>
    </row>
    <row r="1045" spans="1:11">
      <c r="A1045" s="385">
        <v>1602</v>
      </c>
      <c r="B1045" s="385" t="s">
        <v>5613</v>
      </c>
      <c r="C1045" s="385" t="s">
        <v>5612</v>
      </c>
      <c r="D1045" s="385" t="s">
        <v>5611</v>
      </c>
      <c r="E1045" s="385">
        <v>283</v>
      </c>
      <c r="F1045" s="385" t="s">
        <v>4705</v>
      </c>
      <c r="G1045" s="385" t="s">
        <v>4704</v>
      </c>
      <c r="H1045" s="385" t="s">
        <v>4703</v>
      </c>
      <c r="I1045" s="385" t="s">
        <v>3485</v>
      </c>
      <c r="J1045" s="385" t="s">
        <v>3476</v>
      </c>
      <c r="K1045" s="385" t="e">
        <f>VLOOKUP(Table13[[#This Row],[CD_FUNCAO]],'BASE_FUNCOES (hide)'!A:X,2,FALSE)</f>
        <v>#N/A</v>
      </c>
    </row>
    <row r="1046" spans="1:11">
      <c r="A1046" s="385">
        <v>1603</v>
      </c>
      <c r="B1046" s="385" t="s">
        <v>4806</v>
      </c>
      <c r="C1046" s="385" t="s">
        <v>4805</v>
      </c>
      <c r="D1046" s="385" t="s">
        <v>4804</v>
      </c>
      <c r="E1046" s="385">
        <v>283</v>
      </c>
      <c r="F1046" s="385" t="s">
        <v>4705</v>
      </c>
      <c r="G1046" s="385" t="s">
        <v>4704</v>
      </c>
      <c r="H1046" s="385" t="s">
        <v>4703</v>
      </c>
      <c r="I1046" s="385" t="s">
        <v>3485</v>
      </c>
      <c r="J1046" s="385" t="s">
        <v>3476</v>
      </c>
      <c r="K1046" s="385" t="e">
        <f>VLOOKUP(Table13[[#This Row],[CD_FUNCAO]],'BASE_FUNCOES (hide)'!A:X,2,FALSE)</f>
        <v>#N/A</v>
      </c>
    </row>
    <row r="1047" spans="1:11">
      <c r="A1047" s="385">
        <v>1604</v>
      </c>
      <c r="B1047" s="385" t="s">
        <v>4803</v>
      </c>
      <c r="C1047" s="385" t="s">
        <v>4802</v>
      </c>
      <c r="D1047" s="385" t="s">
        <v>4801</v>
      </c>
      <c r="E1047" s="385">
        <v>283</v>
      </c>
      <c r="F1047" s="385" t="s">
        <v>4705</v>
      </c>
      <c r="G1047" s="385" t="s">
        <v>4704</v>
      </c>
      <c r="H1047" s="385" t="s">
        <v>4703</v>
      </c>
      <c r="I1047" s="385" t="s">
        <v>3485</v>
      </c>
      <c r="J1047" s="385" t="s">
        <v>3476</v>
      </c>
      <c r="K1047" s="385" t="e">
        <f>VLOOKUP(Table13[[#This Row],[CD_FUNCAO]],'BASE_FUNCOES (hide)'!A:X,2,FALSE)</f>
        <v>#N/A</v>
      </c>
    </row>
    <row r="1048" spans="1:11">
      <c r="A1048" s="385">
        <v>1605</v>
      </c>
      <c r="B1048" s="385" t="s">
        <v>5714</v>
      </c>
      <c r="C1048" s="385" t="s">
        <v>5713</v>
      </c>
      <c r="D1048" s="385" t="s">
        <v>5712</v>
      </c>
      <c r="E1048" s="385">
        <v>283</v>
      </c>
      <c r="F1048" s="385" t="s">
        <v>4705</v>
      </c>
      <c r="G1048" s="385" t="s">
        <v>4704</v>
      </c>
      <c r="H1048" s="385" t="s">
        <v>4703</v>
      </c>
      <c r="I1048" s="385" t="s">
        <v>3485</v>
      </c>
      <c r="J1048" s="385" t="s">
        <v>3476</v>
      </c>
      <c r="K1048" s="385" t="e">
        <f>VLOOKUP(Table13[[#This Row],[CD_FUNCAO]],'BASE_FUNCOES (hide)'!A:X,2,FALSE)</f>
        <v>#N/A</v>
      </c>
    </row>
    <row r="1049" spans="1:11">
      <c r="A1049" s="385">
        <v>1606</v>
      </c>
      <c r="B1049" s="385" t="s">
        <v>5677</v>
      </c>
      <c r="C1049" s="385" t="s">
        <v>5676</v>
      </c>
      <c r="D1049" s="385" t="s">
        <v>5675</v>
      </c>
      <c r="E1049" s="385">
        <v>283</v>
      </c>
      <c r="F1049" s="385" t="s">
        <v>4705</v>
      </c>
      <c r="G1049" s="385" t="s">
        <v>4704</v>
      </c>
      <c r="H1049" s="385" t="s">
        <v>4703</v>
      </c>
      <c r="I1049" s="385" t="s">
        <v>3485</v>
      </c>
      <c r="J1049" s="385" t="s">
        <v>3476</v>
      </c>
      <c r="K1049" s="385" t="e">
        <f>VLOOKUP(Table13[[#This Row],[CD_FUNCAO]],'BASE_FUNCOES (hide)'!A:X,2,FALSE)</f>
        <v>#N/A</v>
      </c>
    </row>
    <row r="1050" spans="1:11">
      <c r="A1050" s="385">
        <v>1607</v>
      </c>
      <c r="B1050" s="385" t="s">
        <v>5607</v>
      </c>
      <c r="C1050" s="385" t="s">
        <v>5606</v>
      </c>
      <c r="D1050" s="385" t="s">
        <v>5605</v>
      </c>
      <c r="E1050" s="385">
        <v>283</v>
      </c>
      <c r="F1050" s="385" t="s">
        <v>4705</v>
      </c>
      <c r="G1050" s="385" t="s">
        <v>4704</v>
      </c>
      <c r="H1050" s="385" t="s">
        <v>4703</v>
      </c>
      <c r="I1050" s="385" t="s">
        <v>3485</v>
      </c>
      <c r="J1050" s="385" t="s">
        <v>3476</v>
      </c>
      <c r="K1050" s="385" t="e">
        <f>VLOOKUP(Table13[[#This Row],[CD_FUNCAO]],'BASE_FUNCOES (hide)'!A:X,2,FALSE)</f>
        <v>#N/A</v>
      </c>
    </row>
    <row r="1051" spans="1:11">
      <c r="A1051" s="385">
        <v>1608</v>
      </c>
      <c r="B1051" s="385" t="s">
        <v>5339</v>
      </c>
      <c r="C1051" s="385" t="s">
        <v>5338</v>
      </c>
      <c r="D1051" s="385" t="s">
        <v>5337</v>
      </c>
      <c r="E1051" s="385">
        <v>283</v>
      </c>
      <c r="F1051" s="385" t="s">
        <v>4705</v>
      </c>
      <c r="G1051" s="385" t="s">
        <v>4704</v>
      </c>
      <c r="H1051" s="385" t="s">
        <v>4703</v>
      </c>
      <c r="I1051" s="385" t="s">
        <v>3510</v>
      </c>
      <c r="J1051" s="385" t="s">
        <v>3477</v>
      </c>
      <c r="K1051" s="385" t="e">
        <f>VLOOKUP(Table13[[#This Row],[CD_FUNCAO]],'BASE_FUNCOES (hide)'!A:X,2,FALSE)</f>
        <v>#N/A</v>
      </c>
    </row>
    <row r="1052" spans="1:11">
      <c r="A1052" s="385">
        <v>1650</v>
      </c>
      <c r="B1052" s="385" t="s">
        <v>5597</v>
      </c>
      <c r="C1052" s="385" t="s">
        <v>5598</v>
      </c>
      <c r="D1052" s="385" t="s">
        <v>5597</v>
      </c>
      <c r="E1052" s="385">
        <v>283</v>
      </c>
      <c r="F1052" s="385" t="s">
        <v>4705</v>
      </c>
      <c r="G1052" s="385" t="s">
        <v>4704</v>
      </c>
      <c r="H1052" s="385" t="s">
        <v>4703</v>
      </c>
      <c r="I1052" s="385" t="s">
        <v>3485</v>
      </c>
      <c r="K1052" s="385" t="e">
        <f>VLOOKUP(Table13[[#This Row],[CD_FUNCAO]],'BASE_FUNCOES (hide)'!A:X,2,FALSE)</f>
        <v>#N/A</v>
      </c>
    </row>
    <row r="1053" spans="1:11">
      <c r="A1053" s="385">
        <v>1899</v>
      </c>
      <c r="B1053" s="385" t="s">
        <v>4251</v>
      </c>
      <c r="C1053" s="385" t="s">
        <v>4250</v>
      </c>
      <c r="D1053" s="385" t="s">
        <v>4249</v>
      </c>
      <c r="E1053" s="385">
        <v>6</v>
      </c>
      <c r="F1053" s="385" t="s">
        <v>58</v>
      </c>
      <c r="I1053" s="385" t="s">
        <v>3488</v>
      </c>
      <c r="J1053" s="385" t="s">
        <v>3476</v>
      </c>
      <c r="K1053" s="385" t="e">
        <f>VLOOKUP(Table13[[#This Row],[CD_FUNCAO]],'BASE_FUNCOES (hide)'!A:X,2,FALSE)</f>
        <v>#N/A</v>
      </c>
    </row>
    <row r="1054" spans="1:11">
      <c r="A1054" s="385">
        <v>1903</v>
      </c>
      <c r="B1054" s="385" t="s">
        <v>4957</v>
      </c>
      <c r="C1054" s="385" t="s">
        <v>4956</v>
      </c>
      <c r="D1054" s="385" t="s">
        <v>4955</v>
      </c>
      <c r="E1054" s="385">
        <v>283</v>
      </c>
      <c r="F1054" s="385" t="s">
        <v>4705</v>
      </c>
      <c r="G1054" s="385" t="s">
        <v>4704</v>
      </c>
      <c r="H1054" s="385" t="s">
        <v>4703</v>
      </c>
      <c r="I1054" s="385" t="s">
        <v>3488</v>
      </c>
      <c r="J1054" s="385" t="s">
        <v>3476</v>
      </c>
      <c r="K1054" s="385" t="e">
        <f>VLOOKUP(Table13[[#This Row],[CD_FUNCAO]],'BASE_FUNCOES (hide)'!A:X,2,FALSE)</f>
        <v>#N/A</v>
      </c>
    </row>
    <row r="1055" spans="1:11" hidden="1">
      <c r="A1055" s="385">
        <v>590</v>
      </c>
      <c r="B1055" s="385" t="s">
        <v>132</v>
      </c>
      <c r="C1055" s="385" t="s">
        <v>754</v>
      </c>
      <c r="D1055" s="385" t="s">
        <v>755</v>
      </c>
      <c r="E1055" s="385">
        <v>13</v>
      </c>
      <c r="F1055" s="385" t="s">
        <v>11</v>
      </c>
      <c r="I1055" s="385" t="s">
        <v>3477</v>
      </c>
      <c r="J1055" s="385" t="s">
        <v>3476</v>
      </c>
      <c r="K1055" s="385" t="str">
        <f>VLOOKUP(Table13[[#This Row],[CD_FUNCAO]],'BASE_FUNCOES (hide)'!A:X,2,FALSE)</f>
        <v>Cadastros Custos</v>
      </c>
    </row>
    <row r="1056" spans="1:11" hidden="1">
      <c r="A1056" s="385">
        <v>927</v>
      </c>
      <c r="B1056" s="385" t="s">
        <v>131</v>
      </c>
      <c r="C1056" s="385" t="s">
        <v>756</v>
      </c>
      <c r="D1056" s="385" t="s">
        <v>757</v>
      </c>
      <c r="E1056" s="385">
        <v>13</v>
      </c>
      <c r="F1056" s="385" t="s">
        <v>11</v>
      </c>
      <c r="I1056" s="385" t="s">
        <v>3477</v>
      </c>
      <c r="J1056" s="385" t="s">
        <v>3476</v>
      </c>
      <c r="K1056" s="385" t="str">
        <f>VLOOKUP(Table13[[#This Row],[CD_FUNCAO]],'BASE_FUNCOES (hide)'!A:X,2,FALSE)</f>
        <v>Apuração de Custo</v>
      </c>
    </row>
    <row r="1057" spans="1:11">
      <c r="A1057" s="385">
        <v>1906</v>
      </c>
      <c r="B1057" s="385" t="s">
        <v>4935</v>
      </c>
      <c r="C1057" s="385" t="s">
        <v>4934</v>
      </c>
      <c r="D1057" s="385" t="s">
        <v>4933</v>
      </c>
      <c r="E1057" s="385">
        <v>283</v>
      </c>
      <c r="F1057" s="385" t="s">
        <v>4705</v>
      </c>
      <c r="G1057" s="385" t="s">
        <v>4704</v>
      </c>
      <c r="H1057" s="385" t="s">
        <v>4703</v>
      </c>
      <c r="I1057" s="385" t="s">
        <v>3485</v>
      </c>
      <c r="J1057" s="385" t="s">
        <v>3476</v>
      </c>
      <c r="K1057" s="385" t="e">
        <f>VLOOKUP(Table13[[#This Row],[CD_FUNCAO]],'BASE_FUNCOES (hide)'!A:X,2,FALSE)</f>
        <v>#N/A</v>
      </c>
    </row>
    <row r="1058" spans="1:11">
      <c r="A1058" s="385">
        <v>1908</v>
      </c>
      <c r="B1058" s="385" t="s">
        <v>5384</v>
      </c>
      <c r="C1058" s="385" t="s">
        <v>5383</v>
      </c>
      <c r="D1058" s="385" t="s">
        <v>5382</v>
      </c>
      <c r="E1058" s="385">
        <v>283</v>
      </c>
      <c r="F1058" s="385" t="s">
        <v>4705</v>
      </c>
      <c r="G1058" s="385" t="s">
        <v>4704</v>
      </c>
      <c r="H1058" s="385" t="s">
        <v>4703</v>
      </c>
      <c r="I1058" s="385" t="s">
        <v>3488</v>
      </c>
      <c r="J1058" s="385" t="s">
        <v>3477</v>
      </c>
      <c r="K1058" s="385" t="e">
        <f>VLOOKUP(Table13[[#This Row],[CD_FUNCAO]],'BASE_FUNCOES (hide)'!A:X,2,FALSE)</f>
        <v>#N/A</v>
      </c>
    </row>
    <row r="1059" spans="1:11" hidden="1">
      <c r="A1059" s="385">
        <v>49</v>
      </c>
      <c r="B1059" s="385" t="s">
        <v>1395</v>
      </c>
      <c r="C1059" s="385" t="s">
        <v>1395</v>
      </c>
      <c r="D1059" s="385" t="s">
        <v>1395</v>
      </c>
      <c r="E1059" s="385">
        <v>14</v>
      </c>
      <c r="F1059" s="385" t="s">
        <v>12</v>
      </c>
      <c r="I1059" s="385" t="s">
        <v>3477</v>
      </c>
      <c r="J1059" s="385" t="s">
        <v>3477</v>
      </c>
      <c r="K1059" s="385" t="str">
        <f>VLOOKUP(Table13[[#This Row],[CD_FUNCAO]],'BASE_FUNCOES (hide)'!A:X,2,FALSE)</f>
        <v>Dashboards</v>
      </c>
    </row>
    <row r="1060" spans="1:11" hidden="1">
      <c r="A1060" s="385">
        <v>1121</v>
      </c>
      <c r="B1060" s="385" t="s">
        <v>137</v>
      </c>
      <c r="C1060" s="385" t="s">
        <v>4077</v>
      </c>
      <c r="D1060" s="385" t="s">
        <v>4076</v>
      </c>
      <c r="E1060" s="385">
        <v>14</v>
      </c>
      <c r="F1060" s="385" t="s">
        <v>12</v>
      </c>
      <c r="I1060" s="385" t="s">
        <v>3477</v>
      </c>
      <c r="J1060" s="385" t="s">
        <v>3476</v>
      </c>
      <c r="K1060" s="385" t="str">
        <f>VLOOKUP(Table13[[#This Row],[CD_FUNCAO]],'BASE_FUNCOES (hide)'!A:X,2,FALSE)</f>
        <v>EIS Contas pendentes (nova)</v>
      </c>
    </row>
    <row r="1061" spans="1:11" hidden="1">
      <c r="A1061" s="385">
        <v>291</v>
      </c>
      <c r="B1061" s="385" t="s">
        <v>140</v>
      </c>
      <c r="C1061" s="385" t="s">
        <v>4075</v>
      </c>
      <c r="D1061" s="385" t="s">
        <v>764</v>
      </c>
      <c r="E1061" s="385">
        <v>14</v>
      </c>
      <c r="F1061" s="385" t="s">
        <v>12</v>
      </c>
      <c r="I1061" s="385" t="s">
        <v>3477</v>
      </c>
      <c r="K1061" s="385" t="str">
        <f>VLOOKUP(Table13[[#This Row],[CD_FUNCAO]],'BASE_FUNCOES (hide)'!A:X,2,FALSE)</f>
        <v>Indicadores de Gestão</v>
      </c>
    </row>
    <row r="1062" spans="1:11" hidden="1">
      <c r="A1062" s="385">
        <v>223</v>
      </c>
      <c r="B1062" s="385" t="s">
        <v>139</v>
      </c>
      <c r="C1062" s="385" t="s">
        <v>765</v>
      </c>
      <c r="D1062" s="385" t="s">
        <v>766</v>
      </c>
      <c r="E1062" s="385">
        <v>14</v>
      </c>
      <c r="F1062" s="385" t="s">
        <v>12</v>
      </c>
      <c r="I1062" s="385" t="s">
        <v>3477</v>
      </c>
      <c r="J1062" s="385" t="s">
        <v>3476</v>
      </c>
      <c r="K1062" s="385" t="str">
        <f>VLOOKUP(Table13[[#This Row],[CD_FUNCAO]],'BASE_FUNCOES (hide)'!A:X,2,FALSE)</f>
        <v>Eis Resultado por Procedimento</v>
      </c>
    </row>
    <row r="1063" spans="1:11" hidden="1">
      <c r="A1063" s="385">
        <v>212</v>
      </c>
      <c r="B1063" s="385" t="s">
        <v>138</v>
      </c>
      <c r="C1063" s="385" t="s">
        <v>767</v>
      </c>
      <c r="D1063" s="385" t="s">
        <v>138</v>
      </c>
      <c r="E1063" s="385">
        <v>14</v>
      </c>
      <c r="F1063" s="385" t="s">
        <v>12</v>
      </c>
      <c r="I1063" s="385" t="s">
        <v>3477</v>
      </c>
      <c r="J1063" s="385" t="s">
        <v>3476</v>
      </c>
      <c r="K1063" s="385" t="str">
        <f>VLOOKUP(Table13[[#This Row],[CD_FUNCAO]],'BASE_FUNCOES (hide)'!A:X,2,FALSE)</f>
        <v>Eis Resultado Hospital</v>
      </c>
    </row>
    <row r="1064" spans="1:11" hidden="1">
      <c r="A1064" s="385">
        <v>90</v>
      </c>
      <c r="B1064" s="385" t="s">
        <v>136</v>
      </c>
      <c r="C1064" s="385" t="s">
        <v>758</v>
      </c>
      <c r="D1064" s="385" t="s">
        <v>136</v>
      </c>
      <c r="E1064" s="385">
        <v>14</v>
      </c>
      <c r="F1064" s="385" t="s">
        <v>12</v>
      </c>
      <c r="I1064" s="385" t="s">
        <v>3477</v>
      </c>
      <c r="J1064" s="385" t="s">
        <v>3476</v>
      </c>
      <c r="K1064" s="385" t="str">
        <f>VLOOKUP(Table13[[#This Row],[CD_FUNCAO]],'BASE_FUNCOES (hide)'!A:X,2,FALSE)</f>
        <v>EIS - Diagnóstico Médico</v>
      </c>
    </row>
    <row r="1065" spans="1:11" hidden="1">
      <c r="A1065" s="385">
        <v>292</v>
      </c>
      <c r="B1065" s="385" t="s">
        <v>135</v>
      </c>
      <c r="C1065" s="385" t="s">
        <v>759</v>
      </c>
      <c r="D1065" s="385" t="s">
        <v>760</v>
      </c>
      <c r="E1065" s="385">
        <v>14</v>
      </c>
      <c r="F1065" s="385" t="s">
        <v>12</v>
      </c>
      <c r="I1065" s="385" t="s">
        <v>3477</v>
      </c>
      <c r="J1065" s="385" t="s">
        <v>3477</v>
      </c>
      <c r="K1065" s="385" t="str">
        <f>VLOOKUP(Table13[[#This Row],[CD_FUNCAO]],'BASE_FUNCOES (hide)'!A:X,2,FALSE)</f>
        <v>Cadastro de Indicadores</v>
      </c>
    </row>
    <row r="1066" spans="1:11" hidden="1">
      <c r="A1066" s="385">
        <v>-623</v>
      </c>
      <c r="B1066" s="385" t="s">
        <v>1838</v>
      </c>
      <c r="C1066" s="385" t="s">
        <v>1839</v>
      </c>
      <c r="D1066" s="385" t="s">
        <v>1840</v>
      </c>
      <c r="E1066" s="385">
        <v>15</v>
      </c>
      <c r="F1066" s="385" t="s">
        <v>768</v>
      </c>
      <c r="G1066" s="385" t="s">
        <v>769</v>
      </c>
      <c r="H1066" s="385" t="s">
        <v>770</v>
      </c>
      <c r="I1066" s="385" t="s">
        <v>3477</v>
      </c>
      <c r="J1066" s="385" t="s">
        <v>3476</v>
      </c>
      <c r="K1066" s="385" t="str">
        <f>VLOOKUP(Table13[[#This Row],[CD_FUNCAO]],'BASE_FUNCOES (hide)'!A:X,2,FALSE)</f>
        <v>Relatório Comissão de controle de infecção hospitalar</v>
      </c>
    </row>
    <row r="1067" spans="1:11" hidden="1">
      <c r="A1067" s="385">
        <v>-610</v>
      </c>
      <c r="B1067" s="385" t="s">
        <v>218</v>
      </c>
      <c r="C1067" s="385" t="s">
        <v>785</v>
      </c>
      <c r="D1067" s="385" t="s">
        <v>786</v>
      </c>
      <c r="E1067" s="385">
        <v>15</v>
      </c>
      <c r="F1067" s="385" t="s">
        <v>768</v>
      </c>
      <c r="G1067" s="385" t="s">
        <v>769</v>
      </c>
      <c r="H1067" s="385" t="s">
        <v>770</v>
      </c>
      <c r="I1067" s="385" t="s">
        <v>3477</v>
      </c>
      <c r="J1067" s="385" t="s">
        <v>3476</v>
      </c>
      <c r="K1067" s="385" t="str">
        <f>VLOOKUP(Table13[[#This Row],[CD_FUNCAO]],'BASE_FUNCOES (hide)'!A:X,2,FALSE)</f>
        <v>CIH - Relatório de Antibióticos</v>
      </c>
    </row>
    <row r="1068" spans="1:11" hidden="1">
      <c r="A1068" s="385">
        <v>-618</v>
      </c>
      <c r="B1068" s="385" t="s">
        <v>1841</v>
      </c>
      <c r="C1068" s="385" t="s">
        <v>1842</v>
      </c>
      <c r="D1068" s="385" t="s">
        <v>1843</v>
      </c>
      <c r="E1068" s="385">
        <v>15</v>
      </c>
      <c r="F1068" s="385" t="s">
        <v>768</v>
      </c>
      <c r="G1068" s="385" t="s">
        <v>769</v>
      </c>
      <c r="H1068" s="385" t="s">
        <v>770</v>
      </c>
      <c r="I1068" s="385" t="s">
        <v>3477</v>
      </c>
      <c r="J1068" s="385" t="s">
        <v>3476</v>
      </c>
      <c r="K1068" s="385" t="str">
        <f>VLOOKUP(Table13[[#This Row],[CD_FUNCAO]],'BASE_FUNCOES (hide)'!A:X,2,FALSE)</f>
        <v>Relatório Percentual de controle de infecção hospitalar</v>
      </c>
    </row>
    <row r="1069" spans="1:11" hidden="1">
      <c r="A1069" s="385">
        <v>7022</v>
      </c>
      <c r="B1069" s="385" t="s">
        <v>224</v>
      </c>
      <c r="C1069" s="385" t="s">
        <v>4074</v>
      </c>
      <c r="D1069" s="385" t="s">
        <v>776</v>
      </c>
      <c r="E1069" s="385">
        <v>15</v>
      </c>
      <c r="F1069" s="385" t="s">
        <v>768</v>
      </c>
      <c r="G1069" s="385" t="s">
        <v>769</v>
      </c>
      <c r="H1069" s="385" t="s">
        <v>770</v>
      </c>
      <c r="I1069" s="385" t="s">
        <v>3477</v>
      </c>
      <c r="J1069" s="385" t="s">
        <v>3476</v>
      </c>
      <c r="K1069" s="385" t="str">
        <f>VLOOKUP(Table13[[#This Row],[CD_FUNCAO]],'BASE_FUNCOES (hide)'!A:X,2,FALSE)</f>
        <v>Gestão NISS</v>
      </c>
    </row>
    <row r="1070" spans="1:11" hidden="1">
      <c r="A1070" s="385">
        <v>610</v>
      </c>
      <c r="B1070" s="385" t="s">
        <v>220</v>
      </c>
      <c r="C1070" s="385" t="s">
        <v>790</v>
      </c>
      <c r="D1070" s="385" t="s">
        <v>791</v>
      </c>
      <c r="E1070" s="385">
        <v>15</v>
      </c>
      <c r="F1070" s="385" t="s">
        <v>768</v>
      </c>
      <c r="G1070" s="385" t="s">
        <v>769</v>
      </c>
      <c r="H1070" s="385" t="s">
        <v>770</v>
      </c>
      <c r="I1070" s="385" t="s">
        <v>3477</v>
      </c>
      <c r="J1070" s="385" t="s">
        <v>3476</v>
      </c>
      <c r="K1070" s="385" t="str">
        <f>VLOOKUP(Table13[[#This Row],[CD_FUNCAO]],'BASE_FUNCOES (hide)'!A:X,2,FALSE)</f>
        <v>CIH Relatório Antibióticos</v>
      </c>
    </row>
    <row r="1071" spans="1:11" hidden="1">
      <c r="A1071" s="385">
        <v>611</v>
      </c>
      <c r="B1071" s="385" t="s">
        <v>221</v>
      </c>
      <c r="C1071" s="385" t="s">
        <v>792</v>
      </c>
      <c r="D1071" s="385" t="s">
        <v>793</v>
      </c>
      <c r="E1071" s="385">
        <v>15</v>
      </c>
      <c r="F1071" s="385" t="s">
        <v>768</v>
      </c>
      <c r="G1071" s="385" t="s">
        <v>769</v>
      </c>
      <c r="H1071" s="385" t="s">
        <v>770</v>
      </c>
      <c r="I1071" s="385" t="s">
        <v>3477</v>
      </c>
      <c r="J1071" s="385" t="s">
        <v>3476</v>
      </c>
      <c r="K1071" s="385" t="str">
        <f>VLOOKUP(Table13[[#This Row],[CD_FUNCAO]],'BASE_FUNCOES (hide)'!A:X,2,FALSE)</f>
        <v>CIH Relatório Pacientes</v>
      </c>
    </row>
    <row r="1072" spans="1:11">
      <c r="A1072" s="385">
        <v>1985</v>
      </c>
      <c r="B1072" s="385" t="s">
        <v>5588</v>
      </c>
      <c r="C1072" s="385" t="s">
        <v>5588</v>
      </c>
      <c r="D1072" s="385" t="s">
        <v>5587</v>
      </c>
      <c r="E1072" s="385">
        <v>283</v>
      </c>
      <c r="F1072" s="385" t="s">
        <v>4705</v>
      </c>
      <c r="G1072" s="385" t="s">
        <v>4704</v>
      </c>
      <c r="H1072" s="385" t="s">
        <v>4703</v>
      </c>
      <c r="I1072" s="385" t="s">
        <v>3485</v>
      </c>
      <c r="K1072" s="385" t="e">
        <f>VLOOKUP(Table13[[#This Row],[CD_FUNCAO]],'BASE_FUNCOES (hide)'!A:X,2,FALSE)</f>
        <v>#N/A</v>
      </c>
    </row>
    <row r="1073" spans="1:11" hidden="1">
      <c r="A1073" s="385">
        <v>936</v>
      </c>
      <c r="B1073" s="385" t="s">
        <v>222</v>
      </c>
      <c r="C1073" s="385" t="s">
        <v>4071</v>
      </c>
      <c r="D1073" s="385" t="s">
        <v>778</v>
      </c>
      <c r="E1073" s="385">
        <v>15</v>
      </c>
      <c r="F1073" s="385" t="s">
        <v>768</v>
      </c>
      <c r="G1073" s="385" t="s">
        <v>769</v>
      </c>
      <c r="H1073" s="385" t="s">
        <v>770</v>
      </c>
      <c r="I1073" s="385" t="s">
        <v>3477</v>
      </c>
      <c r="J1073" s="385" t="s">
        <v>3476</v>
      </c>
      <c r="K1073" s="385" t="str">
        <f>VLOOKUP(Table13[[#This Row],[CD_FUNCAO]],'BASE_FUNCOES (hide)'!A:X,2,FALSE)</f>
        <v>Ficha de Ocorrência  CIH</v>
      </c>
    </row>
    <row r="1074" spans="1:11" hidden="1">
      <c r="A1074" s="385">
        <v>7043</v>
      </c>
      <c r="B1074" s="385" t="s">
        <v>223</v>
      </c>
      <c r="C1074" s="385" t="s">
        <v>4070</v>
      </c>
      <c r="D1074" s="385" t="s">
        <v>784</v>
      </c>
      <c r="E1074" s="385">
        <v>15</v>
      </c>
      <c r="F1074" s="385" t="s">
        <v>768</v>
      </c>
      <c r="G1074" s="385" t="s">
        <v>769</v>
      </c>
      <c r="H1074" s="385" t="s">
        <v>770</v>
      </c>
      <c r="I1074" s="385" t="s">
        <v>3477</v>
      </c>
      <c r="J1074" s="385" t="s">
        <v>3476</v>
      </c>
      <c r="K1074" s="385" t="str">
        <f>VLOOKUP(Table13[[#This Row],[CD_FUNCAO]],'BASE_FUNCOES (hide)'!A:X,2,FALSE)</f>
        <v>Gestão de CCIH</v>
      </c>
    </row>
    <row r="1075" spans="1:11" hidden="1">
      <c r="A1075" s="385">
        <v>1302</v>
      </c>
      <c r="B1075" s="385" t="s">
        <v>226</v>
      </c>
      <c r="C1075" s="385" t="s">
        <v>773</v>
      </c>
      <c r="D1075" s="385" t="s">
        <v>774</v>
      </c>
      <c r="E1075" s="385">
        <v>15</v>
      </c>
      <c r="F1075" s="385" t="s">
        <v>768</v>
      </c>
      <c r="G1075" s="385" t="s">
        <v>769</v>
      </c>
      <c r="H1075" s="385" t="s">
        <v>770</v>
      </c>
      <c r="I1075" s="385" t="s">
        <v>3477</v>
      </c>
      <c r="J1075" s="385" t="s">
        <v>3476</v>
      </c>
      <c r="K1075" s="385" t="str">
        <f>VLOOKUP(Table13[[#This Row],[CD_FUNCAO]],'BASE_FUNCOES (hide)'!A:X,2,FALSE)</f>
        <v>Registro de Ficha de Ocorrência</v>
      </c>
    </row>
    <row r="1076" spans="1:11" hidden="1">
      <c r="A1076" s="385">
        <v>1137</v>
      </c>
      <c r="B1076" s="385" t="s">
        <v>228</v>
      </c>
      <c r="C1076" s="385" t="s">
        <v>781</v>
      </c>
      <c r="D1076" s="385" t="s">
        <v>782</v>
      </c>
      <c r="E1076" s="385">
        <v>15</v>
      </c>
      <c r="F1076" s="385" t="s">
        <v>768</v>
      </c>
      <c r="G1076" s="385" t="s">
        <v>769</v>
      </c>
      <c r="H1076" s="385" t="s">
        <v>770</v>
      </c>
      <c r="I1076" s="385" t="s">
        <v>3477</v>
      </c>
      <c r="J1076" s="385" t="s">
        <v>3476</v>
      </c>
      <c r="K1076" s="385" t="str">
        <f>VLOOKUP(Table13[[#This Row],[CD_FUNCAO]],'BASE_FUNCOES (hide)'!A:X,2,FALSE)</f>
        <v>SINAN - Ficha de Notificação e Investigação</v>
      </c>
    </row>
    <row r="1077" spans="1:11" hidden="1">
      <c r="A1077" s="385">
        <v>896</v>
      </c>
      <c r="B1077" s="385" t="s">
        <v>225</v>
      </c>
      <c r="C1077" s="385" t="s">
        <v>4069</v>
      </c>
      <c r="D1077" s="385" t="s">
        <v>789</v>
      </c>
      <c r="E1077" s="385">
        <v>15</v>
      </c>
      <c r="F1077" s="385" t="s">
        <v>768</v>
      </c>
      <c r="G1077" s="385" t="s">
        <v>769</v>
      </c>
      <c r="H1077" s="385" t="s">
        <v>770</v>
      </c>
      <c r="I1077" s="385" t="s">
        <v>3477</v>
      </c>
      <c r="K1077" s="385" t="str">
        <f>VLOOKUP(Table13[[#This Row],[CD_FUNCAO]],'BASE_FUNCOES (hide)'!A:X,2,FALSE)</f>
        <v>Liberação Medicamentos CIH</v>
      </c>
    </row>
    <row r="1078" spans="1:11" hidden="1">
      <c r="A1078" s="385">
        <v>7020</v>
      </c>
      <c r="B1078" s="385" t="s">
        <v>217</v>
      </c>
      <c r="C1078" s="385" t="s">
        <v>4068</v>
      </c>
      <c r="D1078" s="385" t="s">
        <v>780</v>
      </c>
      <c r="E1078" s="385">
        <v>15</v>
      </c>
      <c r="F1078" s="385" t="s">
        <v>768</v>
      </c>
      <c r="G1078" s="385" t="s">
        <v>769</v>
      </c>
      <c r="H1078" s="385" t="s">
        <v>770</v>
      </c>
      <c r="I1078" s="385" t="s">
        <v>3477</v>
      </c>
      <c r="J1078" s="385" t="s">
        <v>3476</v>
      </c>
      <c r="K1078" s="385" t="str">
        <f>VLOOKUP(Table13[[#This Row],[CD_FUNCAO]],'BASE_FUNCOES (hide)'!A:X,2,FALSE)</f>
        <v>Cadastro de Dispositivos Utilizados no Paciente</v>
      </c>
    </row>
    <row r="1079" spans="1:11" hidden="1">
      <c r="A1079" s="385">
        <v>612</v>
      </c>
      <c r="B1079" s="385" t="s">
        <v>1853</v>
      </c>
      <c r="C1079" s="385" t="s">
        <v>1854</v>
      </c>
      <c r="D1079" s="385" t="s">
        <v>1855</v>
      </c>
      <c r="E1079" s="385">
        <v>15</v>
      </c>
      <c r="F1079" s="385" t="s">
        <v>768</v>
      </c>
      <c r="G1079" s="385" t="s">
        <v>769</v>
      </c>
      <c r="H1079" s="385" t="s">
        <v>770</v>
      </c>
      <c r="I1079" s="385" t="s">
        <v>3477</v>
      </c>
      <c r="J1079" s="385" t="s">
        <v>3476</v>
      </c>
      <c r="K1079" s="385" t="str">
        <f>VLOOKUP(Table13[[#This Row],[CD_FUNCAO]],'BASE_FUNCOES (hide)'!A:X,2,FALSE)</f>
        <v>Relatório de Micro-organismos e Culturas (Função)</v>
      </c>
    </row>
    <row r="1080" spans="1:11" hidden="1">
      <c r="A1080" s="385">
        <v>613</v>
      </c>
      <c r="B1080" s="385" t="s">
        <v>227</v>
      </c>
      <c r="C1080" s="385" t="s">
        <v>771</v>
      </c>
      <c r="D1080" s="385" t="s">
        <v>772</v>
      </c>
      <c r="E1080" s="385">
        <v>15</v>
      </c>
      <c r="F1080" s="385" t="s">
        <v>768</v>
      </c>
      <c r="G1080" s="385" t="s">
        <v>769</v>
      </c>
      <c r="H1080" s="385" t="s">
        <v>770</v>
      </c>
      <c r="I1080" s="385" t="s">
        <v>3477</v>
      </c>
      <c r="K1080" s="385" t="str">
        <f>VLOOKUP(Table13[[#This Row],[CD_FUNCAO]],'BASE_FUNCOES (hide)'!A:X,2,FALSE)</f>
        <v>Resumo Mensal e Indicadores de I.H</v>
      </c>
    </row>
    <row r="1081" spans="1:11" hidden="1">
      <c r="A1081" s="385">
        <v>614</v>
      </c>
      <c r="B1081" s="385" t="s">
        <v>1850</v>
      </c>
      <c r="C1081" s="385" t="s">
        <v>1851</v>
      </c>
      <c r="D1081" s="385" t="s">
        <v>1852</v>
      </c>
      <c r="E1081" s="385">
        <v>15</v>
      </c>
      <c r="F1081" s="385" t="s">
        <v>768</v>
      </c>
      <c r="G1081" s="385" t="s">
        <v>769</v>
      </c>
      <c r="H1081" s="385" t="s">
        <v>770</v>
      </c>
      <c r="I1081" s="385" t="s">
        <v>3477</v>
      </c>
      <c r="K1081" s="385" t="str">
        <f>VLOOKUP(Table13[[#This Row],[CD_FUNCAO]],'BASE_FUNCOES (hide)'!A:X,2,FALSE)</f>
        <v>Relatório de Topografias e Procedimentos (Função)</v>
      </c>
    </row>
    <row r="1082" spans="1:11" hidden="1">
      <c r="A1082" s="385">
        <v>615</v>
      </c>
      <c r="B1082" s="385" t="s">
        <v>1847</v>
      </c>
      <c r="C1082" s="385" t="s">
        <v>1848</v>
      </c>
      <c r="D1082" s="385" t="s">
        <v>1849</v>
      </c>
      <c r="E1082" s="385">
        <v>15</v>
      </c>
      <c r="F1082" s="385" t="s">
        <v>768</v>
      </c>
      <c r="G1082" s="385" t="s">
        <v>769</v>
      </c>
      <c r="H1082" s="385" t="s">
        <v>770</v>
      </c>
      <c r="I1082" s="385" t="s">
        <v>3477</v>
      </c>
      <c r="K1082" s="385" t="str">
        <f>VLOOKUP(Table13[[#This Row],[CD_FUNCAO]],'BASE_FUNCOES (hide)'!A:X,2,FALSE)</f>
        <v>Relatório de Percentuais</v>
      </c>
    </row>
    <row r="1083" spans="1:11" hidden="1">
      <c r="A1083" s="385">
        <v>616</v>
      </c>
      <c r="B1083" s="385" t="s">
        <v>1844</v>
      </c>
      <c r="C1083" s="385" t="s">
        <v>1845</v>
      </c>
      <c r="D1083" s="385" t="s">
        <v>1846</v>
      </c>
      <c r="E1083" s="385">
        <v>15</v>
      </c>
      <c r="F1083" s="385" t="s">
        <v>768</v>
      </c>
      <c r="G1083" s="385" t="s">
        <v>769</v>
      </c>
      <c r="H1083" s="385" t="s">
        <v>770</v>
      </c>
      <c r="I1083" s="385" t="s">
        <v>3477</v>
      </c>
      <c r="J1083" s="385" t="s">
        <v>3476</v>
      </c>
      <c r="K1083" s="385" t="str">
        <f>VLOOKUP(Table13[[#This Row],[CD_FUNCAO]],'BASE_FUNCOES (hide)'!A:X,2,FALSE)</f>
        <v>Relatório de Cirurgias</v>
      </c>
    </row>
    <row r="1084" spans="1:11" hidden="1">
      <c r="A1084" s="385">
        <v>617</v>
      </c>
      <c r="B1084" s="385" t="s">
        <v>219</v>
      </c>
      <c r="C1084" s="385" t="s">
        <v>4067</v>
      </c>
      <c r="D1084" s="385" t="s">
        <v>219</v>
      </c>
      <c r="E1084" s="385">
        <v>15</v>
      </c>
      <c r="F1084" s="385" t="s">
        <v>768</v>
      </c>
      <c r="G1084" s="385" t="s">
        <v>769</v>
      </c>
      <c r="H1084" s="385" t="s">
        <v>770</v>
      </c>
      <c r="I1084" s="385" t="s">
        <v>3477</v>
      </c>
      <c r="J1084" s="385" t="s">
        <v>3476</v>
      </c>
      <c r="K1084" s="385" t="str">
        <f>VLOOKUP(Table13[[#This Row],[CD_FUNCAO]],'BASE_FUNCOES (hide)'!A:X,2,FALSE)</f>
        <v>CIH Gráficos</v>
      </c>
    </row>
    <row r="1085" spans="1:11" hidden="1">
      <c r="A1085" s="385">
        <v>3016</v>
      </c>
      <c r="B1085" s="385" t="s">
        <v>229</v>
      </c>
      <c r="C1085" s="385" t="s">
        <v>805</v>
      </c>
      <c r="D1085" s="385" t="s">
        <v>806</v>
      </c>
      <c r="E1085" s="385">
        <v>16</v>
      </c>
      <c r="F1085" s="385" t="s">
        <v>3</v>
      </c>
      <c r="G1085" s="385" t="s">
        <v>795</v>
      </c>
      <c r="H1085" s="385" t="s">
        <v>797</v>
      </c>
      <c r="I1085" s="385" t="s">
        <v>3477</v>
      </c>
      <c r="J1085" s="385" t="s">
        <v>3477</v>
      </c>
      <c r="K1085" s="385" t="str">
        <f>VLOOKUP(Table13[[#This Row],[CD_FUNCAO]],'BASE_FUNCOES (hide)'!A:X,2,FALSE)</f>
        <v>Gestão das Regras de Convênio</v>
      </c>
    </row>
    <row r="1086" spans="1:11">
      <c r="A1086" s="385">
        <v>1986</v>
      </c>
      <c r="B1086" s="385" t="s">
        <v>4849</v>
      </c>
      <c r="C1086" s="385" t="s">
        <v>4849</v>
      </c>
      <c r="D1086" s="385" t="s">
        <v>4849</v>
      </c>
      <c r="E1086" s="385">
        <v>283</v>
      </c>
      <c r="F1086" s="385" t="s">
        <v>4705</v>
      </c>
      <c r="G1086" s="385" t="s">
        <v>4704</v>
      </c>
      <c r="H1086" s="385" t="s">
        <v>4703</v>
      </c>
      <c r="I1086" s="385" t="s">
        <v>3485</v>
      </c>
      <c r="K1086" s="385" t="e">
        <f>VLOOKUP(Table13[[#This Row],[CD_FUNCAO]],'BASE_FUNCOES (hide)'!A:X,2,FALSE)</f>
        <v>#N/A</v>
      </c>
    </row>
    <row r="1087" spans="1:11" hidden="1">
      <c r="A1087" s="385">
        <v>1114</v>
      </c>
      <c r="B1087" s="385" t="s">
        <v>51</v>
      </c>
      <c r="C1087" s="385" t="s">
        <v>800</v>
      </c>
      <c r="D1087" s="385" t="s">
        <v>51</v>
      </c>
      <c r="E1087" s="385">
        <v>16</v>
      </c>
      <c r="F1087" s="385" t="s">
        <v>3</v>
      </c>
      <c r="G1087" s="385" t="s">
        <v>795</v>
      </c>
      <c r="H1087" s="385" t="s">
        <v>797</v>
      </c>
      <c r="I1087" s="385" t="s">
        <v>3477</v>
      </c>
      <c r="J1087" s="385" t="s">
        <v>3476</v>
      </c>
      <c r="K1087" s="385" t="str">
        <f>VLOOKUP(Table13[[#This Row],[CD_FUNCAO]],'BASE_FUNCOES (hide)'!A:X,2,FALSE)</f>
        <v>Consulta Cobertura</v>
      </c>
    </row>
    <row r="1088" spans="1:11">
      <c r="A1088" s="385">
        <v>1990</v>
      </c>
      <c r="B1088" s="385" t="s">
        <v>4855</v>
      </c>
      <c r="C1088" s="385" t="s">
        <v>4854</v>
      </c>
      <c r="D1088" s="385" t="s">
        <v>4853</v>
      </c>
      <c r="E1088" s="385">
        <v>283</v>
      </c>
      <c r="F1088" s="385" t="s">
        <v>4705</v>
      </c>
      <c r="G1088" s="385" t="s">
        <v>4704</v>
      </c>
      <c r="H1088" s="385" t="s">
        <v>4703</v>
      </c>
      <c r="I1088" s="385" t="s">
        <v>3510</v>
      </c>
      <c r="J1088" s="385" t="s">
        <v>3476</v>
      </c>
      <c r="K1088" s="385" t="e">
        <f>VLOOKUP(Table13[[#This Row],[CD_FUNCAO]],'BASE_FUNCOES (hide)'!A:X,2,FALSE)</f>
        <v>#N/A</v>
      </c>
    </row>
    <row r="1089" spans="1:11" hidden="1">
      <c r="A1089" s="385">
        <v>1115</v>
      </c>
      <c r="B1089" s="385" t="s">
        <v>52</v>
      </c>
      <c r="C1089" s="385" t="s">
        <v>801</v>
      </c>
      <c r="D1089" s="385" t="s">
        <v>802</v>
      </c>
      <c r="E1089" s="385">
        <v>16</v>
      </c>
      <c r="F1089" s="385" t="s">
        <v>3</v>
      </c>
      <c r="G1089" s="385" t="s">
        <v>795</v>
      </c>
      <c r="H1089" s="385" t="s">
        <v>797</v>
      </c>
      <c r="I1089" s="385" t="s">
        <v>3477</v>
      </c>
      <c r="J1089" s="385" t="s">
        <v>3476</v>
      </c>
      <c r="K1089" s="385" t="str">
        <f>VLOOKUP(Table13[[#This Row],[CD_FUNCAO]],'BASE_FUNCOES (hide)'!A:X,2,FALSE)</f>
        <v>Consulta Preço</v>
      </c>
    </row>
    <row r="1090" spans="1:11" hidden="1">
      <c r="A1090" s="385">
        <v>7028</v>
      </c>
      <c r="B1090" s="385" t="s">
        <v>55</v>
      </c>
      <c r="C1090" s="385" t="s">
        <v>794</v>
      </c>
      <c r="D1090" s="385" t="s">
        <v>796</v>
      </c>
      <c r="E1090" s="385">
        <v>16</v>
      </c>
      <c r="F1090" s="385" t="s">
        <v>3</v>
      </c>
      <c r="G1090" s="385" t="s">
        <v>795</v>
      </c>
      <c r="H1090" s="385" t="s">
        <v>797</v>
      </c>
      <c r="I1090" s="385" t="s">
        <v>3477</v>
      </c>
      <c r="J1090" s="385" t="s">
        <v>3476</v>
      </c>
      <c r="K1090" s="385" t="str">
        <f>VLOOKUP(Table13[[#This Row],[CD_FUNCAO]],'BASE_FUNCOES (hide)'!A:X,2,FALSE)</f>
        <v>Parâmetros Faturamento</v>
      </c>
    </row>
    <row r="1091" spans="1:11">
      <c r="A1091" s="385">
        <v>2020</v>
      </c>
      <c r="B1091" s="385" t="s">
        <v>4873</v>
      </c>
      <c r="C1091" s="385" t="s">
        <v>4872</v>
      </c>
      <c r="D1091" s="385" t="s">
        <v>4871</v>
      </c>
      <c r="E1091" s="385">
        <v>283</v>
      </c>
      <c r="F1091" s="385" t="s">
        <v>4705</v>
      </c>
      <c r="G1091" s="385" t="s">
        <v>4704</v>
      </c>
      <c r="H1091" s="385" t="s">
        <v>4703</v>
      </c>
      <c r="I1091" s="385" t="s">
        <v>3485</v>
      </c>
      <c r="J1091" s="385" t="s">
        <v>3476</v>
      </c>
      <c r="K1091" s="385" t="e">
        <f>VLOOKUP(Table13[[#This Row],[CD_FUNCAO]],'BASE_FUNCOES (hide)'!A:X,2,FALSE)</f>
        <v>#N/A</v>
      </c>
    </row>
    <row r="1092" spans="1:11" hidden="1">
      <c r="A1092" s="385">
        <v>-1000</v>
      </c>
      <c r="B1092" s="385" t="s">
        <v>54</v>
      </c>
      <c r="C1092" s="385" t="s">
        <v>803</v>
      </c>
      <c r="D1092" s="385" t="s">
        <v>804</v>
      </c>
      <c r="E1092" s="385">
        <v>16</v>
      </c>
      <c r="F1092" s="385" t="s">
        <v>3</v>
      </c>
      <c r="G1092" s="385" t="s">
        <v>795</v>
      </c>
      <c r="H1092" s="385" t="s">
        <v>797</v>
      </c>
      <c r="I1092" s="385" t="s">
        <v>3477</v>
      </c>
      <c r="J1092" s="385" t="s">
        <v>3476</v>
      </c>
      <c r="K1092" s="385" t="str">
        <f>VLOOKUP(Table13[[#This Row],[CD_FUNCAO]],'BASE_FUNCOES (hide)'!A:X,2,FALSE)</f>
        <v>Documentação do Convênio</v>
      </c>
    </row>
    <row r="1093" spans="1:11" hidden="1">
      <c r="A1093" s="385">
        <v>1800</v>
      </c>
      <c r="B1093" s="385" t="s">
        <v>2955</v>
      </c>
      <c r="C1093" s="385" t="s">
        <v>4058</v>
      </c>
      <c r="D1093" s="385" t="s">
        <v>2956</v>
      </c>
      <c r="E1093" s="385">
        <v>16</v>
      </c>
      <c r="F1093" s="385" t="s">
        <v>3</v>
      </c>
      <c r="G1093" s="385" t="s">
        <v>795</v>
      </c>
      <c r="H1093" s="385" t="s">
        <v>797</v>
      </c>
      <c r="I1093" s="385" t="s">
        <v>3477</v>
      </c>
      <c r="J1093" s="385" t="s">
        <v>3476</v>
      </c>
      <c r="K1093" s="385" t="str">
        <f>VLOOKUP(Table13[[#This Row],[CD_FUNCAO]],'BASE_FUNCOES (hide)'!A:X,2,FALSE)</f>
        <v>Simulador de Contas de Convênio</v>
      </c>
    </row>
    <row r="1094" spans="1:11" hidden="1">
      <c r="A1094" s="385">
        <v>921</v>
      </c>
      <c r="B1094" s="385" t="s">
        <v>807</v>
      </c>
      <c r="C1094" s="385" t="s">
        <v>808</v>
      </c>
      <c r="D1094" s="385" t="s">
        <v>809</v>
      </c>
      <c r="E1094" s="385">
        <v>16</v>
      </c>
      <c r="F1094" s="385" t="s">
        <v>3</v>
      </c>
      <c r="G1094" s="385" t="s">
        <v>795</v>
      </c>
      <c r="H1094" s="385" t="s">
        <v>797</v>
      </c>
      <c r="I1094" s="385" t="s">
        <v>3477</v>
      </c>
      <c r="J1094" s="385" t="s">
        <v>3476</v>
      </c>
      <c r="K1094" s="385" t="str">
        <f>VLOOKUP(Table13[[#This Row],[CD_FUNCAO]],'BASE_FUNCOES (hide)'!A:X,2,FALSE)</f>
        <v>Cadastro de Convênios, Preços e Regras</v>
      </c>
    </row>
    <row r="1095" spans="1:11" hidden="1">
      <c r="A1095" s="385">
        <v>3110</v>
      </c>
      <c r="B1095" s="385" t="s">
        <v>57</v>
      </c>
      <c r="C1095" s="385" t="s">
        <v>4057</v>
      </c>
      <c r="D1095" s="385" t="s">
        <v>811</v>
      </c>
      <c r="E1095" s="385">
        <v>16</v>
      </c>
      <c r="F1095" s="385" t="s">
        <v>3</v>
      </c>
      <c r="G1095" s="385" t="s">
        <v>795</v>
      </c>
      <c r="H1095" s="385" t="s">
        <v>797</v>
      </c>
      <c r="I1095" s="385" t="s">
        <v>3477</v>
      </c>
      <c r="J1095" s="385" t="s">
        <v>3476</v>
      </c>
      <c r="K1095" s="385" t="str">
        <f>VLOOKUP(Table13[[#This Row],[CD_FUNCAO]],'BASE_FUNCOES (hide)'!A:X,2,FALSE)</f>
        <v>Tabelas de Preços</v>
      </c>
    </row>
    <row r="1096" spans="1:11" hidden="1">
      <c r="A1096" s="385">
        <v>905</v>
      </c>
      <c r="B1096" s="385" t="s">
        <v>56</v>
      </c>
      <c r="C1096" s="385" t="s">
        <v>812</v>
      </c>
      <c r="D1096" s="385" t="s">
        <v>813</v>
      </c>
      <c r="E1096" s="385">
        <v>16</v>
      </c>
      <c r="F1096" s="385" t="s">
        <v>3</v>
      </c>
      <c r="G1096" s="385" t="s">
        <v>795</v>
      </c>
      <c r="H1096" s="385" t="s">
        <v>797</v>
      </c>
      <c r="I1096" s="385" t="s">
        <v>3477</v>
      </c>
      <c r="J1096" s="385" t="s">
        <v>3476</v>
      </c>
      <c r="K1096" s="385" t="str">
        <f>VLOOKUP(Table13[[#This Row],[CD_FUNCAO]],'BASE_FUNCOES (hide)'!A:X,2,FALSE)</f>
        <v>Regras de Lançamento Automático</v>
      </c>
    </row>
    <row r="1097" spans="1:11">
      <c r="A1097" s="385">
        <v>2101</v>
      </c>
      <c r="B1097" s="385" t="s">
        <v>5319</v>
      </c>
      <c r="C1097" s="385" t="s">
        <v>5320</v>
      </c>
      <c r="D1097" s="385" t="s">
        <v>5319</v>
      </c>
      <c r="E1097" s="385">
        <v>283</v>
      </c>
      <c r="F1097" s="385" t="s">
        <v>4705</v>
      </c>
      <c r="G1097" s="385" t="s">
        <v>4704</v>
      </c>
      <c r="H1097" s="385" t="s">
        <v>4703</v>
      </c>
      <c r="I1097" s="385" t="s">
        <v>3510</v>
      </c>
      <c r="J1097" s="385" t="s">
        <v>3477</v>
      </c>
      <c r="K1097" s="385" t="e">
        <f>VLOOKUP(Table13[[#This Row],[CD_FUNCAO]],'BASE_FUNCOES (hide)'!A:X,2,FALSE)</f>
        <v>#N/A</v>
      </c>
    </row>
    <row r="1098" spans="1:11">
      <c r="A1098" s="385">
        <v>2222</v>
      </c>
      <c r="B1098" s="385" t="s">
        <v>4921</v>
      </c>
      <c r="C1098" s="385" t="s">
        <v>4920</v>
      </c>
      <c r="D1098" s="385" t="s">
        <v>4919</v>
      </c>
      <c r="E1098" s="385">
        <v>283</v>
      </c>
      <c r="F1098" s="385" t="s">
        <v>4705</v>
      </c>
      <c r="G1098" s="385" t="s">
        <v>4704</v>
      </c>
      <c r="H1098" s="385" t="s">
        <v>4703</v>
      </c>
      <c r="I1098" s="385" t="s">
        <v>3485</v>
      </c>
      <c r="K1098" s="385" t="e">
        <f>VLOOKUP(Table13[[#This Row],[CD_FUNCAO]],'BASE_FUNCOES (hide)'!A:X,2,FALSE)</f>
        <v>#N/A</v>
      </c>
    </row>
    <row r="1099" spans="1:11" hidden="1">
      <c r="A1099" s="385">
        <v>72</v>
      </c>
      <c r="B1099" s="385" t="s">
        <v>53</v>
      </c>
      <c r="C1099" s="385" t="s">
        <v>798</v>
      </c>
      <c r="D1099" s="385" t="s">
        <v>799</v>
      </c>
      <c r="E1099" s="385">
        <v>16</v>
      </c>
      <c r="F1099" s="385" t="s">
        <v>3</v>
      </c>
      <c r="G1099" s="385" t="s">
        <v>795</v>
      </c>
      <c r="H1099" s="385" t="s">
        <v>797</v>
      </c>
      <c r="I1099" s="385" t="s">
        <v>3477</v>
      </c>
      <c r="J1099" s="385" t="s">
        <v>3476</v>
      </c>
      <c r="K1099" s="385" t="str">
        <f>VLOOKUP(Table13[[#This Row],[CD_FUNCAO]],'BASE_FUNCOES (hide)'!A:X,2,FALSE)</f>
        <v>Cópia de Preços de Serviços</v>
      </c>
    </row>
    <row r="1100" spans="1:11" hidden="1">
      <c r="A1100" s="385">
        <v>295</v>
      </c>
      <c r="B1100" s="385" t="s">
        <v>4050</v>
      </c>
      <c r="C1100" s="385" t="s">
        <v>818</v>
      </c>
      <c r="D1100" s="385" t="s">
        <v>819</v>
      </c>
      <c r="E1100" s="385">
        <v>18</v>
      </c>
      <c r="F1100" s="385" t="s">
        <v>13</v>
      </c>
      <c r="I1100" s="385" t="s">
        <v>3477</v>
      </c>
      <c r="J1100" s="385" t="s">
        <v>3476</v>
      </c>
      <c r="K1100" s="385" t="str">
        <f>VLOOKUP(Table13[[#This Row],[CD_FUNCAO]],'BASE_FUNCOES (hide)'!A:X,2,FALSE)</f>
        <v>Cadastros da manutenção</v>
      </c>
    </row>
    <row r="1101" spans="1:11" hidden="1">
      <c r="A1101" s="385">
        <v>1300</v>
      </c>
      <c r="B1101" s="385" t="s">
        <v>230</v>
      </c>
      <c r="C1101" s="385" t="s">
        <v>820</v>
      </c>
      <c r="D1101" s="385" t="s">
        <v>821</v>
      </c>
      <c r="E1101" s="385">
        <v>18</v>
      </c>
      <c r="F1101" s="385" t="s">
        <v>13</v>
      </c>
      <c r="I1101" s="385" t="s">
        <v>3477</v>
      </c>
      <c r="J1101" s="385" t="s">
        <v>3476</v>
      </c>
      <c r="K1101" s="385" t="str">
        <f>VLOOKUP(Table13[[#This Row],[CD_FUNCAO]],'BASE_FUNCOES (hide)'!A:X,2,FALSE)</f>
        <v>Controle de Temperatura dos Setores</v>
      </c>
    </row>
    <row r="1102" spans="1:11">
      <c r="A1102" s="385">
        <v>2223</v>
      </c>
      <c r="B1102" s="385" t="s">
        <v>5680</v>
      </c>
      <c r="C1102" s="385" t="s">
        <v>5679</v>
      </c>
      <c r="D1102" s="385" t="s">
        <v>5678</v>
      </c>
      <c r="E1102" s="385">
        <v>283</v>
      </c>
      <c r="F1102" s="385" t="s">
        <v>4705</v>
      </c>
      <c r="G1102" s="385" t="s">
        <v>4704</v>
      </c>
      <c r="H1102" s="385" t="s">
        <v>4703</v>
      </c>
      <c r="I1102" s="385" t="s">
        <v>3488</v>
      </c>
      <c r="J1102" s="385" t="s">
        <v>3476</v>
      </c>
      <c r="K1102" s="385" t="e">
        <f>VLOOKUP(Table13[[#This Row],[CD_FUNCAO]],'BASE_FUNCOES (hide)'!A:X,2,FALSE)</f>
        <v>#N/A</v>
      </c>
    </row>
    <row r="1103" spans="1:11" hidden="1">
      <c r="A1103" s="385">
        <v>298</v>
      </c>
      <c r="B1103" s="385" t="s">
        <v>44</v>
      </c>
      <c r="C1103" s="385" t="s">
        <v>814</v>
      </c>
      <c r="D1103" s="385" t="s">
        <v>815</v>
      </c>
      <c r="E1103" s="385">
        <v>18</v>
      </c>
      <c r="F1103" s="385" t="s">
        <v>13</v>
      </c>
      <c r="I1103" s="385" t="s">
        <v>3477</v>
      </c>
      <c r="J1103" s="385" t="s">
        <v>3476</v>
      </c>
      <c r="K1103" s="385" t="str">
        <f>VLOOKUP(Table13[[#This Row],[CD_FUNCAO]],'BASE_FUNCOES (hide)'!A:X,2,FALSE)</f>
        <v>Controle de Equipamentos</v>
      </c>
    </row>
    <row r="1104" spans="1:11" hidden="1">
      <c r="A1104" s="385">
        <v>297</v>
      </c>
      <c r="B1104" s="385" t="s">
        <v>46</v>
      </c>
      <c r="C1104" s="385" t="s">
        <v>816</v>
      </c>
      <c r="D1104" s="385" t="s">
        <v>817</v>
      </c>
      <c r="E1104" s="385">
        <v>18</v>
      </c>
      <c r="F1104" s="385" t="s">
        <v>13</v>
      </c>
      <c r="I1104" s="385" t="s">
        <v>3477</v>
      </c>
      <c r="J1104" s="385" t="s">
        <v>3476</v>
      </c>
      <c r="K1104" s="385" t="str">
        <f>VLOOKUP(Table13[[#This Row],[CD_FUNCAO]],'BASE_FUNCOES (hide)'!A:X,2,FALSE)</f>
        <v>Ordem de Serviço (Nova)</v>
      </c>
    </row>
    <row r="1105" spans="1:11" hidden="1">
      <c r="A1105" s="385">
        <v>296</v>
      </c>
      <c r="B1105" s="385" t="s">
        <v>368</v>
      </c>
      <c r="C1105" s="385" t="s">
        <v>1199</v>
      </c>
      <c r="D1105" s="385" t="s">
        <v>1200</v>
      </c>
      <c r="E1105" s="385">
        <v>18</v>
      </c>
      <c r="F1105" s="385" t="s">
        <v>13</v>
      </c>
      <c r="I1105" s="385" t="s">
        <v>3477</v>
      </c>
      <c r="J1105" s="385" t="s">
        <v>3476</v>
      </c>
      <c r="K1105" s="385" t="str">
        <f>VLOOKUP(Table13[[#This Row],[CD_FUNCAO]],'BASE_FUNCOES (hide)'!A:X,2,FALSE)</f>
        <v>Gestão de Ordens de Serviço</v>
      </c>
    </row>
    <row r="1106" spans="1:11" hidden="1">
      <c r="A1106" s="385">
        <v>294</v>
      </c>
      <c r="B1106" s="385" t="s">
        <v>4046</v>
      </c>
      <c r="C1106" s="385" t="s">
        <v>1734</v>
      </c>
      <c r="D1106" s="385" t="s">
        <v>1735</v>
      </c>
      <c r="E1106" s="385">
        <v>18</v>
      </c>
      <c r="F1106" s="385" t="s">
        <v>13</v>
      </c>
      <c r="I1106" s="385" t="s">
        <v>3477</v>
      </c>
      <c r="J1106" s="385" t="s">
        <v>3476</v>
      </c>
      <c r="K1106" s="385" t="str">
        <f>VLOOKUP(Table13[[#This Row],[CD_FUNCAO]],'BASE_FUNCOES (hide)'!A:X,2,FALSE)</f>
        <v>Rota de inspeção</v>
      </c>
    </row>
    <row r="1107" spans="1:11" hidden="1">
      <c r="A1107" s="385">
        <v>299</v>
      </c>
      <c r="B1107" s="385" t="s">
        <v>231</v>
      </c>
      <c r="C1107" s="385" t="s">
        <v>816</v>
      </c>
      <c r="D1107" s="385" t="s">
        <v>822</v>
      </c>
      <c r="E1107" s="385">
        <v>18</v>
      </c>
      <c r="F1107" s="385" t="s">
        <v>13</v>
      </c>
      <c r="I1107" s="385" t="s">
        <v>3477</v>
      </c>
      <c r="J1107" s="385" t="s">
        <v>3476</v>
      </c>
      <c r="K1107" s="385" t="str">
        <f>VLOOKUP(Table13[[#This Row],[CD_FUNCAO]],'BASE_FUNCOES (hide)'!A:X,2,FALSE)</f>
        <v>Ordem de Serviço</v>
      </c>
    </row>
    <row r="1108" spans="1:11" hidden="1">
      <c r="A1108" s="385">
        <v>2000</v>
      </c>
      <c r="B1108" s="385" t="s">
        <v>49</v>
      </c>
      <c r="C1108" s="385" t="s">
        <v>823</v>
      </c>
      <c r="D1108" s="385" t="s">
        <v>824</v>
      </c>
      <c r="E1108" s="385">
        <v>20</v>
      </c>
      <c r="F1108" s="385" t="s">
        <v>8</v>
      </c>
      <c r="I1108" s="385" t="s">
        <v>3477</v>
      </c>
      <c r="J1108" s="385" t="s">
        <v>3476</v>
      </c>
      <c r="K1108" s="385" t="str">
        <f>VLOOKUP(Table13[[#This Row],[CD_FUNCAO]],'BASE_FUNCOES (hide)'!A:X,2,FALSE)</f>
        <v>Boletim de Ocorrência</v>
      </c>
    </row>
    <row r="1109" spans="1:11" hidden="1">
      <c r="A1109" s="385">
        <v>2500</v>
      </c>
      <c r="B1109" s="385" t="s">
        <v>50</v>
      </c>
      <c r="C1109" s="385" t="s">
        <v>825</v>
      </c>
      <c r="D1109" s="385" t="s">
        <v>826</v>
      </c>
      <c r="E1109" s="385">
        <v>20</v>
      </c>
      <c r="F1109" s="385" t="s">
        <v>8</v>
      </c>
      <c r="I1109" s="385" t="s">
        <v>3477</v>
      </c>
      <c r="J1109" s="385" t="s">
        <v>3476</v>
      </c>
      <c r="K1109" s="385" t="str">
        <f>VLOOKUP(Table13[[#This Row],[CD_FUNCAO]],'BASE_FUNCOES (hide)'!A:X,2,FALSE)</f>
        <v>Controle de Sugestões</v>
      </c>
    </row>
    <row r="1110" spans="1:11" hidden="1">
      <c r="A1110" s="385">
        <v>9019</v>
      </c>
      <c r="B1110" s="385" t="s">
        <v>10</v>
      </c>
      <c r="C1110" s="385" t="s">
        <v>522</v>
      </c>
      <c r="D1110" s="385" t="s">
        <v>522</v>
      </c>
      <c r="E1110" s="385">
        <v>22</v>
      </c>
      <c r="F1110" s="385" t="s">
        <v>2783</v>
      </c>
      <c r="I1110" s="385" t="s">
        <v>3477</v>
      </c>
      <c r="J1110" s="385" t="s">
        <v>3477</v>
      </c>
      <c r="K1110" s="385" t="str">
        <f>VLOOKUP(Table13[[#This Row],[CD_FUNCAO]],'BASE_FUNCOES (hide)'!A:X,2,FALSE)</f>
        <v>Estoque</v>
      </c>
    </row>
    <row r="1111" spans="1:11" hidden="1">
      <c r="A1111" s="385">
        <v>3003</v>
      </c>
      <c r="B1111" s="385" t="s">
        <v>838</v>
      </c>
      <c r="C1111" s="385" t="s">
        <v>839</v>
      </c>
      <c r="D1111" s="385" t="s">
        <v>840</v>
      </c>
      <c r="E1111" s="385">
        <v>22</v>
      </c>
      <c r="F1111" s="385" t="s">
        <v>2783</v>
      </c>
      <c r="I1111" s="385" t="s">
        <v>3477</v>
      </c>
      <c r="J1111" s="385" t="s">
        <v>3477</v>
      </c>
      <c r="K1111" s="385" t="str">
        <f>VLOOKUP(Table13[[#This Row],[CD_FUNCAO]],'BASE_FUNCOES (hide)'!A:X,2,FALSE)</f>
        <v>Impressão de Relatórios</v>
      </c>
    </row>
    <row r="1112" spans="1:11">
      <c r="A1112" s="385">
        <v>2300</v>
      </c>
      <c r="B1112" s="385" t="s">
        <v>5258</v>
      </c>
      <c r="C1112" s="385" t="s">
        <v>5257</v>
      </c>
      <c r="D1112" s="385" t="s">
        <v>5256</v>
      </c>
      <c r="E1112" s="385">
        <v>283</v>
      </c>
      <c r="F1112" s="385" t="s">
        <v>4705</v>
      </c>
      <c r="G1112" s="385" t="s">
        <v>4704</v>
      </c>
      <c r="H1112" s="385" t="s">
        <v>4703</v>
      </c>
      <c r="I1112" s="385" t="s">
        <v>3510</v>
      </c>
      <c r="J1112" s="385" t="s">
        <v>3477</v>
      </c>
      <c r="K1112" s="385" t="e">
        <f>VLOOKUP(Table13[[#This Row],[CD_FUNCAO]],'BASE_FUNCOES (hide)'!A:X,2,FALSE)</f>
        <v>#N/A</v>
      </c>
    </row>
    <row r="1113" spans="1:11">
      <c r="A1113" s="385">
        <v>2424</v>
      </c>
      <c r="B1113" s="385" t="s">
        <v>5378</v>
      </c>
      <c r="C1113" s="385" t="s">
        <v>5377</v>
      </c>
      <c r="D1113" s="385" t="s">
        <v>5376</v>
      </c>
      <c r="E1113" s="385">
        <v>283</v>
      </c>
      <c r="F1113" s="385" t="s">
        <v>4705</v>
      </c>
      <c r="G1113" s="385" t="s">
        <v>4704</v>
      </c>
      <c r="H1113" s="385" t="s">
        <v>4703</v>
      </c>
      <c r="I1113" s="385" t="s">
        <v>3485</v>
      </c>
      <c r="J1113" s="385" t="s">
        <v>3477</v>
      </c>
      <c r="K1113" s="385" t="e">
        <f>VLOOKUP(Table13[[#This Row],[CD_FUNCAO]],'BASE_FUNCOES (hide)'!A:X,2,FALSE)</f>
        <v>#N/A</v>
      </c>
    </row>
    <row r="1114" spans="1:11">
      <c r="A1114" s="385">
        <v>2468</v>
      </c>
      <c r="B1114" s="385" t="s">
        <v>5698</v>
      </c>
      <c r="C1114" s="385" t="s">
        <v>5699</v>
      </c>
      <c r="D1114" s="385" t="s">
        <v>5698</v>
      </c>
      <c r="E1114" s="385">
        <v>283</v>
      </c>
      <c r="F1114" s="385" t="s">
        <v>4705</v>
      </c>
      <c r="G1114" s="385" t="s">
        <v>4704</v>
      </c>
      <c r="H1114" s="385" t="s">
        <v>4703</v>
      </c>
      <c r="I1114" s="385" t="s">
        <v>3488</v>
      </c>
      <c r="J1114" s="385" t="s">
        <v>3476</v>
      </c>
      <c r="K1114" s="385" t="e">
        <f>VLOOKUP(Table13[[#This Row],[CD_FUNCAO]],'BASE_FUNCOES (hide)'!A:X,2,FALSE)</f>
        <v>#N/A</v>
      </c>
    </row>
    <row r="1115" spans="1:11">
      <c r="A1115" s="385">
        <v>2530</v>
      </c>
      <c r="B1115" s="385" t="s">
        <v>5303</v>
      </c>
      <c r="C1115" s="385" t="s">
        <v>5302</v>
      </c>
      <c r="D1115" s="385" t="s">
        <v>5301</v>
      </c>
      <c r="E1115" s="385">
        <v>283</v>
      </c>
      <c r="F1115" s="385" t="s">
        <v>4705</v>
      </c>
      <c r="G1115" s="385" t="s">
        <v>4704</v>
      </c>
      <c r="H1115" s="385" t="s">
        <v>4703</v>
      </c>
      <c r="I1115" s="385" t="s">
        <v>3510</v>
      </c>
      <c r="J1115" s="385" t="s">
        <v>3477</v>
      </c>
      <c r="K1115" s="385" t="e">
        <f>VLOOKUP(Table13[[#This Row],[CD_FUNCAO]],'BASE_FUNCOES (hide)'!A:X,2,FALSE)</f>
        <v>#N/A</v>
      </c>
    </row>
    <row r="1116" spans="1:11">
      <c r="A1116" s="385">
        <v>2705</v>
      </c>
      <c r="B1116" s="385" t="s">
        <v>3500</v>
      </c>
      <c r="C1116" s="385" t="s">
        <v>3501</v>
      </c>
      <c r="D1116" s="385" t="s">
        <v>3500</v>
      </c>
      <c r="E1116" s="385">
        <v>944</v>
      </c>
      <c r="F1116" s="385" t="s">
        <v>3086</v>
      </c>
      <c r="I1116" s="385" t="s">
        <v>3488</v>
      </c>
      <c r="J1116" s="385" t="s">
        <v>3477</v>
      </c>
      <c r="K1116" s="385" t="e">
        <f>VLOOKUP(Table13[[#This Row],[CD_FUNCAO]],'BASE_FUNCOES (hide)'!A:X,2,FALSE)</f>
        <v>#N/A</v>
      </c>
    </row>
    <row r="1117" spans="1:11" hidden="1">
      <c r="A1117" s="385">
        <v>311</v>
      </c>
      <c r="B1117" s="385" t="s">
        <v>1676</v>
      </c>
      <c r="C1117" s="385" t="s">
        <v>1677</v>
      </c>
      <c r="D1117" s="385" t="s">
        <v>1678</v>
      </c>
      <c r="E1117" s="385">
        <v>22</v>
      </c>
      <c r="F1117" s="385" t="s">
        <v>2783</v>
      </c>
      <c r="I1117" s="385" t="s">
        <v>3477</v>
      </c>
      <c r="J1117" s="385" t="s">
        <v>3476</v>
      </c>
      <c r="K1117" s="385" t="str">
        <f>VLOOKUP(Table13[[#This Row],[CD_FUNCAO]],'BASE_FUNCOES (hide)'!A:X,2,FALSE)</f>
        <v>Rel Receitas</v>
      </c>
    </row>
    <row r="1118" spans="1:11" hidden="1">
      <c r="A1118" s="385">
        <v>9007</v>
      </c>
      <c r="B1118" s="385" t="s">
        <v>232</v>
      </c>
      <c r="C1118" s="385" t="s">
        <v>841</v>
      </c>
      <c r="D1118" s="385" t="s">
        <v>842</v>
      </c>
      <c r="E1118" s="385">
        <v>22</v>
      </c>
      <c r="F1118" s="385" t="s">
        <v>2783</v>
      </c>
      <c r="I1118" s="385" t="s">
        <v>3477</v>
      </c>
      <c r="J1118" s="385" t="s">
        <v>3476</v>
      </c>
      <c r="K1118" s="385" t="str">
        <f>VLOOKUP(Table13[[#This Row],[CD_FUNCAO]],'BASE_FUNCOES (hide)'!A:X,2,FALSE)</f>
        <v>TasyMed - Consultório Médico</v>
      </c>
    </row>
    <row r="1119" spans="1:11" hidden="1">
      <c r="A1119" s="385">
        <v>775</v>
      </c>
      <c r="B1119" s="385" t="s">
        <v>832</v>
      </c>
      <c r="C1119" s="385" t="s">
        <v>833</v>
      </c>
      <c r="D1119" s="385" t="s">
        <v>834</v>
      </c>
      <c r="E1119" s="385">
        <v>22</v>
      </c>
      <c r="F1119" s="385" t="s">
        <v>2783</v>
      </c>
      <c r="I1119" s="385" t="s">
        <v>3477</v>
      </c>
      <c r="J1119" s="385" t="s">
        <v>3476</v>
      </c>
      <c r="K1119" s="385" t="str">
        <f>VLOOKUP(Table13[[#This Row],[CD_FUNCAO]],'BASE_FUNCOES (hide)'!A:X,2,FALSE)</f>
        <v>EIS Atestado</v>
      </c>
    </row>
    <row r="1120" spans="1:11" hidden="1">
      <c r="A1120" s="385">
        <v>760</v>
      </c>
      <c r="B1120" s="385" t="s">
        <v>835</v>
      </c>
      <c r="C1120" s="385" t="s">
        <v>836</v>
      </c>
      <c r="D1120" s="385" t="s">
        <v>837</v>
      </c>
      <c r="E1120" s="385">
        <v>22</v>
      </c>
      <c r="F1120" s="385" t="s">
        <v>2783</v>
      </c>
      <c r="I1120" s="385" t="s">
        <v>3477</v>
      </c>
      <c r="J1120" s="385" t="s">
        <v>3476</v>
      </c>
      <c r="K1120" s="385" t="str">
        <f>VLOOKUP(Table13[[#This Row],[CD_FUNCAO]],'BASE_FUNCOES (hide)'!A:X,2,FALSE)</f>
        <v>Classif.Pac.</v>
      </c>
    </row>
    <row r="1121" spans="1:11" hidden="1">
      <c r="A1121" s="385">
        <v>759</v>
      </c>
      <c r="B1121" s="385" t="s">
        <v>4032</v>
      </c>
      <c r="C1121" s="385" t="s">
        <v>844</v>
      </c>
      <c r="D1121" s="385" t="s">
        <v>845</v>
      </c>
      <c r="E1121" s="385">
        <v>22</v>
      </c>
      <c r="F1121" s="385" t="s">
        <v>2783</v>
      </c>
      <c r="I1121" s="385" t="s">
        <v>3477</v>
      </c>
      <c r="J1121" s="385" t="s">
        <v>3476</v>
      </c>
      <c r="K1121" s="385" t="str">
        <f>VLOOKUP(Table13[[#This Row],[CD_FUNCAO]],'BASE_FUNCOES (hide)'!A:X,2,FALSE)</f>
        <v xml:space="preserve">Tratamentos </v>
      </c>
    </row>
    <row r="1122" spans="1:11" hidden="1">
      <c r="A1122" s="385">
        <v>796</v>
      </c>
      <c r="B1122" s="385" t="s">
        <v>846</v>
      </c>
      <c r="C1122" s="385" t="s">
        <v>847</v>
      </c>
      <c r="D1122" s="385" t="s">
        <v>848</v>
      </c>
      <c r="E1122" s="385">
        <v>22</v>
      </c>
      <c r="F1122" s="385" t="s">
        <v>2783</v>
      </c>
      <c r="I1122" s="385" t="s">
        <v>3477</v>
      </c>
      <c r="J1122" s="385" t="s">
        <v>3476</v>
      </c>
      <c r="K1122" s="385" t="str">
        <f>VLOOKUP(Table13[[#This Row],[CD_FUNCAO]],'BASE_FUNCOES (hide)'!A:X,2,FALSE)</f>
        <v>Cadastros Faturamento</v>
      </c>
    </row>
    <row r="1123" spans="1:11" hidden="1">
      <c r="A1123" s="385">
        <v>765</v>
      </c>
      <c r="B1123" s="385" t="s">
        <v>849</v>
      </c>
      <c r="C1123" s="385" t="s">
        <v>850</v>
      </c>
      <c r="D1123" s="385" t="s">
        <v>851</v>
      </c>
      <c r="E1123" s="385">
        <v>22</v>
      </c>
      <c r="F1123" s="385" t="s">
        <v>2783</v>
      </c>
      <c r="I1123" s="385" t="s">
        <v>3477</v>
      </c>
      <c r="J1123" s="385" t="s">
        <v>3476</v>
      </c>
      <c r="K1123" s="385" t="str">
        <f>VLOOKUP(Table13[[#This Row],[CD_FUNCAO]],'BASE_FUNCOES (hide)'!A:X,2,FALSE)</f>
        <v>Faturamento</v>
      </c>
    </row>
    <row r="1124" spans="1:11">
      <c r="A1124" s="385">
        <v>2708</v>
      </c>
      <c r="B1124" s="385" t="s">
        <v>3499</v>
      </c>
      <c r="C1124" s="385" t="s">
        <v>3498</v>
      </c>
      <c r="D1124" s="385" t="s">
        <v>3497</v>
      </c>
      <c r="E1124" s="385">
        <v>944</v>
      </c>
      <c r="F1124" s="385" t="s">
        <v>3086</v>
      </c>
      <c r="I1124" s="385" t="s">
        <v>3488</v>
      </c>
      <c r="J1124" s="385" t="s">
        <v>3477</v>
      </c>
      <c r="K1124" s="385" t="e">
        <f>VLOOKUP(Table13[[#This Row],[CD_FUNCAO]],'BASE_FUNCOES (hide)'!A:X,2,FALSE)</f>
        <v>#N/A</v>
      </c>
    </row>
    <row r="1125" spans="1:11" hidden="1">
      <c r="A1125" s="385">
        <v>761</v>
      </c>
      <c r="B1125" s="385" t="s">
        <v>1</v>
      </c>
      <c r="C1125" s="385" t="s">
        <v>852</v>
      </c>
      <c r="D1125" s="385" t="s">
        <v>1</v>
      </c>
      <c r="E1125" s="385">
        <v>22</v>
      </c>
      <c r="F1125" s="385" t="s">
        <v>2783</v>
      </c>
      <c r="I1125" s="385" t="s">
        <v>3477</v>
      </c>
      <c r="J1125" s="385" t="s">
        <v>3476</v>
      </c>
      <c r="K1125" s="385" t="str">
        <f>VLOOKUP(Table13[[#This Row],[CD_FUNCAO]],'BASE_FUNCOES (hide)'!A:X,2,FALSE)</f>
        <v>Agenda</v>
      </c>
    </row>
    <row r="1126" spans="1:11" hidden="1">
      <c r="A1126" s="385">
        <v>762</v>
      </c>
      <c r="B1126" s="385" t="s">
        <v>853</v>
      </c>
      <c r="C1126" s="385" t="s">
        <v>854</v>
      </c>
      <c r="D1126" s="385" t="s">
        <v>855</v>
      </c>
      <c r="E1126" s="385">
        <v>22</v>
      </c>
      <c r="F1126" s="385" t="s">
        <v>2783</v>
      </c>
      <c r="I1126" s="385" t="s">
        <v>3477</v>
      </c>
      <c r="J1126" s="385" t="s">
        <v>3476</v>
      </c>
      <c r="K1126" s="385" t="str">
        <f>VLOOKUP(Table13[[#This Row],[CD_FUNCAO]],'BASE_FUNCOES (hide)'!A:X,2,FALSE)</f>
        <v>Atendimentos</v>
      </c>
    </row>
    <row r="1127" spans="1:11" hidden="1">
      <c r="A1127" s="385">
        <v>751</v>
      </c>
      <c r="B1127" s="385" t="s">
        <v>856</v>
      </c>
      <c r="C1127" s="385" t="s">
        <v>857</v>
      </c>
      <c r="D1127" s="385" t="s">
        <v>856</v>
      </c>
      <c r="E1127" s="385">
        <v>22</v>
      </c>
      <c r="F1127" s="385" t="s">
        <v>2783</v>
      </c>
      <c r="I1127" s="385" t="s">
        <v>3477</v>
      </c>
      <c r="J1127" s="385" t="s">
        <v>3476</v>
      </c>
      <c r="K1127" s="385" t="str">
        <f>VLOOKUP(Table13[[#This Row],[CD_FUNCAO]],'BASE_FUNCOES (hide)'!A:X,2,FALSE)</f>
        <v>Paciente</v>
      </c>
    </row>
    <row r="1128" spans="1:11" hidden="1">
      <c r="A1128" s="385">
        <v>752</v>
      </c>
      <c r="B1128" s="385" t="s">
        <v>204</v>
      </c>
      <c r="C1128" s="385" t="s">
        <v>4028</v>
      </c>
      <c r="D1128" s="385" t="s">
        <v>204</v>
      </c>
      <c r="E1128" s="385">
        <v>22</v>
      </c>
      <c r="F1128" s="385" t="s">
        <v>2783</v>
      </c>
      <c r="I1128" s="385" t="s">
        <v>3477</v>
      </c>
      <c r="J1128" s="385" t="s">
        <v>3476</v>
      </c>
      <c r="K1128" s="385" t="str">
        <f>VLOOKUP(Table13[[#This Row],[CD_FUNCAO]],'BASE_FUNCOES (hide)'!A:X,2,FALSE)</f>
        <v>Medicamento</v>
      </c>
    </row>
    <row r="1129" spans="1:11" hidden="1">
      <c r="A1129" s="385">
        <v>753</v>
      </c>
      <c r="B1129" s="385" t="s">
        <v>858</v>
      </c>
      <c r="C1129" s="385" t="s">
        <v>859</v>
      </c>
      <c r="D1129" s="385" t="s">
        <v>858</v>
      </c>
      <c r="E1129" s="385">
        <v>22</v>
      </c>
      <c r="F1129" s="385" t="s">
        <v>2783</v>
      </c>
      <c r="I1129" s="385" t="s">
        <v>3477</v>
      </c>
      <c r="J1129" s="385" t="s">
        <v>3476</v>
      </c>
      <c r="K1129" s="385" t="str">
        <f>VLOOKUP(Table13[[#This Row],[CD_FUNCAO]],'BASE_FUNCOES (hide)'!A:X,2,FALSE)</f>
        <v>Protocolo</v>
      </c>
    </row>
    <row r="1130" spans="1:11" hidden="1">
      <c r="A1130" s="385">
        <v>754</v>
      </c>
      <c r="B1130" s="385" t="s">
        <v>860</v>
      </c>
      <c r="C1130" s="385" t="s">
        <v>4027</v>
      </c>
      <c r="D1130" s="385" t="s">
        <v>860</v>
      </c>
      <c r="E1130" s="385">
        <v>22</v>
      </c>
      <c r="F1130" s="385" t="s">
        <v>2783</v>
      </c>
      <c r="I1130" s="385" t="s">
        <v>3477</v>
      </c>
      <c r="J1130" s="385" t="s">
        <v>3476</v>
      </c>
      <c r="K1130" s="385" t="str">
        <f>VLOOKUP(Table13[[#This Row],[CD_FUNCAO]],'BASE_FUNCOES (hide)'!A:X,2,FALSE)</f>
        <v>Grupo</v>
      </c>
    </row>
    <row r="1131" spans="1:11" hidden="1">
      <c r="A1131" s="385">
        <v>755</v>
      </c>
      <c r="B1131" s="385" t="s">
        <v>0</v>
      </c>
      <c r="C1131" s="385" t="s">
        <v>674</v>
      </c>
      <c r="D1131" s="385" t="s">
        <v>676</v>
      </c>
      <c r="E1131" s="385">
        <v>22</v>
      </c>
      <c r="F1131" s="385" t="s">
        <v>2783</v>
      </c>
      <c r="I1131" s="385" t="s">
        <v>3477</v>
      </c>
      <c r="J1131" s="385" t="s">
        <v>3476</v>
      </c>
      <c r="K1131" s="385" t="str">
        <f>VLOOKUP(Table13[[#This Row],[CD_FUNCAO]],'BASE_FUNCOES (hide)'!A:X,2,FALSE)</f>
        <v>Exames</v>
      </c>
    </row>
    <row r="1132" spans="1:11" hidden="1">
      <c r="A1132" s="385">
        <v>785</v>
      </c>
      <c r="B1132" s="385" t="s">
        <v>862</v>
      </c>
      <c r="C1132" s="385" t="s">
        <v>863</v>
      </c>
      <c r="D1132" s="385" t="s">
        <v>864</v>
      </c>
      <c r="E1132" s="385">
        <v>22</v>
      </c>
      <c r="F1132" s="385" t="s">
        <v>2783</v>
      </c>
      <c r="I1132" s="385" t="s">
        <v>3477</v>
      </c>
      <c r="J1132" s="385" t="s">
        <v>3476</v>
      </c>
      <c r="K1132" s="385" t="str">
        <f>VLOOKUP(Table13[[#This Row],[CD_FUNCAO]],'BASE_FUNCOES (hide)'!A:X,2,FALSE)</f>
        <v>CID</v>
      </c>
    </row>
    <row r="1133" spans="1:11" hidden="1">
      <c r="A1133" s="385">
        <v>786</v>
      </c>
      <c r="B1133" s="385" t="s">
        <v>865</v>
      </c>
      <c r="C1133" s="385" t="s">
        <v>866</v>
      </c>
      <c r="D1133" s="385" t="s">
        <v>867</v>
      </c>
      <c r="E1133" s="385">
        <v>22</v>
      </c>
      <c r="F1133" s="385" t="s">
        <v>2783</v>
      </c>
      <c r="I1133" s="385" t="s">
        <v>3477</v>
      </c>
      <c r="J1133" s="385" t="s">
        <v>3476</v>
      </c>
      <c r="K1133" s="385" t="str">
        <f>VLOOKUP(Table13[[#This Row],[CD_FUNCAO]],'BASE_FUNCOES (hide)'!A:X,2,FALSE)</f>
        <v>Tabela proced</v>
      </c>
    </row>
    <row r="1134" spans="1:11" hidden="1">
      <c r="A1134" s="385">
        <v>781</v>
      </c>
      <c r="B1134" s="385" t="s">
        <v>868</v>
      </c>
      <c r="C1134" s="385" t="s">
        <v>869</v>
      </c>
      <c r="D1134" s="385" t="s">
        <v>870</v>
      </c>
      <c r="E1134" s="385">
        <v>22</v>
      </c>
      <c r="F1134" s="385" t="s">
        <v>2783</v>
      </c>
      <c r="I1134" s="385" t="s">
        <v>3477</v>
      </c>
      <c r="J1134" s="385" t="s">
        <v>3476</v>
      </c>
      <c r="K1134" s="385" t="str">
        <f>VLOOKUP(Table13[[#This Row],[CD_FUNCAO]],'BASE_FUNCOES (hide)'!A:X,2,FALSE)</f>
        <v>Permissões</v>
      </c>
    </row>
    <row r="1135" spans="1:11" hidden="1">
      <c r="A1135" s="385">
        <v>771</v>
      </c>
      <c r="B1135" s="385" t="s">
        <v>871</v>
      </c>
      <c r="C1135" s="385" t="s">
        <v>872</v>
      </c>
      <c r="D1135" s="385" t="s">
        <v>871</v>
      </c>
      <c r="E1135" s="385">
        <v>22</v>
      </c>
      <c r="F1135" s="385" t="s">
        <v>2783</v>
      </c>
      <c r="I1135" s="385" t="s">
        <v>3477</v>
      </c>
      <c r="J1135" s="385" t="s">
        <v>3476</v>
      </c>
      <c r="K1135" s="385" t="str">
        <f>VLOOKUP(Table13[[#This Row],[CD_FUNCAO]],'BASE_FUNCOES (hide)'!A:X,2,FALSE)</f>
        <v>EIS Paciente</v>
      </c>
    </row>
    <row r="1136" spans="1:11" hidden="1">
      <c r="A1136" s="385">
        <v>792</v>
      </c>
      <c r="B1136" s="385" t="s">
        <v>873</v>
      </c>
      <c r="C1136" s="385" t="s">
        <v>874</v>
      </c>
      <c r="D1136" s="385" t="s">
        <v>875</v>
      </c>
      <c r="E1136" s="385">
        <v>22</v>
      </c>
      <c r="F1136" s="385" t="s">
        <v>2783</v>
      </c>
      <c r="I1136" s="385" t="s">
        <v>3477</v>
      </c>
      <c r="J1136" s="385" t="s">
        <v>3476</v>
      </c>
      <c r="K1136" s="385" t="str">
        <f>VLOOKUP(Table13[[#This Row],[CD_FUNCAO]],'BASE_FUNCOES (hide)'!A:X,2,FALSE)</f>
        <v>Referências</v>
      </c>
    </row>
    <row r="1137" spans="1:11" hidden="1">
      <c r="A1137" s="385">
        <v>793</v>
      </c>
      <c r="B1137" s="385" t="s">
        <v>876</v>
      </c>
      <c r="C1137" s="385" t="s">
        <v>877</v>
      </c>
      <c r="D1137" s="385" t="s">
        <v>876</v>
      </c>
      <c r="E1137" s="385">
        <v>22</v>
      </c>
      <c r="F1137" s="385" t="s">
        <v>2783</v>
      </c>
      <c r="I1137" s="385" t="s">
        <v>3477</v>
      </c>
      <c r="J1137" s="385" t="s">
        <v>3476</v>
      </c>
      <c r="K1137" s="385" t="str">
        <f>VLOOKUP(Table13[[#This Row],[CD_FUNCAO]],'BASE_FUNCOES (hide)'!A:X,2,FALSE)</f>
        <v>Textos</v>
      </c>
    </row>
    <row r="1138" spans="1:11" hidden="1">
      <c r="A1138" s="385">
        <v>782</v>
      </c>
      <c r="B1138" s="385" t="s">
        <v>878</v>
      </c>
      <c r="C1138" s="385" t="s">
        <v>1856</v>
      </c>
      <c r="D1138" s="385" t="s">
        <v>878</v>
      </c>
      <c r="E1138" s="385">
        <v>22</v>
      </c>
      <c r="F1138" s="385" t="s">
        <v>2783</v>
      </c>
      <c r="I1138" s="385" t="s">
        <v>3477</v>
      </c>
      <c r="J1138" s="385" t="s">
        <v>3476</v>
      </c>
      <c r="K1138" s="385" t="str">
        <f>VLOOKUP(Table13[[#This Row],[CD_FUNCAO]],'BASE_FUNCOES (hide)'!A:X,2,FALSE)</f>
        <v>Config Agenda</v>
      </c>
    </row>
    <row r="1139" spans="1:11" hidden="1">
      <c r="A1139" s="385">
        <v>783</v>
      </c>
      <c r="B1139" s="385" t="s">
        <v>879</v>
      </c>
      <c r="C1139" s="385" t="s">
        <v>4026</v>
      </c>
      <c r="D1139" s="385" t="s">
        <v>881</v>
      </c>
      <c r="E1139" s="385">
        <v>22</v>
      </c>
      <c r="F1139" s="385" t="s">
        <v>2783</v>
      </c>
      <c r="I1139" s="385" t="s">
        <v>3477</v>
      </c>
      <c r="J1139" s="385" t="s">
        <v>3476</v>
      </c>
      <c r="K1139" s="385" t="str">
        <f>VLOOKUP(Table13[[#This Row],[CD_FUNCAO]],'BASE_FUNCOES (hide)'!A:X,2,FALSE)</f>
        <v>Parâmetros</v>
      </c>
    </row>
    <row r="1140" spans="1:11" hidden="1">
      <c r="A1140" s="385">
        <v>772</v>
      </c>
      <c r="B1140" s="385" t="s">
        <v>882</v>
      </c>
      <c r="C1140" s="385" t="s">
        <v>883</v>
      </c>
      <c r="D1140" s="385" t="s">
        <v>884</v>
      </c>
      <c r="E1140" s="385">
        <v>22</v>
      </c>
      <c r="F1140" s="385" t="s">
        <v>2783</v>
      </c>
      <c r="I1140" s="385" t="s">
        <v>3477</v>
      </c>
      <c r="J1140" s="385" t="s">
        <v>3476</v>
      </c>
      <c r="K1140" s="385" t="str">
        <f>VLOOKUP(Table13[[#This Row],[CD_FUNCAO]],'BASE_FUNCOES (hide)'!A:X,2,FALSE)</f>
        <v>EIS Atendimento</v>
      </c>
    </row>
    <row r="1141" spans="1:11" hidden="1">
      <c r="A1141" s="385">
        <v>773</v>
      </c>
      <c r="B1141" s="385" t="s">
        <v>885</v>
      </c>
      <c r="C1141" s="385" t="s">
        <v>886</v>
      </c>
      <c r="D1141" s="385" t="s">
        <v>885</v>
      </c>
      <c r="E1141" s="385">
        <v>22</v>
      </c>
      <c r="F1141" s="385" t="s">
        <v>2783</v>
      </c>
      <c r="I1141" s="385" t="s">
        <v>3477</v>
      </c>
      <c r="J1141" s="385" t="s">
        <v>3476</v>
      </c>
      <c r="K1141" s="385" t="str">
        <f>VLOOKUP(Table13[[#This Row],[CD_FUNCAO]],'BASE_FUNCOES (hide)'!A:X,2,FALSE)</f>
        <v>EIS Agenda</v>
      </c>
    </row>
    <row r="1142" spans="1:11" hidden="1">
      <c r="A1142" s="385">
        <v>795</v>
      </c>
      <c r="B1142" s="385" t="s">
        <v>887</v>
      </c>
      <c r="C1142" s="385" t="s">
        <v>888</v>
      </c>
      <c r="D1142" s="385" t="s">
        <v>889</v>
      </c>
      <c r="E1142" s="385">
        <v>22</v>
      </c>
      <c r="F1142" s="385" t="s">
        <v>2783</v>
      </c>
      <c r="I1142" s="385" t="s">
        <v>3477</v>
      </c>
      <c r="J1142" s="385" t="s">
        <v>3476</v>
      </c>
      <c r="K1142" s="385" t="str">
        <f>VLOOKUP(Table13[[#This Row],[CD_FUNCAO]],'BASE_FUNCOES (hide)'!A:X,2,FALSE)</f>
        <v>Val.Normais</v>
      </c>
    </row>
    <row r="1143" spans="1:11" hidden="1">
      <c r="A1143" s="385">
        <v>756</v>
      </c>
      <c r="B1143" s="385" t="s">
        <v>7</v>
      </c>
      <c r="C1143" s="385" t="s">
        <v>2573</v>
      </c>
      <c r="D1143" s="385" t="s">
        <v>891</v>
      </c>
      <c r="E1143" s="385">
        <v>22</v>
      </c>
      <c r="F1143" s="385" t="s">
        <v>2783</v>
      </c>
      <c r="I1143" s="385" t="s">
        <v>3477</v>
      </c>
      <c r="J1143" s="385" t="s">
        <v>3476</v>
      </c>
      <c r="K1143" s="385" t="str">
        <f>VLOOKUP(Table13[[#This Row],[CD_FUNCAO]],'BASE_FUNCOES (hide)'!A:X,2,FALSE)</f>
        <v>Laboratório</v>
      </c>
    </row>
    <row r="1144" spans="1:11" hidden="1">
      <c r="A1144" s="385">
        <v>757</v>
      </c>
      <c r="B1144" s="385" t="s">
        <v>892</v>
      </c>
      <c r="C1144" s="385" t="s">
        <v>893</v>
      </c>
      <c r="D1144" s="385" t="s">
        <v>894</v>
      </c>
      <c r="E1144" s="385">
        <v>22</v>
      </c>
      <c r="F1144" s="385" t="s">
        <v>2783</v>
      </c>
      <c r="I1144" s="385" t="s">
        <v>3477</v>
      </c>
      <c r="J1144" s="385" t="s">
        <v>3476</v>
      </c>
      <c r="K1144" s="385" t="str">
        <f>VLOOKUP(Table13[[#This Row],[CD_FUNCAO]],'BASE_FUNCOES (hide)'!A:X,2,FALSE)</f>
        <v>Tipo Exame</v>
      </c>
    </row>
    <row r="1145" spans="1:11" hidden="1">
      <c r="A1145" s="385">
        <v>774</v>
      </c>
      <c r="B1145" s="385" t="s">
        <v>895</v>
      </c>
      <c r="C1145" s="385" t="s">
        <v>896</v>
      </c>
      <c r="D1145" s="385" t="s">
        <v>895</v>
      </c>
      <c r="E1145" s="385">
        <v>22</v>
      </c>
      <c r="F1145" s="385" t="s">
        <v>2783</v>
      </c>
      <c r="I1145" s="385" t="s">
        <v>3477</v>
      </c>
      <c r="J1145" s="385" t="s">
        <v>3476</v>
      </c>
      <c r="K1145" s="385" t="str">
        <f>VLOOKUP(Table13[[#This Row],[CD_FUNCAO]],'BASE_FUNCOES (hide)'!A:X,2,FALSE)</f>
        <v>EIS Diagnóstico</v>
      </c>
    </row>
    <row r="1146" spans="1:11" hidden="1">
      <c r="A1146" s="385">
        <v>758</v>
      </c>
      <c r="B1146" s="385" t="s">
        <v>897</v>
      </c>
      <c r="C1146" s="385" t="s">
        <v>898</v>
      </c>
      <c r="D1146" s="385" t="s">
        <v>898</v>
      </c>
      <c r="E1146" s="385">
        <v>22</v>
      </c>
      <c r="F1146" s="385" t="s">
        <v>2783</v>
      </c>
      <c r="I1146" s="385" t="s">
        <v>3477</v>
      </c>
      <c r="J1146" s="385" t="s">
        <v>3476</v>
      </c>
      <c r="K1146" s="385" t="str">
        <f>VLOOKUP(Table13[[#This Row],[CD_FUNCAO]],'BASE_FUNCOES (hide)'!A:X,2,FALSE)</f>
        <v>Plano</v>
      </c>
    </row>
    <row r="1147" spans="1:11" hidden="1">
      <c r="A1147" s="385">
        <v>764</v>
      </c>
      <c r="B1147" s="385" t="s">
        <v>899</v>
      </c>
      <c r="C1147" s="385" t="s">
        <v>900</v>
      </c>
      <c r="D1147" s="385" t="s">
        <v>899</v>
      </c>
      <c r="E1147" s="385">
        <v>22</v>
      </c>
      <c r="F1147" s="385" t="s">
        <v>2783</v>
      </c>
      <c r="I1147" s="385" t="s">
        <v>3477</v>
      </c>
      <c r="J1147" s="385" t="s">
        <v>3476</v>
      </c>
      <c r="K1147" s="385" t="str">
        <f>VLOOKUP(Table13[[#This Row],[CD_FUNCAO]],'BASE_FUNCOES (hide)'!A:X,2,FALSE)</f>
        <v>Editor Texto</v>
      </c>
    </row>
    <row r="1148" spans="1:11" hidden="1">
      <c r="A1148" s="385">
        <v>750</v>
      </c>
      <c r="B1148" s="385" t="s">
        <v>827</v>
      </c>
      <c r="C1148" s="385" t="s">
        <v>828</v>
      </c>
      <c r="D1148" s="385" t="s">
        <v>827</v>
      </c>
      <c r="E1148" s="385">
        <v>22</v>
      </c>
      <c r="F1148" s="385" t="s">
        <v>2783</v>
      </c>
      <c r="I1148" s="385" t="s">
        <v>3477</v>
      </c>
      <c r="K1148" s="385" t="str">
        <f>VLOOKUP(Table13[[#This Row],[CD_FUNCAO]],'BASE_FUNCOES (hide)'!A:X,2,FALSE)</f>
        <v>Médico</v>
      </c>
    </row>
    <row r="1149" spans="1:11" hidden="1">
      <c r="A1149" s="385">
        <v>784</v>
      </c>
      <c r="B1149" s="385" t="s">
        <v>829</v>
      </c>
      <c r="C1149" s="385" t="s">
        <v>830</v>
      </c>
      <c r="D1149" s="385" t="s">
        <v>831</v>
      </c>
      <c r="E1149" s="385">
        <v>22</v>
      </c>
      <c r="F1149" s="385" t="s">
        <v>2783</v>
      </c>
      <c r="I1149" s="385" t="s">
        <v>3477</v>
      </c>
      <c r="J1149" s="385" t="s">
        <v>3476</v>
      </c>
      <c r="K1149" s="385" t="str">
        <f>VLOOKUP(Table13[[#This Row],[CD_FUNCAO]],'BASE_FUNCOES (hide)'!A:X,2,FALSE)</f>
        <v>Exportação</v>
      </c>
    </row>
    <row r="1150" spans="1:11" hidden="1">
      <c r="A1150" s="385">
        <v>1950</v>
      </c>
      <c r="B1150" s="385" t="s">
        <v>30</v>
      </c>
      <c r="C1150" s="385" t="s">
        <v>910</v>
      </c>
      <c r="D1150" s="385" t="s">
        <v>911</v>
      </c>
      <c r="E1150" s="385">
        <v>23</v>
      </c>
      <c r="F1150" s="385" t="s">
        <v>7</v>
      </c>
      <c r="I1150" s="385" t="s">
        <v>3477</v>
      </c>
      <c r="J1150" s="385" t="s">
        <v>3476</v>
      </c>
      <c r="K1150" s="385" t="str">
        <f>VLOOKUP(Table13[[#This Row],[CD_FUNCAO]],'BASE_FUNCOES (hide)'!A:X,2,FALSE)</f>
        <v>Gestão das Amostras</v>
      </c>
    </row>
    <row r="1151" spans="1:11" hidden="1">
      <c r="A1151" s="385">
        <v>-11</v>
      </c>
      <c r="B1151" s="385" t="s">
        <v>903</v>
      </c>
      <c r="C1151" s="385" t="s">
        <v>904</v>
      </c>
      <c r="D1151" s="385" t="s">
        <v>905</v>
      </c>
      <c r="E1151" s="385">
        <v>23</v>
      </c>
      <c r="F1151" s="385" t="s">
        <v>7</v>
      </c>
      <c r="I1151" s="385" t="s">
        <v>3477</v>
      </c>
      <c r="J1151" s="385" t="s">
        <v>3476</v>
      </c>
      <c r="K1151" s="385" t="str">
        <f>VLOOKUP(Table13[[#This Row],[CD_FUNCAO]],'BASE_FUNCOES (hide)'!A:X,2,FALSE)</f>
        <v>Localizador de Exames</v>
      </c>
    </row>
    <row r="1152" spans="1:11" hidden="1">
      <c r="A1152" s="385">
        <v>-2265</v>
      </c>
      <c r="B1152" s="385" t="s">
        <v>337</v>
      </c>
      <c r="C1152" s="385" t="s">
        <v>922</v>
      </c>
      <c r="D1152" s="385" t="s">
        <v>923</v>
      </c>
      <c r="E1152" s="385">
        <v>23</v>
      </c>
      <c r="F1152" s="385" t="s">
        <v>7</v>
      </c>
      <c r="I1152" s="385" t="s">
        <v>3477</v>
      </c>
      <c r="J1152" s="385" t="s">
        <v>3477</v>
      </c>
      <c r="K1152" s="385" t="str">
        <f>VLOOKUP(Table13[[#This Row],[CD_FUNCAO]],'BASE_FUNCOES (hide)'!A:X,2,FALSE)</f>
        <v>Contador de células de sangue</v>
      </c>
    </row>
    <row r="1153" spans="1:11" hidden="1">
      <c r="A1153" s="385">
        <v>10209</v>
      </c>
      <c r="B1153" s="385" t="s">
        <v>374</v>
      </c>
      <c r="C1153" s="385" t="s">
        <v>1384</v>
      </c>
      <c r="D1153" s="385" t="s">
        <v>1385</v>
      </c>
      <c r="E1153" s="385">
        <v>23</v>
      </c>
      <c r="F1153" s="385" t="s">
        <v>7</v>
      </c>
      <c r="I1153" s="385" t="s">
        <v>3477</v>
      </c>
      <c r="J1153" s="385" t="s">
        <v>3476</v>
      </c>
      <c r="K1153" s="385" t="str">
        <f>VLOOKUP(Table13[[#This Row],[CD_FUNCAO]],'BASE_FUNCOES (hide)'!A:X,2,FALSE)</f>
        <v>Impressão de Mapa de Exames Laboratoriais</v>
      </c>
    </row>
    <row r="1154" spans="1:11" hidden="1">
      <c r="A1154" s="385">
        <v>10210</v>
      </c>
      <c r="B1154" s="385" t="s">
        <v>389</v>
      </c>
      <c r="C1154" s="385" t="s">
        <v>1374</v>
      </c>
      <c r="D1154" s="385" t="s">
        <v>1375</v>
      </c>
      <c r="E1154" s="385">
        <v>23</v>
      </c>
      <c r="F1154" s="385" t="s">
        <v>7</v>
      </c>
      <c r="I1154" s="385" t="s">
        <v>3477</v>
      </c>
      <c r="J1154" s="385" t="s">
        <v>3476</v>
      </c>
      <c r="K1154" s="385" t="str">
        <f>VLOOKUP(Table13[[#This Row],[CD_FUNCAO]],'BASE_FUNCOES (hide)'!A:X,2,FALSE)</f>
        <v>Painel de Informações Laboratoriais</v>
      </c>
    </row>
    <row r="1155" spans="1:11" hidden="1">
      <c r="A1155" s="385">
        <v>99022</v>
      </c>
      <c r="B1155" s="385" t="s">
        <v>924</v>
      </c>
      <c r="C1155" s="385" t="s">
        <v>925</v>
      </c>
      <c r="D1155" s="385" t="s">
        <v>926</v>
      </c>
      <c r="E1155" s="385">
        <v>23</v>
      </c>
      <c r="F1155" s="385" t="s">
        <v>7</v>
      </c>
      <c r="I1155" s="385" t="s">
        <v>3477</v>
      </c>
      <c r="J1155" s="385" t="s">
        <v>3476</v>
      </c>
      <c r="K1155" s="385" t="str">
        <f>VLOOKUP(Table13[[#This Row],[CD_FUNCAO]],'BASE_FUNCOES (hide)'!A:X,2,FALSE)</f>
        <v>Interfaceamento de Laboratório</v>
      </c>
    </row>
    <row r="1156" spans="1:11">
      <c r="A1156" s="385">
        <v>2709</v>
      </c>
      <c r="B1156" s="385" t="s">
        <v>3495</v>
      </c>
      <c r="C1156" s="385" t="s">
        <v>3496</v>
      </c>
      <c r="D1156" s="385" t="s">
        <v>3495</v>
      </c>
      <c r="E1156" s="385">
        <v>944</v>
      </c>
      <c r="F1156" s="385" t="s">
        <v>3086</v>
      </c>
      <c r="I1156" s="385" t="s">
        <v>3488</v>
      </c>
      <c r="J1156" s="385" t="s">
        <v>3477</v>
      </c>
      <c r="K1156" s="385" t="e">
        <f>VLOOKUP(Table13[[#This Row],[CD_FUNCAO]],'BASE_FUNCOES (hide)'!A:X,2,FALSE)</f>
        <v>#N/A</v>
      </c>
    </row>
    <row r="1157" spans="1:11" hidden="1">
      <c r="A1157" s="385">
        <v>746</v>
      </c>
      <c r="B1157" s="385" t="s">
        <v>36</v>
      </c>
      <c r="C1157" s="385" t="s">
        <v>918</v>
      </c>
      <c r="D1157" s="385" t="s">
        <v>919</v>
      </c>
      <c r="E1157" s="385">
        <v>23</v>
      </c>
      <c r="F1157" s="385" t="s">
        <v>7</v>
      </c>
      <c r="I1157" s="385" t="s">
        <v>3477</v>
      </c>
      <c r="J1157" s="385" t="s">
        <v>3476</v>
      </c>
      <c r="K1157" s="385" t="str">
        <f>VLOOKUP(Table13[[#This Row],[CD_FUNCAO]],'BASE_FUNCOES (hide)'!A:X,2,FALSE)</f>
        <v>Exames de Laboratório</v>
      </c>
    </row>
    <row r="1158" spans="1:11" hidden="1">
      <c r="A1158" s="385">
        <v>7012</v>
      </c>
      <c r="B1158" s="385" t="s">
        <v>912</v>
      </c>
      <c r="C1158" s="385" t="s">
        <v>913</v>
      </c>
      <c r="D1158" s="385" t="s">
        <v>914</v>
      </c>
      <c r="E1158" s="385">
        <v>23</v>
      </c>
      <c r="F1158" s="385" t="s">
        <v>7</v>
      </c>
      <c r="I1158" s="385" t="s">
        <v>3477</v>
      </c>
      <c r="J1158" s="385" t="s">
        <v>3476</v>
      </c>
      <c r="K1158" s="385" t="str">
        <f>VLOOKUP(Table13[[#This Row],[CD_FUNCAO]],'BASE_FUNCOES (hide)'!A:X,2,FALSE)</f>
        <v>Digitação de Resultado de Exames Laboratoriais Externos</v>
      </c>
    </row>
    <row r="1159" spans="1:11" hidden="1">
      <c r="A1159" s="385">
        <v>718</v>
      </c>
      <c r="B1159" s="385" t="s">
        <v>40</v>
      </c>
      <c r="C1159" s="385" t="s">
        <v>916</v>
      </c>
      <c r="D1159" s="385" t="s">
        <v>917</v>
      </c>
      <c r="E1159" s="385">
        <v>23</v>
      </c>
      <c r="F1159" s="385" t="s">
        <v>7</v>
      </c>
      <c r="I1159" s="385" t="s">
        <v>3477</v>
      </c>
      <c r="J1159" s="385" t="s">
        <v>3476</v>
      </c>
      <c r="K1159" s="385" t="str">
        <f>VLOOKUP(Table13[[#This Row],[CD_FUNCAO]],'BASE_FUNCOES (hide)'!A:X,2,FALSE)</f>
        <v>Lote de Exames Externos</v>
      </c>
    </row>
    <row r="1160" spans="1:11" hidden="1">
      <c r="A1160" s="385">
        <v>9032</v>
      </c>
      <c r="B1160" s="385" t="s">
        <v>334</v>
      </c>
      <c r="C1160" s="385" t="s">
        <v>906</v>
      </c>
      <c r="D1160" s="385" t="s">
        <v>907</v>
      </c>
      <c r="E1160" s="385">
        <v>23</v>
      </c>
      <c r="F1160" s="385" t="s">
        <v>7</v>
      </c>
      <c r="I1160" s="385" t="s">
        <v>3477</v>
      </c>
      <c r="J1160" s="385" t="s">
        <v>3476</v>
      </c>
      <c r="K1160" s="385" t="str">
        <f>VLOOKUP(Table13[[#This Row],[CD_FUNCAO]],'BASE_FUNCOES (hide)'!A:X,2,FALSE)</f>
        <v>Consulta de Exames do Paciente</v>
      </c>
    </row>
    <row r="1161" spans="1:11">
      <c r="A1161" s="385">
        <v>2711</v>
      </c>
      <c r="B1161" s="385" t="s">
        <v>3494</v>
      </c>
      <c r="C1161" s="385" t="s">
        <v>3493</v>
      </c>
      <c r="D1161" s="385" t="s">
        <v>3492</v>
      </c>
      <c r="E1161" s="385">
        <v>944</v>
      </c>
      <c r="F1161" s="385" t="s">
        <v>3086</v>
      </c>
      <c r="I1161" s="385" t="s">
        <v>3488</v>
      </c>
      <c r="J1161" s="385" t="s">
        <v>3477</v>
      </c>
      <c r="K1161" s="385" t="e">
        <f>VLOOKUP(Table13[[#This Row],[CD_FUNCAO]],'BASE_FUNCOES (hide)'!A:X,2,FALSE)</f>
        <v>#N/A</v>
      </c>
    </row>
    <row r="1162" spans="1:11" hidden="1">
      <c r="A1162" s="385">
        <v>9048</v>
      </c>
      <c r="B1162" s="385" t="s">
        <v>41</v>
      </c>
      <c r="C1162" s="385" t="s">
        <v>4020</v>
      </c>
      <c r="D1162" s="385" t="s">
        <v>4019</v>
      </c>
      <c r="E1162" s="385">
        <v>23</v>
      </c>
      <c r="F1162" s="385" t="s">
        <v>7</v>
      </c>
      <c r="I1162" s="385" t="s">
        <v>3477</v>
      </c>
      <c r="J1162" s="385" t="s">
        <v>3476</v>
      </c>
      <c r="K1162" s="385" t="str">
        <f>VLOOKUP(Table13[[#This Row],[CD_FUNCAO]],'BASE_FUNCOES (hide)'!A:X,2,FALSE)</f>
        <v>Painel de chamadas do laboratório</v>
      </c>
    </row>
    <row r="1163" spans="1:11" hidden="1">
      <c r="A1163" s="385">
        <v>56</v>
      </c>
      <c r="B1163" s="385" t="s">
        <v>234</v>
      </c>
      <c r="C1163" s="385" t="s">
        <v>927</v>
      </c>
      <c r="D1163" s="385" t="s">
        <v>928</v>
      </c>
      <c r="E1163" s="385">
        <v>23</v>
      </c>
      <c r="F1163" s="385" t="s">
        <v>7</v>
      </c>
      <c r="I1163" s="385" t="s">
        <v>3477</v>
      </c>
      <c r="J1163" s="385" t="s">
        <v>3476</v>
      </c>
      <c r="K1163" s="385" t="str">
        <f>VLOOKUP(Table13[[#This Row],[CD_FUNCAO]],'BASE_FUNCOES (hide)'!A:X,2,FALSE)</f>
        <v>Emissão de Exames do Laboratório</v>
      </c>
    </row>
    <row r="1164" spans="1:11">
      <c r="A1164" s="385">
        <v>2713</v>
      </c>
      <c r="B1164" s="385" t="s">
        <v>3491</v>
      </c>
      <c r="C1164" s="385" t="s">
        <v>3490</v>
      </c>
      <c r="D1164" s="385" t="s">
        <v>3489</v>
      </c>
      <c r="E1164" s="385">
        <v>944</v>
      </c>
      <c r="F1164" s="385" t="s">
        <v>3086</v>
      </c>
      <c r="I1164" s="385" t="s">
        <v>3488</v>
      </c>
      <c r="J1164" s="385" t="s">
        <v>3477</v>
      </c>
      <c r="K1164" s="385" t="e">
        <f>VLOOKUP(Table13[[#This Row],[CD_FUNCAO]],'BASE_FUNCOES (hide)'!A:X,2,FALSE)</f>
        <v>#N/A</v>
      </c>
    </row>
    <row r="1165" spans="1:11" hidden="1">
      <c r="A1165" s="385">
        <v>725</v>
      </c>
      <c r="B1165" s="385" t="s">
        <v>39</v>
      </c>
      <c r="C1165" s="385" t="s">
        <v>929</v>
      </c>
      <c r="D1165" s="385" t="s">
        <v>930</v>
      </c>
      <c r="E1165" s="385">
        <v>23</v>
      </c>
      <c r="F1165" s="385" t="s">
        <v>7</v>
      </c>
      <c r="I1165" s="385" t="s">
        <v>3477</v>
      </c>
      <c r="J1165" s="385" t="s">
        <v>3476</v>
      </c>
      <c r="K1165" s="385" t="str">
        <f>VLOOKUP(Table13[[#This Row],[CD_FUNCAO]],'BASE_FUNCOES (hide)'!A:X,2,FALSE)</f>
        <v>Lote de Exame</v>
      </c>
    </row>
    <row r="1166" spans="1:11" hidden="1">
      <c r="A1166" s="385">
        <v>719</v>
      </c>
      <c r="B1166" s="385" t="s">
        <v>38</v>
      </c>
      <c r="C1166" s="385" t="s">
        <v>931</v>
      </c>
      <c r="D1166" s="385" t="s">
        <v>932</v>
      </c>
      <c r="E1166" s="385">
        <v>23</v>
      </c>
      <c r="F1166" s="385" t="s">
        <v>7</v>
      </c>
      <c r="I1166" s="385" t="s">
        <v>3477</v>
      </c>
      <c r="J1166" s="385" t="s">
        <v>3476</v>
      </c>
      <c r="K1166" s="385" t="str">
        <f>VLOOKUP(Table13[[#This Row],[CD_FUNCAO]],'BASE_FUNCOES (hide)'!A:X,2,FALSE)</f>
        <v>Interface Laboratório</v>
      </c>
    </row>
    <row r="1167" spans="1:11" hidden="1">
      <c r="A1167" s="385">
        <v>722</v>
      </c>
      <c r="B1167" s="385" t="s">
        <v>37</v>
      </c>
      <c r="C1167" s="385" t="s">
        <v>933</v>
      </c>
      <c r="D1167" s="385" t="s">
        <v>934</v>
      </c>
      <c r="E1167" s="385">
        <v>23</v>
      </c>
      <c r="F1167" s="385" t="s">
        <v>7</v>
      </c>
      <c r="I1167" s="385" t="s">
        <v>3477</v>
      </c>
      <c r="J1167" s="385" t="s">
        <v>3476</v>
      </c>
      <c r="K1167" s="385" t="str">
        <f>VLOOKUP(Table13[[#This Row],[CD_FUNCAO]],'BASE_FUNCOES (hide)'!A:X,2,FALSE)</f>
        <v>Exames Pendentes</v>
      </c>
    </row>
    <row r="1168" spans="1:11" hidden="1">
      <c r="A1168" s="385">
        <v>723</v>
      </c>
      <c r="B1168" s="385" t="s">
        <v>233</v>
      </c>
      <c r="C1168" s="385" t="s">
        <v>4015</v>
      </c>
      <c r="D1168" s="385" t="s">
        <v>902</v>
      </c>
      <c r="E1168" s="385">
        <v>23</v>
      </c>
      <c r="F1168" s="385" t="s">
        <v>7</v>
      </c>
      <c r="I1168" s="385" t="s">
        <v>3477</v>
      </c>
      <c r="J1168" s="385" t="s">
        <v>3476</v>
      </c>
      <c r="K1168" s="385" t="str">
        <f>VLOOKUP(Table13[[#This Row],[CD_FUNCAO]],'BASE_FUNCOES (hide)'!A:X,2,FALSE)</f>
        <v>Consulta de Exames</v>
      </c>
    </row>
    <row r="1169" spans="1:11" hidden="1">
      <c r="A1169" s="385">
        <v>7008</v>
      </c>
      <c r="B1169" s="385" t="s">
        <v>35</v>
      </c>
      <c r="C1169" s="385" t="s">
        <v>915</v>
      </c>
      <c r="D1169" s="385" t="s">
        <v>35</v>
      </c>
      <c r="E1169" s="385">
        <v>23</v>
      </c>
      <c r="F1169" s="385" t="s">
        <v>7</v>
      </c>
      <c r="I1169" s="385" t="s">
        <v>3488</v>
      </c>
      <c r="J1169" s="385" t="s">
        <v>3476</v>
      </c>
      <c r="K1169" s="385" t="str">
        <f>VLOOKUP(Table13[[#This Row],[CD_FUNCAO]],'BASE_FUNCOES (hide)'!A:X,2,FALSE)</f>
        <v>Consulta de Resultados</v>
      </c>
    </row>
    <row r="1170" spans="1:11" hidden="1">
      <c r="A1170" s="385">
        <v>450</v>
      </c>
      <c r="B1170" s="385" t="s">
        <v>236</v>
      </c>
      <c r="C1170" s="385" t="s">
        <v>4014</v>
      </c>
      <c r="D1170" s="385" t="s">
        <v>936</v>
      </c>
      <c r="E1170" s="385">
        <v>24</v>
      </c>
      <c r="F1170" s="385" t="s">
        <v>235</v>
      </c>
      <c r="I1170" s="385" t="s">
        <v>3477</v>
      </c>
      <c r="J1170" s="385" t="s">
        <v>3476</v>
      </c>
      <c r="K1170" s="385" t="str">
        <f>VLOOKUP(Table13[[#This Row],[CD_FUNCAO]],'BASE_FUNCOES (hide)'!A:X,2,FALSE)</f>
        <v>Hemoterapia</v>
      </c>
    </row>
    <row r="1171" spans="1:11" hidden="1">
      <c r="A1171" s="385">
        <v>10055</v>
      </c>
      <c r="B1171" s="385" t="s">
        <v>947</v>
      </c>
      <c r="C1171" s="385" t="s">
        <v>948</v>
      </c>
      <c r="D1171" s="385" t="s">
        <v>949</v>
      </c>
      <c r="E1171" s="385">
        <v>26</v>
      </c>
      <c r="F1171" s="385" t="s">
        <v>237</v>
      </c>
      <c r="I1171" s="385" t="s">
        <v>3477</v>
      </c>
      <c r="J1171" s="385" t="s">
        <v>3476</v>
      </c>
      <c r="K1171" s="385" t="str">
        <f>VLOOKUP(Table13[[#This Row],[CD_FUNCAO]],'BASE_FUNCOES (hide)'!A:X,2,FALSE)</f>
        <v>Controle Eletrônico dos Processos Assistenciais - CLEPA</v>
      </c>
    </row>
    <row r="1172" spans="1:11" hidden="1">
      <c r="A1172" s="385">
        <v>872</v>
      </c>
      <c r="B1172" s="385" t="s">
        <v>244</v>
      </c>
      <c r="C1172" s="385" t="s">
        <v>944</v>
      </c>
      <c r="D1172" s="385" t="s">
        <v>945</v>
      </c>
      <c r="E1172" s="385">
        <v>26</v>
      </c>
      <c r="F1172" s="385" t="s">
        <v>237</v>
      </c>
      <c r="I1172" s="385" t="s">
        <v>3477</v>
      </c>
      <c r="J1172" s="385" t="s">
        <v>3476</v>
      </c>
      <c r="K1172" s="385" t="str">
        <f>VLOOKUP(Table13[[#This Row],[CD_FUNCAO]],'BASE_FUNCOES (hide)'!A:X,2,FALSE)</f>
        <v>Prontuário Eletrônico Peroperatório - PEPO</v>
      </c>
    </row>
    <row r="1173" spans="1:11" hidden="1">
      <c r="A1173" s="385">
        <v>874</v>
      </c>
      <c r="B1173" s="385" t="s">
        <v>238</v>
      </c>
      <c r="C1173" s="385" t="s">
        <v>1858</v>
      </c>
      <c r="D1173" s="385" t="s">
        <v>946</v>
      </c>
      <c r="E1173" s="385">
        <v>26</v>
      </c>
      <c r="F1173" s="385" t="s">
        <v>237</v>
      </c>
      <c r="I1173" s="385" t="s">
        <v>3477</v>
      </c>
      <c r="J1173" s="385" t="s">
        <v>3476</v>
      </c>
      <c r="K1173" s="385" t="str">
        <f>VLOOKUP(Table13[[#This Row],[CD_FUNCAO]],'BASE_FUNCOES (hide)'!A:X,2,FALSE)</f>
        <v>Avaliação pré-anestésica eletrônica - APAE</v>
      </c>
    </row>
    <row r="1174" spans="1:11" hidden="1">
      <c r="A1174" s="385">
        <v>326</v>
      </c>
      <c r="B1174" s="385" t="s">
        <v>1673</v>
      </c>
      <c r="C1174" s="385" t="s">
        <v>1674</v>
      </c>
      <c r="D1174" s="385" t="s">
        <v>4013</v>
      </c>
      <c r="E1174" s="385">
        <v>26</v>
      </c>
      <c r="F1174" s="385" t="s">
        <v>237</v>
      </c>
      <c r="I1174" s="385" t="s">
        <v>3477</v>
      </c>
      <c r="J1174" s="385" t="s">
        <v>3476</v>
      </c>
      <c r="K1174" s="385" t="str">
        <f>VLOOKUP(Table13[[#This Row],[CD_FUNCAO]],'BASE_FUNCOES (hide)'!A:X,2,FALSE)</f>
        <v>Rel. Mat/Med Consumidos por Cirurgia</v>
      </c>
    </row>
    <row r="1175" spans="1:11" hidden="1">
      <c r="A1175" s="385">
        <v>900</v>
      </c>
      <c r="B1175" s="385" t="s">
        <v>243</v>
      </c>
      <c r="C1175" s="385" t="s">
        <v>940</v>
      </c>
      <c r="D1175" s="385" t="s">
        <v>941</v>
      </c>
      <c r="E1175" s="385">
        <v>26</v>
      </c>
      <c r="F1175" s="385" t="s">
        <v>237</v>
      </c>
      <c r="I1175" s="385" t="s">
        <v>3477</v>
      </c>
      <c r="J1175" s="385" t="s">
        <v>3476</v>
      </c>
      <c r="K1175" s="385" t="str">
        <f>VLOOKUP(Table13[[#This Row],[CD_FUNCAO]],'BASE_FUNCOES (hide)'!A:X,2,FALSE)</f>
        <v>Gestão de Cirurgias</v>
      </c>
    </row>
    <row r="1176" spans="1:11">
      <c r="A1176" s="385">
        <v>3002</v>
      </c>
      <c r="B1176" s="385" t="s">
        <v>3948</v>
      </c>
      <c r="C1176" s="385" t="s">
        <v>3947</v>
      </c>
      <c r="D1176" s="385" t="s">
        <v>3946</v>
      </c>
      <c r="E1176" s="385">
        <v>36</v>
      </c>
      <c r="F1176" s="385" t="s">
        <v>250</v>
      </c>
      <c r="I1176" s="385" t="s">
        <v>3488</v>
      </c>
      <c r="J1176" s="385" t="s">
        <v>3477</v>
      </c>
      <c r="K1176" s="385" t="e">
        <f>VLOOKUP(Table13[[#This Row],[CD_FUNCAO]],'BASE_FUNCOES (hide)'!A:X,2,FALSE)</f>
        <v>#N/A</v>
      </c>
    </row>
    <row r="1177" spans="1:11" hidden="1">
      <c r="A1177" s="385">
        <v>8010</v>
      </c>
      <c r="B1177" s="385" t="s">
        <v>242</v>
      </c>
      <c r="C1177" s="385" t="s">
        <v>937</v>
      </c>
      <c r="D1177" s="385" t="s">
        <v>938</v>
      </c>
      <c r="E1177" s="385">
        <v>26</v>
      </c>
      <c r="F1177" s="385" t="s">
        <v>237</v>
      </c>
      <c r="I1177" s="385" t="s">
        <v>3477</v>
      </c>
      <c r="J1177" s="385" t="s">
        <v>3476</v>
      </c>
      <c r="K1177" s="385" t="str">
        <f>VLOOKUP(Table13[[#This Row],[CD_FUNCAO]],'BASE_FUNCOES (hide)'!A:X,2,FALSE)</f>
        <v>Gestão da Escala de Anestesistas</v>
      </c>
    </row>
    <row r="1178" spans="1:11" hidden="1">
      <c r="A1178" s="385">
        <v>160</v>
      </c>
      <c r="B1178" s="385" t="s">
        <v>1859</v>
      </c>
      <c r="C1178" s="385" t="s">
        <v>1860</v>
      </c>
      <c r="D1178" s="385" t="s">
        <v>1861</v>
      </c>
      <c r="E1178" s="385">
        <v>26</v>
      </c>
      <c r="F1178" s="385" t="s">
        <v>237</v>
      </c>
      <c r="I1178" s="385" t="s">
        <v>3477</v>
      </c>
      <c r="J1178" s="385" t="s">
        <v>3476</v>
      </c>
      <c r="K1178" s="385" t="str">
        <f>VLOOKUP(Table13[[#This Row],[CD_FUNCAO]],'BASE_FUNCOES (hide)'!A:X,2,FALSE)</f>
        <v>Rel Estatísticas de Cirurgias</v>
      </c>
    </row>
    <row r="1179" spans="1:11" hidden="1">
      <c r="A1179" s="385">
        <v>10026</v>
      </c>
      <c r="B1179" s="385" t="s">
        <v>241</v>
      </c>
      <c r="C1179" s="385" t="s">
        <v>942</v>
      </c>
      <c r="D1179" s="385" t="s">
        <v>4009</v>
      </c>
      <c r="E1179" s="385">
        <v>26</v>
      </c>
      <c r="F1179" s="385" t="s">
        <v>237</v>
      </c>
      <c r="I1179" s="385" t="s">
        <v>3477</v>
      </c>
      <c r="J1179" s="385" t="s">
        <v>3476</v>
      </c>
      <c r="K1179" s="385" t="str">
        <f>VLOOKUP(Table13[[#This Row],[CD_FUNCAO]],'BASE_FUNCOES (hide)'!A:X,2,FALSE)</f>
        <v>Ficha Anestésica Eletrônica do Paciente - FANEP</v>
      </c>
    </row>
    <row r="1180" spans="1:11" hidden="1">
      <c r="A1180" s="385">
        <v>931</v>
      </c>
      <c r="B1180" s="385" t="s">
        <v>240</v>
      </c>
      <c r="C1180" s="385" t="s">
        <v>950</v>
      </c>
      <c r="D1180" s="385" t="s">
        <v>951</v>
      </c>
      <c r="E1180" s="385">
        <v>26</v>
      </c>
      <c r="F1180" s="385" t="s">
        <v>237</v>
      </c>
      <c r="I1180" s="385" t="s">
        <v>3477</v>
      </c>
      <c r="J1180" s="385" t="s">
        <v>3476</v>
      </c>
      <c r="K1180" s="385" t="str">
        <f>VLOOKUP(Table13[[#This Row],[CD_FUNCAO]],'BASE_FUNCOES (hide)'!A:X,2,FALSE)</f>
        <v>Cirurgias - Relatório do Médico</v>
      </c>
    </row>
    <row r="1181" spans="1:11" hidden="1">
      <c r="A1181" s="385">
        <v>163</v>
      </c>
      <c r="B1181" s="385" t="s">
        <v>1709</v>
      </c>
      <c r="C1181" s="385" t="s">
        <v>4008</v>
      </c>
      <c r="D1181" s="385" t="s">
        <v>1711</v>
      </c>
      <c r="E1181" s="385">
        <v>26</v>
      </c>
      <c r="F1181" s="385" t="s">
        <v>237</v>
      </c>
      <c r="I1181" s="385" t="s">
        <v>3477</v>
      </c>
      <c r="J1181" s="385" t="s">
        <v>3476</v>
      </c>
      <c r="K1181" s="385" t="str">
        <f>VLOOKUP(Table13[[#This Row],[CD_FUNCAO]],'BASE_FUNCOES (hide)'!A:X,2,FALSE)</f>
        <v>Relação das cirurgias</v>
      </c>
    </row>
    <row r="1182" spans="1:11" hidden="1">
      <c r="A1182" s="385">
        <v>873</v>
      </c>
      <c r="B1182" s="385" t="s">
        <v>239</v>
      </c>
      <c r="C1182" s="385" t="s">
        <v>1857</v>
      </c>
      <c r="D1182" s="385" t="s">
        <v>4007</v>
      </c>
      <c r="E1182" s="385">
        <v>26</v>
      </c>
      <c r="F1182" s="385" t="s">
        <v>237</v>
      </c>
      <c r="I1182" s="385" t="s">
        <v>3477</v>
      </c>
      <c r="J1182" s="385" t="s">
        <v>3476</v>
      </c>
      <c r="K1182" s="385" t="str">
        <f>VLOOKUP(Table13[[#This Row],[CD_FUNCAO]],'BASE_FUNCOES (hide)'!A:X,2,FALSE)</f>
        <v>Cadastro dos Itens Peroperatórios</v>
      </c>
    </row>
    <row r="1183" spans="1:11">
      <c r="A1183" s="385">
        <v>3005</v>
      </c>
      <c r="B1183" s="385" t="s">
        <v>4863</v>
      </c>
      <c r="C1183" s="385" t="s">
        <v>4862</v>
      </c>
      <c r="D1183" s="385" t="s">
        <v>4861</v>
      </c>
      <c r="E1183" s="385">
        <v>283</v>
      </c>
      <c r="F1183" s="385" t="s">
        <v>4705</v>
      </c>
      <c r="G1183" s="385" t="s">
        <v>4704</v>
      </c>
      <c r="H1183" s="385" t="s">
        <v>4703</v>
      </c>
      <c r="I1183" s="385" t="s">
        <v>3488</v>
      </c>
      <c r="J1183" s="385" t="s">
        <v>3477</v>
      </c>
      <c r="K1183" s="385" t="e">
        <f>VLOOKUP(Table13[[#This Row],[CD_FUNCAO]],'BASE_FUNCOES (hide)'!A:X,2,FALSE)</f>
        <v>#N/A</v>
      </c>
    </row>
    <row r="1184" spans="1:11" hidden="1">
      <c r="A1184" s="385">
        <v>7053</v>
      </c>
      <c r="B1184" s="385" t="s">
        <v>1224</v>
      </c>
      <c r="C1184" s="385" t="s">
        <v>1225</v>
      </c>
      <c r="D1184" s="385" t="s">
        <v>1226</v>
      </c>
      <c r="E1184" s="385">
        <v>28</v>
      </c>
      <c r="F1184" s="385" t="s">
        <v>9</v>
      </c>
      <c r="G1184" s="385" t="s">
        <v>3989</v>
      </c>
      <c r="H1184" s="385" t="s">
        <v>955</v>
      </c>
      <c r="I1184" s="385" t="s">
        <v>3477</v>
      </c>
      <c r="J1184" s="385" t="s">
        <v>3476</v>
      </c>
      <c r="K1184" s="385" t="str">
        <f>VLOOKUP(Table13[[#This Row],[CD_FUNCAO]],'BASE_FUNCOES (hide)'!A:X,2,FALSE)</f>
        <v>Gestão de SPA (Solicitação de Providência Administrativa)</v>
      </c>
    </row>
    <row r="1185" spans="1:11" hidden="1">
      <c r="A1185" s="385">
        <v>5514</v>
      </c>
      <c r="B1185" s="385" t="s">
        <v>382</v>
      </c>
      <c r="C1185" s="385" t="s">
        <v>4003</v>
      </c>
      <c r="D1185" s="385" t="s">
        <v>4002</v>
      </c>
      <c r="E1185" s="385">
        <v>28</v>
      </c>
      <c r="F1185" s="385" t="s">
        <v>9</v>
      </c>
      <c r="G1185" s="385" t="s">
        <v>3989</v>
      </c>
      <c r="H1185" s="385" t="s">
        <v>955</v>
      </c>
      <c r="I1185" s="385" t="s">
        <v>3477</v>
      </c>
      <c r="J1185" s="385" t="s">
        <v>3477</v>
      </c>
      <c r="K1185" s="385" t="str">
        <f>VLOOKUP(Table13[[#This Row],[CD_FUNCAO]],'BASE_FUNCOES (hide)'!A:X,2,FALSE)</f>
        <v>Negociação de Contas a Receber</v>
      </c>
    </row>
    <row r="1186" spans="1:11" hidden="1">
      <c r="A1186" s="385">
        <v>5516</v>
      </c>
      <c r="B1186" s="385" t="s">
        <v>100</v>
      </c>
      <c r="C1186" s="385" t="s">
        <v>964</v>
      </c>
      <c r="D1186" s="385" t="s">
        <v>4001</v>
      </c>
      <c r="E1186" s="385">
        <v>28</v>
      </c>
      <c r="F1186" s="385" t="s">
        <v>9</v>
      </c>
      <c r="G1186" s="385" t="s">
        <v>3989</v>
      </c>
      <c r="H1186" s="385" t="s">
        <v>955</v>
      </c>
      <c r="I1186" s="385" t="s">
        <v>3477</v>
      </c>
      <c r="J1186" s="385" t="s">
        <v>3477</v>
      </c>
      <c r="K1186" s="385" t="str">
        <f>VLOOKUP(Table13[[#This Row],[CD_FUNCAO]],'BASE_FUNCOES (hide)'!A:X,2,FALSE)</f>
        <v>Parâmetros do Contas a Receber</v>
      </c>
    </row>
    <row r="1187" spans="1:11" hidden="1">
      <c r="A1187" s="385">
        <v>9053</v>
      </c>
      <c r="B1187" s="385" t="s">
        <v>400</v>
      </c>
      <c r="C1187" s="385" t="s">
        <v>1271</v>
      </c>
      <c r="D1187" s="385" t="s">
        <v>1272</v>
      </c>
      <c r="E1187" s="385">
        <v>28</v>
      </c>
      <c r="F1187" s="385" t="s">
        <v>9</v>
      </c>
      <c r="G1187" s="385" t="s">
        <v>3989</v>
      </c>
      <c r="H1187" s="385" t="s">
        <v>955</v>
      </c>
      <c r="I1187" s="385" t="s">
        <v>3477</v>
      </c>
      <c r="J1187" s="385" t="s">
        <v>3477</v>
      </c>
      <c r="K1187" s="385" t="str">
        <f>VLOOKUP(Table13[[#This Row],[CD_FUNCAO]],'BASE_FUNCOES (hide)'!A:X,2,FALSE)</f>
        <v>Registro de Cobrança</v>
      </c>
    </row>
    <row r="1188" spans="1:11">
      <c r="A1188" s="385">
        <v>3007</v>
      </c>
      <c r="B1188" s="385" t="s">
        <v>4326</v>
      </c>
      <c r="C1188" s="385" t="s">
        <v>4325</v>
      </c>
      <c r="D1188" s="385" t="s">
        <v>4324</v>
      </c>
      <c r="E1188" s="385">
        <v>90</v>
      </c>
      <c r="F1188" s="385" t="s">
        <v>287</v>
      </c>
      <c r="I1188" s="385" t="s">
        <v>3488</v>
      </c>
      <c r="K1188" s="385" t="e">
        <f>VLOOKUP(Table13[[#This Row],[CD_FUNCAO]],'BASE_FUNCOES (hide)'!A:X,2,FALSE)</f>
        <v>#N/A</v>
      </c>
    </row>
    <row r="1189" spans="1:11" hidden="1">
      <c r="A1189" s="385">
        <v>880</v>
      </c>
      <c r="B1189" s="385" t="s">
        <v>341</v>
      </c>
      <c r="C1189" s="385" t="s">
        <v>966</v>
      </c>
      <c r="D1189" s="385" t="s">
        <v>967</v>
      </c>
      <c r="E1189" s="385">
        <v>28</v>
      </c>
      <c r="F1189" s="385" t="s">
        <v>9</v>
      </c>
      <c r="G1189" s="385" t="s">
        <v>3989</v>
      </c>
      <c r="H1189" s="385" t="s">
        <v>955</v>
      </c>
      <c r="I1189" s="385" t="s">
        <v>3477</v>
      </c>
      <c r="J1189" s="385" t="s">
        <v>3477</v>
      </c>
      <c r="K1189" s="385" t="str">
        <f>VLOOKUP(Table13[[#This Row],[CD_FUNCAO]],'BASE_FUNCOES (hide)'!A:X,2,FALSE)</f>
        <v>Controle de Perdas do Contas a Receber</v>
      </c>
    </row>
    <row r="1190" spans="1:11" hidden="1">
      <c r="A1190" s="385">
        <v>334</v>
      </c>
      <c r="B1190" s="385" t="s">
        <v>3997</v>
      </c>
      <c r="C1190" s="385" t="s">
        <v>3996</v>
      </c>
      <c r="D1190" s="385" t="s">
        <v>3995</v>
      </c>
      <c r="E1190" s="385">
        <v>28</v>
      </c>
      <c r="F1190" s="385" t="s">
        <v>9</v>
      </c>
      <c r="G1190" s="385" t="s">
        <v>3989</v>
      </c>
      <c r="H1190" s="385" t="s">
        <v>955</v>
      </c>
      <c r="I1190" s="385" t="s">
        <v>3477</v>
      </c>
      <c r="J1190" s="385" t="s">
        <v>3477</v>
      </c>
      <c r="K1190" s="385" t="str">
        <f>VLOOKUP(Table13[[#This Row],[CD_FUNCAO]],'BASE_FUNCOES (hide)'!A:X,2,FALSE)</f>
        <v>Rel Títulos a Receber</v>
      </c>
    </row>
    <row r="1191" spans="1:11" hidden="1">
      <c r="A1191" s="385">
        <v>861</v>
      </c>
      <c r="B1191" s="385" t="s">
        <v>332</v>
      </c>
      <c r="C1191" s="385" t="s">
        <v>968</v>
      </c>
      <c r="D1191" s="385" t="s">
        <v>969</v>
      </c>
      <c r="E1191" s="385">
        <v>28</v>
      </c>
      <c r="F1191" s="385" t="s">
        <v>9</v>
      </c>
      <c r="G1191" s="385" t="s">
        <v>3989</v>
      </c>
      <c r="H1191" s="385" t="s">
        <v>955</v>
      </c>
      <c r="I1191" s="385" t="s">
        <v>3477</v>
      </c>
      <c r="J1191" s="385" t="s">
        <v>3477</v>
      </c>
      <c r="K1191" s="385" t="str">
        <f>VLOOKUP(Table13[[#This Row],[CD_FUNCAO]],'BASE_FUNCOES (hide)'!A:X,2,FALSE)</f>
        <v>Comunicação de Cobrança ao Paciente</v>
      </c>
    </row>
    <row r="1192" spans="1:11" hidden="1">
      <c r="A1192" s="385">
        <v>9930</v>
      </c>
      <c r="B1192" s="385" t="s">
        <v>346</v>
      </c>
      <c r="C1192" s="385" t="s">
        <v>970</v>
      </c>
      <c r="D1192" s="385" t="s">
        <v>971</v>
      </c>
      <c r="E1192" s="385">
        <v>28</v>
      </c>
      <c r="F1192" s="385" t="s">
        <v>9</v>
      </c>
      <c r="G1192" s="385" t="s">
        <v>3989</v>
      </c>
      <c r="H1192" s="385" t="s">
        <v>955</v>
      </c>
      <c r="I1192" s="385" t="s">
        <v>3477</v>
      </c>
      <c r="J1192" s="385" t="s">
        <v>3477</v>
      </c>
      <c r="K1192" s="385" t="str">
        <f>VLOOKUP(Table13[[#This Row],[CD_FUNCAO]],'BASE_FUNCOES (hide)'!A:X,2,FALSE)</f>
        <v>Distribuição de Receitas Bancárias</v>
      </c>
    </row>
    <row r="1193" spans="1:11" hidden="1">
      <c r="A1193" s="385">
        <v>835</v>
      </c>
      <c r="B1193" s="385" t="s">
        <v>1360</v>
      </c>
      <c r="C1193" s="385" t="s">
        <v>3994</v>
      </c>
      <c r="D1193" s="385" t="s">
        <v>1362</v>
      </c>
      <c r="E1193" s="385">
        <v>28</v>
      </c>
      <c r="F1193" s="385" t="s">
        <v>9</v>
      </c>
      <c r="G1193" s="385" t="s">
        <v>3989</v>
      </c>
      <c r="H1193" s="385" t="s">
        <v>955</v>
      </c>
      <c r="I1193" s="385" t="s">
        <v>3477</v>
      </c>
      <c r="J1193" s="385" t="s">
        <v>3477</v>
      </c>
      <c r="K1193" s="385" t="str">
        <f>VLOOKUP(Table13[[#This Row],[CD_FUNCAO]],'BASE_FUNCOES (hide)'!A:X,2,FALSE)</f>
        <v>Gestão de Envio ao Órgão de Cobrança</v>
      </c>
    </row>
    <row r="1194" spans="1:11" hidden="1">
      <c r="A1194" s="385">
        <v>-815</v>
      </c>
      <c r="B1194" s="385" t="s">
        <v>101</v>
      </c>
      <c r="C1194" s="385" t="s">
        <v>962</v>
      </c>
      <c r="D1194" s="385" t="s">
        <v>963</v>
      </c>
      <c r="E1194" s="385">
        <v>28</v>
      </c>
      <c r="F1194" s="385" t="s">
        <v>9</v>
      </c>
      <c r="G1194" s="385" t="s">
        <v>3989</v>
      </c>
      <c r="H1194" s="385" t="s">
        <v>955</v>
      </c>
      <c r="I1194" s="385" t="s">
        <v>3477</v>
      </c>
      <c r="J1194" s="385" t="s">
        <v>3476</v>
      </c>
      <c r="K1194" s="385" t="str">
        <f>VLOOKUP(Table13[[#This Row],[CD_FUNCAO]],'BASE_FUNCOES (hide)'!A:X,2,FALSE)</f>
        <v>Valores Pendentes</v>
      </c>
    </row>
    <row r="1195" spans="1:11" hidden="1">
      <c r="A1195" s="385">
        <v>859</v>
      </c>
      <c r="B1195" s="385" t="s">
        <v>95</v>
      </c>
      <c r="C1195" s="385" t="s">
        <v>958</v>
      </c>
      <c r="D1195" s="385" t="s">
        <v>959</v>
      </c>
      <c r="E1195" s="385">
        <v>28</v>
      </c>
      <c r="F1195" s="385" t="s">
        <v>9</v>
      </c>
      <c r="G1195" s="385" t="s">
        <v>3989</v>
      </c>
      <c r="H1195" s="385" t="s">
        <v>955</v>
      </c>
      <c r="I1195" s="385" t="s">
        <v>3477</v>
      </c>
      <c r="J1195" s="385" t="s">
        <v>3477</v>
      </c>
      <c r="K1195" s="385" t="str">
        <f>VLOOKUP(Table13[[#This Row],[CD_FUNCAO]],'BASE_FUNCOES (hide)'!A:X,2,FALSE)</f>
        <v>Consulta de Títulos a Receber</v>
      </c>
    </row>
    <row r="1196" spans="1:11" hidden="1">
      <c r="A1196" s="385">
        <v>5512</v>
      </c>
      <c r="B1196" s="385" t="s">
        <v>98</v>
      </c>
      <c r="C1196" s="385" t="s">
        <v>3993</v>
      </c>
      <c r="D1196" s="385" t="s">
        <v>961</v>
      </c>
      <c r="E1196" s="385">
        <v>28</v>
      </c>
      <c r="F1196" s="385" t="s">
        <v>9</v>
      </c>
      <c r="G1196" s="385" t="s">
        <v>3989</v>
      </c>
      <c r="H1196" s="385" t="s">
        <v>955</v>
      </c>
      <c r="I1196" s="385" t="s">
        <v>3477</v>
      </c>
      <c r="J1196" s="385" t="s">
        <v>3476</v>
      </c>
      <c r="K1196" s="385" t="str">
        <f>VLOOKUP(Table13[[#This Row],[CD_FUNCAO]],'BASE_FUNCOES (hide)'!A:X,2,FALSE)</f>
        <v>Ficha Financeira</v>
      </c>
    </row>
    <row r="1197" spans="1:11" hidden="1">
      <c r="A1197" s="385">
        <v>811</v>
      </c>
      <c r="B1197" s="385" t="s">
        <v>96</v>
      </c>
      <c r="C1197" s="385" t="s">
        <v>981</v>
      </c>
      <c r="D1197" s="385" t="s">
        <v>982</v>
      </c>
      <c r="E1197" s="385">
        <v>28</v>
      </c>
      <c r="F1197" s="385" t="s">
        <v>9</v>
      </c>
      <c r="G1197" s="385" t="s">
        <v>3989</v>
      </c>
      <c r="H1197" s="385" t="s">
        <v>955</v>
      </c>
      <c r="I1197" s="385" t="s">
        <v>3477</v>
      </c>
      <c r="J1197" s="385" t="s">
        <v>3476</v>
      </c>
      <c r="K1197" s="385" t="str">
        <f>VLOOKUP(Table13[[#This Row],[CD_FUNCAO]],'BASE_FUNCOES (hide)'!A:X,2,FALSE)</f>
        <v>Controle de Contribuições</v>
      </c>
    </row>
    <row r="1198" spans="1:11" hidden="1">
      <c r="A1198" s="385">
        <v>809</v>
      </c>
      <c r="B1198" s="385" t="s">
        <v>974</v>
      </c>
      <c r="C1198" s="385" t="s">
        <v>3992</v>
      </c>
      <c r="D1198" s="385" t="s">
        <v>3991</v>
      </c>
      <c r="E1198" s="385">
        <v>28</v>
      </c>
      <c r="F1198" s="385" t="s">
        <v>9</v>
      </c>
      <c r="G1198" s="385" t="s">
        <v>3989</v>
      </c>
      <c r="H1198" s="385" t="s">
        <v>955</v>
      </c>
      <c r="I1198" s="385" t="s">
        <v>3477</v>
      </c>
      <c r="J1198" s="385" t="s">
        <v>3477</v>
      </c>
      <c r="K1198" s="385" t="str">
        <f>VLOOKUP(Table13[[#This Row],[CD_FUNCAO]],'BASE_FUNCOES (hide)'!A:X,2,FALSE)</f>
        <v>Borderô recebimento</v>
      </c>
    </row>
    <row r="1199" spans="1:11" hidden="1">
      <c r="A1199" s="385">
        <v>815</v>
      </c>
      <c r="B1199" s="385" t="s">
        <v>93</v>
      </c>
      <c r="C1199" s="385" t="s">
        <v>1868</v>
      </c>
      <c r="D1199" s="385" t="s">
        <v>977</v>
      </c>
      <c r="E1199" s="385">
        <v>28</v>
      </c>
      <c r="F1199" s="385" t="s">
        <v>9</v>
      </c>
      <c r="G1199" s="385" t="s">
        <v>3989</v>
      </c>
      <c r="H1199" s="385" t="s">
        <v>955</v>
      </c>
      <c r="I1199" s="385" t="s">
        <v>3477</v>
      </c>
      <c r="J1199" s="385" t="s">
        <v>3477</v>
      </c>
      <c r="K1199" s="385" t="str">
        <f>VLOOKUP(Table13[[#This Row],[CD_FUNCAO]],'BASE_FUNCOES (hide)'!A:X,2,FALSE)</f>
        <v>Cobrança Escritural</v>
      </c>
    </row>
    <row r="1200" spans="1:11" hidden="1">
      <c r="A1200" s="385">
        <v>860</v>
      </c>
      <c r="B1200" s="385" t="s">
        <v>92</v>
      </c>
      <c r="C1200" s="385" t="s">
        <v>850</v>
      </c>
      <c r="D1200" s="385" t="s">
        <v>978</v>
      </c>
      <c r="E1200" s="385">
        <v>28</v>
      </c>
      <c r="F1200" s="385" t="s">
        <v>9</v>
      </c>
      <c r="G1200" s="385" t="s">
        <v>3989</v>
      </c>
      <c r="H1200" s="385" t="s">
        <v>955</v>
      </c>
      <c r="I1200" s="385" t="s">
        <v>3477</v>
      </c>
      <c r="J1200" s="385" t="s">
        <v>3477</v>
      </c>
      <c r="K1200" s="385" t="str">
        <f>VLOOKUP(Table13[[#This Row],[CD_FUNCAO]],'BASE_FUNCOES (hide)'!A:X,2,FALSE)</f>
        <v>Cobrança</v>
      </c>
    </row>
    <row r="1201" spans="1:11" hidden="1">
      <c r="A1201" s="385">
        <v>812</v>
      </c>
      <c r="B1201" s="385" t="s">
        <v>94</v>
      </c>
      <c r="C1201" s="385" t="s">
        <v>979</v>
      </c>
      <c r="D1201" s="385" t="s">
        <v>980</v>
      </c>
      <c r="E1201" s="385">
        <v>28</v>
      </c>
      <c r="F1201" s="385" t="s">
        <v>9</v>
      </c>
      <c r="G1201" s="385" t="s">
        <v>3989</v>
      </c>
      <c r="H1201" s="385" t="s">
        <v>955</v>
      </c>
      <c r="I1201" s="385" t="s">
        <v>3477</v>
      </c>
      <c r="J1201" s="385" t="s">
        <v>3477</v>
      </c>
      <c r="K1201" s="385" t="str">
        <f>VLOOKUP(Table13[[#This Row],[CD_FUNCAO]],'BASE_FUNCOES (hide)'!A:X,2,FALSE)</f>
        <v>Consulta Adiantamentos Pendentes</v>
      </c>
    </row>
    <row r="1202" spans="1:11" hidden="1">
      <c r="A1202" s="385">
        <v>802</v>
      </c>
      <c r="B1202" s="385" t="s">
        <v>97</v>
      </c>
      <c r="C1202" s="385" t="s">
        <v>952</v>
      </c>
      <c r="D1202" s="385" t="s">
        <v>954</v>
      </c>
      <c r="E1202" s="385">
        <v>28</v>
      </c>
      <c r="F1202" s="385" t="s">
        <v>9</v>
      </c>
      <c r="G1202" s="385" t="s">
        <v>3989</v>
      </c>
      <c r="H1202" s="385" t="s">
        <v>955</v>
      </c>
      <c r="I1202" s="385" t="s">
        <v>3477</v>
      </c>
      <c r="J1202" s="385" t="s">
        <v>3477</v>
      </c>
      <c r="K1202" s="385" t="str">
        <f>VLOOKUP(Table13[[#This Row],[CD_FUNCAO]],'BASE_FUNCOES (hide)'!A:X,2,FALSE)</f>
        <v>Digitação de Adiantamentos</v>
      </c>
    </row>
    <row r="1203" spans="1:11" hidden="1">
      <c r="A1203" s="385">
        <v>801</v>
      </c>
      <c r="B1203" s="385" t="s">
        <v>99</v>
      </c>
      <c r="C1203" s="385" t="s">
        <v>956</v>
      </c>
      <c r="D1203" s="385" t="s">
        <v>957</v>
      </c>
      <c r="E1203" s="385">
        <v>28</v>
      </c>
      <c r="F1203" s="385" t="s">
        <v>9</v>
      </c>
      <c r="G1203" s="385" t="s">
        <v>3989</v>
      </c>
      <c r="H1203" s="385" t="s">
        <v>955</v>
      </c>
      <c r="I1203" s="385" t="s">
        <v>3477</v>
      </c>
      <c r="J1203" s="385" t="s">
        <v>3477</v>
      </c>
      <c r="K1203" s="385" t="str">
        <f>VLOOKUP(Table13[[#This Row],[CD_FUNCAO]],'BASE_FUNCOES (hide)'!A:X,2,FALSE)</f>
        <v>Manutenção de Títulos a Receber</v>
      </c>
    </row>
    <row r="1204" spans="1:11" hidden="1">
      <c r="A1204" s="385">
        <v>808</v>
      </c>
      <c r="B1204" s="385" t="s">
        <v>1865</v>
      </c>
      <c r="C1204" s="385" t="s">
        <v>1866</v>
      </c>
      <c r="D1204" s="385" t="s">
        <v>3990</v>
      </c>
      <c r="E1204" s="385">
        <v>28</v>
      </c>
      <c r="F1204" s="385" t="s">
        <v>9</v>
      </c>
      <c r="G1204" s="385" t="s">
        <v>3989</v>
      </c>
      <c r="H1204" s="385" t="s">
        <v>955</v>
      </c>
      <c r="I1204" s="385" t="s">
        <v>3477</v>
      </c>
      <c r="J1204" s="385" t="s">
        <v>3477</v>
      </c>
      <c r="K1204" s="385" t="str">
        <f>VLOOKUP(Table13[[#This Row],[CD_FUNCAO]],'BASE_FUNCOES (hide)'!A:X,2,FALSE)</f>
        <v>Rel. Adiantamentos</v>
      </c>
    </row>
    <row r="1205" spans="1:11" hidden="1">
      <c r="A1205" s="385">
        <v>810</v>
      </c>
      <c r="B1205" s="385" t="s">
        <v>91</v>
      </c>
      <c r="C1205" s="385" t="s">
        <v>972</v>
      </c>
      <c r="D1205" s="385" t="s">
        <v>973</v>
      </c>
      <c r="E1205" s="385">
        <v>28</v>
      </c>
      <c r="F1205" s="385" t="s">
        <v>9</v>
      </c>
      <c r="G1205" s="385" t="s">
        <v>3989</v>
      </c>
      <c r="H1205" s="385" t="s">
        <v>955</v>
      </c>
      <c r="I1205" s="385" t="s">
        <v>3477</v>
      </c>
      <c r="J1205" s="385" t="s">
        <v>3477</v>
      </c>
      <c r="K1205" s="385" t="str">
        <f>VLOOKUP(Table13[[#This Row],[CD_FUNCAO]],'BASE_FUNCOES (hide)'!A:X,2,FALSE)</f>
        <v>Administração de Cheques</v>
      </c>
    </row>
    <row r="1206" spans="1:11" hidden="1">
      <c r="A1206" s="385">
        <v>3020</v>
      </c>
      <c r="B1206" s="385" t="s">
        <v>107</v>
      </c>
      <c r="C1206" s="385" t="s">
        <v>983</v>
      </c>
      <c r="D1206" s="385" t="s">
        <v>985</v>
      </c>
      <c r="E1206" s="385">
        <v>29</v>
      </c>
      <c r="F1206" s="385" t="s">
        <v>14</v>
      </c>
      <c r="I1206" s="385" t="s">
        <v>3477</v>
      </c>
      <c r="J1206" s="385" t="s">
        <v>3477</v>
      </c>
      <c r="K1206" s="385" t="str">
        <f>VLOOKUP(Table13[[#This Row],[CD_FUNCAO]],'BASE_FUNCOES (hide)'!A:X,2,FALSE)</f>
        <v>Administração de Cartões</v>
      </c>
    </row>
    <row r="1207" spans="1:11" hidden="1">
      <c r="A1207" s="385">
        <v>813</v>
      </c>
      <c r="B1207" s="385" t="s">
        <v>14</v>
      </c>
      <c r="C1207" s="385" t="s">
        <v>984</v>
      </c>
      <c r="D1207" s="385" t="s">
        <v>986</v>
      </c>
      <c r="E1207" s="385">
        <v>29</v>
      </c>
      <c r="F1207" s="385" t="s">
        <v>14</v>
      </c>
      <c r="I1207" s="385" t="s">
        <v>3477</v>
      </c>
      <c r="J1207" s="385" t="s">
        <v>3477</v>
      </c>
      <c r="K1207" s="385" t="str">
        <f>VLOOKUP(Table13[[#This Row],[CD_FUNCAO]],'BASE_FUNCOES (hide)'!A:X,2,FALSE)</f>
        <v>Tesouraria</v>
      </c>
    </row>
    <row r="1208" spans="1:11" hidden="1">
      <c r="A1208" s="385">
        <v>830</v>
      </c>
      <c r="B1208" s="385" t="s">
        <v>17</v>
      </c>
      <c r="C1208" s="385" t="s">
        <v>987</v>
      </c>
      <c r="D1208" s="385" t="s">
        <v>988</v>
      </c>
      <c r="E1208" s="385">
        <v>30</v>
      </c>
      <c r="F1208" s="385" t="s">
        <v>17</v>
      </c>
      <c r="I1208" s="385" t="s">
        <v>3477</v>
      </c>
      <c r="J1208" s="385" t="s">
        <v>3477</v>
      </c>
      <c r="K1208" s="385" t="str">
        <f>VLOOKUP(Table13[[#This Row],[CD_FUNCAO]],'BASE_FUNCOES (hide)'!A:X,2,FALSE)</f>
        <v>Fluxo de Caixa</v>
      </c>
    </row>
    <row r="1209" spans="1:11" hidden="1">
      <c r="A1209" s="385">
        <v>3011</v>
      </c>
      <c r="B1209" s="385" t="s">
        <v>989</v>
      </c>
      <c r="C1209" s="385" t="s">
        <v>3988</v>
      </c>
      <c r="D1209" s="385" t="s">
        <v>991</v>
      </c>
      <c r="E1209" s="385">
        <v>31</v>
      </c>
      <c r="F1209" s="385" t="s">
        <v>245</v>
      </c>
      <c r="I1209" s="385" t="s">
        <v>3477</v>
      </c>
      <c r="J1209" s="385" t="s">
        <v>3477</v>
      </c>
      <c r="K1209" s="385" t="str">
        <f>VLOOKUP(Table13[[#This Row],[CD_FUNCAO]],'BASE_FUNCOES (hide)'!A:X,2,FALSE)</f>
        <v>Cadastro Nacional de Estabelecimentos de Saúde (CNES)</v>
      </c>
    </row>
    <row r="1210" spans="1:11" hidden="1">
      <c r="A1210" s="385">
        <v>9049</v>
      </c>
      <c r="B1210" s="385" t="s">
        <v>329</v>
      </c>
      <c r="C1210" s="385" t="s">
        <v>3987</v>
      </c>
      <c r="D1210" s="385" t="s">
        <v>2875</v>
      </c>
      <c r="E1210" s="385">
        <v>31</v>
      </c>
      <c r="F1210" s="385" t="s">
        <v>245</v>
      </c>
      <c r="I1210" s="385" t="s">
        <v>3477</v>
      </c>
      <c r="J1210" s="385" t="s">
        <v>3476</v>
      </c>
      <c r="K1210" s="385" t="str">
        <f>VLOOKUP(Table13[[#This Row],[CD_FUNCAO]],'BASE_FUNCOES (hide)'!A:X,2,FALSE)</f>
        <v>Cadastro Nacional de Usuários SUS</v>
      </c>
    </row>
    <row r="1211" spans="1:11" hidden="1">
      <c r="A1211" s="385">
        <v>1138</v>
      </c>
      <c r="B1211" s="385" t="s">
        <v>404</v>
      </c>
      <c r="C1211" s="385" t="s">
        <v>404</v>
      </c>
      <c r="D1211" s="385" t="s">
        <v>404</v>
      </c>
      <c r="E1211" s="385">
        <v>31</v>
      </c>
      <c r="F1211" s="385" t="s">
        <v>245</v>
      </c>
      <c r="I1211" s="385" t="s">
        <v>3477</v>
      </c>
      <c r="J1211" s="385" t="s">
        <v>3476</v>
      </c>
      <c r="K1211" s="385" t="str">
        <f>VLOOKUP(Table13[[#This Row],[CD_FUNCAO]],'BASE_FUNCOES (hide)'!A:X,2,FALSE)</f>
        <v>Retorno Convênio SUS</v>
      </c>
    </row>
    <row r="1212" spans="1:11" hidden="1">
      <c r="A1212" s="385">
        <v>1142</v>
      </c>
      <c r="B1212" s="385" t="s">
        <v>994</v>
      </c>
      <c r="C1212" s="385" t="s">
        <v>994</v>
      </c>
      <c r="D1212" s="385" t="s">
        <v>994</v>
      </c>
      <c r="E1212" s="385">
        <v>31</v>
      </c>
      <c r="F1212" s="385" t="s">
        <v>245</v>
      </c>
      <c r="I1212" s="385" t="s">
        <v>3477</v>
      </c>
      <c r="J1212" s="385" t="s">
        <v>3477</v>
      </c>
      <c r="K1212" s="385" t="str">
        <f>VLOOKUP(Table13[[#This Row],[CD_FUNCAO]],'BASE_FUNCOES (hide)'!A:X,2,FALSE)</f>
        <v>SUS CDS</v>
      </c>
    </row>
    <row r="1213" spans="1:11" hidden="1">
      <c r="A1213" s="385">
        <v>1123</v>
      </c>
      <c r="B1213" s="385" t="s">
        <v>245</v>
      </c>
      <c r="C1213" s="385" t="s">
        <v>245</v>
      </c>
      <c r="D1213" s="385" t="s">
        <v>245</v>
      </c>
      <c r="E1213" s="385">
        <v>31</v>
      </c>
      <c r="F1213" s="385" t="s">
        <v>245</v>
      </c>
      <c r="I1213" s="385" t="s">
        <v>3477</v>
      </c>
      <c r="J1213" s="385" t="s">
        <v>3476</v>
      </c>
      <c r="K1213" s="385" t="str">
        <f>VLOOKUP(Table13[[#This Row],[CD_FUNCAO]],'BASE_FUNCOES (hide)'!A:X,2,FALSE)</f>
        <v>SUS AIH</v>
      </c>
    </row>
    <row r="1214" spans="1:11">
      <c r="A1214" s="385">
        <v>3008</v>
      </c>
      <c r="B1214" s="385" t="s">
        <v>4245</v>
      </c>
      <c r="C1214" s="385" t="s">
        <v>4244</v>
      </c>
      <c r="D1214" s="385" t="s">
        <v>4243</v>
      </c>
      <c r="E1214" s="385">
        <v>6</v>
      </c>
      <c r="F1214" s="385" t="s">
        <v>58</v>
      </c>
      <c r="I1214" s="385" t="s">
        <v>3488</v>
      </c>
      <c r="J1214" s="385" t="s">
        <v>3476</v>
      </c>
      <c r="K1214" s="385" t="e">
        <f>VLOOKUP(Table13[[#This Row],[CD_FUNCAO]],'BASE_FUNCOES (hide)'!A:X,2,FALSE)</f>
        <v>#N/A</v>
      </c>
    </row>
    <row r="1215" spans="1:11">
      <c r="A1215" s="385">
        <v>3015</v>
      </c>
      <c r="B1215" s="385" t="s">
        <v>4304</v>
      </c>
      <c r="C1215" s="385" t="s">
        <v>4303</v>
      </c>
      <c r="D1215" s="385" t="s">
        <v>4302</v>
      </c>
      <c r="E1215" s="385">
        <v>105</v>
      </c>
      <c r="F1215" s="385" t="s">
        <v>313</v>
      </c>
      <c r="I1215" s="385" t="s">
        <v>3485</v>
      </c>
      <c r="J1215" s="385" t="s">
        <v>3476</v>
      </c>
      <c r="K1215" s="385" t="e">
        <f>VLOOKUP(Table13[[#This Row],[CD_FUNCAO]],'BASE_FUNCOES (hide)'!A:X,2,FALSE)</f>
        <v>#N/A</v>
      </c>
    </row>
    <row r="1216" spans="1:11">
      <c r="A1216" s="385">
        <v>3031</v>
      </c>
      <c r="B1216" s="385" t="s">
        <v>3645</v>
      </c>
      <c r="C1216" s="385" t="s">
        <v>3644</v>
      </c>
      <c r="D1216" s="385" t="s">
        <v>3643</v>
      </c>
      <c r="E1216" s="385">
        <v>451</v>
      </c>
      <c r="F1216" s="385" t="s">
        <v>387</v>
      </c>
      <c r="I1216" s="385" t="s">
        <v>3488</v>
      </c>
      <c r="J1216" s="385" t="s">
        <v>3476</v>
      </c>
      <c r="K1216" s="385" t="e">
        <f>VLOOKUP(Table13[[#This Row],[CD_FUNCAO]],'BASE_FUNCOES (hide)'!A:X,2,FALSE)</f>
        <v>#N/A</v>
      </c>
    </row>
    <row r="1217" spans="1:11" hidden="1">
      <c r="A1217" s="385">
        <v>1117</v>
      </c>
      <c r="B1217" s="385" t="s">
        <v>246</v>
      </c>
      <c r="C1217" s="385" t="s">
        <v>992</v>
      </c>
      <c r="D1217" s="385" t="s">
        <v>993</v>
      </c>
      <c r="E1217" s="385">
        <v>31</v>
      </c>
      <c r="F1217" s="385" t="s">
        <v>245</v>
      </c>
      <c r="I1217" s="385" t="s">
        <v>3477</v>
      </c>
      <c r="J1217" s="385" t="s">
        <v>3476</v>
      </c>
      <c r="K1217" s="385" t="str">
        <f>VLOOKUP(Table13[[#This Row],[CD_FUNCAO]],'BASE_FUNCOES (hide)'!A:X,2,FALSE)</f>
        <v>Gerenciador Cartão SUS</v>
      </c>
    </row>
    <row r="1218" spans="1:11">
      <c r="A1218" s="385">
        <v>3032</v>
      </c>
      <c r="B1218" s="385" t="s">
        <v>3642</v>
      </c>
      <c r="C1218" s="385" t="s">
        <v>3641</v>
      </c>
      <c r="D1218" s="385" t="s">
        <v>3640</v>
      </c>
      <c r="E1218" s="385">
        <v>451</v>
      </c>
      <c r="F1218" s="385" t="s">
        <v>387</v>
      </c>
      <c r="I1218" s="385" t="s">
        <v>3488</v>
      </c>
      <c r="J1218" s="385" t="s">
        <v>3476</v>
      </c>
      <c r="K1218" s="385" t="e">
        <f>VLOOKUP(Table13[[#This Row],[CD_FUNCAO]],'BASE_FUNCOES (hide)'!A:X,2,FALSE)</f>
        <v>#N/A</v>
      </c>
    </row>
    <row r="1219" spans="1:11">
      <c r="A1219" s="385">
        <v>3033</v>
      </c>
      <c r="B1219" s="385" t="s">
        <v>3639</v>
      </c>
      <c r="C1219" s="385" t="s">
        <v>3638</v>
      </c>
      <c r="D1219" s="385" t="s">
        <v>3637</v>
      </c>
      <c r="E1219" s="385">
        <v>451</v>
      </c>
      <c r="F1219" s="385" t="s">
        <v>387</v>
      </c>
      <c r="I1219" s="385" t="s">
        <v>3488</v>
      </c>
      <c r="J1219" s="385" t="s">
        <v>3476</v>
      </c>
      <c r="K1219" s="385" t="e">
        <f>VLOOKUP(Table13[[#This Row],[CD_FUNCAO]],'BASE_FUNCOES (hide)'!A:X,2,FALSE)</f>
        <v>#N/A</v>
      </c>
    </row>
    <row r="1220" spans="1:11">
      <c r="A1220" s="385">
        <v>3100</v>
      </c>
      <c r="B1220" s="385" t="s">
        <v>5534</v>
      </c>
      <c r="C1220" s="385" t="s">
        <v>5533</v>
      </c>
      <c r="D1220" s="385" t="s">
        <v>5532</v>
      </c>
      <c r="E1220" s="385">
        <v>283</v>
      </c>
      <c r="F1220" s="385" t="s">
        <v>4705</v>
      </c>
      <c r="G1220" s="385" t="s">
        <v>4704</v>
      </c>
      <c r="H1220" s="385" t="s">
        <v>4703</v>
      </c>
      <c r="I1220" s="385" t="s">
        <v>3488</v>
      </c>
      <c r="J1220" s="385" t="s">
        <v>3477</v>
      </c>
      <c r="K1220" s="385" t="e">
        <f>VLOOKUP(Table13[[#This Row],[CD_FUNCAO]],'BASE_FUNCOES (hide)'!A:X,2,FALSE)</f>
        <v>#N/A</v>
      </c>
    </row>
    <row r="1221" spans="1:11">
      <c r="A1221" s="385">
        <v>3113</v>
      </c>
      <c r="B1221" s="385" t="s">
        <v>4746</v>
      </c>
      <c r="C1221" s="385" t="s">
        <v>4745</v>
      </c>
      <c r="D1221" s="385" t="s">
        <v>4744</v>
      </c>
      <c r="E1221" s="385">
        <v>283</v>
      </c>
      <c r="F1221" s="385" t="s">
        <v>4705</v>
      </c>
      <c r="G1221" s="385" t="s">
        <v>4704</v>
      </c>
      <c r="H1221" s="385" t="s">
        <v>4703</v>
      </c>
      <c r="I1221" s="385" t="s">
        <v>3488</v>
      </c>
      <c r="K1221" s="385" t="e">
        <f>VLOOKUP(Table13[[#This Row],[CD_FUNCAO]],'BASE_FUNCOES (hide)'!A:X,2,FALSE)</f>
        <v>#N/A</v>
      </c>
    </row>
    <row r="1222" spans="1:11">
      <c r="A1222" s="385">
        <v>3132</v>
      </c>
      <c r="B1222" s="385" t="s">
        <v>4181</v>
      </c>
      <c r="C1222" s="385" t="s">
        <v>1515</v>
      </c>
      <c r="D1222" s="385" t="s">
        <v>4180</v>
      </c>
      <c r="E1222" s="385">
        <v>9</v>
      </c>
      <c r="F1222" s="385" t="s">
        <v>0</v>
      </c>
      <c r="I1222" s="385" t="s">
        <v>3485</v>
      </c>
      <c r="K1222" s="385" t="e">
        <f>VLOOKUP(Table13[[#This Row],[CD_FUNCAO]],'BASE_FUNCOES (hide)'!A:X,2,FALSE)</f>
        <v>#N/A</v>
      </c>
    </row>
    <row r="1223" spans="1:11">
      <c r="A1223" s="385">
        <v>3135</v>
      </c>
      <c r="B1223" s="385" t="s">
        <v>4909</v>
      </c>
      <c r="C1223" s="385" t="s">
        <v>4908</v>
      </c>
      <c r="D1223" s="385" t="s">
        <v>4907</v>
      </c>
      <c r="E1223" s="385">
        <v>283</v>
      </c>
      <c r="F1223" s="385" t="s">
        <v>4705</v>
      </c>
      <c r="G1223" s="385" t="s">
        <v>4704</v>
      </c>
      <c r="H1223" s="385" t="s">
        <v>4703</v>
      </c>
      <c r="I1223" s="385" t="s">
        <v>3510</v>
      </c>
      <c r="K1223" s="385" t="e">
        <f>VLOOKUP(Table13[[#This Row],[CD_FUNCAO]],'BASE_FUNCOES (hide)'!A:X,2,FALSE)</f>
        <v>#N/A</v>
      </c>
    </row>
    <row r="1224" spans="1:11" hidden="1">
      <c r="A1224" s="385">
        <v>1126</v>
      </c>
      <c r="B1224" s="385" t="s">
        <v>247</v>
      </c>
      <c r="C1224" s="385" t="s">
        <v>247</v>
      </c>
      <c r="D1224" s="385" t="s">
        <v>247</v>
      </c>
      <c r="E1224" s="385">
        <v>31</v>
      </c>
      <c r="F1224" s="385" t="s">
        <v>245</v>
      </c>
      <c r="I1224" s="385" t="s">
        <v>3477</v>
      </c>
      <c r="J1224" s="385" t="s">
        <v>3476</v>
      </c>
      <c r="K1224" s="385" t="str">
        <f>VLOOKUP(Table13[[#This Row],[CD_FUNCAO]],'BASE_FUNCOES (hide)'!A:X,2,FALSE)</f>
        <v>Gestão SUS Unificado - GSU</v>
      </c>
    </row>
    <row r="1225" spans="1:11" hidden="1">
      <c r="A1225" s="385">
        <v>1125</v>
      </c>
      <c r="B1225" s="385" t="s">
        <v>248</v>
      </c>
      <c r="C1225" s="385" t="s">
        <v>248</v>
      </c>
      <c r="D1225" s="385" t="s">
        <v>248</v>
      </c>
      <c r="E1225" s="385">
        <v>32</v>
      </c>
      <c r="F1225" s="385" t="s">
        <v>248</v>
      </c>
      <c r="I1225" s="385" t="s">
        <v>3477</v>
      </c>
      <c r="J1225" s="385" t="s">
        <v>3476</v>
      </c>
      <c r="K1225" s="385" t="str">
        <f>VLOOKUP(Table13[[#This Row],[CD_FUNCAO]],'BASE_FUNCOES (hide)'!A:X,2,FALSE)</f>
        <v>SUS BPA</v>
      </c>
    </row>
    <row r="1226" spans="1:11" hidden="1">
      <c r="A1226" s="385">
        <v>1131</v>
      </c>
      <c r="B1226" s="385" t="s">
        <v>249</v>
      </c>
      <c r="C1226" s="385" t="s">
        <v>1872</v>
      </c>
      <c r="D1226" s="385" t="s">
        <v>1872</v>
      </c>
      <c r="E1226" s="385">
        <v>32</v>
      </c>
      <c r="F1226" s="385" t="s">
        <v>248</v>
      </c>
      <c r="I1226" s="385" t="s">
        <v>3477</v>
      </c>
      <c r="J1226" s="385" t="s">
        <v>3476</v>
      </c>
      <c r="K1226" s="385" t="str">
        <f>VLOOKUP(Table13[[#This Row],[CD_FUNCAO]],'BASE_FUNCOES (hide)'!A:X,2,FALSE)</f>
        <v>SUS FPO</v>
      </c>
    </row>
    <row r="1227" spans="1:11">
      <c r="A1227" s="385">
        <v>3140</v>
      </c>
      <c r="B1227" s="385" t="s">
        <v>4954</v>
      </c>
      <c r="C1227" s="385" t="s">
        <v>4953</v>
      </c>
      <c r="D1227" s="385" t="s">
        <v>4952</v>
      </c>
      <c r="E1227" s="385">
        <v>283</v>
      </c>
      <c r="F1227" s="385" t="s">
        <v>4705</v>
      </c>
      <c r="G1227" s="385" t="s">
        <v>4704</v>
      </c>
      <c r="H1227" s="385" t="s">
        <v>4703</v>
      </c>
      <c r="I1227" s="385" t="s">
        <v>3510</v>
      </c>
      <c r="J1227" s="385" t="s">
        <v>3476</v>
      </c>
      <c r="K1227" s="385" t="e">
        <f>VLOOKUP(Table13[[#This Row],[CD_FUNCAO]],'BASE_FUNCOES (hide)'!A:X,2,FALSE)</f>
        <v>#N/A</v>
      </c>
    </row>
    <row r="1228" spans="1:11">
      <c r="A1228" s="385">
        <v>3200</v>
      </c>
      <c r="B1228" s="385" t="s">
        <v>5656</v>
      </c>
      <c r="C1228" s="385" t="s">
        <v>5655</v>
      </c>
      <c r="D1228" s="385" t="s">
        <v>5654</v>
      </c>
      <c r="E1228" s="385">
        <v>283</v>
      </c>
      <c r="F1228" s="385" t="s">
        <v>4705</v>
      </c>
      <c r="G1228" s="385" t="s">
        <v>4704</v>
      </c>
      <c r="H1228" s="385" t="s">
        <v>4703</v>
      </c>
      <c r="I1228" s="385" t="s">
        <v>3488</v>
      </c>
      <c r="J1228" s="385" t="s">
        <v>3477</v>
      </c>
      <c r="K1228" s="385" t="e">
        <f>VLOOKUP(Table13[[#This Row],[CD_FUNCAO]],'BASE_FUNCOES (hide)'!A:X,2,FALSE)</f>
        <v>#N/A</v>
      </c>
    </row>
    <row r="1229" spans="1:11">
      <c r="A1229" s="385">
        <v>3250</v>
      </c>
      <c r="B1229" s="385" t="s">
        <v>4341</v>
      </c>
      <c r="C1229" s="385" t="s">
        <v>4342</v>
      </c>
      <c r="D1229" s="385" t="s">
        <v>4341</v>
      </c>
      <c r="E1229" s="385">
        <v>88</v>
      </c>
      <c r="F1229" s="385" t="s">
        <v>16</v>
      </c>
      <c r="G1229" s="385" t="s">
        <v>1066</v>
      </c>
      <c r="H1229" s="385" t="s">
        <v>1068</v>
      </c>
      <c r="I1229" s="385" t="s">
        <v>3488</v>
      </c>
      <c r="J1229" s="385" t="s">
        <v>3476</v>
      </c>
      <c r="K1229" s="385" t="e">
        <f>VLOOKUP(Table13[[#This Row],[CD_FUNCAO]],'BASE_FUNCOES (hide)'!A:X,2,FALSE)</f>
        <v>#N/A</v>
      </c>
    </row>
    <row r="1230" spans="1:11">
      <c r="A1230" s="385">
        <v>3300</v>
      </c>
      <c r="B1230" s="385" t="s">
        <v>4248</v>
      </c>
      <c r="C1230" s="385" t="s">
        <v>4247</v>
      </c>
      <c r="D1230" s="385" t="s">
        <v>4246</v>
      </c>
      <c r="E1230" s="385">
        <v>6</v>
      </c>
      <c r="F1230" s="385" t="s">
        <v>58</v>
      </c>
      <c r="I1230" s="385" t="s">
        <v>3485</v>
      </c>
      <c r="J1230" s="385" t="s">
        <v>3476</v>
      </c>
      <c r="K1230" s="385" t="e">
        <f>VLOOKUP(Table13[[#This Row],[CD_FUNCAO]],'BASE_FUNCOES (hide)'!A:X,2,FALSE)</f>
        <v>#N/A</v>
      </c>
    </row>
    <row r="1231" spans="1:11" hidden="1">
      <c r="A1231" s="385">
        <v>99030</v>
      </c>
      <c r="B1231" s="385" t="s">
        <v>2039</v>
      </c>
      <c r="C1231" s="385" t="s">
        <v>2039</v>
      </c>
      <c r="D1231" s="385" t="s">
        <v>2039</v>
      </c>
      <c r="E1231" s="385">
        <v>36</v>
      </c>
      <c r="F1231" s="385" t="s">
        <v>250</v>
      </c>
      <c r="I1231" s="385" t="s">
        <v>3510</v>
      </c>
      <c r="J1231" s="385" t="s">
        <v>3477</v>
      </c>
      <c r="K1231" s="385" t="str">
        <f>VLOOKUP(Table13[[#This Row],[CD_FUNCAO]],'BASE_FUNCOES (hide)'!A:X,2,FALSE)</f>
        <v>Schematic4Test</v>
      </c>
    </row>
    <row r="1232" spans="1:11" hidden="1">
      <c r="A1232" s="385">
        <v>240</v>
      </c>
      <c r="B1232" s="385" t="s">
        <v>2040</v>
      </c>
      <c r="C1232" s="385" t="s">
        <v>2040</v>
      </c>
      <c r="D1232" s="385" t="s">
        <v>2040</v>
      </c>
      <c r="E1232" s="385">
        <v>36</v>
      </c>
      <c r="F1232" s="385" t="s">
        <v>250</v>
      </c>
      <c r="I1232" s="385" t="s">
        <v>3510</v>
      </c>
      <c r="J1232" s="385" t="s">
        <v>3477</v>
      </c>
      <c r="K1232" s="385" t="str">
        <f>VLOOKUP(Table13[[#This Row],[CD_FUNCAO]],'BASE_FUNCOES (hide)'!A:X,2,FALSE)</f>
        <v>Dashboard 4Test</v>
      </c>
    </row>
    <row r="1233" spans="1:11" hidden="1">
      <c r="A1233" s="385">
        <v>211</v>
      </c>
      <c r="B1233" s="385" t="s">
        <v>2038</v>
      </c>
      <c r="C1233" s="385" t="s">
        <v>2038</v>
      </c>
      <c r="D1233" s="385" t="s">
        <v>2038</v>
      </c>
      <c r="E1233" s="385">
        <v>36</v>
      </c>
      <c r="F1233" s="385" t="s">
        <v>250</v>
      </c>
      <c r="I1233" s="385" t="s">
        <v>3510</v>
      </c>
      <c r="J1233" s="385" t="s">
        <v>3477</v>
      </c>
      <c r="K1233" s="385" t="str">
        <f>VLOOKUP(Table13[[#This Row],[CD_FUNCAO]],'BASE_FUNCOES (hide)'!A:X,2,FALSE)</f>
        <v>4Test</v>
      </c>
    </row>
    <row r="1234" spans="1:11" hidden="1">
      <c r="A1234" s="385">
        <v>329</v>
      </c>
      <c r="B1234" s="385" t="s">
        <v>1440</v>
      </c>
      <c r="C1234" s="385" t="s">
        <v>1441</v>
      </c>
      <c r="D1234" s="385" t="s">
        <v>1442</v>
      </c>
      <c r="E1234" s="385">
        <v>36</v>
      </c>
      <c r="F1234" s="385" t="s">
        <v>250</v>
      </c>
      <c r="I1234" s="385" t="s">
        <v>3477</v>
      </c>
      <c r="J1234" s="385" t="s">
        <v>3513</v>
      </c>
      <c r="K1234" s="385" t="str">
        <f>VLOOKUP(Table13[[#This Row],[CD_FUNCAO]],'BASE_FUNCOES (hide)'!A:X,2,FALSE)</f>
        <v>Controle de Acesso</v>
      </c>
    </row>
    <row r="1235" spans="1:11" hidden="1">
      <c r="A1235" s="385">
        <v>284</v>
      </c>
      <c r="B1235" s="385" t="s">
        <v>1461</v>
      </c>
      <c r="C1235" s="385" t="s">
        <v>3952</v>
      </c>
      <c r="D1235" s="385" t="s">
        <v>1463</v>
      </c>
      <c r="E1235" s="385">
        <v>36</v>
      </c>
      <c r="F1235" s="385" t="s">
        <v>250</v>
      </c>
      <c r="I1235" s="385" t="s">
        <v>3477</v>
      </c>
      <c r="J1235" s="385" t="s">
        <v>3477</v>
      </c>
      <c r="K1235" s="385" t="str">
        <f>VLOOKUP(Table13[[#This Row],[CD_FUNCAO]],'BASE_FUNCOES (hide)'!A:X,2,FALSE)</f>
        <v>Administração de Logs</v>
      </c>
    </row>
    <row r="1236" spans="1:11">
      <c r="A1236" s="385">
        <v>4088</v>
      </c>
      <c r="B1236" s="385" t="s">
        <v>5705</v>
      </c>
      <c r="C1236" s="385" t="s">
        <v>5704</v>
      </c>
      <c r="D1236" s="385" t="s">
        <v>5703</v>
      </c>
      <c r="E1236" s="385">
        <v>283</v>
      </c>
      <c r="F1236" s="385" t="s">
        <v>4705</v>
      </c>
      <c r="G1236" s="385" t="s">
        <v>4704</v>
      </c>
      <c r="H1236" s="385" t="s">
        <v>4703</v>
      </c>
      <c r="I1236" s="385" t="s">
        <v>3485</v>
      </c>
      <c r="J1236" s="385" t="s">
        <v>3476</v>
      </c>
      <c r="K1236" s="385" t="e">
        <f>VLOOKUP(Table13[[#This Row],[CD_FUNCAO]],'BASE_FUNCOES (hide)'!A:X,2,FALSE)</f>
        <v>#N/A</v>
      </c>
    </row>
    <row r="1237" spans="1:11">
      <c r="A1237" s="385">
        <v>4140</v>
      </c>
      <c r="B1237" s="385" t="s">
        <v>4841</v>
      </c>
      <c r="C1237" s="385" t="s">
        <v>4841</v>
      </c>
      <c r="D1237" s="385" t="s">
        <v>4841</v>
      </c>
      <c r="E1237" s="385">
        <v>283</v>
      </c>
      <c r="F1237" s="385" t="s">
        <v>4705</v>
      </c>
      <c r="G1237" s="385" t="s">
        <v>4704</v>
      </c>
      <c r="H1237" s="385" t="s">
        <v>4703</v>
      </c>
      <c r="I1237" s="385" t="s">
        <v>3485</v>
      </c>
      <c r="J1237" s="385" t="s">
        <v>3476</v>
      </c>
      <c r="K1237" s="385" t="e">
        <f>VLOOKUP(Table13[[#This Row],[CD_FUNCAO]],'BASE_FUNCOES (hide)'!A:X,2,FALSE)</f>
        <v>#N/A</v>
      </c>
    </row>
    <row r="1238" spans="1:11" hidden="1">
      <c r="A1238" s="385">
        <v>990</v>
      </c>
      <c r="B1238" s="385" t="s">
        <v>253</v>
      </c>
      <c r="C1238" s="385" t="s">
        <v>996</v>
      </c>
      <c r="D1238" s="385" t="s">
        <v>998</v>
      </c>
      <c r="E1238" s="385">
        <v>36</v>
      </c>
      <c r="F1238" s="385" t="s">
        <v>250</v>
      </c>
      <c r="I1238" s="385" t="s">
        <v>3477</v>
      </c>
      <c r="K1238" s="385" t="str">
        <f>VLOOKUP(Table13[[#This Row],[CD_FUNCAO]],'BASE_FUNCOES (hide)'!A:X,2,FALSE)</f>
        <v>Emissão automática de relatórios</v>
      </c>
    </row>
    <row r="1239" spans="1:11">
      <c r="A1239" s="385">
        <v>4201</v>
      </c>
      <c r="B1239" s="385" t="s">
        <v>4800</v>
      </c>
      <c r="C1239" s="385" t="s">
        <v>1471</v>
      </c>
      <c r="D1239" s="385" t="s">
        <v>4799</v>
      </c>
      <c r="E1239" s="385">
        <v>283</v>
      </c>
      <c r="F1239" s="385" t="s">
        <v>4705</v>
      </c>
      <c r="G1239" s="385" t="s">
        <v>4704</v>
      </c>
      <c r="H1239" s="385" t="s">
        <v>4703</v>
      </c>
      <c r="I1239" s="385" t="s">
        <v>3488</v>
      </c>
      <c r="J1239" s="385" t="s">
        <v>3477</v>
      </c>
      <c r="K1239" s="385" t="e">
        <f>VLOOKUP(Table13[[#This Row],[CD_FUNCAO]],'BASE_FUNCOES (hide)'!A:X,2,FALSE)</f>
        <v>#N/A</v>
      </c>
    </row>
    <row r="1240" spans="1:11">
      <c r="A1240" s="385">
        <v>4202</v>
      </c>
      <c r="B1240" s="385" t="s">
        <v>4798</v>
      </c>
      <c r="C1240" s="385" t="s">
        <v>4797</v>
      </c>
      <c r="D1240" s="385" t="s">
        <v>4796</v>
      </c>
      <c r="E1240" s="385">
        <v>283</v>
      </c>
      <c r="F1240" s="385" t="s">
        <v>4705</v>
      </c>
      <c r="G1240" s="385" t="s">
        <v>4704</v>
      </c>
      <c r="H1240" s="385" t="s">
        <v>4703</v>
      </c>
      <c r="I1240" s="385" t="s">
        <v>3510</v>
      </c>
      <c r="J1240" s="385" t="s">
        <v>3476</v>
      </c>
      <c r="K1240" s="385" t="e">
        <f>VLOOKUP(Table13[[#This Row],[CD_FUNCAO]],'BASE_FUNCOES (hide)'!A:X,2,FALSE)</f>
        <v>#N/A</v>
      </c>
    </row>
    <row r="1241" spans="1:11">
      <c r="A1241" s="385">
        <v>4242</v>
      </c>
      <c r="B1241" s="385" t="s">
        <v>5734</v>
      </c>
      <c r="C1241" s="385" t="s">
        <v>5734</v>
      </c>
      <c r="D1241" s="385" t="s">
        <v>5734</v>
      </c>
      <c r="E1241" s="385">
        <v>283</v>
      </c>
      <c r="F1241" s="385" t="s">
        <v>4705</v>
      </c>
      <c r="G1241" s="385" t="s">
        <v>4704</v>
      </c>
      <c r="H1241" s="385" t="s">
        <v>4703</v>
      </c>
      <c r="I1241" s="385" t="s">
        <v>3485</v>
      </c>
      <c r="K1241" s="385" t="e">
        <f>VLOOKUP(Table13[[#This Row],[CD_FUNCAO]],'BASE_FUNCOES (hide)'!A:X,2,FALSE)</f>
        <v>#N/A</v>
      </c>
    </row>
    <row r="1242" spans="1:11">
      <c r="A1242" s="385">
        <v>4299</v>
      </c>
      <c r="B1242" s="385" t="s">
        <v>5691</v>
      </c>
      <c r="C1242" s="385" t="s">
        <v>5691</v>
      </c>
      <c r="D1242" s="385" t="s">
        <v>5691</v>
      </c>
      <c r="E1242" s="385">
        <v>283</v>
      </c>
      <c r="F1242" s="385" t="s">
        <v>4705</v>
      </c>
      <c r="G1242" s="385" t="s">
        <v>4704</v>
      </c>
      <c r="H1242" s="385" t="s">
        <v>4703</v>
      </c>
      <c r="I1242" s="385" t="s">
        <v>3485</v>
      </c>
      <c r="J1242" s="385" t="s">
        <v>3476</v>
      </c>
      <c r="K1242" s="385" t="e">
        <f>VLOOKUP(Table13[[#This Row],[CD_FUNCAO]],'BASE_FUNCOES (hide)'!A:X,2,FALSE)</f>
        <v>#N/A</v>
      </c>
    </row>
    <row r="1243" spans="1:11" hidden="1">
      <c r="A1243" s="385">
        <v>7045</v>
      </c>
      <c r="B1243" s="385" t="s">
        <v>1000</v>
      </c>
      <c r="C1243" s="385" t="s">
        <v>1001</v>
      </c>
      <c r="D1243" s="385" t="s">
        <v>1002</v>
      </c>
      <c r="E1243" s="385">
        <v>36</v>
      </c>
      <c r="F1243" s="385" t="s">
        <v>250</v>
      </c>
      <c r="I1243" s="385" t="s">
        <v>3477</v>
      </c>
      <c r="J1243" s="385" t="s">
        <v>3476</v>
      </c>
      <c r="K1243" s="385" t="str">
        <f>VLOOKUP(Table13[[#This Row],[CD_FUNCAO]],'BASE_FUNCOES (hide)'!A:X,2,FALSE)</f>
        <v>Dicionário da Língua Portuguesa</v>
      </c>
    </row>
    <row r="1244" spans="1:11" hidden="1">
      <c r="A1244" s="385">
        <v>6000</v>
      </c>
      <c r="B1244" s="385" t="s">
        <v>252</v>
      </c>
      <c r="C1244" s="385" t="s">
        <v>1003</v>
      </c>
      <c r="D1244" s="385" t="s">
        <v>3933</v>
      </c>
      <c r="E1244" s="385">
        <v>36</v>
      </c>
      <c r="F1244" s="385" t="s">
        <v>250</v>
      </c>
      <c r="I1244" s="385" t="s">
        <v>3477</v>
      </c>
      <c r="J1244" s="385" t="s">
        <v>3477</v>
      </c>
      <c r="K1244" s="385" t="str">
        <f>VLOOKUP(Table13[[#This Row],[CD_FUNCAO]],'BASE_FUNCOES (hide)'!A:X,2,FALSE)</f>
        <v>Dicionário de Dados Philips</v>
      </c>
    </row>
    <row r="1245" spans="1:11" hidden="1">
      <c r="A1245" s="385">
        <v>6001</v>
      </c>
      <c r="B1245" s="385" t="s">
        <v>251</v>
      </c>
      <c r="C1245" s="385" t="s">
        <v>3932</v>
      </c>
      <c r="D1245" s="385" t="s">
        <v>1006</v>
      </c>
      <c r="E1245" s="385">
        <v>36</v>
      </c>
      <c r="F1245" s="385" t="s">
        <v>250</v>
      </c>
      <c r="I1245" s="385" t="s">
        <v>3477</v>
      </c>
      <c r="J1245" s="385" t="s">
        <v>3477</v>
      </c>
      <c r="K1245" s="385" t="str">
        <f>VLOOKUP(Table13[[#This Row],[CD_FUNCAO]],'BASE_FUNCOES (hide)'!A:X,2,FALSE)</f>
        <v>Administração do Sistema</v>
      </c>
    </row>
    <row r="1246" spans="1:11">
      <c r="A1246" s="385">
        <v>4444</v>
      </c>
      <c r="B1246" s="385" t="s">
        <v>4732</v>
      </c>
      <c r="C1246" s="385" t="s">
        <v>4731</v>
      </c>
      <c r="D1246" s="385" t="s">
        <v>4730</v>
      </c>
      <c r="E1246" s="385">
        <v>283</v>
      </c>
      <c r="F1246" s="385" t="s">
        <v>4705</v>
      </c>
      <c r="G1246" s="385" t="s">
        <v>4704</v>
      </c>
      <c r="H1246" s="385" t="s">
        <v>4703</v>
      </c>
      <c r="I1246" s="385" t="s">
        <v>3510</v>
      </c>
      <c r="K1246" s="385" t="e">
        <f>VLOOKUP(Table13[[#This Row],[CD_FUNCAO]],'BASE_FUNCOES (hide)'!A:X,2,FALSE)</f>
        <v>#N/A</v>
      </c>
    </row>
    <row r="1247" spans="1:11">
      <c r="A1247" s="385">
        <v>4521</v>
      </c>
      <c r="B1247" s="385" t="s">
        <v>5495</v>
      </c>
      <c r="C1247" s="385" t="s">
        <v>5494</v>
      </c>
      <c r="D1247" s="385" t="s">
        <v>5493</v>
      </c>
      <c r="E1247" s="385">
        <v>283</v>
      </c>
      <c r="F1247" s="385" t="s">
        <v>4705</v>
      </c>
      <c r="G1247" s="385" t="s">
        <v>4704</v>
      </c>
      <c r="H1247" s="385" t="s">
        <v>4703</v>
      </c>
      <c r="I1247" s="385" t="s">
        <v>3485</v>
      </c>
      <c r="J1247" s="385" t="s">
        <v>3477</v>
      </c>
      <c r="K1247" s="385" t="e">
        <f>VLOOKUP(Table13[[#This Row],[CD_FUNCAO]],'BASE_FUNCOES (hide)'!A:X,2,FALSE)</f>
        <v>#N/A</v>
      </c>
    </row>
    <row r="1248" spans="1:11">
      <c r="A1248" s="385">
        <v>4644</v>
      </c>
      <c r="B1248" s="385" t="s">
        <v>5690</v>
      </c>
      <c r="C1248" s="385" t="s">
        <v>5689</v>
      </c>
      <c r="D1248" s="385" t="s">
        <v>5688</v>
      </c>
      <c r="E1248" s="385">
        <v>283</v>
      </c>
      <c r="F1248" s="385" t="s">
        <v>4705</v>
      </c>
      <c r="G1248" s="385" t="s">
        <v>4704</v>
      </c>
      <c r="H1248" s="385" t="s">
        <v>4703</v>
      </c>
      <c r="I1248" s="385" t="s">
        <v>3510</v>
      </c>
      <c r="J1248" s="385" t="s">
        <v>3476</v>
      </c>
      <c r="K1248" s="385" t="e">
        <f>VLOOKUP(Table13[[#This Row],[CD_FUNCAO]],'BASE_FUNCOES (hide)'!A:X,2,FALSE)</f>
        <v>#N/A</v>
      </c>
    </row>
    <row r="1249" spans="1:11">
      <c r="A1249" s="385">
        <v>4645</v>
      </c>
      <c r="B1249" s="385" t="s">
        <v>5725</v>
      </c>
      <c r="C1249" s="385" t="s">
        <v>5725</v>
      </c>
      <c r="D1249" s="385" t="s">
        <v>5725</v>
      </c>
      <c r="E1249" s="385">
        <v>283</v>
      </c>
      <c r="F1249" s="385" t="s">
        <v>4705</v>
      </c>
      <c r="G1249" s="385" t="s">
        <v>4704</v>
      </c>
      <c r="H1249" s="385" t="s">
        <v>4703</v>
      </c>
      <c r="I1249" s="385" t="s">
        <v>3488</v>
      </c>
      <c r="J1249" s="385" t="s">
        <v>3476</v>
      </c>
      <c r="K1249" s="385" t="e">
        <f>VLOOKUP(Table13[[#This Row],[CD_FUNCAO]],'BASE_FUNCOES (hide)'!A:X,2,FALSE)</f>
        <v>#N/A</v>
      </c>
    </row>
    <row r="1250" spans="1:11" hidden="1">
      <c r="A1250" s="385">
        <v>-1004</v>
      </c>
      <c r="B1250" s="385" t="s">
        <v>1007</v>
      </c>
      <c r="C1250" s="385" t="s">
        <v>3922</v>
      </c>
      <c r="D1250" s="385" t="s">
        <v>1010</v>
      </c>
      <c r="E1250" s="385">
        <v>38</v>
      </c>
      <c r="F1250" s="385" t="s">
        <v>42</v>
      </c>
      <c r="I1250" s="385" t="s">
        <v>3477</v>
      </c>
      <c r="J1250" s="385" t="s">
        <v>3476</v>
      </c>
      <c r="K1250" s="385" t="str">
        <f>VLOOKUP(Table13[[#This Row],[CD_FUNCAO]],'BASE_FUNCOES (hide)'!A:X,2,FALSE)</f>
        <v>SAE - Sistematização da Assistência de Enfermagem</v>
      </c>
    </row>
    <row r="1251" spans="1:11" hidden="1">
      <c r="A1251" s="385">
        <v>1290</v>
      </c>
      <c r="B1251" s="385" t="s">
        <v>254</v>
      </c>
      <c r="C1251" s="385" t="s">
        <v>1014</v>
      </c>
      <c r="D1251" s="385" t="s">
        <v>1015</v>
      </c>
      <c r="E1251" s="385">
        <v>38</v>
      </c>
      <c r="F1251" s="385" t="s">
        <v>42</v>
      </c>
      <c r="I1251" s="385" t="s">
        <v>3477</v>
      </c>
      <c r="J1251" s="385" t="s">
        <v>3476</v>
      </c>
      <c r="K1251" s="385" t="str">
        <f>VLOOKUP(Table13[[#This Row],[CD_FUNCAO]],'BASE_FUNCOES (hide)'!A:X,2,FALSE)</f>
        <v>Gestão da Administração Eletrônica da Prescrição</v>
      </c>
    </row>
    <row r="1252" spans="1:11" hidden="1">
      <c r="A1252" s="385">
        <v>1113</v>
      </c>
      <c r="B1252" s="385" t="s">
        <v>1016</v>
      </c>
      <c r="C1252" s="385" t="s">
        <v>1017</v>
      </c>
      <c r="D1252" s="385" t="s">
        <v>1018</v>
      </c>
      <c r="E1252" s="385">
        <v>38</v>
      </c>
      <c r="F1252" s="385" t="s">
        <v>42</v>
      </c>
      <c r="I1252" s="385" t="s">
        <v>3477</v>
      </c>
      <c r="J1252" s="385" t="s">
        <v>3476</v>
      </c>
      <c r="K1252" s="385" t="str">
        <f>VLOOKUP(Table13[[#This Row],[CD_FUNCAO]],'BASE_FUNCOES (hide)'!A:X,2,FALSE)</f>
        <v>Adm. Eletrônica da Prescrição - ADEP</v>
      </c>
    </row>
    <row r="1253" spans="1:11">
      <c r="A1253" s="385">
        <v>5050</v>
      </c>
      <c r="B1253" s="385" t="s">
        <v>5596</v>
      </c>
      <c r="C1253" s="385" t="s">
        <v>5595</v>
      </c>
      <c r="D1253" s="385" t="s">
        <v>5594</v>
      </c>
      <c r="E1253" s="385">
        <v>283</v>
      </c>
      <c r="F1253" s="385" t="s">
        <v>4705</v>
      </c>
      <c r="G1253" s="385" t="s">
        <v>4704</v>
      </c>
      <c r="H1253" s="385" t="s">
        <v>4703</v>
      </c>
      <c r="I1253" s="385" t="s">
        <v>3485</v>
      </c>
      <c r="K1253" s="385" t="e">
        <f>VLOOKUP(Table13[[#This Row],[CD_FUNCAO]],'BASE_FUNCOES (hide)'!A:X,2,FALSE)</f>
        <v>#N/A</v>
      </c>
    </row>
    <row r="1254" spans="1:11" hidden="1">
      <c r="A1254" s="385">
        <v>7015</v>
      </c>
      <c r="B1254" s="385" t="s">
        <v>255</v>
      </c>
      <c r="C1254" s="385" t="s">
        <v>1012</v>
      </c>
      <c r="D1254" s="385" t="s">
        <v>1013</v>
      </c>
      <c r="E1254" s="385">
        <v>38</v>
      </c>
      <c r="F1254" s="385" t="s">
        <v>42</v>
      </c>
      <c r="I1254" s="385" t="s">
        <v>3477</v>
      </c>
      <c r="J1254" s="385" t="s">
        <v>3476</v>
      </c>
      <c r="K1254" s="385" t="str">
        <f>VLOOKUP(Table13[[#This Row],[CD_FUNCAO]],'BASE_FUNCOES (hide)'!A:X,2,FALSE)</f>
        <v>Gestão das Prescrições pela Enfermagem</v>
      </c>
    </row>
    <row r="1255" spans="1:11" hidden="1">
      <c r="A1255" s="385">
        <v>82</v>
      </c>
      <c r="B1255" s="385" t="s">
        <v>1873</v>
      </c>
      <c r="C1255" s="385" t="s">
        <v>1874</v>
      </c>
      <c r="D1255" s="385" t="s">
        <v>1875</v>
      </c>
      <c r="E1255" s="385">
        <v>38</v>
      </c>
      <c r="F1255" s="385" t="s">
        <v>42</v>
      </c>
      <c r="I1255" s="385" t="s">
        <v>3477</v>
      </c>
      <c r="J1255" s="385" t="s">
        <v>3476</v>
      </c>
      <c r="K1255" s="385" t="str">
        <f>VLOOKUP(Table13[[#This Row],[CD_FUNCAO]],'BASE_FUNCOES (hide)'!A:X,2,FALSE)</f>
        <v>Relatório de Conferência da Prescrição</v>
      </c>
    </row>
    <row r="1256" spans="1:11" hidden="1">
      <c r="A1256" s="385">
        <v>932</v>
      </c>
      <c r="B1256" s="385" t="s">
        <v>256</v>
      </c>
      <c r="C1256" s="385" t="s">
        <v>1019</v>
      </c>
      <c r="D1256" s="385" t="s">
        <v>1020</v>
      </c>
      <c r="E1256" s="385">
        <v>38</v>
      </c>
      <c r="F1256" s="385" t="s">
        <v>42</v>
      </c>
      <c r="I1256" s="385" t="s">
        <v>3477</v>
      </c>
      <c r="J1256" s="385" t="s">
        <v>3476</v>
      </c>
      <c r="K1256" s="385" t="str">
        <f>VLOOKUP(Table13[[#This Row],[CD_FUNCAO]],'BASE_FUNCOES (hide)'!A:X,2,FALSE)</f>
        <v>Ocorrências no Turno de Trabalho</v>
      </c>
    </row>
    <row r="1257" spans="1:11">
      <c r="A1257" s="385">
        <v>5484</v>
      </c>
      <c r="B1257" s="385" t="s">
        <v>4759</v>
      </c>
      <c r="C1257" s="385" t="s">
        <v>4758</v>
      </c>
      <c r="D1257" s="385" t="s">
        <v>4757</v>
      </c>
      <c r="E1257" s="385">
        <v>283</v>
      </c>
      <c r="F1257" s="385" t="s">
        <v>4705</v>
      </c>
      <c r="G1257" s="385" t="s">
        <v>4704</v>
      </c>
      <c r="H1257" s="385" t="s">
        <v>4703</v>
      </c>
      <c r="I1257" s="385" t="s">
        <v>3510</v>
      </c>
      <c r="J1257" s="385" t="s">
        <v>3476</v>
      </c>
      <c r="K1257" s="385" t="e">
        <f>VLOOKUP(Table13[[#This Row],[CD_FUNCAO]],'BASE_FUNCOES (hide)'!A:X,2,FALSE)</f>
        <v>#N/A</v>
      </c>
    </row>
    <row r="1258" spans="1:11">
      <c r="A1258" s="385">
        <v>5657</v>
      </c>
      <c r="B1258" s="385" t="s">
        <v>4747</v>
      </c>
      <c r="C1258" s="385" t="s">
        <v>4747</v>
      </c>
      <c r="D1258" s="385" t="s">
        <v>4747</v>
      </c>
      <c r="E1258" s="385">
        <v>283</v>
      </c>
      <c r="F1258" s="385" t="s">
        <v>4705</v>
      </c>
      <c r="G1258" s="385" t="s">
        <v>4704</v>
      </c>
      <c r="H1258" s="385" t="s">
        <v>4703</v>
      </c>
      <c r="I1258" s="385" t="s">
        <v>3485</v>
      </c>
      <c r="J1258" s="385" t="s">
        <v>3476</v>
      </c>
      <c r="K1258" s="385" t="e">
        <f>VLOOKUP(Table13[[#This Row],[CD_FUNCAO]],'BASE_FUNCOES (hide)'!A:X,2,FALSE)</f>
        <v>#N/A</v>
      </c>
    </row>
    <row r="1259" spans="1:11">
      <c r="A1259" s="385">
        <v>5754</v>
      </c>
      <c r="B1259" s="385" t="s">
        <v>4848</v>
      </c>
      <c r="C1259" s="385" t="s">
        <v>4848</v>
      </c>
      <c r="D1259" s="385" t="s">
        <v>4848</v>
      </c>
      <c r="E1259" s="385">
        <v>283</v>
      </c>
      <c r="F1259" s="385" t="s">
        <v>4705</v>
      </c>
      <c r="G1259" s="385" t="s">
        <v>4704</v>
      </c>
      <c r="H1259" s="385" t="s">
        <v>4703</v>
      </c>
      <c r="I1259" s="385" t="s">
        <v>3485</v>
      </c>
      <c r="K1259" s="385" t="e">
        <f>VLOOKUP(Table13[[#This Row],[CD_FUNCAO]],'BASE_FUNCOES (hide)'!A:X,2,FALSE)</f>
        <v>#N/A</v>
      </c>
    </row>
    <row r="1260" spans="1:11">
      <c r="A1260" s="385">
        <v>6002</v>
      </c>
      <c r="B1260" s="385" t="s">
        <v>5796</v>
      </c>
      <c r="C1260" s="385" t="s">
        <v>5795</v>
      </c>
      <c r="D1260" s="385" t="s">
        <v>5794</v>
      </c>
      <c r="E1260" s="385">
        <v>302</v>
      </c>
      <c r="F1260" s="385" t="s">
        <v>409</v>
      </c>
      <c r="G1260" s="385" t="s">
        <v>1467</v>
      </c>
      <c r="H1260" s="385" t="s">
        <v>1469</v>
      </c>
      <c r="I1260" s="385" t="s">
        <v>3485</v>
      </c>
      <c r="K1260" s="385" t="e">
        <f>VLOOKUP(Table13[[#This Row],[CD_FUNCAO]],'BASE_FUNCOES (hide)'!A:X,2,FALSE)</f>
        <v>#N/A</v>
      </c>
    </row>
    <row r="1261" spans="1:11" hidden="1">
      <c r="A1261" s="385">
        <v>10028</v>
      </c>
      <c r="B1261" s="385" t="s">
        <v>348</v>
      </c>
      <c r="C1261" s="385" t="s">
        <v>1030</v>
      </c>
      <c r="D1261" s="385" t="s">
        <v>1031</v>
      </c>
      <c r="E1261" s="385">
        <v>71</v>
      </c>
      <c r="F1261" s="385" t="s">
        <v>257</v>
      </c>
      <c r="I1261" s="385" t="s">
        <v>3477</v>
      </c>
      <c r="K1261" s="385" t="str">
        <f>VLOOKUP(Table13[[#This Row],[CD_FUNCAO]],'BASE_FUNCOES (hide)'!A:X,2,FALSE)</f>
        <v>Emissão de dietas do paciente</v>
      </c>
    </row>
    <row r="1262" spans="1:11" hidden="1">
      <c r="A1262" s="385">
        <v>373</v>
      </c>
      <c r="B1262" s="385" t="s">
        <v>3906</v>
      </c>
      <c r="C1262" s="385" t="s">
        <v>3905</v>
      </c>
      <c r="D1262" s="385" t="s">
        <v>3904</v>
      </c>
      <c r="E1262" s="385">
        <v>71</v>
      </c>
      <c r="F1262" s="385" t="s">
        <v>257</v>
      </c>
      <c r="I1262" s="385" t="s">
        <v>3477</v>
      </c>
      <c r="J1262" s="385" t="s">
        <v>3477</v>
      </c>
      <c r="K1262" s="385" t="str">
        <f>VLOOKUP(Table13[[#This Row],[CD_FUNCAO]],'BASE_FUNCOES (hide)'!A:X,2,FALSE)</f>
        <v>Painel de Serviços da Nutrição </v>
      </c>
    </row>
    <row r="1263" spans="1:11" hidden="1">
      <c r="A1263" s="385">
        <v>1000</v>
      </c>
      <c r="B1263" s="385" t="s">
        <v>261</v>
      </c>
      <c r="C1263" s="385" t="s">
        <v>1027</v>
      </c>
      <c r="D1263" s="385" t="s">
        <v>261</v>
      </c>
      <c r="E1263" s="385">
        <v>71</v>
      </c>
      <c r="F1263" s="385" t="s">
        <v>257</v>
      </c>
      <c r="I1263" s="385" t="s">
        <v>3477</v>
      </c>
      <c r="J1263" s="385" t="s">
        <v>3476</v>
      </c>
      <c r="K1263" s="385" t="str">
        <f>VLOOKUP(Table13[[#This Row],[CD_FUNCAO]],'BASE_FUNCOES (hide)'!A:X,2,FALSE)</f>
        <v>Mapa de Dietas</v>
      </c>
    </row>
    <row r="1264" spans="1:11" hidden="1">
      <c r="A1264" s="385">
        <v>1133</v>
      </c>
      <c r="B1264" s="385" t="s">
        <v>258</v>
      </c>
      <c r="C1264" s="385" t="s">
        <v>1025</v>
      </c>
      <c r="D1264" s="385" t="s">
        <v>1026</v>
      </c>
      <c r="E1264" s="385">
        <v>71</v>
      </c>
      <c r="F1264" s="385" t="s">
        <v>257</v>
      </c>
      <c r="I1264" s="385" t="s">
        <v>3477</v>
      </c>
      <c r="J1264" s="385" t="s">
        <v>3476</v>
      </c>
      <c r="K1264" s="385" t="str">
        <f>VLOOKUP(Table13[[#This Row],[CD_FUNCAO]],'BASE_FUNCOES (hide)'!A:X,2,FALSE)</f>
        <v>Cadastros de Nutrição</v>
      </c>
    </row>
    <row r="1265" spans="1:11" hidden="1">
      <c r="A1265" s="385">
        <v>1003</v>
      </c>
      <c r="B1265" s="385" t="s">
        <v>259</v>
      </c>
      <c r="C1265" s="385" t="s">
        <v>1028</v>
      </c>
      <c r="D1265" s="385" t="s">
        <v>1029</v>
      </c>
      <c r="E1265" s="385">
        <v>71</v>
      </c>
      <c r="F1265" s="385" t="s">
        <v>257</v>
      </c>
      <c r="I1265" s="385" t="s">
        <v>3477</v>
      </c>
      <c r="J1265" s="385" t="s">
        <v>3476</v>
      </c>
      <c r="K1265" s="385" t="str">
        <f>VLOOKUP(Table13[[#This Row],[CD_FUNCAO]],'BASE_FUNCOES (hide)'!A:X,2,FALSE)</f>
        <v>Gestão da Nutrição</v>
      </c>
    </row>
    <row r="1266" spans="1:11" hidden="1">
      <c r="A1266" s="385">
        <v>7026</v>
      </c>
      <c r="B1266" s="385" t="s">
        <v>260</v>
      </c>
      <c r="C1266" s="385" t="s">
        <v>1021</v>
      </c>
      <c r="D1266" s="385" t="s">
        <v>1023</v>
      </c>
      <c r="E1266" s="385">
        <v>71</v>
      </c>
      <c r="F1266" s="385" t="s">
        <v>257</v>
      </c>
      <c r="I1266" s="385" t="s">
        <v>3477</v>
      </c>
      <c r="J1266" s="385" t="s">
        <v>3476</v>
      </c>
      <c r="K1266" s="385" t="str">
        <f>VLOOKUP(Table13[[#This Row],[CD_FUNCAO]],'BASE_FUNCOES (hide)'!A:X,2,FALSE)</f>
        <v>Gestão de Reserva de Refeições</v>
      </c>
    </row>
    <row r="1267" spans="1:11" hidden="1">
      <c r="A1267" s="385">
        <v>912</v>
      </c>
      <c r="B1267" s="385" t="s">
        <v>257</v>
      </c>
      <c r="C1267" s="385" t="s">
        <v>3272</v>
      </c>
      <c r="D1267" s="385" t="s">
        <v>1024</v>
      </c>
      <c r="E1267" s="385">
        <v>71</v>
      </c>
      <c r="F1267" s="385" t="s">
        <v>257</v>
      </c>
      <c r="I1267" s="385" t="s">
        <v>3477</v>
      </c>
      <c r="J1267" s="385" t="s">
        <v>3476</v>
      </c>
      <c r="K1267" s="385" t="str">
        <f>VLOOKUP(Table13[[#This Row],[CD_FUNCAO]],'BASE_FUNCOES (hide)'!A:X,2,FALSE)</f>
        <v>Nutrição</v>
      </c>
    </row>
    <row r="1268" spans="1:11">
      <c r="A1268" s="385">
        <v>6006</v>
      </c>
      <c r="B1268" s="385" t="s">
        <v>5627</v>
      </c>
      <c r="C1268" s="385" t="s">
        <v>5626</v>
      </c>
      <c r="D1268" s="385" t="s">
        <v>5625</v>
      </c>
      <c r="E1268" s="385">
        <v>283</v>
      </c>
      <c r="F1268" s="385" t="s">
        <v>4705</v>
      </c>
      <c r="G1268" s="385" t="s">
        <v>4704</v>
      </c>
      <c r="H1268" s="385" t="s">
        <v>4703</v>
      </c>
      <c r="I1268" s="385" t="s">
        <v>3485</v>
      </c>
      <c r="K1268" s="385" t="e">
        <f>VLOOKUP(Table13[[#This Row],[CD_FUNCAO]],'BASE_FUNCOES (hide)'!A:X,2,FALSE)</f>
        <v>#N/A</v>
      </c>
    </row>
    <row r="1269" spans="1:11" hidden="1">
      <c r="A1269" s="385">
        <v>9901</v>
      </c>
      <c r="B1269" s="385" t="s">
        <v>340</v>
      </c>
      <c r="C1269" s="385" t="s">
        <v>1185</v>
      </c>
      <c r="D1269" s="385" t="s">
        <v>1186</v>
      </c>
      <c r="E1269" s="385">
        <v>212</v>
      </c>
      <c r="F1269" s="385" t="s">
        <v>323</v>
      </c>
      <c r="I1269" s="385" t="s">
        <v>3477</v>
      </c>
      <c r="K1269" s="385" t="str">
        <f>VLOOKUP(Table13[[#This Row],[CD_FUNCAO]],'BASE_FUNCOES (hide)'!A:X,2,FALSE)</f>
        <v>Controle de Água</v>
      </c>
    </row>
    <row r="1270" spans="1:11" hidden="1">
      <c r="A1270" s="385">
        <v>7009</v>
      </c>
      <c r="B1270" s="385" t="s">
        <v>324</v>
      </c>
      <c r="C1270" s="385" t="s">
        <v>1183</v>
      </c>
      <c r="D1270" s="385" t="s">
        <v>3900</v>
      </c>
      <c r="E1270" s="385">
        <v>212</v>
      </c>
      <c r="F1270" s="385" t="s">
        <v>323</v>
      </c>
      <c r="I1270" s="385" t="s">
        <v>3477</v>
      </c>
      <c r="J1270" s="385" t="s">
        <v>3476</v>
      </c>
      <c r="K1270" s="385" t="str">
        <f>VLOOKUP(Table13[[#This Row],[CD_FUNCAO]],'BASE_FUNCOES (hide)'!A:X,2,FALSE)</f>
        <v>Gestão de Insuficiência Renal</v>
      </c>
    </row>
    <row r="1271" spans="1:11">
      <c r="A1271" s="385">
        <v>6201</v>
      </c>
      <c r="B1271" s="385" t="s">
        <v>5336</v>
      </c>
      <c r="C1271" s="385" t="s">
        <v>5335</v>
      </c>
      <c r="D1271" s="385" t="s">
        <v>5334</v>
      </c>
      <c r="E1271" s="385">
        <v>283</v>
      </c>
      <c r="F1271" s="385" t="s">
        <v>4705</v>
      </c>
      <c r="G1271" s="385" t="s">
        <v>4704</v>
      </c>
      <c r="H1271" s="385" t="s">
        <v>4703</v>
      </c>
      <c r="I1271" s="385" t="s">
        <v>3510</v>
      </c>
      <c r="J1271" s="385" t="s">
        <v>3477</v>
      </c>
      <c r="K1271" s="385" t="e">
        <f>VLOOKUP(Table13[[#This Row],[CD_FUNCAO]],'BASE_FUNCOES (hide)'!A:X,2,FALSE)</f>
        <v>#N/A</v>
      </c>
    </row>
    <row r="1272" spans="1:11">
      <c r="A1272" s="385">
        <v>7003</v>
      </c>
      <c r="B1272" s="385" t="s">
        <v>4965</v>
      </c>
      <c r="C1272" s="385" t="s">
        <v>1493</v>
      </c>
      <c r="D1272" s="385" t="s">
        <v>4964</v>
      </c>
      <c r="E1272" s="385">
        <v>283</v>
      </c>
      <c r="F1272" s="385" t="s">
        <v>4705</v>
      </c>
      <c r="G1272" s="385" t="s">
        <v>4704</v>
      </c>
      <c r="H1272" s="385" t="s">
        <v>4703</v>
      </c>
      <c r="I1272" s="385" t="s">
        <v>3477</v>
      </c>
      <c r="J1272" s="385" t="s">
        <v>3476</v>
      </c>
      <c r="K1272" s="385" t="e">
        <f>VLOOKUP(Table13[[#This Row],[CD_FUNCAO]],'BASE_FUNCOES (hide)'!A:X,2,FALSE)</f>
        <v>#N/A</v>
      </c>
    </row>
    <row r="1273" spans="1:11">
      <c r="A1273" s="385">
        <v>7025</v>
      </c>
      <c r="B1273" s="385" t="s">
        <v>4929</v>
      </c>
      <c r="C1273" s="385" t="s">
        <v>4928</v>
      </c>
      <c r="D1273" s="385" t="s">
        <v>4927</v>
      </c>
      <c r="E1273" s="385">
        <v>283</v>
      </c>
      <c r="F1273" s="385" t="s">
        <v>4705</v>
      </c>
      <c r="G1273" s="385" t="s">
        <v>4704</v>
      </c>
      <c r="H1273" s="385" t="s">
        <v>4703</v>
      </c>
      <c r="I1273" s="385" t="s">
        <v>3485</v>
      </c>
      <c r="K1273" s="385" t="e">
        <f>VLOOKUP(Table13[[#This Row],[CD_FUNCAO]],'BASE_FUNCOES (hide)'!A:X,2,FALSE)</f>
        <v>#N/A</v>
      </c>
    </row>
    <row r="1274" spans="1:11">
      <c r="A1274" s="385">
        <v>7033</v>
      </c>
      <c r="B1274" s="385" t="s">
        <v>3636</v>
      </c>
      <c r="C1274" s="385" t="s">
        <v>3635</v>
      </c>
      <c r="D1274" s="385" t="s">
        <v>3634</v>
      </c>
      <c r="E1274" s="385">
        <v>453</v>
      </c>
      <c r="F1274" s="385" t="s">
        <v>423</v>
      </c>
      <c r="I1274" s="385" t="s">
        <v>3488</v>
      </c>
      <c r="J1274" s="385" t="s">
        <v>3477</v>
      </c>
      <c r="K1274" s="385" t="e">
        <f>VLOOKUP(Table13[[#This Row],[CD_FUNCAO]],'BASE_FUNCOES (hide)'!A:X,2,FALSE)</f>
        <v>#N/A</v>
      </c>
    </row>
    <row r="1275" spans="1:11">
      <c r="A1275" s="385">
        <v>7035</v>
      </c>
      <c r="B1275" s="385" t="s">
        <v>4932</v>
      </c>
      <c r="C1275" s="385" t="s">
        <v>4931</v>
      </c>
      <c r="D1275" s="385" t="s">
        <v>4930</v>
      </c>
      <c r="E1275" s="385">
        <v>283</v>
      </c>
      <c r="F1275" s="385" t="s">
        <v>4705</v>
      </c>
      <c r="G1275" s="385" t="s">
        <v>4704</v>
      </c>
      <c r="H1275" s="385" t="s">
        <v>4703</v>
      </c>
      <c r="I1275" s="385" t="s">
        <v>3485</v>
      </c>
      <c r="J1275" s="385" t="s">
        <v>3477</v>
      </c>
      <c r="K1275" s="385" t="e">
        <f>VLOOKUP(Table13[[#This Row],[CD_FUNCAO]],'BASE_FUNCOES (hide)'!A:X,2,FALSE)</f>
        <v>#N/A</v>
      </c>
    </row>
    <row r="1276" spans="1:11">
      <c r="A1276" s="385">
        <v>7040</v>
      </c>
      <c r="B1276" s="385" t="s">
        <v>4918</v>
      </c>
      <c r="C1276" s="385" t="s">
        <v>4917</v>
      </c>
      <c r="D1276" s="385" t="s">
        <v>4916</v>
      </c>
      <c r="E1276" s="385">
        <v>283</v>
      </c>
      <c r="F1276" s="385" t="s">
        <v>4705</v>
      </c>
      <c r="G1276" s="385" t="s">
        <v>4704</v>
      </c>
      <c r="H1276" s="385" t="s">
        <v>4703</v>
      </c>
      <c r="I1276" s="385" t="s">
        <v>3485</v>
      </c>
      <c r="J1276" s="385" t="s">
        <v>3476</v>
      </c>
      <c r="K1276" s="385" t="e">
        <f>VLOOKUP(Table13[[#This Row],[CD_FUNCAO]],'BASE_FUNCOES (hide)'!A:X,2,FALSE)</f>
        <v>#N/A</v>
      </c>
    </row>
    <row r="1277" spans="1:11">
      <c r="A1277" s="385">
        <v>7049</v>
      </c>
      <c r="B1277" s="385" t="s">
        <v>4876</v>
      </c>
      <c r="C1277" s="385" t="s">
        <v>4875</v>
      </c>
      <c r="D1277" s="385" t="s">
        <v>4874</v>
      </c>
      <c r="E1277" s="385">
        <v>283</v>
      </c>
      <c r="F1277" s="385" t="s">
        <v>4705</v>
      </c>
      <c r="G1277" s="385" t="s">
        <v>4704</v>
      </c>
      <c r="H1277" s="385" t="s">
        <v>4703</v>
      </c>
      <c r="I1277" s="385" t="s">
        <v>3488</v>
      </c>
      <c r="K1277" s="385" t="e">
        <f>VLOOKUP(Table13[[#This Row],[CD_FUNCAO]],'BASE_FUNCOES (hide)'!A:X,2,FALSE)</f>
        <v>#N/A</v>
      </c>
    </row>
    <row r="1278" spans="1:11">
      <c r="A1278" s="385">
        <v>7054</v>
      </c>
      <c r="B1278" s="385" t="s">
        <v>5498</v>
      </c>
      <c r="C1278" s="385" t="s">
        <v>5497</v>
      </c>
      <c r="D1278" s="385" t="s">
        <v>5496</v>
      </c>
      <c r="E1278" s="385">
        <v>283</v>
      </c>
      <c r="F1278" s="385" t="s">
        <v>4705</v>
      </c>
      <c r="G1278" s="385" t="s">
        <v>4704</v>
      </c>
      <c r="H1278" s="385" t="s">
        <v>4703</v>
      </c>
      <c r="I1278" s="385" t="s">
        <v>3488</v>
      </c>
      <c r="J1278" s="385" t="s">
        <v>3477</v>
      </c>
      <c r="K1278" s="385" t="e">
        <f>VLOOKUP(Table13[[#This Row],[CD_FUNCAO]],'BASE_FUNCOES (hide)'!A:X,2,FALSE)</f>
        <v>#N/A</v>
      </c>
    </row>
    <row r="1279" spans="1:11">
      <c r="A1279" s="385">
        <v>7070</v>
      </c>
      <c r="B1279" s="385" t="s">
        <v>4850</v>
      </c>
      <c r="C1279" s="385" t="s">
        <v>4850</v>
      </c>
      <c r="D1279" s="385" t="s">
        <v>4850</v>
      </c>
      <c r="E1279" s="385">
        <v>283</v>
      </c>
      <c r="F1279" s="385" t="s">
        <v>4705</v>
      </c>
      <c r="G1279" s="385" t="s">
        <v>4704</v>
      </c>
      <c r="H1279" s="385" t="s">
        <v>4703</v>
      </c>
      <c r="I1279" s="385" t="s">
        <v>3485</v>
      </c>
      <c r="K1279" s="385" t="e">
        <f>VLOOKUP(Table13[[#This Row],[CD_FUNCAO]],'BASE_FUNCOES (hide)'!A:X,2,FALSE)</f>
        <v>#N/A</v>
      </c>
    </row>
    <row r="1280" spans="1:11">
      <c r="A1280" s="385">
        <v>7100</v>
      </c>
      <c r="B1280" s="385" t="s">
        <v>5234</v>
      </c>
      <c r="C1280" s="385" t="s">
        <v>5235</v>
      </c>
      <c r="D1280" s="385" t="s">
        <v>5234</v>
      </c>
      <c r="E1280" s="385">
        <v>283</v>
      </c>
      <c r="F1280" s="385" t="s">
        <v>4705</v>
      </c>
      <c r="G1280" s="385" t="s">
        <v>4704</v>
      </c>
      <c r="H1280" s="385" t="s">
        <v>4703</v>
      </c>
      <c r="I1280" s="385" t="s">
        <v>3485</v>
      </c>
      <c r="J1280" s="385" t="s">
        <v>3477</v>
      </c>
      <c r="K1280" s="385" t="e">
        <f>VLOOKUP(Table13[[#This Row],[CD_FUNCAO]],'BASE_FUNCOES (hide)'!A:X,2,FALSE)</f>
        <v>#N/A</v>
      </c>
    </row>
    <row r="1281" spans="1:11">
      <c r="A1281" s="385">
        <v>7200</v>
      </c>
      <c r="B1281" s="385" t="s">
        <v>4208</v>
      </c>
      <c r="C1281" s="385" t="s">
        <v>4207</v>
      </c>
      <c r="D1281" s="385" t="s">
        <v>4206</v>
      </c>
      <c r="E1281" s="385">
        <v>8</v>
      </c>
      <c r="F1281" s="385" t="s">
        <v>188</v>
      </c>
      <c r="I1281" s="385" t="s">
        <v>3485</v>
      </c>
      <c r="J1281" s="385" t="s">
        <v>3476</v>
      </c>
      <c r="K1281" s="385" t="e">
        <f>VLOOKUP(Table13[[#This Row],[CD_FUNCAO]],'BASE_FUNCOES (hide)'!A:X,2,FALSE)</f>
        <v>#N/A</v>
      </c>
    </row>
    <row r="1282" spans="1:11">
      <c r="A1282" s="385">
        <v>7412</v>
      </c>
      <c r="B1282" s="385" t="s">
        <v>5603</v>
      </c>
      <c r="C1282" s="385" t="s">
        <v>5603</v>
      </c>
      <c r="D1282" s="385" t="s">
        <v>5602</v>
      </c>
      <c r="E1282" s="385">
        <v>283</v>
      </c>
      <c r="F1282" s="385" t="s">
        <v>4705</v>
      </c>
      <c r="G1282" s="385" t="s">
        <v>4704</v>
      </c>
      <c r="H1282" s="385" t="s">
        <v>4703</v>
      </c>
      <c r="I1282" s="385" t="s">
        <v>3485</v>
      </c>
      <c r="K1282" s="385" t="e">
        <f>VLOOKUP(Table13[[#This Row],[CD_FUNCAO]],'BASE_FUNCOES (hide)'!A:X,2,FALSE)</f>
        <v>#N/A</v>
      </c>
    </row>
    <row r="1283" spans="1:11">
      <c r="A1283" s="385">
        <v>7504</v>
      </c>
      <c r="B1283" s="385" t="s">
        <v>5340</v>
      </c>
      <c r="C1283" s="385" t="s">
        <v>5341</v>
      </c>
      <c r="D1283" s="385" t="s">
        <v>5340</v>
      </c>
      <c r="E1283" s="385">
        <v>283</v>
      </c>
      <c r="F1283" s="385" t="s">
        <v>4705</v>
      </c>
      <c r="G1283" s="385" t="s">
        <v>4704</v>
      </c>
      <c r="H1283" s="385" t="s">
        <v>4703</v>
      </c>
      <c r="I1283" s="385" t="s">
        <v>3488</v>
      </c>
      <c r="J1283" s="385" t="s">
        <v>3477</v>
      </c>
      <c r="K1283" s="385" t="e">
        <f>VLOOKUP(Table13[[#This Row],[CD_FUNCAO]],'BASE_FUNCOES (hide)'!A:X,2,FALSE)</f>
        <v>#N/A</v>
      </c>
    </row>
    <row r="1284" spans="1:11">
      <c r="A1284" s="385">
        <v>7505</v>
      </c>
      <c r="B1284" s="385" t="s">
        <v>4219</v>
      </c>
      <c r="C1284" s="385" t="s">
        <v>4218</v>
      </c>
      <c r="D1284" s="385" t="s">
        <v>4217</v>
      </c>
      <c r="E1284" s="385">
        <v>7</v>
      </c>
      <c r="F1284" s="385" t="s">
        <v>15</v>
      </c>
      <c r="I1284" s="385" t="s">
        <v>3488</v>
      </c>
      <c r="J1284" s="385" t="s">
        <v>3476</v>
      </c>
      <c r="K1284" s="385" t="e">
        <f>VLOOKUP(Table13[[#This Row],[CD_FUNCAO]],'BASE_FUNCOES (hide)'!A:X,2,FALSE)</f>
        <v>#N/A</v>
      </c>
    </row>
    <row r="1285" spans="1:11">
      <c r="A1285" s="385">
        <v>8008</v>
      </c>
      <c r="B1285" s="385" t="s">
        <v>4172</v>
      </c>
      <c r="C1285" s="385" t="s">
        <v>4171</v>
      </c>
      <c r="D1285" s="385" t="s">
        <v>4170</v>
      </c>
      <c r="E1285" s="385">
        <v>10</v>
      </c>
      <c r="F1285" s="385" t="s">
        <v>213</v>
      </c>
      <c r="I1285" s="385" t="s">
        <v>3510</v>
      </c>
      <c r="J1285" s="385" t="s">
        <v>3476</v>
      </c>
      <c r="K1285" s="385" t="e">
        <f>VLOOKUP(Table13[[#This Row],[CD_FUNCAO]],'BASE_FUNCOES (hide)'!A:X,2,FALSE)</f>
        <v>#N/A</v>
      </c>
    </row>
    <row r="1286" spans="1:11">
      <c r="A1286" s="385">
        <v>8012</v>
      </c>
      <c r="B1286" s="385" t="s">
        <v>4012</v>
      </c>
      <c r="C1286" s="385" t="s">
        <v>4011</v>
      </c>
      <c r="D1286" s="385" t="s">
        <v>4010</v>
      </c>
      <c r="E1286" s="385">
        <v>26</v>
      </c>
      <c r="F1286" s="385" t="s">
        <v>237</v>
      </c>
      <c r="I1286" s="385" t="s">
        <v>3510</v>
      </c>
      <c r="J1286" s="385" t="s">
        <v>3476</v>
      </c>
      <c r="K1286" s="385" t="e">
        <f>VLOOKUP(Table13[[#This Row],[CD_FUNCAO]],'BASE_FUNCOES (hide)'!A:X,2,FALSE)</f>
        <v>#N/A</v>
      </c>
    </row>
    <row r="1287" spans="1:11">
      <c r="A1287" s="385">
        <v>8013</v>
      </c>
      <c r="B1287" s="385" t="s">
        <v>4912</v>
      </c>
      <c r="C1287" s="385" t="s">
        <v>4911</v>
      </c>
      <c r="D1287" s="385" t="s">
        <v>4910</v>
      </c>
      <c r="E1287" s="385">
        <v>283</v>
      </c>
      <c r="F1287" s="385" t="s">
        <v>4705</v>
      </c>
      <c r="G1287" s="385" t="s">
        <v>4704</v>
      </c>
      <c r="H1287" s="385" t="s">
        <v>4703</v>
      </c>
      <c r="I1287" s="385" t="s">
        <v>3485</v>
      </c>
      <c r="K1287" s="385" t="e">
        <f>VLOOKUP(Table13[[#This Row],[CD_FUNCAO]],'BASE_FUNCOES (hide)'!A:X,2,FALSE)</f>
        <v>#N/A</v>
      </c>
    </row>
    <row r="1288" spans="1:11">
      <c r="A1288" s="385">
        <v>8015</v>
      </c>
      <c r="B1288" s="385" t="s">
        <v>4926</v>
      </c>
      <c r="C1288" s="385" t="s">
        <v>4925</v>
      </c>
      <c r="D1288" s="385" t="s">
        <v>4924</v>
      </c>
      <c r="E1288" s="385">
        <v>283</v>
      </c>
      <c r="F1288" s="385" t="s">
        <v>4705</v>
      </c>
      <c r="G1288" s="385" t="s">
        <v>4704</v>
      </c>
      <c r="H1288" s="385" t="s">
        <v>4703</v>
      </c>
      <c r="I1288" s="385" t="s">
        <v>3485</v>
      </c>
      <c r="K1288" s="385" t="e">
        <f>VLOOKUP(Table13[[#This Row],[CD_FUNCAO]],'BASE_FUNCOES (hide)'!A:X,2,FALSE)</f>
        <v>#N/A</v>
      </c>
    </row>
    <row r="1289" spans="1:11">
      <c r="A1289" s="385">
        <v>8040</v>
      </c>
      <c r="B1289" s="385" t="s">
        <v>4898</v>
      </c>
      <c r="C1289" s="385" t="s">
        <v>4897</v>
      </c>
      <c r="D1289" s="385" t="s">
        <v>4896</v>
      </c>
      <c r="E1289" s="385">
        <v>283</v>
      </c>
      <c r="F1289" s="385" t="s">
        <v>4705</v>
      </c>
      <c r="G1289" s="385" t="s">
        <v>4704</v>
      </c>
      <c r="H1289" s="385" t="s">
        <v>4703</v>
      </c>
      <c r="I1289" s="385" t="s">
        <v>3510</v>
      </c>
      <c r="K1289" s="385" t="e">
        <f>VLOOKUP(Table13[[#This Row],[CD_FUNCAO]],'BASE_FUNCOES (hide)'!A:X,2,FALSE)</f>
        <v>#N/A</v>
      </c>
    </row>
    <row r="1290" spans="1:11">
      <c r="A1290" s="385">
        <v>8046</v>
      </c>
      <c r="B1290" s="385" t="s">
        <v>5369</v>
      </c>
      <c r="C1290" s="385" t="s">
        <v>5368</v>
      </c>
      <c r="D1290" s="385" t="s">
        <v>5367</v>
      </c>
      <c r="E1290" s="385">
        <v>283</v>
      </c>
      <c r="F1290" s="385" t="s">
        <v>4705</v>
      </c>
      <c r="G1290" s="385" t="s">
        <v>4704</v>
      </c>
      <c r="H1290" s="385" t="s">
        <v>4703</v>
      </c>
      <c r="I1290" s="385" t="s">
        <v>3510</v>
      </c>
      <c r="J1290" s="385" t="s">
        <v>3477</v>
      </c>
      <c r="K1290" s="385" t="e">
        <f>VLOOKUP(Table13[[#This Row],[CD_FUNCAO]],'BASE_FUNCOES (hide)'!A:X,2,FALSE)</f>
        <v>#N/A</v>
      </c>
    </row>
    <row r="1291" spans="1:11">
      <c r="A1291" s="385">
        <v>8047</v>
      </c>
      <c r="B1291" s="385" t="s">
        <v>5316</v>
      </c>
      <c r="C1291" s="385" t="s">
        <v>5315</v>
      </c>
      <c r="D1291" s="385" t="s">
        <v>5314</v>
      </c>
      <c r="E1291" s="385">
        <v>283</v>
      </c>
      <c r="F1291" s="385" t="s">
        <v>4705</v>
      </c>
      <c r="G1291" s="385" t="s">
        <v>4704</v>
      </c>
      <c r="H1291" s="385" t="s">
        <v>4703</v>
      </c>
      <c r="I1291" s="385" t="s">
        <v>3510</v>
      </c>
      <c r="J1291" s="385" t="s">
        <v>3477</v>
      </c>
      <c r="K1291" s="385" t="e">
        <f>VLOOKUP(Table13[[#This Row],[CD_FUNCAO]],'BASE_FUNCOES (hide)'!A:X,2,FALSE)</f>
        <v>#N/A</v>
      </c>
    </row>
    <row r="1292" spans="1:11">
      <c r="A1292" s="385">
        <v>8048</v>
      </c>
      <c r="B1292" s="385" t="s">
        <v>5298</v>
      </c>
      <c r="C1292" s="385" t="s">
        <v>5297</v>
      </c>
      <c r="D1292" s="385" t="s">
        <v>5296</v>
      </c>
      <c r="E1292" s="385">
        <v>283</v>
      </c>
      <c r="F1292" s="385" t="s">
        <v>4705</v>
      </c>
      <c r="G1292" s="385" t="s">
        <v>4704</v>
      </c>
      <c r="H1292" s="385" t="s">
        <v>4703</v>
      </c>
      <c r="I1292" s="385" t="s">
        <v>3510</v>
      </c>
      <c r="J1292" s="385" t="s">
        <v>3477</v>
      </c>
      <c r="K1292" s="385" t="e">
        <f>VLOOKUP(Table13[[#This Row],[CD_FUNCAO]],'BASE_FUNCOES (hide)'!A:X,2,FALSE)</f>
        <v>#N/A</v>
      </c>
    </row>
    <row r="1293" spans="1:11">
      <c r="A1293" s="385">
        <v>8049</v>
      </c>
      <c r="B1293" s="385" t="s">
        <v>5306</v>
      </c>
      <c r="C1293" s="385" t="s">
        <v>5305</v>
      </c>
      <c r="D1293" s="385" t="s">
        <v>5304</v>
      </c>
      <c r="E1293" s="385">
        <v>283</v>
      </c>
      <c r="F1293" s="385" t="s">
        <v>4705</v>
      </c>
      <c r="G1293" s="385" t="s">
        <v>4704</v>
      </c>
      <c r="H1293" s="385" t="s">
        <v>4703</v>
      </c>
      <c r="I1293" s="385" t="s">
        <v>3510</v>
      </c>
      <c r="J1293" s="385" t="s">
        <v>3477</v>
      </c>
      <c r="K1293" s="385" t="e">
        <f>VLOOKUP(Table13[[#This Row],[CD_FUNCAO]],'BASE_FUNCOES (hide)'!A:X,2,FALSE)</f>
        <v>#N/A</v>
      </c>
    </row>
    <row r="1294" spans="1:11">
      <c r="A1294" s="385">
        <v>8050</v>
      </c>
      <c r="B1294" s="385" t="s">
        <v>4154</v>
      </c>
      <c r="C1294" s="385" t="s">
        <v>4153</v>
      </c>
      <c r="D1294" s="385" t="s">
        <v>4152</v>
      </c>
      <c r="E1294" s="385">
        <v>10</v>
      </c>
      <c r="F1294" s="385" t="s">
        <v>213</v>
      </c>
      <c r="I1294" s="385" t="s">
        <v>3488</v>
      </c>
      <c r="J1294" s="385" t="s">
        <v>3476</v>
      </c>
      <c r="K1294" s="385" t="e">
        <f>VLOOKUP(Table13[[#This Row],[CD_FUNCAO]],'BASE_FUNCOES (hide)'!A:X,2,FALSE)</f>
        <v>#N/A</v>
      </c>
    </row>
    <row r="1295" spans="1:11">
      <c r="A1295" s="385">
        <v>8055</v>
      </c>
      <c r="B1295" s="385" t="s">
        <v>5702</v>
      </c>
      <c r="C1295" s="385" t="s">
        <v>5701</v>
      </c>
      <c r="D1295" s="385" t="s">
        <v>5700</v>
      </c>
      <c r="E1295" s="385">
        <v>283</v>
      </c>
      <c r="F1295" s="385" t="s">
        <v>4705</v>
      </c>
      <c r="G1295" s="385" t="s">
        <v>4704</v>
      </c>
      <c r="H1295" s="385" t="s">
        <v>4703</v>
      </c>
      <c r="I1295" s="385" t="s">
        <v>3477</v>
      </c>
      <c r="J1295" s="385" t="s">
        <v>3476</v>
      </c>
      <c r="K1295" s="385" t="e">
        <f>VLOOKUP(Table13[[#This Row],[CD_FUNCAO]],'BASE_FUNCOES (hide)'!A:X,2,FALSE)</f>
        <v>#N/A</v>
      </c>
    </row>
    <row r="1296" spans="1:11">
      <c r="A1296" s="385">
        <v>9006</v>
      </c>
      <c r="B1296" s="385" t="s">
        <v>322</v>
      </c>
      <c r="C1296" s="385" t="s">
        <v>4369</v>
      </c>
      <c r="D1296" s="385" t="s">
        <v>322</v>
      </c>
      <c r="E1296" s="385">
        <v>87</v>
      </c>
      <c r="F1296" s="385" t="s">
        <v>3475</v>
      </c>
      <c r="G1296" s="385" t="s">
        <v>852</v>
      </c>
      <c r="H1296" s="385" t="s">
        <v>1</v>
      </c>
      <c r="I1296" s="385" t="s">
        <v>3485</v>
      </c>
      <c r="J1296" s="385" t="s">
        <v>3477</v>
      </c>
      <c r="K1296" s="385" t="e">
        <f>VLOOKUP(Table13[[#This Row],[CD_FUNCAO]],'BASE_FUNCOES (hide)'!A:X,2,FALSE)</f>
        <v>#N/A</v>
      </c>
    </row>
    <row r="1297" spans="1:11">
      <c r="A1297" s="385">
        <v>9009</v>
      </c>
      <c r="B1297" s="385" t="s">
        <v>4336</v>
      </c>
      <c r="C1297" s="385" t="s">
        <v>1091</v>
      </c>
      <c r="D1297" s="385" t="s">
        <v>4335</v>
      </c>
      <c r="E1297" s="385">
        <v>88</v>
      </c>
      <c r="F1297" s="385" t="s">
        <v>16</v>
      </c>
      <c r="G1297" s="385" t="s">
        <v>1066</v>
      </c>
      <c r="H1297" s="385" t="s">
        <v>1068</v>
      </c>
      <c r="I1297" s="385" t="s">
        <v>3485</v>
      </c>
      <c r="J1297" s="385" t="s">
        <v>3476</v>
      </c>
      <c r="K1297" s="385" t="e">
        <f>VLOOKUP(Table13[[#This Row],[CD_FUNCAO]],'BASE_FUNCOES (hide)'!A:X,2,FALSE)</f>
        <v>#N/A</v>
      </c>
    </row>
    <row r="1298" spans="1:11">
      <c r="A1298" s="385">
        <v>9018</v>
      </c>
      <c r="B1298" s="385" t="s">
        <v>4283</v>
      </c>
      <c r="C1298" s="385" t="s">
        <v>4282</v>
      </c>
      <c r="D1298" s="385" t="s">
        <v>4281</v>
      </c>
      <c r="E1298" s="385">
        <v>3</v>
      </c>
      <c r="F1298" s="385" t="s">
        <v>149</v>
      </c>
      <c r="G1298" s="385" t="s">
        <v>468</v>
      </c>
      <c r="H1298" s="385" t="s">
        <v>470</v>
      </c>
      <c r="I1298" s="385" t="s">
        <v>3488</v>
      </c>
      <c r="J1298" s="385" t="s">
        <v>3476</v>
      </c>
      <c r="K1298" s="385" t="e">
        <f>VLOOKUP(Table13[[#This Row],[CD_FUNCAO]],'BASE_FUNCOES (hide)'!A:X,2,FALSE)</f>
        <v>#N/A</v>
      </c>
    </row>
    <row r="1299" spans="1:11">
      <c r="A1299" s="385">
        <v>9025</v>
      </c>
      <c r="B1299" s="385" t="s">
        <v>5348</v>
      </c>
      <c r="C1299" s="385" t="s">
        <v>5349</v>
      </c>
      <c r="D1299" s="385" t="s">
        <v>5348</v>
      </c>
      <c r="E1299" s="385">
        <v>283</v>
      </c>
      <c r="F1299" s="385" t="s">
        <v>4705</v>
      </c>
      <c r="G1299" s="385" t="s">
        <v>4704</v>
      </c>
      <c r="H1299" s="385" t="s">
        <v>4703</v>
      </c>
      <c r="I1299" s="385" t="s">
        <v>3488</v>
      </c>
      <c r="J1299" s="385" t="s">
        <v>3477</v>
      </c>
      <c r="K1299" s="385" t="e">
        <f>VLOOKUP(Table13[[#This Row],[CD_FUNCAO]],'BASE_FUNCOES (hide)'!A:X,2,FALSE)</f>
        <v>#N/A</v>
      </c>
    </row>
    <row r="1300" spans="1:11">
      <c r="A1300" s="385">
        <v>9031</v>
      </c>
      <c r="B1300" s="385" t="s">
        <v>4890</v>
      </c>
      <c r="C1300" s="385" t="s">
        <v>4890</v>
      </c>
      <c r="D1300" s="385" t="s">
        <v>4890</v>
      </c>
      <c r="E1300" s="385">
        <v>283</v>
      </c>
      <c r="F1300" s="385" t="s">
        <v>4705</v>
      </c>
      <c r="G1300" s="385" t="s">
        <v>4704</v>
      </c>
      <c r="H1300" s="385" t="s">
        <v>4703</v>
      </c>
      <c r="I1300" s="385" t="s">
        <v>3485</v>
      </c>
      <c r="K1300" s="385" t="e">
        <f>VLOOKUP(Table13[[#This Row],[CD_FUNCAO]],'BASE_FUNCOES (hide)'!A:X,2,FALSE)</f>
        <v>#N/A</v>
      </c>
    </row>
    <row r="1301" spans="1:11">
      <c r="A1301" s="385">
        <v>9033</v>
      </c>
      <c r="B1301" s="385" t="s">
        <v>4886</v>
      </c>
      <c r="C1301" s="385" t="s">
        <v>4885</v>
      </c>
      <c r="D1301" s="385" t="s">
        <v>4884</v>
      </c>
      <c r="E1301" s="385">
        <v>283</v>
      </c>
      <c r="F1301" s="385" t="s">
        <v>4705</v>
      </c>
      <c r="G1301" s="385" t="s">
        <v>4704</v>
      </c>
      <c r="H1301" s="385" t="s">
        <v>4703</v>
      </c>
      <c r="I1301" s="385" t="s">
        <v>3510</v>
      </c>
      <c r="K1301" s="385" t="e">
        <f>VLOOKUP(Table13[[#This Row],[CD_FUNCAO]],'BASE_FUNCOES (hide)'!A:X,2,FALSE)</f>
        <v>#N/A</v>
      </c>
    </row>
    <row r="1302" spans="1:11">
      <c r="A1302" s="385">
        <v>9034</v>
      </c>
      <c r="B1302" s="385" t="s">
        <v>4880</v>
      </c>
      <c r="C1302" s="385" t="s">
        <v>4880</v>
      </c>
      <c r="D1302" s="385" t="s">
        <v>4880</v>
      </c>
      <c r="E1302" s="385">
        <v>283</v>
      </c>
      <c r="F1302" s="385" t="s">
        <v>4705</v>
      </c>
      <c r="G1302" s="385" t="s">
        <v>4704</v>
      </c>
      <c r="H1302" s="385" t="s">
        <v>4703</v>
      </c>
      <c r="I1302" s="385" t="s">
        <v>3485</v>
      </c>
      <c r="K1302" s="385" t="e">
        <f>VLOOKUP(Table13[[#This Row],[CD_FUNCAO]],'BASE_FUNCOES (hide)'!A:X,2,FALSE)</f>
        <v>#N/A</v>
      </c>
    </row>
    <row r="1303" spans="1:11">
      <c r="A1303" s="385">
        <v>9035</v>
      </c>
      <c r="B1303" s="385" t="s">
        <v>4879</v>
      </c>
      <c r="C1303" s="385" t="s">
        <v>4879</v>
      </c>
      <c r="D1303" s="385" t="s">
        <v>4879</v>
      </c>
      <c r="E1303" s="385">
        <v>283</v>
      </c>
      <c r="F1303" s="385" t="s">
        <v>4705</v>
      </c>
      <c r="G1303" s="385" t="s">
        <v>4704</v>
      </c>
      <c r="H1303" s="385" t="s">
        <v>4703</v>
      </c>
      <c r="I1303" s="385" t="s">
        <v>3485</v>
      </c>
      <c r="K1303" s="385" t="e">
        <f>VLOOKUP(Table13[[#This Row],[CD_FUNCAO]],'BASE_FUNCOES (hide)'!A:X,2,FALSE)</f>
        <v>#N/A</v>
      </c>
    </row>
    <row r="1304" spans="1:11">
      <c r="A1304" s="385">
        <v>9036</v>
      </c>
      <c r="B1304" s="385" t="s">
        <v>4878</v>
      </c>
      <c r="C1304" s="385" t="s">
        <v>4878</v>
      </c>
      <c r="D1304" s="385" t="s">
        <v>4878</v>
      </c>
      <c r="E1304" s="385">
        <v>283</v>
      </c>
      <c r="F1304" s="385" t="s">
        <v>4705</v>
      </c>
      <c r="G1304" s="385" t="s">
        <v>4704</v>
      </c>
      <c r="H1304" s="385" t="s">
        <v>4703</v>
      </c>
      <c r="I1304" s="385" t="s">
        <v>3485</v>
      </c>
      <c r="K1304" s="385" t="e">
        <f>VLOOKUP(Table13[[#This Row],[CD_FUNCAO]],'BASE_FUNCOES (hide)'!A:X,2,FALSE)</f>
        <v>#N/A</v>
      </c>
    </row>
    <row r="1305" spans="1:11">
      <c r="A1305" s="385">
        <v>9038</v>
      </c>
      <c r="B1305" s="385" t="s">
        <v>4877</v>
      </c>
      <c r="C1305" s="385" t="s">
        <v>4877</v>
      </c>
      <c r="D1305" s="385" t="s">
        <v>4877</v>
      </c>
      <c r="E1305" s="385">
        <v>283</v>
      </c>
      <c r="F1305" s="385" t="s">
        <v>4705</v>
      </c>
      <c r="G1305" s="385" t="s">
        <v>4704</v>
      </c>
      <c r="H1305" s="385" t="s">
        <v>4703</v>
      </c>
      <c r="I1305" s="385" t="s">
        <v>3485</v>
      </c>
      <c r="K1305" s="385" t="e">
        <f>VLOOKUP(Table13[[#This Row],[CD_FUNCAO]],'BASE_FUNCOES (hide)'!A:X,2,FALSE)</f>
        <v>#N/A</v>
      </c>
    </row>
    <row r="1306" spans="1:11">
      <c r="A1306" s="385">
        <v>9040</v>
      </c>
      <c r="B1306" s="385" t="s">
        <v>5633</v>
      </c>
      <c r="C1306" s="385" t="s">
        <v>5632</v>
      </c>
      <c r="D1306" s="385" t="s">
        <v>5631</v>
      </c>
      <c r="E1306" s="385">
        <v>283</v>
      </c>
      <c r="F1306" s="385" t="s">
        <v>4705</v>
      </c>
      <c r="G1306" s="385" t="s">
        <v>4704</v>
      </c>
      <c r="H1306" s="385" t="s">
        <v>4703</v>
      </c>
      <c r="I1306" s="385" t="s">
        <v>3488</v>
      </c>
      <c r="K1306" s="385" t="e">
        <f>VLOOKUP(Table13[[#This Row],[CD_FUNCAO]],'BASE_FUNCOES (hide)'!A:X,2,FALSE)</f>
        <v>#N/A</v>
      </c>
    </row>
    <row r="1307" spans="1:11">
      <c r="A1307" s="385">
        <v>9050</v>
      </c>
      <c r="B1307" s="385" t="s">
        <v>4823</v>
      </c>
      <c r="C1307" s="385" t="s">
        <v>4823</v>
      </c>
      <c r="D1307" s="385" t="s">
        <v>4823</v>
      </c>
      <c r="E1307" s="385">
        <v>283</v>
      </c>
      <c r="F1307" s="385" t="s">
        <v>4705</v>
      </c>
      <c r="G1307" s="385" t="s">
        <v>4704</v>
      </c>
      <c r="H1307" s="385" t="s">
        <v>4703</v>
      </c>
      <c r="I1307" s="385" t="s">
        <v>3485</v>
      </c>
      <c r="K1307" s="385" t="e">
        <f>VLOOKUP(Table13[[#This Row],[CD_FUNCAO]],'BASE_FUNCOES (hide)'!A:X,2,FALSE)</f>
        <v>#N/A</v>
      </c>
    </row>
    <row r="1308" spans="1:11">
      <c r="A1308" s="385">
        <v>9055</v>
      </c>
      <c r="B1308" s="385" t="s">
        <v>4795</v>
      </c>
      <c r="C1308" s="385" t="s">
        <v>4794</v>
      </c>
      <c r="D1308" s="385" t="s">
        <v>4793</v>
      </c>
      <c r="E1308" s="385">
        <v>283</v>
      </c>
      <c r="F1308" s="385" t="s">
        <v>4705</v>
      </c>
      <c r="G1308" s="385" t="s">
        <v>4704</v>
      </c>
      <c r="H1308" s="385" t="s">
        <v>4703</v>
      </c>
      <c r="I1308" s="385" t="s">
        <v>3485</v>
      </c>
      <c r="J1308" s="385" t="s">
        <v>3476</v>
      </c>
      <c r="K1308" s="385" t="e">
        <f>VLOOKUP(Table13[[#This Row],[CD_FUNCAO]],'BASE_FUNCOES (hide)'!A:X,2,FALSE)</f>
        <v>#N/A</v>
      </c>
    </row>
    <row r="1309" spans="1:11">
      <c r="A1309" s="385">
        <v>9062</v>
      </c>
      <c r="B1309" s="385" t="s">
        <v>5492</v>
      </c>
      <c r="C1309" s="385" t="s">
        <v>5491</v>
      </c>
      <c r="D1309" s="385" t="s">
        <v>5490</v>
      </c>
      <c r="E1309" s="385">
        <v>283</v>
      </c>
      <c r="F1309" s="385" t="s">
        <v>4705</v>
      </c>
      <c r="G1309" s="385" t="s">
        <v>4704</v>
      </c>
      <c r="H1309" s="385" t="s">
        <v>4703</v>
      </c>
      <c r="I1309" s="385" t="s">
        <v>3510</v>
      </c>
      <c r="J1309" s="385" t="s">
        <v>3477</v>
      </c>
      <c r="K1309" s="385" t="e">
        <f>VLOOKUP(Table13[[#This Row],[CD_FUNCAO]],'BASE_FUNCOES (hide)'!A:X,2,FALSE)</f>
        <v>#N/A</v>
      </c>
    </row>
    <row r="1310" spans="1:11">
      <c r="A1310" s="385">
        <v>9063</v>
      </c>
      <c r="B1310" s="385" t="s">
        <v>5444</v>
      </c>
      <c r="C1310" s="385" t="s">
        <v>5443</v>
      </c>
      <c r="D1310" s="385" t="s">
        <v>5442</v>
      </c>
      <c r="E1310" s="385">
        <v>283</v>
      </c>
      <c r="F1310" s="385" t="s">
        <v>4705</v>
      </c>
      <c r="G1310" s="385" t="s">
        <v>4704</v>
      </c>
      <c r="H1310" s="385" t="s">
        <v>4703</v>
      </c>
      <c r="I1310" s="385" t="s">
        <v>3510</v>
      </c>
      <c r="J1310" s="385" t="s">
        <v>3477</v>
      </c>
      <c r="K1310" s="385" t="e">
        <f>VLOOKUP(Table13[[#This Row],[CD_FUNCAO]],'BASE_FUNCOES (hide)'!A:X,2,FALSE)</f>
        <v>#N/A</v>
      </c>
    </row>
    <row r="1311" spans="1:11" hidden="1">
      <c r="A1311" s="385">
        <v>1274</v>
      </c>
      <c r="B1311" s="385" t="s">
        <v>1569</v>
      </c>
      <c r="C1311" s="385" t="s">
        <v>1570</v>
      </c>
      <c r="D1311" s="385" t="s">
        <v>1571</v>
      </c>
      <c r="E1311" s="385">
        <v>693</v>
      </c>
      <c r="F1311" s="385" t="s">
        <v>1568</v>
      </c>
      <c r="I1311" s="385" t="s">
        <v>3477</v>
      </c>
      <c r="J1311" s="385" t="s">
        <v>3477</v>
      </c>
      <c r="K1311" s="385" t="str">
        <f>VLOOKUP(Table13[[#This Row],[CD_FUNCAO]],'BASE_FUNCOES (hide)'!A:X,2,FALSE)</f>
        <v>Gestão de Atendimentos (Call Center)</v>
      </c>
    </row>
    <row r="1312" spans="1:11">
      <c r="A1312" s="385">
        <v>9064</v>
      </c>
      <c r="B1312" s="385" t="s">
        <v>5441</v>
      </c>
      <c r="C1312" s="385" t="s">
        <v>5440</v>
      </c>
      <c r="D1312" s="385" t="s">
        <v>5439</v>
      </c>
      <c r="E1312" s="385">
        <v>283</v>
      </c>
      <c r="F1312" s="385" t="s">
        <v>4705</v>
      </c>
      <c r="G1312" s="385" t="s">
        <v>4704</v>
      </c>
      <c r="H1312" s="385" t="s">
        <v>4703</v>
      </c>
      <c r="I1312" s="385" t="s">
        <v>3510</v>
      </c>
      <c r="J1312" s="385" t="s">
        <v>3477</v>
      </c>
      <c r="K1312" s="385" t="e">
        <f>VLOOKUP(Table13[[#This Row],[CD_FUNCAO]],'BASE_FUNCOES (hide)'!A:X,2,FALSE)</f>
        <v>#N/A</v>
      </c>
    </row>
    <row r="1313" spans="1:11">
      <c r="A1313" s="385">
        <v>9065</v>
      </c>
      <c r="B1313" s="385" t="s">
        <v>5438</v>
      </c>
      <c r="C1313" s="385" t="s">
        <v>5437</v>
      </c>
      <c r="D1313" s="385" t="s">
        <v>5436</v>
      </c>
      <c r="E1313" s="385">
        <v>283</v>
      </c>
      <c r="F1313" s="385" t="s">
        <v>4705</v>
      </c>
      <c r="G1313" s="385" t="s">
        <v>4704</v>
      </c>
      <c r="H1313" s="385" t="s">
        <v>4703</v>
      </c>
      <c r="I1313" s="385" t="s">
        <v>3510</v>
      </c>
      <c r="J1313" s="385" t="s">
        <v>3477</v>
      </c>
      <c r="K1313" s="385" t="e">
        <f>VLOOKUP(Table13[[#This Row],[CD_FUNCAO]],'BASE_FUNCOES (hide)'!A:X,2,FALSE)</f>
        <v>#N/A</v>
      </c>
    </row>
    <row r="1314" spans="1:11">
      <c r="A1314" s="385">
        <v>9070</v>
      </c>
      <c r="B1314" s="385" t="s">
        <v>5604</v>
      </c>
      <c r="C1314" s="385" t="s">
        <v>5604</v>
      </c>
      <c r="D1314" s="385" t="s">
        <v>5604</v>
      </c>
      <c r="E1314" s="385">
        <v>283</v>
      </c>
      <c r="F1314" s="385" t="s">
        <v>4705</v>
      </c>
      <c r="G1314" s="385" t="s">
        <v>4704</v>
      </c>
      <c r="H1314" s="385" t="s">
        <v>4703</v>
      </c>
      <c r="I1314" s="385" t="s">
        <v>3485</v>
      </c>
      <c r="K1314" s="385" t="e">
        <f>VLOOKUP(Table13[[#This Row],[CD_FUNCAO]],'BASE_FUNCOES (hide)'!A:X,2,FALSE)</f>
        <v>#N/A</v>
      </c>
    </row>
    <row r="1315" spans="1:11">
      <c r="A1315" s="385">
        <v>9090</v>
      </c>
      <c r="B1315" s="385" t="s">
        <v>4822</v>
      </c>
      <c r="C1315" s="385" t="s">
        <v>4821</v>
      </c>
      <c r="D1315" s="385" t="s">
        <v>4820</v>
      </c>
      <c r="E1315" s="385">
        <v>283</v>
      </c>
      <c r="F1315" s="385" t="s">
        <v>4705</v>
      </c>
      <c r="G1315" s="385" t="s">
        <v>4704</v>
      </c>
      <c r="H1315" s="385" t="s">
        <v>4703</v>
      </c>
      <c r="I1315" s="385" t="s">
        <v>3488</v>
      </c>
      <c r="J1315" s="385" t="s">
        <v>3476</v>
      </c>
      <c r="K1315" s="385" t="e">
        <f>VLOOKUP(Table13[[#This Row],[CD_FUNCAO]],'BASE_FUNCOES (hide)'!A:X,2,FALSE)</f>
        <v>#N/A</v>
      </c>
    </row>
    <row r="1316" spans="1:11">
      <c r="A1316" s="385">
        <v>9092</v>
      </c>
      <c r="B1316" s="385" t="s">
        <v>4807</v>
      </c>
      <c r="C1316" s="385" t="s">
        <v>4807</v>
      </c>
      <c r="D1316" s="385" t="s">
        <v>4807</v>
      </c>
      <c r="E1316" s="385">
        <v>283</v>
      </c>
      <c r="F1316" s="385" t="s">
        <v>4705</v>
      </c>
      <c r="G1316" s="385" t="s">
        <v>4704</v>
      </c>
      <c r="H1316" s="385" t="s">
        <v>4703</v>
      </c>
      <c r="I1316" s="385" t="s">
        <v>3485</v>
      </c>
      <c r="K1316" s="385" t="e">
        <f>VLOOKUP(Table13[[#This Row],[CD_FUNCAO]],'BASE_FUNCOES (hide)'!A:X,2,FALSE)</f>
        <v>#N/A</v>
      </c>
    </row>
    <row r="1317" spans="1:11">
      <c r="A1317" s="385">
        <v>9096</v>
      </c>
      <c r="B1317" s="385" t="s">
        <v>5435</v>
      </c>
      <c r="C1317" s="385" t="s">
        <v>5434</v>
      </c>
      <c r="D1317" s="385" t="s">
        <v>5433</v>
      </c>
      <c r="E1317" s="385">
        <v>283</v>
      </c>
      <c r="F1317" s="385" t="s">
        <v>4705</v>
      </c>
      <c r="G1317" s="385" t="s">
        <v>4704</v>
      </c>
      <c r="H1317" s="385" t="s">
        <v>4703</v>
      </c>
      <c r="I1317" s="385" t="s">
        <v>3510</v>
      </c>
      <c r="J1317" s="385" t="s">
        <v>3477</v>
      </c>
      <c r="K1317" s="385" t="e">
        <f>VLOOKUP(Table13[[#This Row],[CD_FUNCAO]],'BASE_FUNCOES (hide)'!A:X,2,FALSE)</f>
        <v>#N/A</v>
      </c>
    </row>
    <row r="1318" spans="1:11">
      <c r="A1318" s="385">
        <v>9097</v>
      </c>
      <c r="B1318" s="385" t="s">
        <v>5432</v>
      </c>
      <c r="C1318" s="385" t="s">
        <v>5431</v>
      </c>
      <c r="D1318" s="385" t="s">
        <v>5430</v>
      </c>
      <c r="E1318" s="385">
        <v>283</v>
      </c>
      <c r="F1318" s="385" t="s">
        <v>4705</v>
      </c>
      <c r="G1318" s="385" t="s">
        <v>4704</v>
      </c>
      <c r="H1318" s="385" t="s">
        <v>4703</v>
      </c>
      <c r="I1318" s="385" t="s">
        <v>3510</v>
      </c>
      <c r="J1318" s="385" t="s">
        <v>3477</v>
      </c>
      <c r="K1318" s="385" t="e">
        <f>VLOOKUP(Table13[[#This Row],[CD_FUNCAO]],'BASE_FUNCOES (hide)'!A:X,2,FALSE)</f>
        <v>#N/A</v>
      </c>
    </row>
    <row r="1319" spans="1:11">
      <c r="A1319" s="385">
        <v>9098</v>
      </c>
      <c r="B1319" s="385" t="s">
        <v>5429</v>
      </c>
      <c r="C1319" s="385" t="s">
        <v>5428</v>
      </c>
      <c r="D1319" s="385" t="s">
        <v>5427</v>
      </c>
      <c r="E1319" s="385">
        <v>283</v>
      </c>
      <c r="F1319" s="385" t="s">
        <v>4705</v>
      </c>
      <c r="G1319" s="385" t="s">
        <v>4704</v>
      </c>
      <c r="H1319" s="385" t="s">
        <v>4703</v>
      </c>
      <c r="I1319" s="385" t="s">
        <v>3477</v>
      </c>
      <c r="J1319" s="385" t="s">
        <v>3477</v>
      </c>
      <c r="K1319" s="385" t="e">
        <f>VLOOKUP(Table13[[#This Row],[CD_FUNCAO]],'BASE_FUNCOES (hide)'!A:X,2,FALSE)</f>
        <v>#N/A</v>
      </c>
    </row>
    <row r="1320" spans="1:11">
      <c r="A1320" s="385">
        <v>9099</v>
      </c>
      <c r="B1320" s="385" t="s">
        <v>5426</v>
      </c>
      <c r="C1320" s="385" t="s">
        <v>5425</v>
      </c>
      <c r="D1320" s="385" t="s">
        <v>5424</v>
      </c>
      <c r="E1320" s="385">
        <v>283</v>
      </c>
      <c r="F1320" s="385" t="s">
        <v>4705</v>
      </c>
      <c r="G1320" s="385" t="s">
        <v>4704</v>
      </c>
      <c r="H1320" s="385" t="s">
        <v>4703</v>
      </c>
      <c r="I1320" s="385" t="s">
        <v>3510</v>
      </c>
      <c r="J1320" s="385" t="s">
        <v>3477</v>
      </c>
      <c r="K1320" s="385" t="e">
        <f>VLOOKUP(Table13[[#This Row],[CD_FUNCAO]],'BASE_FUNCOES (hide)'!A:X,2,FALSE)</f>
        <v>#N/A</v>
      </c>
    </row>
    <row r="1321" spans="1:11">
      <c r="A1321" s="385">
        <v>9100</v>
      </c>
      <c r="B1321" s="385" t="s">
        <v>5423</v>
      </c>
      <c r="C1321" s="385" t="s">
        <v>5422</v>
      </c>
      <c r="D1321" s="385" t="s">
        <v>5421</v>
      </c>
      <c r="E1321" s="385">
        <v>283</v>
      </c>
      <c r="F1321" s="385" t="s">
        <v>4705</v>
      </c>
      <c r="G1321" s="385" t="s">
        <v>4704</v>
      </c>
      <c r="H1321" s="385" t="s">
        <v>4703</v>
      </c>
      <c r="I1321" s="385" t="s">
        <v>3510</v>
      </c>
      <c r="J1321" s="385" t="s">
        <v>3477</v>
      </c>
      <c r="K1321" s="385" t="e">
        <f>VLOOKUP(Table13[[#This Row],[CD_FUNCAO]],'BASE_FUNCOES (hide)'!A:X,2,FALSE)</f>
        <v>#N/A</v>
      </c>
    </row>
    <row r="1322" spans="1:11">
      <c r="A1322" s="385">
        <v>9101</v>
      </c>
      <c r="B1322" s="385" t="s">
        <v>5261</v>
      </c>
      <c r="C1322" s="385" t="s">
        <v>5260</v>
      </c>
      <c r="D1322" s="385" t="s">
        <v>5259</v>
      </c>
      <c r="E1322" s="385">
        <v>283</v>
      </c>
      <c r="F1322" s="385" t="s">
        <v>4705</v>
      </c>
      <c r="G1322" s="385" t="s">
        <v>4704</v>
      </c>
      <c r="H1322" s="385" t="s">
        <v>4703</v>
      </c>
      <c r="I1322" s="385" t="s">
        <v>3510</v>
      </c>
      <c r="J1322" s="385" t="s">
        <v>3477</v>
      </c>
      <c r="K1322" s="385" t="e">
        <f>VLOOKUP(Table13[[#This Row],[CD_FUNCAO]],'BASE_FUNCOES (hide)'!A:X,2,FALSE)</f>
        <v>#N/A</v>
      </c>
    </row>
    <row r="1323" spans="1:11">
      <c r="A1323" s="385">
        <v>9115</v>
      </c>
      <c r="B1323" s="385" t="s">
        <v>5116</v>
      </c>
      <c r="C1323" s="385" t="s">
        <v>5115</v>
      </c>
      <c r="D1323" s="385" t="s">
        <v>5114</v>
      </c>
      <c r="E1323" s="385">
        <v>283</v>
      </c>
      <c r="F1323" s="385" t="s">
        <v>4705</v>
      </c>
      <c r="G1323" s="385" t="s">
        <v>4704</v>
      </c>
      <c r="H1323" s="385" t="s">
        <v>4703</v>
      </c>
      <c r="I1323" s="385" t="s">
        <v>3506</v>
      </c>
      <c r="J1323" s="385" t="s">
        <v>3477</v>
      </c>
      <c r="K1323" s="385" t="e">
        <f>VLOOKUP(Table13[[#This Row],[CD_FUNCAO]],'BASE_FUNCOES (hide)'!A:X,2,FALSE)</f>
        <v>#N/A</v>
      </c>
    </row>
    <row r="1324" spans="1:11">
      <c r="A1324" s="385">
        <v>9116</v>
      </c>
      <c r="B1324" s="385" t="s">
        <v>5113</v>
      </c>
      <c r="C1324" s="385" t="s">
        <v>5112</v>
      </c>
      <c r="D1324" s="385" t="s">
        <v>5111</v>
      </c>
      <c r="E1324" s="385">
        <v>283</v>
      </c>
      <c r="F1324" s="385" t="s">
        <v>4705</v>
      </c>
      <c r="G1324" s="385" t="s">
        <v>4704</v>
      </c>
      <c r="H1324" s="385" t="s">
        <v>4703</v>
      </c>
      <c r="I1324" s="385" t="s">
        <v>3506</v>
      </c>
      <c r="J1324" s="385" t="s">
        <v>3477</v>
      </c>
      <c r="K1324" s="385" t="e">
        <f>VLOOKUP(Table13[[#This Row],[CD_FUNCAO]],'BASE_FUNCOES (hide)'!A:X,2,FALSE)</f>
        <v>#N/A</v>
      </c>
    </row>
    <row r="1325" spans="1:11">
      <c r="A1325" s="385">
        <v>9117</v>
      </c>
      <c r="B1325" s="385" t="s">
        <v>5164</v>
      </c>
      <c r="C1325" s="385" t="s">
        <v>5163</v>
      </c>
      <c r="D1325" s="385" t="s">
        <v>5163</v>
      </c>
      <c r="E1325" s="385">
        <v>283</v>
      </c>
      <c r="F1325" s="385" t="s">
        <v>4705</v>
      </c>
      <c r="G1325" s="385" t="s">
        <v>4704</v>
      </c>
      <c r="H1325" s="385" t="s">
        <v>4703</v>
      </c>
      <c r="I1325" s="385" t="s">
        <v>3506</v>
      </c>
      <c r="J1325" s="385" t="s">
        <v>3477</v>
      </c>
      <c r="K1325" s="385" t="e">
        <f>VLOOKUP(Table13[[#This Row],[CD_FUNCAO]],'BASE_FUNCOES (hide)'!A:X,2,FALSE)</f>
        <v>#N/A</v>
      </c>
    </row>
    <row r="1326" spans="1:11">
      <c r="A1326" s="385">
        <v>9118</v>
      </c>
      <c r="B1326" s="385" t="s">
        <v>5125</v>
      </c>
      <c r="C1326" s="385" t="s">
        <v>5124</v>
      </c>
      <c r="D1326" s="385" t="s">
        <v>5123</v>
      </c>
      <c r="E1326" s="385">
        <v>283</v>
      </c>
      <c r="F1326" s="385" t="s">
        <v>4705</v>
      </c>
      <c r="G1326" s="385" t="s">
        <v>4704</v>
      </c>
      <c r="H1326" s="385" t="s">
        <v>4703</v>
      </c>
      <c r="I1326" s="385" t="s">
        <v>3506</v>
      </c>
      <c r="J1326" s="385" t="s">
        <v>3477</v>
      </c>
      <c r="K1326" s="385" t="e">
        <f>VLOOKUP(Table13[[#This Row],[CD_FUNCAO]],'BASE_FUNCOES (hide)'!A:X,2,FALSE)</f>
        <v>#N/A</v>
      </c>
    </row>
    <row r="1327" spans="1:11">
      <c r="A1327" s="385">
        <v>9119</v>
      </c>
      <c r="B1327" s="385" t="s">
        <v>5122</v>
      </c>
      <c r="C1327" s="385" t="s">
        <v>5121</v>
      </c>
      <c r="D1327" s="385" t="s">
        <v>5120</v>
      </c>
      <c r="E1327" s="385">
        <v>283</v>
      </c>
      <c r="F1327" s="385" t="s">
        <v>4705</v>
      </c>
      <c r="G1327" s="385" t="s">
        <v>4704</v>
      </c>
      <c r="H1327" s="385" t="s">
        <v>4703</v>
      </c>
      <c r="I1327" s="385" t="s">
        <v>3506</v>
      </c>
      <c r="J1327" s="385" t="s">
        <v>3477</v>
      </c>
      <c r="K1327" s="385" t="e">
        <f>VLOOKUP(Table13[[#This Row],[CD_FUNCAO]],'BASE_FUNCOES (hide)'!A:X,2,FALSE)</f>
        <v>#N/A</v>
      </c>
    </row>
    <row r="1328" spans="1:11">
      <c r="A1328" s="385">
        <v>9120</v>
      </c>
      <c r="B1328" s="385" t="s">
        <v>5140</v>
      </c>
      <c r="C1328" s="385" t="s">
        <v>5139</v>
      </c>
      <c r="D1328" s="385" t="s">
        <v>5139</v>
      </c>
      <c r="E1328" s="385">
        <v>283</v>
      </c>
      <c r="F1328" s="385" t="s">
        <v>4705</v>
      </c>
      <c r="G1328" s="385" t="s">
        <v>4704</v>
      </c>
      <c r="H1328" s="385" t="s">
        <v>4703</v>
      </c>
      <c r="I1328" s="385" t="s">
        <v>3506</v>
      </c>
      <c r="J1328" s="385" t="s">
        <v>3477</v>
      </c>
      <c r="K1328" s="385" t="e">
        <f>VLOOKUP(Table13[[#This Row],[CD_FUNCAO]],'BASE_FUNCOES (hide)'!A:X,2,FALSE)</f>
        <v>#N/A</v>
      </c>
    </row>
    <row r="1329" spans="1:11">
      <c r="A1329" s="385">
        <v>9121</v>
      </c>
      <c r="B1329" s="385" t="s">
        <v>5060</v>
      </c>
      <c r="C1329" s="385" t="s">
        <v>5060</v>
      </c>
      <c r="D1329" s="385" t="s">
        <v>5060</v>
      </c>
      <c r="E1329" s="385">
        <v>283</v>
      </c>
      <c r="F1329" s="385" t="s">
        <v>4705</v>
      </c>
      <c r="G1329" s="385" t="s">
        <v>4704</v>
      </c>
      <c r="H1329" s="385" t="s">
        <v>4703</v>
      </c>
      <c r="I1329" s="385" t="s">
        <v>3506</v>
      </c>
      <c r="J1329" s="385" t="s">
        <v>3477</v>
      </c>
      <c r="K1329" s="385" t="e">
        <f>VLOOKUP(Table13[[#This Row],[CD_FUNCAO]],'BASE_FUNCOES (hide)'!A:X,2,FALSE)</f>
        <v>#N/A</v>
      </c>
    </row>
    <row r="1330" spans="1:11">
      <c r="A1330" s="385">
        <v>9122</v>
      </c>
      <c r="B1330" s="385" t="s">
        <v>5079</v>
      </c>
      <c r="C1330" s="385" t="s">
        <v>5078</v>
      </c>
      <c r="D1330" s="385" t="s">
        <v>5077</v>
      </c>
      <c r="E1330" s="385">
        <v>283</v>
      </c>
      <c r="F1330" s="385" t="s">
        <v>4705</v>
      </c>
      <c r="G1330" s="385" t="s">
        <v>4704</v>
      </c>
      <c r="H1330" s="385" t="s">
        <v>4703</v>
      </c>
      <c r="I1330" s="385" t="s">
        <v>3506</v>
      </c>
      <c r="J1330" s="385" t="s">
        <v>3513</v>
      </c>
      <c r="K1330" s="385" t="e">
        <f>VLOOKUP(Table13[[#This Row],[CD_FUNCAO]],'BASE_FUNCOES (hide)'!A:X,2,FALSE)</f>
        <v>#N/A</v>
      </c>
    </row>
    <row r="1331" spans="1:11">
      <c r="A1331" s="385">
        <v>9123</v>
      </c>
      <c r="B1331" s="385" t="s">
        <v>4263</v>
      </c>
      <c r="C1331" s="385" t="s">
        <v>4262</v>
      </c>
      <c r="D1331" s="385" t="s">
        <v>4261</v>
      </c>
      <c r="E1331" s="385">
        <v>283</v>
      </c>
      <c r="F1331" s="385" t="s">
        <v>4705</v>
      </c>
      <c r="G1331" s="385" t="s">
        <v>4704</v>
      </c>
      <c r="H1331" s="385" t="s">
        <v>4703</v>
      </c>
      <c r="I1331" s="385" t="s">
        <v>3510</v>
      </c>
      <c r="J1331" s="385" t="s">
        <v>3477</v>
      </c>
      <c r="K1331" s="385" t="e">
        <f>VLOOKUP(Table13[[#This Row],[CD_FUNCAO]],'BASE_FUNCOES (hide)'!A:X,2,FALSE)</f>
        <v>#N/A</v>
      </c>
    </row>
    <row r="1332" spans="1:11">
      <c r="A1332" s="385">
        <v>9124</v>
      </c>
      <c r="B1332" s="385" t="s">
        <v>5076</v>
      </c>
      <c r="C1332" s="385" t="s">
        <v>5075</v>
      </c>
      <c r="D1332" s="385" t="s">
        <v>5074</v>
      </c>
      <c r="E1332" s="385">
        <v>283</v>
      </c>
      <c r="F1332" s="385" t="s">
        <v>4705</v>
      </c>
      <c r="G1332" s="385" t="s">
        <v>4704</v>
      </c>
      <c r="H1332" s="385" t="s">
        <v>4703</v>
      </c>
      <c r="I1332" s="385" t="s">
        <v>3506</v>
      </c>
      <c r="J1332" s="385" t="s">
        <v>3513</v>
      </c>
      <c r="K1332" s="385" t="e">
        <f>VLOOKUP(Table13[[#This Row],[CD_FUNCAO]],'BASE_FUNCOES (hide)'!A:X,2,FALSE)</f>
        <v>#N/A</v>
      </c>
    </row>
    <row r="1333" spans="1:11">
      <c r="A1333" s="385">
        <v>9889</v>
      </c>
      <c r="B1333" s="385" t="s">
        <v>5276</v>
      </c>
      <c r="C1333" s="385" t="s">
        <v>5275</v>
      </c>
      <c r="D1333" s="385" t="s">
        <v>5274</v>
      </c>
      <c r="E1333" s="385">
        <v>283</v>
      </c>
      <c r="F1333" s="385" t="s">
        <v>4705</v>
      </c>
      <c r="G1333" s="385" t="s">
        <v>4704</v>
      </c>
      <c r="H1333" s="385" t="s">
        <v>4703</v>
      </c>
      <c r="I1333" s="385" t="s">
        <v>3510</v>
      </c>
      <c r="J1333" s="385" t="s">
        <v>3477</v>
      </c>
      <c r="K1333" s="385" t="e">
        <f>VLOOKUP(Table13[[#This Row],[CD_FUNCAO]],'BASE_FUNCOES (hide)'!A:X,2,FALSE)</f>
        <v>#N/A</v>
      </c>
    </row>
    <row r="1334" spans="1:11">
      <c r="A1334" s="385">
        <v>9898</v>
      </c>
      <c r="B1334" s="385" t="s">
        <v>5681</v>
      </c>
      <c r="C1334" s="385" t="s">
        <v>5681</v>
      </c>
      <c r="D1334" s="385" t="s">
        <v>5681</v>
      </c>
      <c r="E1334" s="385">
        <v>283</v>
      </c>
      <c r="F1334" s="385" t="s">
        <v>4705</v>
      </c>
      <c r="G1334" s="385" t="s">
        <v>4704</v>
      </c>
      <c r="H1334" s="385" t="s">
        <v>4703</v>
      </c>
      <c r="I1334" s="385" t="s">
        <v>3485</v>
      </c>
      <c r="K1334" s="385" t="e">
        <f>VLOOKUP(Table13[[#This Row],[CD_FUNCAO]],'BASE_FUNCOES (hide)'!A:X,2,FALSE)</f>
        <v>#N/A</v>
      </c>
    </row>
    <row r="1335" spans="1:11">
      <c r="A1335" s="385">
        <v>9905</v>
      </c>
      <c r="B1335" s="385" t="s">
        <v>5738</v>
      </c>
      <c r="C1335" s="385" t="s">
        <v>5737</v>
      </c>
      <c r="D1335" s="385" t="s">
        <v>5736</v>
      </c>
      <c r="E1335" s="385">
        <v>283</v>
      </c>
      <c r="F1335" s="385" t="s">
        <v>4705</v>
      </c>
      <c r="G1335" s="385" t="s">
        <v>4704</v>
      </c>
      <c r="H1335" s="385" t="s">
        <v>4703</v>
      </c>
      <c r="I1335" s="385" t="s">
        <v>3488</v>
      </c>
      <c r="J1335" s="385" t="s">
        <v>3476</v>
      </c>
      <c r="K1335" s="385" t="e">
        <f>VLOOKUP(Table13[[#This Row],[CD_FUNCAO]],'BASE_FUNCOES (hide)'!A:X,2,FALSE)</f>
        <v>#N/A</v>
      </c>
    </row>
    <row r="1336" spans="1:11">
      <c r="A1336" s="385">
        <v>9906</v>
      </c>
      <c r="B1336" s="385" t="s">
        <v>5214</v>
      </c>
      <c r="C1336" s="385" t="s">
        <v>5213</v>
      </c>
      <c r="D1336" s="385" t="s">
        <v>5212</v>
      </c>
      <c r="E1336" s="385">
        <v>283</v>
      </c>
      <c r="F1336" s="385" t="s">
        <v>4705</v>
      </c>
      <c r="G1336" s="385" t="s">
        <v>4704</v>
      </c>
      <c r="H1336" s="385" t="s">
        <v>4703</v>
      </c>
      <c r="I1336" s="385" t="s">
        <v>3510</v>
      </c>
      <c r="J1336" s="385" t="s">
        <v>3477</v>
      </c>
      <c r="K1336" s="385" t="e">
        <f>VLOOKUP(Table13[[#This Row],[CD_FUNCAO]],'BASE_FUNCOES (hide)'!A:X,2,FALSE)</f>
        <v>#N/A</v>
      </c>
    </row>
    <row r="1337" spans="1:11">
      <c r="A1337" s="385">
        <v>9907</v>
      </c>
      <c r="B1337" s="385" t="s">
        <v>5110</v>
      </c>
      <c r="C1337" s="385" t="s">
        <v>5110</v>
      </c>
      <c r="D1337" s="385" t="s">
        <v>5110</v>
      </c>
      <c r="E1337" s="385">
        <v>283</v>
      </c>
      <c r="F1337" s="385" t="s">
        <v>4705</v>
      </c>
      <c r="G1337" s="385" t="s">
        <v>4704</v>
      </c>
      <c r="H1337" s="385" t="s">
        <v>4703</v>
      </c>
      <c r="I1337" s="385" t="s">
        <v>3510</v>
      </c>
      <c r="J1337" s="385" t="s">
        <v>3477</v>
      </c>
      <c r="K1337" s="385" t="e">
        <f>VLOOKUP(Table13[[#This Row],[CD_FUNCAO]],'BASE_FUNCOES (hide)'!A:X,2,FALSE)</f>
        <v>#N/A</v>
      </c>
    </row>
    <row r="1338" spans="1:11">
      <c r="A1338" s="385">
        <v>9910</v>
      </c>
      <c r="B1338" s="385" t="s">
        <v>4750</v>
      </c>
      <c r="C1338" s="385" t="s">
        <v>4749</v>
      </c>
      <c r="D1338" s="385" t="s">
        <v>4748</v>
      </c>
      <c r="E1338" s="385">
        <v>283</v>
      </c>
      <c r="F1338" s="385" t="s">
        <v>4705</v>
      </c>
      <c r="G1338" s="385" t="s">
        <v>4704</v>
      </c>
      <c r="H1338" s="385" t="s">
        <v>4703</v>
      </c>
      <c r="I1338" s="385" t="s">
        <v>3485</v>
      </c>
      <c r="J1338" s="385" t="s">
        <v>3476</v>
      </c>
      <c r="K1338" s="385" t="e">
        <f>VLOOKUP(Table13[[#This Row],[CD_FUNCAO]],'BASE_FUNCOES (hide)'!A:X,2,FALSE)</f>
        <v>#N/A</v>
      </c>
    </row>
    <row r="1339" spans="1:11">
      <c r="A1339" s="385">
        <v>9940</v>
      </c>
      <c r="B1339" s="385" t="s">
        <v>5353</v>
      </c>
      <c r="C1339" s="385" t="s">
        <v>5354</v>
      </c>
      <c r="D1339" s="385" t="s">
        <v>5353</v>
      </c>
      <c r="E1339" s="385">
        <v>283</v>
      </c>
      <c r="F1339" s="385" t="s">
        <v>4705</v>
      </c>
      <c r="G1339" s="385" t="s">
        <v>4704</v>
      </c>
      <c r="H1339" s="385" t="s">
        <v>4703</v>
      </c>
      <c r="I1339" s="385" t="s">
        <v>3510</v>
      </c>
      <c r="J1339" s="385" t="s">
        <v>3477</v>
      </c>
      <c r="K1339" s="385" t="e">
        <f>VLOOKUP(Table13[[#This Row],[CD_FUNCAO]],'BASE_FUNCOES (hide)'!A:X,2,FALSE)</f>
        <v>#N/A</v>
      </c>
    </row>
    <row r="1340" spans="1:11">
      <c r="A1340" s="385">
        <v>9950</v>
      </c>
      <c r="B1340" s="385" t="s">
        <v>5269</v>
      </c>
      <c r="C1340" s="385" t="s">
        <v>5268</v>
      </c>
      <c r="D1340" s="385" t="s">
        <v>5267</v>
      </c>
      <c r="E1340" s="385">
        <v>283</v>
      </c>
      <c r="F1340" s="385" t="s">
        <v>4705</v>
      </c>
      <c r="G1340" s="385" t="s">
        <v>4704</v>
      </c>
      <c r="H1340" s="385" t="s">
        <v>4703</v>
      </c>
      <c r="I1340" s="385" t="s">
        <v>3485</v>
      </c>
      <c r="J1340" s="385" t="s">
        <v>3476</v>
      </c>
      <c r="K1340" s="385" t="e">
        <f>VLOOKUP(Table13[[#This Row],[CD_FUNCAO]],'BASE_FUNCOES (hide)'!A:X,2,FALSE)</f>
        <v>#N/A</v>
      </c>
    </row>
    <row r="1341" spans="1:11">
      <c r="A1341" s="385">
        <v>10019</v>
      </c>
      <c r="B1341" s="385" t="s">
        <v>4789</v>
      </c>
      <c r="C1341" s="385" t="s">
        <v>4788</v>
      </c>
      <c r="D1341" s="385" t="s">
        <v>4787</v>
      </c>
      <c r="E1341" s="385">
        <v>283</v>
      </c>
      <c r="F1341" s="385" t="s">
        <v>4705</v>
      </c>
      <c r="G1341" s="385" t="s">
        <v>4704</v>
      </c>
      <c r="H1341" s="385" t="s">
        <v>4703</v>
      </c>
      <c r="I1341" s="385" t="s">
        <v>3488</v>
      </c>
      <c r="K1341" s="385" t="e">
        <f>VLOOKUP(Table13[[#This Row],[CD_FUNCAO]],'BASE_FUNCOES (hide)'!A:X,2,FALSE)</f>
        <v>#N/A</v>
      </c>
    </row>
    <row r="1342" spans="1:11">
      <c r="A1342" s="385">
        <v>10027</v>
      </c>
      <c r="B1342" s="385" t="s">
        <v>5522</v>
      </c>
      <c r="C1342" s="385" t="s">
        <v>5521</v>
      </c>
      <c r="D1342" s="385" t="s">
        <v>5520</v>
      </c>
      <c r="E1342" s="385">
        <v>283</v>
      </c>
      <c r="F1342" s="385" t="s">
        <v>4705</v>
      </c>
      <c r="G1342" s="385" t="s">
        <v>4704</v>
      </c>
      <c r="H1342" s="385" t="s">
        <v>4703</v>
      </c>
      <c r="I1342" s="385" t="s">
        <v>3510</v>
      </c>
      <c r="J1342" s="385" t="s">
        <v>3477</v>
      </c>
      <c r="K1342" s="385" t="e">
        <f>VLOOKUP(Table13[[#This Row],[CD_FUNCAO]],'BASE_FUNCOES (hide)'!A:X,2,FALSE)</f>
        <v>#N/A</v>
      </c>
    </row>
    <row r="1343" spans="1:11">
      <c r="A1343" s="385">
        <v>10029</v>
      </c>
      <c r="B1343" s="385" t="s">
        <v>5513</v>
      </c>
      <c r="C1343" s="385" t="s">
        <v>5512</v>
      </c>
      <c r="D1343" s="385" t="s">
        <v>5511</v>
      </c>
      <c r="E1343" s="385">
        <v>283</v>
      </c>
      <c r="F1343" s="385" t="s">
        <v>4705</v>
      </c>
      <c r="G1343" s="385" t="s">
        <v>4704</v>
      </c>
      <c r="H1343" s="385" t="s">
        <v>4703</v>
      </c>
      <c r="I1343" s="385" t="s">
        <v>3485</v>
      </c>
      <c r="K1343" s="385" t="e">
        <f>VLOOKUP(Table13[[#This Row],[CD_FUNCAO]],'BASE_FUNCOES (hide)'!A:X,2,FALSE)</f>
        <v>#N/A</v>
      </c>
    </row>
    <row r="1344" spans="1:11">
      <c r="A1344" s="385">
        <v>10033</v>
      </c>
      <c r="B1344" s="385" t="s">
        <v>5309</v>
      </c>
      <c r="C1344" s="385" t="s">
        <v>5308</v>
      </c>
      <c r="D1344" s="385" t="s">
        <v>5307</v>
      </c>
      <c r="E1344" s="385">
        <v>283</v>
      </c>
      <c r="F1344" s="385" t="s">
        <v>4705</v>
      </c>
      <c r="G1344" s="385" t="s">
        <v>4704</v>
      </c>
      <c r="H1344" s="385" t="s">
        <v>4703</v>
      </c>
      <c r="I1344" s="385" t="s">
        <v>3510</v>
      </c>
      <c r="J1344" s="385" t="s">
        <v>3477</v>
      </c>
      <c r="K1344" s="385" t="e">
        <f>VLOOKUP(Table13[[#This Row],[CD_FUNCAO]],'BASE_FUNCOES (hide)'!A:X,2,FALSE)</f>
        <v>#N/A</v>
      </c>
    </row>
    <row r="1345" spans="1:11">
      <c r="A1345" s="385">
        <v>10090</v>
      </c>
      <c r="B1345" s="385" t="s">
        <v>5417</v>
      </c>
      <c r="C1345" s="385" t="s">
        <v>5416</v>
      </c>
      <c r="D1345" s="385" t="s">
        <v>5415</v>
      </c>
      <c r="E1345" s="385">
        <v>283</v>
      </c>
      <c r="F1345" s="385" t="s">
        <v>4705</v>
      </c>
      <c r="G1345" s="385" t="s">
        <v>4704</v>
      </c>
      <c r="H1345" s="385" t="s">
        <v>4703</v>
      </c>
      <c r="I1345" s="385" t="s">
        <v>3510</v>
      </c>
      <c r="J1345" s="385" t="s">
        <v>3477</v>
      </c>
      <c r="K1345" s="385" t="e">
        <f>VLOOKUP(Table13[[#This Row],[CD_FUNCAO]],'BASE_FUNCOES (hide)'!A:X,2,FALSE)</f>
        <v>#N/A</v>
      </c>
    </row>
    <row r="1346" spans="1:11">
      <c r="A1346" s="385">
        <v>10110</v>
      </c>
      <c r="B1346" s="385" t="s">
        <v>5372</v>
      </c>
      <c r="C1346" s="385" t="s">
        <v>5371</v>
      </c>
      <c r="D1346" s="385" t="s">
        <v>5370</v>
      </c>
      <c r="E1346" s="385">
        <v>283</v>
      </c>
      <c r="F1346" s="385" t="s">
        <v>4705</v>
      </c>
      <c r="G1346" s="385" t="s">
        <v>4704</v>
      </c>
      <c r="H1346" s="385" t="s">
        <v>4703</v>
      </c>
      <c r="I1346" s="385" t="s">
        <v>3485</v>
      </c>
      <c r="J1346" s="385" t="s">
        <v>3477</v>
      </c>
      <c r="K1346" s="385" t="e">
        <f>VLOOKUP(Table13[[#This Row],[CD_FUNCAO]],'BASE_FUNCOES (hide)'!A:X,2,FALSE)</f>
        <v>#N/A</v>
      </c>
    </row>
    <row r="1347" spans="1:11">
      <c r="A1347" s="385">
        <v>10162</v>
      </c>
      <c r="B1347" s="385" t="s">
        <v>5173</v>
      </c>
      <c r="C1347" s="385" t="s">
        <v>5172</v>
      </c>
      <c r="D1347" s="385" t="s">
        <v>5171</v>
      </c>
      <c r="E1347" s="385">
        <v>283</v>
      </c>
      <c r="F1347" s="385" t="s">
        <v>4705</v>
      </c>
      <c r="G1347" s="385" t="s">
        <v>4704</v>
      </c>
      <c r="H1347" s="385" t="s">
        <v>4703</v>
      </c>
      <c r="I1347" s="385" t="s">
        <v>3488</v>
      </c>
      <c r="J1347" s="385" t="s">
        <v>3477</v>
      </c>
      <c r="K1347" s="385" t="e">
        <f>VLOOKUP(Table13[[#This Row],[CD_FUNCAO]],'BASE_FUNCOES (hide)'!A:X,2,FALSE)</f>
        <v>#N/A</v>
      </c>
    </row>
    <row r="1348" spans="1:11">
      <c r="A1348" s="385">
        <v>10220</v>
      </c>
      <c r="B1348" s="385" t="s">
        <v>5330</v>
      </c>
      <c r="C1348" s="385" t="s">
        <v>5330</v>
      </c>
      <c r="D1348" s="385" t="s">
        <v>5330</v>
      </c>
      <c r="E1348" s="385">
        <v>283</v>
      </c>
      <c r="F1348" s="385" t="s">
        <v>4705</v>
      </c>
      <c r="G1348" s="385" t="s">
        <v>4704</v>
      </c>
      <c r="H1348" s="385" t="s">
        <v>4703</v>
      </c>
      <c r="I1348" s="385" t="s">
        <v>3510</v>
      </c>
      <c r="J1348" s="385" t="s">
        <v>3477</v>
      </c>
      <c r="K1348" s="385" t="e">
        <f>VLOOKUP(Table13[[#This Row],[CD_FUNCAO]],'BASE_FUNCOES (hide)'!A:X,2,FALSE)</f>
        <v>#N/A</v>
      </c>
    </row>
    <row r="1349" spans="1:11">
      <c r="A1349" s="385">
        <v>55555</v>
      </c>
      <c r="B1349" s="385" t="s">
        <v>4185</v>
      </c>
      <c r="C1349" s="385" t="s">
        <v>4185</v>
      </c>
      <c r="D1349" s="385" t="s">
        <v>4185</v>
      </c>
      <c r="E1349" s="385">
        <v>9</v>
      </c>
      <c r="F1349" s="385" t="s">
        <v>0</v>
      </c>
      <c r="I1349" s="385" t="s">
        <v>3488</v>
      </c>
      <c r="K1349" s="385" t="e">
        <f>VLOOKUP(Table13[[#This Row],[CD_FUNCAO]],'BASE_FUNCOES (hide)'!A:X,2,FALSE)</f>
        <v>#N/A</v>
      </c>
    </row>
    <row r="1350" spans="1:11">
      <c r="A1350" s="385">
        <v>80000</v>
      </c>
      <c r="B1350" s="385" t="s">
        <v>3629</v>
      </c>
      <c r="C1350" s="385" t="s">
        <v>3630</v>
      </c>
      <c r="D1350" s="385" t="s">
        <v>3629</v>
      </c>
      <c r="E1350" s="385">
        <v>718</v>
      </c>
      <c r="F1350" s="385" t="s">
        <v>3527</v>
      </c>
      <c r="I1350" s="385" t="s">
        <v>3510</v>
      </c>
      <c r="J1350" s="385" t="s">
        <v>3628</v>
      </c>
      <c r="K1350" s="385" t="e">
        <f>VLOOKUP(Table13[[#This Row],[CD_FUNCAO]],'BASE_FUNCOES (hide)'!A:X,2,FALSE)</f>
        <v>#N/A</v>
      </c>
    </row>
    <row r="1351" spans="1:11" hidden="1">
      <c r="A1351" s="385">
        <v>20001</v>
      </c>
      <c r="B1351" s="385" t="s">
        <v>386</v>
      </c>
      <c r="C1351" s="385" t="s">
        <v>386</v>
      </c>
      <c r="D1351" s="385" t="s">
        <v>386</v>
      </c>
      <c r="E1351" s="385">
        <v>720</v>
      </c>
      <c r="F1351" s="385" t="s">
        <v>3669</v>
      </c>
      <c r="I1351" s="385" t="s">
        <v>3477</v>
      </c>
      <c r="J1351" s="385" t="s">
        <v>3477</v>
      </c>
      <c r="K1351" s="385" t="str">
        <f>VLOOKUP(Table13[[#This Row],[CD_FUNCAO]],'BASE_FUNCOES (hide)'!A:X,2,FALSE)</f>
        <v>PACS ISITE</v>
      </c>
    </row>
    <row r="1352" spans="1:11" hidden="1">
      <c r="A1352" s="385">
        <v>20000</v>
      </c>
      <c r="B1352" s="385" t="s">
        <v>1572</v>
      </c>
      <c r="C1352" s="385" t="s">
        <v>1572</v>
      </c>
      <c r="D1352" s="385" t="s">
        <v>1572</v>
      </c>
      <c r="E1352" s="385">
        <v>800</v>
      </c>
      <c r="F1352" s="385" t="s">
        <v>1572</v>
      </c>
      <c r="I1352" s="385" t="s">
        <v>3477</v>
      </c>
      <c r="J1352" s="385" t="s">
        <v>3477</v>
      </c>
      <c r="K1352" s="385" t="str">
        <f>VLOOKUP(Table13[[#This Row],[CD_FUNCAO]],'BASE_FUNCOES (hide)'!A:X,2,FALSE)</f>
        <v>PACS DCX/MDC</v>
      </c>
    </row>
    <row r="1353" spans="1:11" hidden="1">
      <c r="A1353" s="385">
        <v>10010</v>
      </c>
      <c r="B1353" s="385" t="s">
        <v>1529</v>
      </c>
      <c r="C1353" s="385" t="s">
        <v>1530</v>
      </c>
      <c r="D1353" s="385" t="s">
        <v>1531</v>
      </c>
      <c r="E1353" s="385">
        <v>511</v>
      </c>
      <c r="F1353" s="385" t="s">
        <v>429</v>
      </c>
      <c r="G1353" s="385" t="s">
        <v>1526</v>
      </c>
      <c r="H1353" s="385" t="s">
        <v>1528</v>
      </c>
      <c r="I1353" s="385" t="s">
        <v>3477</v>
      </c>
      <c r="J1353" s="385" t="s">
        <v>3477</v>
      </c>
      <c r="K1353" s="385" t="str">
        <f>VLOOKUP(Table13[[#This Row],[CD_FUNCAO]],'BASE_FUNCOES (hide)'!A:X,2,FALSE)</f>
        <v>Auditoria SBIS</v>
      </c>
    </row>
    <row r="1354" spans="1:11">
      <c r="A1354" s="385">
        <v>80001</v>
      </c>
      <c r="B1354" s="385" t="s">
        <v>3627</v>
      </c>
      <c r="C1354" s="385" t="s">
        <v>3626</v>
      </c>
      <c r="D1354" s="385" t="s">
        <v>3625</v>
      </c>
      <c r="E1354" s="385">
        <v>718</v>
      </c>
      <c r="F1354" s="385" t="s">
        <v>3527</v>
      </c>
      <c r="I1354" s="385" t="s">
        <v>3510</v>
      </c>
      <c r="J1354" s="385" t="s">
        <v>3477</v>
      </c>
      <c r="K1354" s="385" t="e">
        <f>VLOOKUP(Table13[[#This Row],[CD_FUNCAO]],'BASE_FUNCOES (hide)'!A:X,2,FALSE)</f>
        <v>#N/A</v>
      </c>
    </row>
    <row r="1355" spans="1:11">
      <c r="A1355" s="385">
        <v>80002</v>
      </c>
      <c r="B1355" s="385" t="s">
        <v>3624</v>
      </c>
      <c r="C1355" s="385" t="s">
        <v>3623</v>
      </c>
      <c r="D1355" s="385" t="s">
        <v>3622</v>
      </c>
      <c r="E1355" s="385">
        <v>718</v>
      </c>
      <c r="F1355" s="385" t="s">
        <v>3527</v>
      </c>
      <c r="I1355" s="385" t="s">
        <v>3510</v>
      </c>
      <c r="J1355" s="385" t="s">
        <v>3477</v>
      </c>
      <c r="K1355" s="385" t="e">
        <f>VLOOKUP(Table13[[#This Row],[CD_FUNCAO]],'BASE_FUNCOES (hide)'!A:X,2,FALSE)</f>
        <v>#N/A</v>
      </c>
    </row>
    <row r="1356" spans="1:11" hidden="1">
      <c r="A1356" s="385">
        <v>62</v>
      </c>
      <c r="B1356" s="385" t="s">
        <v>436</v>
      </c>
      <c r="C1356" s="385" t="s">
        <v>1541</v>
      </c>
      <c r="D1356" s="385" t="s">
        <v>1542</v>
      </c>
      <c r="E1356" s="385">
        <v>511</v>
      </c>
      <c r="F1356" s="385" t="s">
        <v>429</v>
      </c>
      <c r="G1356" s="385" t="s">
        <v>1526</v>
      </c>
      <c r="H1356" s="385" t="s">
        <v>1528</v>
      </c>
      <c r="I1356" s="385" t="s">
        <v>3477</v>
      </c>
      <c r="J1356" s="385" t="s">
        <v>3476</v>
      </c>
      <c r="K1356" s="385" t="str">
        <f>VLOOKUP(Table13[[#This Row],[CD_FUNCAO]],'BASE_FUNCOES (hide)'!A:X,2,FALSE)</f>
        <v>Procedimentos Prescritos Pendentes</v>
      </c>
    </row>
    <row r="1357" spans="1:11">
      <c r="A1357" s="385">
        <v>80003</v>
      </c>
      <c r="B1357" s="385" t="s">
        <v>5481</v>
      </c>
      <c r="C1357" s="385" t="s">
        <v>5480</v>
      </c>
      <c r="D1357" s="385" t="s">
        <v>5479</v>
      </c>
      <c r="E1357" s="385">
        <v>283</v>
      </c>
      <c r="F1357" s="385" t="s">
        <v>4705</v>
      </c>
      <c r="G1357" s="385" t="s">
        <v>4704</v>
      </c>
      <c r="H1357" s="385" t="s">
        <v>4703</v>
      </c>
      <c r="I1357" s="385" t="s">
        <v>3510</v>
      </c>
      <c r="J1357" s="385" t="s">
        <v>3477</v>
      </c>
      <c r="K1357" s="385" t="e">
        <f>VLOOKUP(Table13[[#This Row],[CD_FUNCAO]],'BASE_FUNCOES (hide)'!A:X,2,FALSE)</f>
        <v>#N/A</v>
      </c>
    </row>
    <row r="1358" spans="1:11" hidden="1">
      <c r="A1358" s="385">
        <v>166</v>
      </c>
      <c r="B1358" s="385" t="s">
        <v>438</v>
      </c>
      <c r="C1358" s="385" t="s">
        <v>3659</v>
      </c>
      <c r="D1358" s="385" t="s">
        <v>3658</v>
      </c>
      <c r="E1358" s="385">
        <v>511</v>
      </c>
      <c r="F1358" s="385" t="s">
        <v>429</v>
      </c>
      <c r="G1358" s="385" t="s">
        <v>1526</v>
      </c>
      <c r="H1358" s="385" t="s">
        <v>1528</v>
      </c>
      <c r="I1358" s="385" t="s">
        <v>3477</v>
      </c>
      <c r="J1358" s="385" t="s">
        <v>3476</v>
      </c>
      <c r="K1358" s="385" t="str">
        <f>VLOOKUP(Table13[[#This Row],[CD_FUNCAO]],'BASE_FUNCOES (hide)'!A:X,2,FALSE)</f>
        <v>Registro da localização do Laudos(Antigo</v>
      </c>
    </row>
    <row r="1359" spans="1:11">
      <c r="A1359" s="385">
        <v>80004</v>
      </c>
      <c r="B1359" s="385" t="s">
        <v>3621</v>
      </c>
      <c r="C1359" s="385" t="s">
        <v>3620</v>
      </c>
      <c r="D1359" s="385" t="s">
        <v>3619</v>
      </c>
      <c r="E1359" s="385">
        <v>718</v>
      </c>
      <c r="F1359" s="385" t="s">
        <v>3527</v>
      </c>
      <c r="I1359" s="385" t="s">
        <v>3510</v>
      </c>
      <c r="J1359" s="385" t="s">
        <v>3477</v>
      </c>
      <c r="K1359" s="385" t="e">
        <f>VLOOKUP(Table13[[#This Row],[CD_FUNCAO]],'BASE_FUNCOES (hide)'!A:X,2,FALSE)</f>
        <v>#N/A</v>
      </c>
    </row>
    <row r="1360" spans="1:11" hidden="1">
      <c r="A1360" s="385">
        <v>172</v>
      </c>
      <c r="B1360" s="385" t="s">
        <v>430</v>
      </c>
      <c r="C1360" s="385" t="s">
        <v>1545</v>
      </c>
      <c r="D1360" s="385" t="s">
        <v>1546</v>
      </c>
      <c r="E1360" s="385">
        <v>511</v>
      </c>
      <c r="F1360" s="385" t="s">
        <v>429</v>
      </c>
      <c r="G1360" s="385" t="s">
        <v>1526</v>
      </c>
      <c r="H1360" s="385" t="s">
        <v>1528</v>
      </c>
      <c r="I1360" s="385" t="s">
        <v>3477</v>
      </c>
      <c r="J1360" s="385" t="s">
        <v>3476</v>
      </c>
      <c r="K1360" s="385" t="str">
        <f>VLOOKUP(Table13[[#This Row],[CD_FUNCAO]],'BASE_FUNCOES (hide)'!A:X,2,FALSE)</f>
        <v>CIH - Controle de Internação Hospitalar</v>
      </c>
    </row>
    <row r="1361" spans="1:11" hidden="1">
      <c r="A1361" s="385">
        <v>204</v>
      </c>
      <c r="B1361" s="385" t="s">
        <v>432</v>
      </c>
      <c r="C1361" s="385" t="s">
        <v>761</v>
      </c>
      <c r="D1361" s="385" t="s">
        <v>1547</v>
      </c>
      <c r="E1361" s="385">
        <v>511</v>
      </c>
      <c r="F1361" s="385" t="s">
        <v>429</v>
      </c>
      <c r="G1361" s="385" t="s">
        <v>1526</v>
      </c>
      <c r="H1361" s="385" t="s">
        <v>1528</v>
      </c>
      <c r="I1361" s="385" t="s">
        <v>3477</v>
      </c>
      <c r="J1361" s="385" t="s">
        <v>3476</v>
      </c>
      <c r="K1361" s="385" t="str">
        <f>VLOOKUP(Table13[[#This Row],[CD_FUNCAO]],'BASE_FUNCOES (hide)'!A:X,2,FALSE)</f>
        <v>EIS Contas Pendentes</v>
      </c>
    </row>
    <row r="1362" spans="1:11" hidden="1">
      <c r="A1362" s="385">
        <v>9052</v>
      </c>
      <c r="B1362" s="385" t="s">
        <v>330</v>
      </c>
      <c r="C1362" s="385" t="s">
        <v>1532</v>
      </c>
      <c r="D1362" s="385" t="s">
        <v>1533</v>
      </c>
      <c r="E1362" s="385">
        <v>511</v>
      </c>
      <c r="F1362" s="385" t="s">
        <v>429</v>
      </c>
      <c r="G1362" s="385" t="s">
        <v>1526</v>
      </c>
      <c r="H1362" s="385" t="s">
        <v>1528</v>
      </c>
      <c r="I1362" s="385" t="s">
        <v>3477</v>
      </c>
      <c r="J1362" s="385" t="s">
        <v>3476</v>
      </c>
      <c r="K1362" s="385" t="str">
        <f>VLOOKUP(Table13[[#This Row],[CD_FUNCAO]],'BASE_FUNCOES (hide)'!A:X,2,FALSE)</f>
        <v>Catálogo de Contatos</v>
      </c>
    </row>
    <row r="1363" spans="1:11" hidden="1">
      <c r="A1363" s="385">
        <v>66</v>
      </c>
      <c r="B1363" s="385" t="s">
        <v>431</v>
      </c>
      <c r="C1363" s="385" t="s">
        <v>1537</v>
      </c>
      <c r="D1363" s="385" t="s">
        <v>1538</v>
      </c>
      <c r="E1363" s="385">
        <v>511</v>
      </c>
      <c r="F1363" s="385" t="s">
        <v>429</v>
      </c>
      <c r="G1363" s="385" t="s">
        <v>1526</v>
      </c>
      <c r="H1363" s="385" t="s">
        <v>1528</v>
      </c>
      <c r="I1363" s="385" t="s">
        <v>3477</v>
      </c>
      <c r="J1363" s="385" t="s">
        <v>3476</v>
      </c>
      <c r="K1363" s="385" t="str">
        <f>VLOOKUP(Table13[[#This Row],[CD_FUNCAO]],'BASE_FUNCOES (hide)'!A:X,2,FALSE)</f>
        <v>Conta Paciente Auditoria</v>
      </c>
    </row>
    <row r="1364" spans="1:11">
      <c r="A1364" s="385">
        <v>80005</v>
      </c>
      <c r="B1364" s="385" t="s">
        <v>3618</v>
      </c>
      <c r="C1364" s="385" t="s">
        <v>3617</v>
      </c>
      <c r="D1364" s="385" t="s">
        <v>3616</v>
      </c>
      <c r="E1364" s="385">
        <v>718</v>
      </c>
      <c r="F1364" s="385" t="s">
        <v>3527</v>
      </c>
      <c r="I1364" s="385" t="s">
        <v>3510</v>
      </c>
      <c r="J1364" s="385" t="s">
        <v>3477</v>
      </c>
      <c r="K1364" s="385" t="e">
        <f>VLOOKUP(Table13[[#This Row],[CD_FUNCAO]],'BASE_FUNCOES (hide)'!A:X,2,FALSE)</f>
        <v>#N/A</v>
      </c>
    </row>
    <row r="1365" spans="1:11" hidden="1">
      <c r="A1365" s="385">
        <v>170</v>
      </c>
      <c r="B1365" s="385" t="s">
        <v>437</v>
      </c>
      <c r="C1365" s="385" t="s">
        <v>1539</v>
      </c>
      <c r="D1365" s="385" t="s">
        <v>1540</v>
      </c>
      <c r="E1365" s="385">
        <v>511</v>
      </c>
      <c r="F1365" s="385" t="s">
        <v>429</v>
      </c>
      <c r="G1365" s="385" t="s">
        <v>1526</v>
      </c>
      <c r="H1365" s="385" t="s">
        <v>1528</v>
      </c>
      <c r="I1365" s="385" t="s">
        <v>3477</v>
      </c>
      <c r="K1365" s="385" t="str">
        <f>VLOOKUP(Table13[[#This Row],[CD_FUNCAO]],'BASE_FUNCOES (hide)'!A:X,2,FALSE)</f>
        <v>Procedimentos Requeridos por Convênio</v>
      </c>
    </row>
    <row r="1366" spans="1:11">
      <c r="A1366" s="385">
        <v>80006</v>
      </c>
      <c r="B1366" s="385" t="s">
        <v>3615</v>
      </c>
      <c r="C1366" s="385" t="s">
        <v>3614</v>
      </c>
      <c r="D1366" s="385" t="s">
        <v>3613</v>
      </c>
      <c r="E1366" s="385">
        <v>718</v>
      </c>
      <c r="F1366" s="385" t="s">
        <v>3527</v>
      </c>
      <c r="I1366" s="385" t="s">
        <v>3510</v>
      </c>
      <c r="J1366" s="385" t="s">
        <v>3477</v>
      </c>
      <c r="K1366" s="385" t="e">
        <f>VLOOKUP(Table13[[#This Row],[CD_FUNCAO]],'BASE_FUNCOES (hide)'!A:X,2,FALSE)</f>
        <v>#N/A</v>
      </c>
    </row>
    <row r="1367" spans="1:11" hidden="1">
      <c r="A1367" s="385">
        <v>96</v>
      </c>
      <c r="B1367" s="385" t="s">
        <v>42</v>
      </c>
      <c r="C1367" s="385" t="s">
        <v>2936</v>
      </c>
      <c r="D1367" s="385" t="s">
        <v>1011</v>
      </c>
      <c r="E1367" s="385">
        <v>511</v>
      </c>
      <c r="F1367" s="385" t="s">
        <v>429</v>
      </c>
      <c r="G1367" s="385" t="s">
        <v>1526</v>
      </c>
      <c r="H1367" s="385" t="s">
        <v>1528</v>
      </c>
      <c r="I1367" s="385" t="s">
        <v>3477</v>
      </c>
      <c r="J1367" s="385" t="s">
        <v>3476</v>
      </c>
      <c r="K1367" s="385" t="str">
        <f>VLOOKUP(Table13[[#This Row],[CD_FUNCAO]],'BASE_FUNCOES (hide)'!A:X,2,FALSE)</f>
        <v>Enfermagem</v>
      </c>
    </row>
    <row r="1368" spans="1:11" hidden="1">
      <c r="A1368" s="385">
        <v>269</v>
      </c>
      <c r="B1368" s="385" t="s">
        <v>435</v>
      </c>
      <c r="C1368" s="385" t="s">
        <v>1525</v>
      </c>
      <c r="D1368" s="385" t="s">
        <v>1527</v>
      </c>
      <c r="E1368" s="385">
        <v>511</v>
      </c>
      <c r="F1368" s="385" t="s">
        <v>429</v>
      </c>
      <c r="G1368" s="385" t="s">
        <v>1526</v>
      </c>
      <c r="H1368" s="385" t="s">
        <v>1528</v>
      </c>
      <c r="I1368" s="385" t="s">
        <v>3477</v>
      </c>
      <c r="J1368" s="385" t="s">
        <v>3476</v>
      </c>
      <c r="K1368" s="385" t="str">
        <f>VLOOKUP(Table13[[#This Row],[CD_FUNCAO]],'BASE_FUNCOES (hide)'!A:X,2,FALSE)</f>
        <v>Pertences do Paciente (Antigo)</v>
      </c>
    </row>
    <row r="1369" spans="1:11">
      <c r="A1369" s="385">
        <v>80007</v>
      </c>
      <c r="B1369" s="385" t="s">
        <v>3611</v>
      </c>
      <c r="C1369" s="385" t="s">
        <v>3612</v>
      </c>
      <c r="D1369" s="385" t="s">
        <v>3611</v>
      </c>
      <c r="E1369" s="385">
        <v>718</v>
      </c>
      <c r="F1369" s="385" t="s">
        <v>3527</v>
      </c>
      <c r="I1369" s="385" t="s">
        <v>3510</v>
      </c>
      <c r="J1369" s="385" t="s">
        <v>3477</v>
      </c>
      <c r="K1369" s="385" t="e">
        <f>VLOOKUP(Table13[[#This Row],[CD_FUNCAO]],'BASE_FUNCOES (hide)'!A:X,2,FALSE)</f>
        <v>#N/A</v>
      </c>
    </row>
    <row r="1370" spans="1:11" hidden="1">
      <c r="A1370" s="385">
        <v>94</v>
      </c>
      <c r="B1370" s="385" t="s">
        <v>434</v>
      </c>
      <c r="C1370" s="385" t="s">
        <v>1534</v>
      </c>
      <c r="D1370" s="385" t="s">
        <v>1535</v>
      </c>
      <c r="E1370" s="385">
        <v>511</v>
      </c>
      <c r="F1370" s="385" t="s">
        <v>429</v>
      </c>
      <c r="G1370" s="385" t="s">
        <v>1526</v>
      </c>
      <c r="H1370" s="385" t="s">
        <v>1528</v>
      </c>
      <c r="I1370" s="385" t="s">
        <v>3477</v>
      </c>
      <c r="J1370" s="385" t="s">
        <v>3476</v>
      </c>
      <c r="K1370" s="385" t="str">
        <f>VLOOKUP(Table13[[#This Row],[CD_FUNCAO]],'BASE_FUNCOES (hide)'!A:X,2,FALSE)</f>
        <v>Oncologia</v>
      </c>
    </row>
    <row r="1371" spans="1:11" hidden="1">
      <c r="A1371" s="385">
        <v>97</v>
      </c>
      <c r="B1371" s="385" t="s">
        <v>433</v>
      </c>
      <c r="C1371" s="385" t="s">
        <v>1536</v>
      </c>
      <c r="D1371" s="385" t="s">
        <v>433</v>
      </c>
      <c r="E1371" s="385">
        <v>511</v>
      </c>
      <c r="F1371" s="385" t="s">
        <v>429</v>
      </c>
      <c r="G1371" s="385" t="s">
        <v>1526</v>
      </c>
      <c r="H1371" s="385" t="s">
        <v>1528</v>
      </c>
      <c r="I1371" s="385" t="s">
        <v>3477</v>
      </c>
      <c r="J1371" s="385" t="s">
        <v>3476</v>
      </c>
      <c r="K1371" s="385" t="str">
        <f>VLOOKUP(Table13[[#This Row],[CD_FUNCAO]],'BASE_FUNCOES (hide)'!A:X,2,FALSE)</f>
        <v>Mapa de Dietas (Antigo)</v>
      </c>
    </row>
    <row r="1372" spans="1:11" hidden="1">
      <c r="A1372" s="385">
        <v>99009</v>
      </c>
      <c r="B1372" s="385" t="s">
        <v>388</v>
      </c>
      <c r="C1372" s="385" t="s">
        <v>1337</v>
      </c>
      <c r="D1372" s="385" t="s">
        <v>1338</v>
      </c>
      <c r="E1372" s="385">
        <v>451</v>
      </c>
      <c r="F1372" s="385" t="s">
        <v>387</v>
      </c>
      <c r="I1372" s="385" t="s">
        <v>3477</v>
      </c>
      <c r="J1372" s="385" t="s">
        <v>3477</v>
      </c>
      <c r="K1372" s="385" t="str">
        <f>VLOOKUP(Table13[[#This Row],[CD_FUNCAO]],'BASE_FUNCOES (hide)'!A:X,2,FALSE)</f>
        <v>Painel de chamadas da radioterapia</v>
      </c>
    </row>
    <row r="1373" spans="1:11">
      <c r="A1373" s="385">
        <v>80008</v>
      </c>
      <c r="B1373" s="385" t="s">
        <v>3610</v>
      </c>
      <c r="C1373" s="385" t="s">
        <v>3609</v>
      </c>
      <c r="D1373" s="385" t="s">
        <v>3608</v>
      </c>
      <c r="E1373" s="385">
        <v>718</v>
      </c>
      <c r="F1373" s="385" t="s">
        <v>3527</v>
      </c>
      <c r="I1373" s="385" t="s">
        <v>3510</v>
      </c>
      <c r="J1373" s="385" t="s">
        <v>3477</v>
      </c>
      <c r="K1373" s="385" t="e">
        <f>VLOOKUP(Table13[[#This Row],[CD_FUNCAO]],'BASE_FUNCOES (hide)'!A:X,2,FALSE)</f>
        <v>#N/A</v>
      </c>
    </row>
    <row r="1374" spans="1:11">
      <c r="A1374" s="385">
        <v>80009</v>
      </c>
      <c r="B1374" s="385" t="s">
        <v>3607</v>
      </c>
      <c r="C1374" s="385" t="s">
        <v>3606</v>
      </c>
      <c r="D1374" s="385" t="s">
        <v>3605</v>
      </c>
      <c r="E1374" s="385">
        <v>718</v>
      </c>
      <c r="F1374" s="385" t="s">
        <v>3527</v>
      </c>
      <c r="I1374" s="385" t="s">
        <v>3510</v>
      </c>
      <c r="J1374" s="385" t="s">
        <v>3477</v>
      </c>
      <c r="K1374" s="385" t="e">
        <f>VLOOKUP(Table13[[#This Row],[CD_FUNCAO]],'BASE_FUNCOES (hide)'!A:X,2,FALSE)</f>
        <v>#N/A</v>
      </c>
    </row>
    <row r="1375" spans="1:11" hidden="1">
      <c r="A1375" s="385">
        <v>3030</v>
      </c>
      <c r="B1375" s="385" t="s">
        <v>422</v>
      </c>
      <c r="C1375" s="385" t="s">
        <v>1515</v>
      </c>
      <c r="D1375" s="385" t="s">
        <v>1516</v>
      </c>
      <c r="E1375" s="385">
        <v>451</v>
      </c>
      <c r="F1375" s="385" t="s">
        <v>387</v>
      </c>
      <c r="I1375" s="385" t="s">
        <v>3477</v>
      </c>
      <c r="J1375" s="385" t="s">
        <v>3476</v>
      </c>
      <c r="K1375" s="385" t="str">
        <f>VLOOKUP(Table13[[#This Row],[CD_FUNCAO]],'BASE_FUNCOES (hide)'!A:X,2,FALSE)</f>
        <v>Gestão de Radioterapia</v>
      </c>
    </row>
    <row r="1376" spans="1:11">
      <c r="A1376" s="385">
        <v>80010</v>
      </c>
      <c r="B1376" s="385" t="s">
        <v>3604</v>
      </c>
      <c r="C1376" s="385" t="s">
        <v>3603</v>
      </c>
      <c r="D1376" s="385" t="s">
        <v>3602</v>
      </c>
      <c r="E1376" s="385">
        <v>718</v>
      </c>
      <c r="F1376" s="385" t="s">
        <v>3527</v>
      </c>
      <c r="I1376" s="385" t="s">
        <v>3510</v>
      </c>
      <c r="J1376" s="385" t="s">
        <v>3477</v>
      </c>
      <c r="K1376" s="385" t="e">
        <f>VLOOKUP(Table13[[#This Row],[CD_FUNCAO]],'BASE_FUNCOES (hide)'!A:X,2,FALSE)</f>
        <v>#N/A</v>
      </c>
    </row>
    <row r="1377" spans="1:11" hidden="1">
      <c r="A1377" s="385">
        <v>7024</v>
      </c>
      <c r="B1377" s="385" t="s">
        <v>424</v>
      </c>
      <c r="C1377" s="385" t="s">
        <v>424</v>
      </c>
      <c r="D1377" s="385" t="s">
        <v>424</v>
      </c>
      <c r="E1377" s="385">
        <v>453</v>
      </c>
      <c r="F1377" s="385" t="s">
        <v>423</v>
      </c>
      <c r="I1377" s="385" t="s">
        <v>3477</v>
      </c>
      <c r="J1377" s="385" t="s">
        <v>3477</v>
      </c>
      <c r="K1377" s="385" t="str">
        <f>VLOOKUP(Table13[[#This Row],[CD_FUNCAO]],'BASE_FUNCOES (hide)'!A:X,2,FALSE)</f>
        <v>BSC - Balanced Scorecard</v>
      </c>
    </row>
    <row r="1378" spans="1:11">
      <c r="A1378" s="385">
        <v>80011</v>
      </c>
      <c r="B1378" s="385" t="s">
        <v>3601</v>
      </c>
      <c r="C1378" s="385" t="s">
        <v>3600</v>
      </c>
      <c r="D1378" s="385" t="s">
        <v>3599</v>
      </c>
      <c r="E1378" s="385">
        <v>718</v>
      </c>
      <c r="F1378" s="385" t="s">
        <v>3527</v>
      </c>
      <c r="I1378" s="385" t="s">
        <v>3485</v>
      </c>
      <c r="J1378" s="385" t="s">
        <v>3477</v>
      </c>
      <c r="K1378" s="385" t="e">
        <f>VLOOKUP(Table13[[#This Row],[CD_FUNCAO]],'BASE_FUNCOES (hide)'!A:X,2,FALSE)</f>
        <v>#N/A</v>
      </c>
    </row>
    <row r="1379" spans="1:11" hidden="1">
      <c r="A1379" s="385">
        <v>7001</v>
      </c>
      <c r="B1379" s="385" t="s">
        <v>425</v>
      </c>
      <c r="C1379" s="385" t="s">
        <v>1517</v>
      </c>
      <c r="D1379" s="385" t="s">
        <v>1518</v>
      </c>
      <c r="E1379" s="385">
        <v>454</v>
      </c>
      <c r="F1379" s="385" t="s">
        <v>425</v>
      </c>
      <c r="I1379" s="385" t="s">
        <v>3477</v>
      </c>
      <c r="J1379" s="385" t="s">
        <v>3476</v>
      </c>
      <c r="K1379" s="385" t="str">
        <f>VLOOKUP(Table13[[#This Row],[CD_FUNCAO]],'BASE_FUNCOES (hide)'!A:X,2,FALSE)</f>
        <v>Planejamento Estratégico</v>
      </c>
    </row>
    <row r="1380" spans="1:11">
      <c r="A1380" s="385">
        <v>80012</v>
      </c>
      <c r="B1380" s="385" t="s">
        <v>3598</v>
      </c>
      <c r="C1380" s="385" t="s">
        <v>3597</v>
      </c>
      <c r="D1380" s="385" t="s">
        <v>3596</v>
      </c>
      <c r="E1380" s="385">
        <v>718</v>
      </c>
      <c r="F1380" s="385" t="s">
        <v>3527</v>
      </c>
      <c r="I1380" s="385" t="s">
        <v>3510</v>
      </c>
      <c r="J1380" s="385" t="s">
        <v>3477</v>
      </c>
      <c r="K1380" s="385" t="e">
        <f>VLOOKUP(Table13[[#This Row],[CD_FUNCAO]],'BASE_FUNCOES (hide)'!A:X,2,FALSE)</f>
        <v>#N/A</v>
      </c>
    </row>
    <row r="1381" spans="1:11" hidden="1">
      <c r="A1381" s="385">
        <v>8014</v>
      </c>
      <c r="B1381" s="385" t="s">
        <v>427</v>
      </c>
      <c r="C1381" s="385" t="s">
        <v>1519</v>
      </c>
      <c r="D1381" s="385" t="s">
        <v>1520</v>
      </c>
      <c r="E1381" s="385">
        <v>455</v>
      </c>
      <c r="F1381" s="385" t="s">
        <v>426</v>
      </c>
      <c r="I1381" s="385" t="s">
        <v>3477</v>
      </c>
      <c r="J1381" s="385" t="s">
        <v>3476</v>
      </c>
      <c r="K1381" s="385" t="str">
        <f>VLOOKUP(Table13[[#This Row],[CD_FUNCAO]],'BASE_FUNCOES (hide)'!A:X,2,FALSE)</f>
        <v>Controle de Visitas</v>
      </c>
    </row>
    <row r="1382" spans="1:11" hidden="1">
      <c r="A1382" s="385">
        <v>7027</v>
      </c>
      <c r="B1382" s="385" t="s">
        <v>428</v>
      </c>
      <c r="C1382" s="385" t="s">
        <v>1521</v>
      </c>
      <c r="D1382" s="385" t="s">
        <v>1522</v>
      </c>
      <c r="E1382" s="385">
        <v>456</v>
      </c>
      <c r="F1382" s="385" t="s">
        <v>342</v>
      </c>
      <c r="I1382" s="385" t="s">
        <v>3477</v>
      </c>
      <c r="J1382" s="385" t="s">
        <v>3477</v>
      </c>
      <c r="K1382" s="385" t="str">
        <f>VLOOKUP(Table13[[#This Row],[CD_FUNCAO]],'BASE_FUNCOES (hide)'!A:X,2,FALSE)</f>
        <v>Gestão de Projetos e Investimentos</v>
      </c>
    </row>
    <row r="1383" spans="1:11" hidden="1">
      <c r="A1383" s="385">
        <v>928</v>
      </c>
      <c r="B1383" s="385" t="s">
        <v>125</v>
      </c>
      <c r="C1383" s="385" t="s">
        <v>1523</v>
      </c>
      <c r="D1383" s="385" t="s">
        <v>1524</v>
      </c>
      <c r="E1383" s="385">
        <v>456</v>
      </c>
      <c r="F1383" s="385" t="s">
        <v>342</v>
      </c>
      <c r="I1383" s="385" t="s">
        <v>3477</v>
      </c>
      <c r="J1383" s="385" t="s">
        <v>3477</v>
      </c>
      <c r="K1383" s="385" t="str">
        <f>VLOOKUP(Table13[[#This Row],[CD_FUNCAO]],'BASE_FUNCOES (hide)'!A:X,2,FALSE)</f>
        <v>Controle de Projetos e Recursos Externos</v>
      </c>
    </row>
    <row r="1384" spans="1:11" hidden="1">
      <c r="A1384" s="385">
        <v>8011</v>
      </c>
      <c r="B1384" s="385" t="s">
        <v>1548</v>
      </c>
      <c r="C1384" s="385" t="s">
        <v>1550</v>
      </c>
      <c r="D1384" s="385" t="s">
        <v>1552</v>
      </c>
      <c r="E1384" s="385">
        <v>521</v>
      </c>
      <c r="F1384" s="385" t="s">
        <v>1549</v>
      </c>
      <c r="G1384" s="385" t="s">
        <v>1551</v>
      </c>
      <c r="H1384" s="385" t="s">
        <v>1553</v>
      </c>
      <c r="I1384" s="385" t="s">
        <v>3477</v>
      </c>
      <c r="J1384" s="385" t="s">
        <v>3476</v>
      </c>
      <c r="K1384" s="385" t="str">
        <f>VLOOKUP(Table13[[#This Row],[CD_FUNCAO]],'BASE_FUNCOES (hide)'!A:X,2,FALSE)</f>
        <v>Gestão do Desenvolvimento e Tecnologia Philips</v>
      </c>
    </row>
    <row r="1385" spans="1:11">
      <c r="A1385" s="385">
        <v>80013</v>
      </c>
      <c r="B1385" s="385" t="s">
        <v>3595</v>
      </c>
      <c r="C1385" s="385" t="s">
        <v>3594</v>
      </c>
      <c r="D1385" s="385" t="s">
        <v>3593</v>
      </c>
      <c r="E1385" s="385">
        <v>718</v>
      </c>
      <c r="F1385" s="385" t="s">
        <v>3527</v>
      </c>
      <c r="I1385" s="385" t="s">
        <v>3510</v>
      </c>
      <c r="J1385" s="385" t="s">
        <v>3477</v>
      </c>
      <c r="K1385" s="385" t="e">
        <f>VLOOKUP(Table13[[#This Row],[CD_FUNCAO]],'BASE_FUNCOES (hide)'!A:X,2,FALSE)</f>
        <v>#N/A</v>
      </c>
    </row>
    <row r="1386" spans="1:11">
      <c r="A1386" s="385">
        <v>80014</v>
      </c>
      <c r="B1386" s="385" t="s">
        <v>3592</v>
      </c>
      <c r="C1386" s="385" t="s">
        <v>3591</v>
      </c>
      <c r="D1386" s="385" t="s">
        <v>3590</v>
      </c>
      <c r="E1386" s="385">
        <v>718</v>
      </c>
      <c r="F1386" s="385" t="s">
        <v>3527</v>
      </c>
      <c r="I1386" s="385" t="s">
        <v>3510</v>
      </c>
      <c r="J1386" s="385" t="s">
        <v>3477</v>
      </c>
      <c r="K1386" s="385" t="e">
        <f>VLOOKUP(Table13[[#This Row],[CD_FUNCAO]],'BASE_FUNCOES (hide)'!A:X,2,FALSE)</f>
        <v>#N/A</v>
      </c>
    </row>
    <row r="1387" spans="1:11">
      <c r="A1387" s="385">
        <v>80015</v>
      </c>
      <c r="B1387" s="385" t="s">
        <v>3589</v>
      </c>
      <c r="C1387" s="385" t="s">
        <v>3588</v>
      </c>
      <c r="D1387" s="385" t="s">
        <v>3587</v>
      </c>
      <c r="E1387" s="385">
        <v>718</v>
      </c>
      <c r="F1387" s="385" t="s">
        <v>3527</v>
      </c>
      <c r="I1387" s="385" t="s">
        <v>3510</v>
      </c>
      <c r="J1387" s="385" t="s">
        <v>3477</v>
      </c>
      <c r="K1387" s="385" t="e">
        <f>VLOOKUP(Table13[[#This Row],[CD_FUNCAO]],'BASE_FUNCOES (hide)'!A:X,2,FALSE)</f>
        <v>#N/A</v>
      </c>
    </row>
    <row r="1388" spans="1:11">
      <c r="A1388" s="385">
        <v>80016</v>
      </c>
      <c r="B1388" s="385" t="s">
        <v>3586</v>
      </c>
      <c r="C1388" s="385" t="s">
        <v>3585</v>
      </c>
      <c r="D1388" s="385" t="s">
        <v>3584</v>
      </c>
      <c r="E1388" s="385">
        <v>718</v>
      </c>
      <c r="F1388" s="385" t="s">
        <v>3527</v>
      </c>
      <c r="I1388" s="385" t="s">
        <v>3510</v>
      </c>
      <c r="J1388" s="385" t="s">
        <v>3477</v>
      </c>
      <c r="K1388" s="385" t="e">
        <f>VLOOKUP(Table13[[#This Row],[CD_FUNCAO]],'BASE_FUNCOES (hide)'!A:X,2,FALSE)</f>
        <v>#N/A</v>
      </c>
    </row>
    <row r="1389" spans="1:11">
      <c r="A1389" s="385">
        <v>80017</v>
      </c>
      <c r="B1389" s="385" t="s">
        <v>5478</v>
      </c>
      <c r="C1389" s="385" t="s">
        <v>5477</v>
      </c>
      <c r="D1389" s="385" t="s">
        <v>5477</v>
      </c>
      <c r="E1389" s="385">
        <v>283</v>
      </c>
      <c r="F1389" s="385" t="s">
        <v>4705</v>
      </c>
      <c r="G1389" s="385" t="s">
        <v>4704</v>
      </c>
      <c r="H1389" s="385" t="s">
        <v>4703</v>
      </c>
      <c r="I1389" s="385" t="s">
        <v>3510</v>
      </c>
      <c r="J1389" s="385" t="s">
        <v>3477</v>
      </c>
      <c r="K1389" s="385" t="e">
        <f>VLOOKUP(Table13[[#This Row],[CD_FUNCAO]],'BASE_FUNCOES (hide)'!A:X,2,FALSE)</f>
        <v>#N/A</v>
      </c>
    </row>
    <row r="1390" spans="1:11">
      <c r="A1390" s="385">
        <v>80018</v>
      </c>
      <c r="B1390" s="385" t="s">
        <v>3583</v>
      </c>
      <c r="C1390" s="385" t="s">
        <v>3582</v>
      </c>
      <c r="D1390" s="385" t="s">
        <v>3581</v>
      </c>
      <c r="E1390" s="385">
        <v>718</v>
      </c>
      <c r="F1390" s="385" t="s">
        <v>3527</v>
      </c>
      <c r="I1390" s="385" t="s">
        <v>3510</v>
      </c>
      <c r="J1390" s="385" t="s">
        <v>3477</v>
      </c>
      <c r="K1390" s="385" t="e">
        <f>VLOOKUP(Table13[[#This Row],[CD_FUNCAO]],'BASE_FUNCOES (hide)'!A:X,2,FALSE)</f>
        <v>#N/A</v>
      </c>
    </row>
    <row r="1391" spans="1:11">
      <c r="A1391" s="385">
        <v>80019</v>
      </c>
      <c r="B1391" s="385" t="s">
        <v>3580</v>
      </c>
      <c r="C1391" s="385" t="s">
        <v>3579</v>
      </c>
      <c r="D1391" s="385" t="s">
        <v>3578</v>
      </c>
      <c r="E1391" s="385">
        <v>718</v>
      </c>
      <c r="F1391" s="385" t="s">
        <v>3527</v>
      </c>
      <c r="I1391" s="385" t="s">
        <v>3510</v>
      </c>
      <c r="J1391" s="385" t="s">
        <v>3477</v>
      </c>
      <c r="K1391" s="385" t="e">
        <f>VLOOKUP(Table13[[#This Row],[CD_FUNCAO]],'BASE_FUNCOES (hide)'!A:X,2,FALSE)</f>
        <v>#N/A</v>
      </c>
    </row>
    <row r="1392" spans="1:11">
      <c r="A1392" s="385">
        <v>80020</v>
      </c>
      <c r="B1392" s="385" t="s">
        <v>3577</v>
      </c>
      <c r="C1392" s="385" t="s">
        <v>3576</v>
      </c>
      <c r="D1392" s="385" t="s">
        <v>3575</v>
      </c>
      <c r="E1392" s="385">
        <v>718</v>
      </c>
      <c r="F1392" s="385" t="s">
        <v>3527</v>
      </c>
      <c r="I1392" s="385" t="s">
        <v>3510</v>
      </c>
      <c r="J1392" s="385" t="s">
        <v>3477</v>
      </c>
      <c r="K1392" s="385" t="e">
        <f>VLOOKUP(Table13[[#This Row],[CD_FUNCAO]],'BASE_FUNCOES (hide)'!A:X,2,FALSE)</f>
        <v>#N/A</v>
      </c>
    </row>
    <row r="1393" spans="1:11">
      <c r="A1393" s="385">
        <v>80021</v>
      </c>
      <c r="B1393" s="385" t="s">
        <v>3574</v>
      </c>
      <c r="C1393" s="385" t="s">
        <v>3573</v>
      </c>
      <c r="D1393" s="385" t="s">
        <v>3572</v>
      </c>
      <c r="E1393" s="385">
        <v>718</v>
      </c>
      <c r="F1393" s="385" t="s">
        <v>3527</v>
      </c>
      <c r="I1393" s="385" t="s">
        <v>3485</v>
      </c>
      <c r="J1393" s="385" t="s">
        <v>3477</v>
      </c>
      <c r="K1393" s="385" t="e">
        <f>VLOOKUP(Table13[[#This Row],[CD_FUNCAO]],'BASE_FUNCOES (hide)'!A:X,2,FALSE)</f>
        <v>#N/A</v>
      </c>
    </row>
    <row r="1394" spans="1:11">
      <c r="A1394" s="385">
        <v>80022</v>
      </c>
      <c r="B1394" s="385" t="s">
        <v>3571</v>
      </c>
      <c r="C1394" s="385" t="s">
        <v>3570</v>
      </c>
      <c r="D1394" s="385" t="s">
        <v>3569</v>
      </c>
      <c r="E1394" s="385">
        <v>718</v>
      </c>
      <c r="F1394" s="385" t="s">
        <v>3527</v>
      </c>
      <c r="I1394" s="385" t="s">
        <v>3485</v>
      </c>
      <c r="J1394" s="385" t="s">
        <v>3477</v>
      </c>
      <c r="K1394" s="385" t="e">
        <f>VLOOKUP(Table13[[#This Row],[CD_FUNCAO]],'BASE_FUNCOES (hide)'!A:X,2,FALSE)</f>
        <v>#N/A</v>
      </c>
    </row>
    <row r="1395" spans="1:11">
      <c r="A1395" s="385">
        <v>80023</v>
      </c>
      <c r="B1395" s="385" t="s">
        <v>3568</v>
      </c>
      <c r="C1395" s="385" t="s">
        <v>3567</v>
      </c>
      <c r="D1395" s="385" t="s">
        <v>3566</v>
      </c>
      <c r="E1395" s="385">
        <v>718</v>
      </c>
      <c r="F1395" s="385" t="s">
        <v>3527</v>
      </c>
      <c r="I1395" s="385" t="s">
        <v>3510</v>
      </c>
      <c r="J1395" s="385" t="s">
        <v>3477</v>
      </c>
      <c r="K1395" s="385" t="e">
        <f>VLOOKUP(Table13[[#This Row],[CD_FUNCAO]],'BASE_FUNCOES (hide)'!A:X,2,FALSE)</f>
        <v>#N/A</v>
      </c>
    </row>
    <row r="1396" spans="1:11">
      <c r="A1396" s="385">
        <v>80024</v>
      </c>
      <c r="B1396" s="385" t="s">
        <v>3565</v>
      </c>
      <c r="C1396" s="385" t="s">
        <v>3564</v>
      </c>
      <c r="D1396" s="385" t="s">
        <v>3563</v>
      </c>
      <c r="E1396" s="385">
        <v>718</v>
      </c>
      <c r="F1396" s="385" t="s">
        <v>3527</v>
      </c>
      <c r="I1396" s="385" t="s">
        <v>3510</v>
      </c>
      <c r="J1396" s="385" t="s">
        <v>3477</v>
      </c>
      <c r="K1396" s="385" t="e">
        <f>VLOOKUP(Table13[[#This Row],[CD_FUNCAO]],'BASE_FUNCOES (hide)'!A:X,2,FALSE)</f>
        <v>#N/A</v>
      </c>
    </row>
    <row r="1397" spans="1:11">
      <c r="A1397" s="385">
        <v>80025</v>
      </c>
      <c r="B1397" s="385" t="s">
        <v>3562</v>
      </c>
      <c r="C1397" s="385" t="s">
        <v>3561</v>
      </c>
      <c r="D1397" s="385" t="s">
        <v>3560</v>
      </c>
      <c r="E1397" s="385">
        <v>718</v>
      </c>
      <c r="F1397" s="385" t="s">
        <v>3527</v>
      </c>
      <c r="I1397" s="385" t="s">
        <v>3510</v>
      </c>
      <c r="J1397" s="385" t="s">
        <v>3477</v>
      </c>
      <c r="K1397" s="385" t="e">
        <f>VLOOKUP(Table13[[#This Row],[CD_FUNCAO]],'BASE_FUNCOES (hide)'!A:X,2,FALSE)</f>
        <v>#N/A</v>
      </c>
    </row>
    <row r="1398" spans="1:11">
      <c r="A1398" s="385">
        <v>80026</v>
      </c>
      <c r="B1398" s="385" t="s">
        <v>3559</v>
      </c>
      <c r="C1398" s="385" t="s">
        <v>3558</v>
      </c>
      <c r="D1398" s="385" t="s">
        <v>3557</v>
      </c>
      <c r="E1398" s="385">
        <v>718</v>
      </c>
      <c r="F1398" s="385" t="s">
        <v>3527</v>
      </c>
      <c r="I1398" s="385" t="s">
        <v>3510</v>
      </c>
      <c r="J1398" s="385" t="s">
        <v>3477</v>
      </c>
      <c r="K1398" s="385" t="e">
        <f>VLOOKUP(Table13[[#This Row],[CD_FUNCAO]],'BASE_FUNCOES (hide)'!A:X,2,FALSE)</f>
        <v>#N/A</v>
      </c>
    </row>
    <row r="1399" spans="1:11">
      <c r="A1399" s="385">
        <v>80027</v>
      </c>
      <c r="B1399" s="385" t="s">
        <v>3556</v>
      </c>
      <c r="C1399" s="385" t="s">
        <v>3555</v>
      </c>
      <c r="D1399" s="385" t="s">
        <v>3554</v>
      </c>
      <c r="E1399" s="385">
        <v>718</v>
      </c>
      <c r="F1399" s="385" t="s">
        <v>3527</v>
      </c>
      <c r="I1399" s="385" t="s">
        <v>3510</v>
      </c>
      <c r="J1399" s="385" t="s">
        <v>3477</v>
      </c>
      <c r="K1399" s="385" t="e">
        <f>VLOOKUP(Table13[[#This Row],[CD_FUNCAO]],'BASE_FUNCOES (hide)'!A:X,2,FALSE)</f>
        <v>#N/A</v>
      </c>
    </row>
    <row r="1400" spans="1:11">
      <c r="A1400" s="385">
        <v>80028</v>
      </c>
      <c r="B1400" s="385" t="s">
        <v>3553</v>
      </c>
      <c r="C1400" s="385" t="s">
        <v>3552</v>
      </c>
      <c r="D1400" s="385" t="s">
        <v>3551</v>
      </c>
      <c r="E1400" s="385">
        <v>718</v>
      </c>
      <c r="F1400" s="385" t="s">
        <v>3527</v>
      </c>
      <c r="I1400" s="385" t="s">
        <v>3510</v>
      </c>
      <c r="J1400" s="385" t="s">
        <v>3477</v>
      </c>
      <c r="K1400" s="385" t="e">
        <f>VLOOKUP(Table13[[#This Row],[CD_FUNCAO]],'BASE_FUNCOES (hide)'!A:X,2,FALSE)</f>
        <v>#N/A</v>
      </c>
    </row>
    <row r="1401" spans="1:11">
      <c r="A1401" s="385">
        <v>80029</v>
      </c>
      <c r="B1401" s="385" t="s">
        <v>3549</v>
      </c>
      <c r="C1401" s="385" t="s">
        <v>3550</v>
      </c>
      <c r="D1401" s="385" t="s">
        <v>3549</v>
      </c>
      <c r="E1401" s="385">
        <v>718</v>
      </c>
      <c r="F1401" s="385" t="s">
        <v>3527</v>
      </c>
      <c r="I1401" s="385" t="s">
        <v>3510</v>
      </c>
      <c r="J1401" s="385" t="s">
        <v>3477</v>
      </c>
      <c r="K1401" s="385" t="e">
        <f>VLOOKUP(Table13[[#This Row],[CD_FUNCAO]],'BASE_FUNCOES (hide)'!A:X,2,FALSE)</f>
        <v>#N/A</v>
      </c>
    </row>
    <row r="1402" spans="1:11">
      <c r="A1402" s="385">
        <v>80030</v>
      </c>
      <c r="B1402" s="385" t="s">
        <v>3548</v>
      </c>
      <c r="C1402" s="385" t="s">
        <v>3547</v>
      </c>
      <c r="D1402" s="385" t="s">
        <v>3546</v>
      </c>
      <c r="E1402" s="385">
        <v>718</v>
      </c>
      <c r="F1402" s="385" t="s">
        <v>3527</v>
      </c>
      <c r="I1402" s="385" t="s">
        <v>3485</v>
      </c>
      <c r="J1402" s="385" t="s">
        <v>3477</v>
      </c>
      <c r="K1402" s="385" t="e">
        <f>VLOOKUP(Table13[[#This Row],[CD_FUNCAO]],'BASE_FUNCOES (hide)'!A:X,2,FALSE)</f>
        <v>#N/A</v>
      </c>
    </row>
    <row r="1403" spans="1:11">
      <c r="A1403" s="385">
        <v>80031</v>
      </c>
      <c r="B1403" s="385" t="s">
        <v>3545</v>
      </c>
      <c r="C1403" s="385" t="s">
        <v>3544</v>
      </c>
      <c r="D1403" s="385" t="s">
        <v>3543</v>
      </c>
      <c r="E1403" s="385">
        <v>718</v>
      </c>
      <c r="F1403" s="385" t="s">
        <v>3527</v>
      </c>
      <c r="I1403" s="385" t="s">
        <v>3510</v>
      </c>
      <c r="J1403" s="385" t="s">
        <v>3477</v>
      </c>
      <c r="K1403" s="385" t="e">
        <f>VLOOKUP(Table13[[#This Row],[CD_FUNCAO]],'BASE_FUNCOES (hide)'!A:X,2,FALSE)</f>
        <v>#N/A</v>
      </c>
    </row>
    <row r="1404" spans="1:11">
      <c r="A1404" s="385">
        <v>80032</v>
      </c>
      <c r="B1404" s="385" t="s">
        <v>3542</v>
      </c>
      <c r="C1404" s="385" t="s">
        <v>3541</v>
      </c>
      <c r="D1404" s="385" t="s">
        <v>3540</v>
      </c>
      <c r="E1404" s="385">
        <v>718</v>
      </c>
      <c r="F1404" s="385" t="s">
        <v>3527</v>
      </c>
      <c r="I1404" s="385" t="s">
        <v>3510</v>
      </c>
      <c r="J1404" s="385" t="s">
        <v>3477</v>
      </c>
      <c r="K1404" s="385" t="e">
        <f>VLOOKUP(Table13[[#This Row],[CD_FUNCAO]],'BASE_FUNCOES (hide)'!A:X,2,FALSE)</f>
        <v>#N/A</v>
      </c>
    </row>
    <row r="1405" spans="1:11">
      <c r="A1405" s="385">
        <v>80033</v>
      </c>
      <c r="B1405" s="385" t="s">
        <v>3539</v>
      </c>
      <c r="C1405" s="385" t="s">
        <v>3538</v>
      </c>
      <c r="D1405" s="385" t="s">
        <v>3537</v>
      </c>
      <c r="E1405" s="385">
        <v>718</v>
      </c>
      <c r="F1405" s="385" t="s">
        <v>3527</v>
      </c>
      <c r="I1405" s="385" t="s">
        <v>3510</v>
      </c>
      <c r="J1405" s="385" t="s">
        <v>3477</v>
      </c>
      <c r="K1405" s="385" t="e">
        <f>VLOOKUP(Table13[[#This Row],[CD_FUNCAO]],'BASE_FUNCOES (hide)'!A:X,2,FALSE)</f>
        <v>#N/A</v>
      </c>
    </row>
    <row r="1406" spans="1:11">
      <c r="A1406" s="385">
        <v>80034</v>
      </c>
      <c r="B1406" s="385" t="s">
        <v>3536</v>
      </c>
      <c r="C1406" s="385" t="s">
        <v>3535</v>
      </c>
      <c r="D1406" s="385" t="s">
        <v>3534</v>
      </c>
      <c r="E1406" s="385">
        <v>718</v>
      </c>
      <c r="F1406" s="385" t="s">
        <v>3527</v>
      </c>
      <c r="I1406" s="385" t="s">
        <v>3485</v>
      </c>
      <c r="J1406" s="385" t="s">
        <v>3477</v>
      </c>
      <c r="K1406" s="385" t="e">
        <f>VLOOKUP(Table13[[#This Row],[CD_FUNCAO]],'BASE_FUNCOES (hide)'!A:X,2,FALSE)</f>
        <v>#N/A</v>
      </c>
    </row>
    <row r="1407" spans="1:11">
      <c r="A1407" s="385">
        <v>80035</v>
      </c>
      <c r="B1407" s="385" t="s">
        <v>3533</v>
      </c>
      <c r="C1407" s="385" t="s">
        <v>3532</v>
      </c>
      <c r="D1407" s="385" t="s">
        <v>3531</v>
      </c>
      <c r="E1407" s="385">
        <v>718</v>
      </c>
      <c r="F1407" s="385" t="s">
        <v>3527</v>
      </c>
      <c r="I1407" s="385" t="s">
        <v>3510</v>
      </c>
      <c r="J1407" s="385" t="s">
        <v>3477</v>
      </c>
      <c r="K1407" s="385" t="e">
        <f>VLOOKUP(Table13[[#This Row],[CD_FUNCAO]],'BASE_FUNCOES (hide)'!A:X,2,FALSE)</f>
        <v>#N/A</v>
      </c>
    </row>
    <row r="1408" spans="1:11">
      <c r="A1408" s="385">
        <v>80036</v>
      </c>
      <c r="B1408" s="385" t="s">
        <v>3530</v>
      </c>
      <c r="C1408" s="385" t="s">
        <v>3529</v>
      </c>
      <c r="D1408" s="385" t="s">
        <v>3528</v>
      </c>
      <c r="E1408" s="385">
        <v>718</v>
      </c>
      <c r="F1408" s="385" t="s">
        <v>3527</v>
      </c>
      <c r="I1408" s="385" t="s">
        <v>3510</v>
      </c>
      <c r="J1408" s="385" t="s">
        <v>3477</v>
      </c>
      <c r="K1408" s="385" t="e">
        <f>VLOOKUP(Table13[[#This Row],[CD_FUNCAO]],'BASE_FUNCOES (hide)'!A:X,2,FALSE)</f>
        <v>#N/A</v>
      </c>
    </row>
    <row r="1409" spans="1:11">
      <c r="A1409" s="385">
        <v>99001</v>
      </c>
      <c r="B1409" s="385" t="s">
        <v>5470</v>
      </c>
      <c r="C1409" s="385" t="s">
        <v>5469</v>
      </c>
      <c r="D1409" s="385" t="s">
        <v>5468</v>
      </c>
      <c r="E1409" s="385">
        <v>283</v>
      </c>
      <c r="F1409" s="385" t="s">
        <v>4705</v>
      </c>
      <c r="G1409" s="385" t="s">
        <v>4704</v>
      </c>
      <c r="H1409" s="385" t="s">
        <v>4703</v>
      </c>
      <c r="I1409" s="385" t="s">
        <v>3510</v>
      </c>
      <c r="J1409" s="385" t="s">
        <v>3477</v>
      </c>
      <c r="K1409" s="385" t="e">
        <f>VLOOKUP(Table13[[#This Row],[CD_FUNCAO]],'BASE_FUNCOES (hide)'!A:X,2,FALSE)</f>
        <v>#N/A</v>
      </c>
    </row>
    <row r="1410" spans="1:11">
      <c r="A1410" s="385">
        <v>99002</v>
      </c>
      <c r="B1410" s="385" t="s">
        <v>5467</v>
      </c>
      <c r="C1410" s="385" t="s">
        <v>5466</v>
      </c>
      <c r="D1410" s="385" t="s">
        <v>5465</v>
      </c>
      <c r="E1410" s="385">
        <v>283</v>
      </c>
      <c r="F1410" s="385" t="s">
        <v>4705</v>
      </c>
      <c r="G1410" s="385" t="s">
        <v>4704</v>
      </c>
      <c r="H1410" s="385" t="s">
        <v>4703</v>
      </c>
      <c r="I1410" s="385" t="s">
        <v>3510</v>
      </c>
      <c r="J1410" s="385" t="s">
        <v>3477</v>
      </c>
      <c r="K1410" s="385" t="e">
        <f>VLOOKUP(Table13[[#This Row],[CD_FUNCAO]],'BASE_FUNCOES (hide)'!A:X,2,FALSE)</f>
        <v>#N/A</v>
      </c>
    </row>
    <row r="1411" spans="1:11">
      <c r="A1411" s="385">
        <v>99003</v>
      </c>
      <c r="B1411" s="385" t="s">
        <v>5463</v>
      </c>
      <c r="C1411" s="385" t="s">
        <v>5464</v>
      </c>
      <c r="D1411" s="385" t="s">
        <v>5463</v>
      </c>
      <c r="E1411" s="385">
        <v>283</v>
      </c>
      <c r="F1411" s="385" t="s">
        <v>4705</v>
      </c>
      <c r="G1411" s="385" t="s">
        <v>4704</v>
      </c>
      <c r="H1411" s="385" t="s">
        <v>4703</v>
      </c>
      <c r="I1411" s="385" t="s">
        <v>3510</v>
      </c>
      <c r="J1411" s="385" t="s">
        <v>3477</v>
      </c>
      <c r="K1411" s="385" t="e">
        <f>VLOOKUP(Table13[[#This Row],[CD_FUNCAO]],'BASE_FUNCOES (hide)'!A:X,2,FALSE)</f>
        <v>#N/A</v>
      </c>
    </row>
    <row r="1412" spans="1:11">
      <c r="A1412" s="385">
        <v>99004</v>
      </c>
      <c r="B1412" s="385" t="s">
        <v>5462</v>
      </c>
      <c r="C1412" s="385" t="s">
        <v>5461</v>
      </c>
      <c r="D1412" s="385" t="s">
        <v>5460</v>
      </c>
      <c r="E1412" s="385">
        <v>283</v>
      </c>
      <c r="F1412" s="385" t="s">
        <v>4705</v>
      </c>
      <c r="G1412" s="385" t="s">
        <v>4704</v>
      </c>
      <c r="H1412" s="385" t="s">
        <v>4703</v>
      </c>
      <c r="I1412" s="385" t="s">
        <v>3510</v>
      </c>
      <c r="J1412" s="385" t="s">
        <v>3477</v>
      </c>
      <c r="K1412" s="385" t="e">
        <f>VLOOKUP(Table13[[#This Row],[CD_FUNCAO]],'BASE_FUNCOES (hide)'!A:X,2,FALSE)</f>
        <v>#N/A</v>
      </c>
    </row>
    <row r="1413" spans="1:11">
      <c r="A1413" s="385">
        <v>99005</v>
      </c>
      <c r="B1413" s="385" t="s">
        <v>5459</v>
      </c>
      <c r="C1413" s="385" t="s">
        <v>5458</v>
      </c>
      <c r="D1413" s="385" t="s">
        <v>5457</v>
      </c>
      <c r="E1413" s="385">
        <v>283</v>
      </c>
      <c r="F1413" s="385" t="s">
        <v>4705</v>
      </c>
      <c r="G1413" s="385" t="s">
        <v>4704</v>
      </c>
      <c r="H1413" s="385" t="s">
        <v>4703</v>
      </c>
      <c r="I1413" s="385" t="s">
        <v>3510</v>
      </c>
      <c r="J1413" s="385" t="s">
        <v>3477</v>
      </c>
      <c r="K1413" s="385" t="e">
        <f>VLOOKUP(Table13[[#This Row],[CD_FUNCAO]],'BASE_FUNCOES (hide)'!A:X,2,FALSE)</f>
        <v>#N/A</v>
      </c>
    </row>
    <row r="1414" spans="1:11">
      <c r="A1414" s="385">
        <v>99006</v>
      </c>
      <c r="B1414" s="385" t="s">
        <v>5456</v>
      </c>
      <c r="C1414" s="385" t="s">
        <v>5455</v>
      </c>
      <c r="D1414" s="385" t="s">
        <v>5454</v>
      </c>
      <c r="E1414" s="385">
        <v>283</v>
      </c>
      <c r="F1414" s="385" t="s">
        <v>4705</v>
      </c>
      <c r="G1414" s="385" t="s">
        <v>4704</v>
      </c>
      <c r="H1414" s="385" t="s">
        <v>4703</v>
      </c>
      <c r="I1414" s="385" t="s">
        <v>3510</v>
      </c>
      <c r="J1414" s="385" t="s">
        <v>3477</v>
      </c>
      <c r="K1414" s="385" t="e">
        <f>VLOOKUP(Table13[[#This Row],[CD_FUNCAO]],'BASE_FUNCOES (hide)'!A:X,2,FALSE)</f>
        <v>#N/A</v>
      </c>
    </row>
    <row r="1415" spans="1:11">
      <c r="A1415" s="385">
        <v>99007</v>
      </c>
      <c r="B1415" s="385" t="s">
        <v>5453</v>
      </c>
      <c r="C1415" s="385" t="s">
        <v>5452</v>
      </c>
      <c r="D1415" s="385" t="s">
        <v>5451</v>
      </c>
      <c r="E1415" s="385">
        <v>283</v>
      </c>
      <c r="F1415" s="385" t="s">
        <v>4705</v>
      </c>
      <c r="G1415" s="385" t="s">
        <v>4704</v>
      </c>
      <c r="H1415" s="385" t="s">
        <v>4703</v>
      </c>
      <c r="I1415" s="385" t="s">
        <v>3510</v>
      </c>
      <c r="J1415" s="385" t="s">
        <v>3477</v>
      </c>
      <c r="K1415" s="385" t="e">
        <f>VLOOKUP(Table13[[#This Row],[CD_FUNCAO]],'BASE_FUNCOES (hide)'!A:X,2,FALSE)</f>
        <v>#N/A</v>
      </c>
    </row>
    <row r="1416" spans="1:11">
      <c r="A1416" s="385">
        <v>99008</v>
      </c>
      <c r="B1416" s="385" t="s">
        <v>5390</v>
      </c>
      <c r="C1416" s="385" t="s">
        <v>5389</v>
      </c>
      <c r="D1416" s="385" t="s">
        <v>5388</v>
      </c>
      <c r="E1416" s="385">
        <v>283</v>
      </c>
      <c r="F1416" s="385" t="s">
        <v>4705</v>
      </c>
      <c r="G1416" s="385" t="s">
        <v>4704</v>
      </c>
      <c r="H1416" s="385" t="s">
        <v>4703</v>
      </c>
      <c r="I1416" s="385" t="s">
        <v>3485</v>
      </c>
      <c r="J1416" s="385" t="s">
        <v>3477</v>
      </c>
      <c r="K1416" s="385" t="e">
        <f>VLOOKUP(Table13[[#This Row],[CD_FUNCAO]],'BASE_FUNCOES (hide)'!A:X,2,FALSE)</f>
        <v>#N/A</v>
      </c>
    </row>
    <row r="1417" spans="1:11">
      <c r="A1417" s="385">
        <v>99011</v>
      </c>
      <c r="B1417" s="385" t="s">
        <v>5375</v>
      </c>
      <c r="C1417" s="385" t="s">
        <v>5374</v>
      </c>
      <c r="D1417" s="385" t="s">
        <v>5373</v>
      </c>
      <c r="E1417" s="385">
        <v>283</v>
      </c>
      <c r="F1417" s="385" t="s">
        <v>4705</v>
      </c>
      <c r="G1417" s="385" t="s">
        <v>4704</v>
      </c>
      <c r="H1417" s="385" t="s">
        <v>4703</v>
      </c>
      <c r="I1417" s="385" t="s">
        <v>3485</v>
      </c>
      <c r="J1417" s="385" t="s">
        <v>3476</v>
      </c>
      <c r="K1417" s="385" t="e">
        <f>VLOOKUP(Table13[[#This Row],[CD_FUNCAO]],'BASE_FUNCOES (hide)'!A:X,2,FALSE)</f>
        <v>#N/A</v>
      </c>
    </row>
    <row r="1418" spans="1:11">
      <c r="A1418" s="385">
        <v>99015</v>
      </c>
      <c r="B1418" s="385" t="s">
        <v>5357</v>
      </c>
      <c r="C1418" s="385" t="s">
        <v>5356</v>
      </c>
      <c r="D1418" s="385" t="s">
        <v>5355</v>
      </c>
      <c r="E1418" s="385">
        <v>283</v>
      </c>
      <c r="F1418" s="385" t="s">
        <v>4705</v>
      </c>
      <c r="G1418" s="385" t="s">
        <v>4704</v>
      </c>
      <c r="H1418" s="385" t="s">
        <v>4703</v>
      </c>
      <c r="I1418" s="385" t="s">
        <v>3510</v>
      </c>
      <c r="J1418" s="385" t="s">
        <v>3477</v>
      </c>
      <c r="K1418" s="385" t="e">
        <f>VLOOKUP(Table13[[#This Row],[CD_FUNCAO]],'BASE_FUNCOES (hide)'!A:X,2,FALSE)</f>
        <v>#N/A</v>
      </c>
    </row>
    <row r="1419" spans="1:11">
      <c r="A1419" s="385">
        <v>99016</v>
      </c>
      <c r="B1419" s="385" t="s">
        <v>5318</v>
      </c>
      <c r="C1419" s="385" t="s">
        <v>5318</v>
      </c>
      <c r="D1419" s="385" t="s">
        <v>5318</v>
      </c>
      <c r="E1419" s="385">
        <v>283</v>
      </c>
      <c r="F1419" s="385" t="s">
        <v>4705</v>
      </c>
      <c r="G1419" s="385" t="s">
        <v>4704</v>
      </c>
      <c r="H1419" s="385" t="s">
        <v>4703</v>
      </c>
      <c r="I1419" s="385" t="s">
        <v>3510</v>
      </c>
      <c r="J1419" s="385" t="s">
        <v>3477</v>
      </c>
      <c r="K1419" s="385" t="e">
        <f>VLOOKUP(Table13[[#This Row],[CD_FUNCAO]],'BASE_FUNCOES (hide)'!A:X,2,FALSE)</f>
        <v>#N/A</v>
      </c>
    </row>
    <row r="1420" spans="1:11" hidden="1">
      <c r="A1420" s="385">
        <v>354</v>
      </c>
      <c r="B1420" s="385" t="s">
        <v>405</v>
      </c>
      <c r="C1420" s="385" t="s">
        <v>1574</v>
      </c>
      <c r="D1420" s="385" t="s">
        <v>1575</v>
      </c>
      <c r="E1420" s="385">
        <v>870</v>
      </c>
      <c r="F1420" s="385" t="s">
        <v>1573</v>
      </c>
      <c r="I1420" s="385" t="s">
        <v>3477</v>
      </c>
      <c r="J1420" s="385" t="s">
        <v>3476</v>
      </c>
      <c r="K1420" s="385" t="str">
        <f>VLOOKUP(Table13[[#This Row],[CD_FUNCAO]],'BASE_FUNCOES (hide)'!A:X,2,FALSE)</f>
        <v>Suporte à Decisão Clínica (SDC) - Mentor</v>
      </c>
    </row>
    <row r="1421" spans="1:11" hidden="1">
      <c r="A1421" s="385">
        <v>355</v>
      </c>
      <c r="B1421" s="385" t="s">
        <v>380</v>
      </c>
      <c r="C1421" s="385" t="s">
        <v>380</v>
      </c>
      <c r="D1421" s="385" t="s">
        <v>380</v>
      </c>
      <c r="E1421" s="385">
        <v>870</v>
      </c>
      <c r="F1421" s="385" t="s">
        <v>1573</v>
      </c>
      <c r="I1421" s="385" t="s">
        <v>3477</v>
      </c>
      <c r="J1421" s="385" t="s">
        <v>3476</v>
      </c>
      <c r="K1421" s="385" t="str">
        <f>VLOOKUP(Table13[[#This Row],[CD_FUNCAO]],'BASE_FUNCOES (hide)'!A:X,2,FALSE)</f>
        <v>Mentor</v>
      </c>
    </row>
    <row r="1422" spans="1:11" hidden="1">
      <c r="A1422" s="385">
        <v>10150</v>
      </c>
      <c r="B1422" s="385" t="s">
        <v>1903</v>
      </c>
      <c r="C1422" s="385" t="s">
        <v>1904</v>
      </c>
      <c r="D1422" s="385" t="s">
        <v>1905</v>
      </c>
      <c r="E1422" s="385">
        <v>904</v>
      </c>
      <c r="F1422" s="385" t="s">
        <v>2294</v>
      </c>
      <c r="G1422" s="385" t="s">
        <v>1878</v>
      </c>
      <c r="H1422" s="385" t="s">
        <v>1878</v>
      </c>
      <c r="I1422" s="385" t="s">
        <v>3477</v>
      </c>
      <c r="J1422" s="385" t="s">
        <v>3477</v>
      </c>
      <c r="K1422" s="385" t="str">
        <f>VLOOKUP(Table13[[#This Row],[CD_FUNCAO]],'BASE_FUNCOES (hide)'!A:X,2,FALSE)</f>
        <v>HDM - Cadastros Gerais</v>
      </c>
    </row>
    <row r="1423" spans="1:11" hidden="1">
      <c r="A1423" s="385">
        <v>10151</v>
      </c>
      <c r="B1423" s="385" t="s">
        <v>1900</v>
      </c>
      <c r="C1423" s="385" t="s">
        <v>1901</v>
      </c>
      <c r="D1423" s="385" t="s">
        <v>3526</v>
      </c>
      <c r="E1423" s="385">
        <v>904</v>
      </c>
      <c r="F1423" s="385" t="s">
        <v>2294</v>
      </c>
      <c r="G1423" s="385" t="s">
        <v>1878</v>
      </c>
      <c r="H1423" s="385" t="s">
        <v>1878</v>
      </c>
      <c r="I1423" s="385" t="s">
        <v>3477</v>
      </c>
      <c r="J1423" s="385" t="s">
        <v>3477</v>
      </c>
      <c r="K1423" s="385" t="str">
        <f>VLOOKUP(Table13[[#This Row],[CD_FUNCAO]],'BASE_FUNCOES (hide)'!A:X,2,FALSE)</f>
        <v>HDM - Controle de Campanhas</v>
      </c>
    </row>
    <row r="1424" spans="1:11" hidden="1">
      <c r="A1424" s="385">
        <v>10200</v>
      </c>
      <c r="B1424" s="385" t="s">
        <v>1906</v>
      </c>
      <c r="C1424" s="385" t="s">
        <v>1907</v>
      </c>
      <c r="D1424" s="385" t="s">
        <v>1908</v>
      </c>
      <c r="E1424" s="385">
        <v>904</v>
      </c>
      <c r="F1424" s="385" t="s">
        <v>2294</v>
      </c>
      <c r="G1424" s="385" t="s">
        <v>1878</v>
      </c>
      <c r="H1424" s="385" t="s">
        <v>1878</v>
      </c>
      <c r="I1424" s="385" t="s">
        <v>3477</v>
      </c>
      <c r="J1424" s="385" t="s">
        <v>3477</v>
      </c>
      <c r="K1424" s="385" t="str">
        <f>VLOOKUP(Table13[[#This Row],[CD_FUNCAO]],'BASE_FUNCOES (hide)'!A:X,2,FALSE)</f>
        <v>HDM - Configurações Gerais</v>
      </c>
    </row>
    <row r="1425" spans="1:11" hidden="1">
      <c r="A1425" s="385">
        <v>10152</v>
      </c>
      <c r="B1425" s="385" t="s">
        <v>1898</v>
      </c>
      <c r="C1425" s="385" t="s">
        <v>1899</v>
      </c>
      <c r="D1425" s="385" t="s">
        <v>1898</v>
      </c>
      <c r="E1425" s="385">
        <v>904</v>
      </c>
      <c r="F1425" s="385" t="s">
        <v>2294</v>
      </c>
      <c r="G1425" s="385" t="s">
        <v>1878</v>
      </c>
      <c r="H1425" s="385" t="s">
        <v>1878</v>
      </c>
      <c r="I1425" s="385" t="s">
        <v>3477</v>
      </c>
      <c r="J1425" s="385" t="s">
        <v>3477</v>
      </c>
      <c r="K1425" s="385" t="str">
        <f>VLOOKUP(Table13[[#This Row],[CD_FUNCAO]],'BASE_FUNCOES (hide)'!A:X,2,FALSE)</f>
        <v>HDM - Programas</v>
      </c>
    </row>
    <row r="1426" spans="1:11" hidden="1">
      <c r="A1426" s="385">
        <v>10153</v>
      </c>
      <c r="B1426" s="385" t="s">
        <v>1895</v>
      </c>
      <c r="C1426" s="385" t="s">
        <v>1896</v>
      </c>
      <c r="D1426" s="385" t="s">
        <v>1897</v>
      </c>
      <c r="E1426" s="385">
        <v>904</v>
      </c>
      <c r="F1426" s="385" t="s">
        <v>2294</v>
      </c>
      <c r="G1426" s="385" t="s">
        <v>1878</v>
      </c>
      <c r="H1426" s="385" t="s">
        <v>1878</v>
      </c>
      <c r="I1426" s="385" t="s">
        <v>3477</v>
      </c>
      <c r="J1426" s="385" t="s">
        <v>3477</v>
      </c>
      <c r="K1426" s="385" t="str">
        <f>VLOOKUP(Table13[[#This Row],[CD_FUNCAO]],'BASE_FUNCOES (hide)'!A:X,2,FALSE)</f>
        <v>HDM - Controle de Equipes e Papéis</v>
      </c>
    </row>
    <row r="1427" spans="1:11" hidden="1">
      <c r="A1427" s="385">
        <v>10160</v>
      </c>
      <c r="B1427" s="385" t="s">
        <v>1912</v>
      </c>
      <c r="C1427" s="385" t="s">
        <v>1913</v>
      </c>
      <c r="D1427" s="385" t="s">
        <v>1914</v>
      </c>
      <c r="E1427" s="385">
        <v>904</v>
      </c>
      <c r="F1427" s="385" t="s">
        <v>2294</v>
      </c>
      <c r="G1427" s="385" t="s">
        <v>1878</v>
      </c>
      <c r="H1427" s="385" t="s">
        <v>1878</v>
      </c>
      <c r="I1427" s="385" t="s">
        <v>3477</v>
      </c>
      <c r="J1427" s="385" t="s">
        <v>3477</v>
      </c>
      <c r="K1427" s="385" t="str">
        <f>VLOOKUP(Table13[[#This Row],[CD_FUNCAO]],'BASE_FUNCOES (hide)'!A:X,2,FALSE)</f>
        <v>HDM - Atendimento</v>
      </c>
    </row>
    <row r="1428" spans="1:11" hidden="1">
      <c r="A1428" s="385">
        <v>10161</v>
      </c>
      <c r="B1428" s="385" t="s">
        <v>1909</v>
      </c>
      <c r="C1428" s="385" t="s">
        <v>1910</v>
      </c>
      <c r="D1428" s="385" t="s">
        <v>1911</v>
      </c>
      <c r="E1428" s="385">
        <v>904</v>
      </c>
      <c r="F1428" s="385" t="s">
        <v>2294</v>
      </c>
      <c r="G1428" s="385" t="s">
        <v>1878</v>
      </c>
      <c r="H1428" s="385" t="s">
        <v>1878</v>
      </c>
      <c r="I1428" s="385" t="s">
        <v>3477</v>
      </c>
      <c r="J1428" s="385" t="s">
        <v>3477</v>
      </c>
      <c r="K1428" s="385" t="str">
        <f>VLOOKUP(Table13[[#This Row],[CD_FUNCAO]],'BASE_FUNCOES (hide)'!A:X,2,FALSE)</f>
        <v>HDM - Telemonitoramento</v>
      </c>
    </row>
    <row r="1429" spans="1:11" hidden="1">
      <c r="A1429" s="385">
        <v>10158</v>
      </c>
      <c r="B1429" s="385" t="s">
        <v>1877</v>
      </c>
      <c r="C1429" s="385" t="s">
        <v>1879</v>
      </c>
      <c r="D1429" s="385" t="s">
        <v>1877</v>
      </c>
      <c r="E1429" s="385">
        <v>904</v>
      </c>
      <c r="F1429" s="385" t="s">
        <v>2294</v>
      </c>
      <c r="G1429" s="385" t="s">
        <v>1878</v>
      </c>
      <c r="H1429" s="385" t="s">
        <v>1878</v>
      </c>
      <c r="I1429" s="385" t="s">
        <v>3477</v>
      </c>
      <c r="J1429" s="385" t="s">
        <v>3477</v>
      </c>
      <c r="K1429" s="385" t="str">
        <f>VLOOKUP(Table13[[#This Row],[CD_FUNCAO]],'BASE_FUNCOES (hide)'!A:X,2,FALSE)</f>
        <v>HDM - Agenda</v>
      </c>
    </row>
    <row r="1430" spans="1:11" hidden="1">
      <c r="A1430" s="385">
        <v>10159</v>
      </c>
      <c r="B1430" s="385" t="s">
        <v>1880</v>
      </c>
      <c r="C1430" s="385" t="s">
        <v>1881</v>
      </c>
      <c r="D1430" s="385" t="s">
        <v>1882</v>
      </c>
      <c r="E1430" s="385">
        <v>904</v>
      </c>
      <c r="F1430" s="385" t="s">
        <v>2294</v>
      </c>
      <c r="G1430" s="385" t="s">
        <v>1878</v>
      </c>
      <c r="H1430" s="385" t="s">
        <v>1878</v>
      </c>
      <c r="I1430" s="385" t="s">
        <v>3477</v>
      </c>
      <c r="J1430" s="385" t="s">
        <v>3477</v>
      </c>
      <c r="K1430" s="385" t="str">
        <f>VLOOKUP(Table13[[#This Row],[CD_FUNCAO]],'BASE_FUNCOES (hide)'!A:X,2,FALSE)</f>
        <v>HDM - Acompanhamento do Plano de Atendimento</v>
      </c>
    </row>
    <row r="1431" spans="1:11" hidden="1">
      <c r="A1431" s="385">
        <v>10155</v>
      </c>
      <c r="B1431" s="385" t="s">
        <v>1889</v>
      </c>
      <c r="C1431" s="385" t="s">
        <v>1890</v>
      </c>
      <c r="D1431" s="385" t="s">
        <v>1891</v>
      </c>
      <c r="E1431" s="385">
        <v>904</v>
      </c>
      <c r="F1431" s="385" t="s">
        <v>2294</v>
      </c>
      <c r="G1431" s="385" t="s">
        <v>1878</v>
      </c>
      <c r="H1431" s="385" t="s">
        <v>1878</v>
      </c>
      <c r="I1431" s="385" t="s">
        <v>3477</v>
      </c>
      <c r="J1431" s="385" t="s">
        <v>3477</v>
      </c>
      <c r="K1431" s="385" t="str">
        <f>VLOOKUP(Table13[[#This Row],[CD_FUNCAO]],'BASE_FUNCOES (hide)'!A:X,2,FALSE)</f>
        <v>HDM - Captação</v>
      </c>
    </row>
    <row r="1432" spans="1:11" hidden="1">
      <c r="A1432" s="385">
        <v>10156</v>
      </c>
      <c r="B1432" s="385" t="s">
        <v>1886</v>
      </c>
      <c r="C1432" s="385" t="s">
        <v>1887</v>
      </c>
      <c r="D1432" s="385" t="s">
        <v>1888</v>
      </c>
      <c r="E1432" s="385">
        <v>904</v>
      </c>
      <c r="F1432" s="385" t="s">
        <v>2294</v>
      </c>
      <c r="G1432" s="385" t="s">
        <v>1878</v>
      </c>
      <c r="H1432" s="385" t="s">
        <v>1878</v>
      </c>
      <c r="I1432" s="385" t="s">
        <v>3477</v>
      </c>
      <c r="J1432" s="385" t="s">
        <v>3477</v>
      </c>
      <c r="K1432" s="385" t="str">
        <f>VLOOKUP(Table13[[#This Row],[CD_FUNCAO]],'BASE_FUNCOES (hide)'!A:X,2,FALSE)</f>
        <v>HDM - Pesquisa de População Alvo</v>
      </c>
    </row>
    <row r="1433" spans="1:11">
      <c r="A1433" s="385">
        <v>99017</v>
      </c>
      <c r="B1433" s="385" t="s">
        <v>5344</v>
      </c>
      <c r="C1433" s="385" t="s">
        <v>5343</v>
      </c>
      <c r="D1433" s="385" t="s">
        <v>5342</v>
      </c>
      <c r="E1433" s="385">
        <v>283</v>
      </c>
      <c r="F1433" s="385" t="s">
        <v>4705</v>
      </c>
      <c r="G1433" s="385" t="s">
        <v>4704</v>
      </c>
      <c r="H1433" s="385" t="s">
        <v>4703</v>
      </c>
      <c r="I1433" s="385" t="s">
        <v>3485</v>
      </c>
      <c r="J1433" s="385" t="s">
        <v>3477</v>
      </c>
      <c r="K1433" s="385" t="e">
        <f>VLOOKUP(Table13[[#This Row],[CD_FUNCAO]],'BASE_FUNCOES (hide)'!A:X,2,FALSE)</f>
        <v>#N/A</v>
      </c>
    </row>
    <row r="1434" spans="1:11">
      <c r="A1434" s="385">
        <v>99019</v>
      </c>
      <c r="B1434" s="385" t="s">
        <v>5266</v>
      </c>
      <c r="C1434" s="385" t="s">
        <v>5265</v>
      </c>
      <c r="D1434" s="385" t="s">
        <v>5264</v>
      </c>
      <c r="E1434" s="385">
        <v>283</v>
      </c>
      <c r="F1434" s="385" t="s">
        <v>4705</v>
      </c>
      <c r="G1434" s="385" t="s">
        <v>4704</v>
      </c>
      <c r="H1434" s="385" t="s">
        <v>4703</v>
      </c>
      <c r="I1434" s="385" t="s">
        <v>3485</v>
      </c>
      <c r="J1434" s="385" t="s">
        <v>3477</v>
      </c>
      <c r="K1434" s="385" t="e">
        <f>VLOOKUP(Table13[[#This Row],[CD_FUNCAO]],'BASE_FUNCOES (hide)'!A:X,2,FALSE)</f>
        <v>#N/A</v>
      </c>
    </row>
    <row r="1435" spans="1:11" hidden="1">
      <c r="A1435" s="385">
        <v>10154</v>
      </c>
      <c r="B1435" s="385" t="s">
        <v>1892</v>
      </c>
      <c r="C1435" s="385" t="s">
        <v>3519</v>
      </c>
      <c r="D1435" s="385" t="s">
        <v>1894</v>
      </c>
      <c r="E1435" s="385">
        <v>904</v>
      </c>
      <c r="F1435" s="385" t="s">
        <v>2294</v>
      </c>
      <c r="G1435" s="385" t="s">
        <v>1878</v>
      </c>
      <c r="H1435" s="385" t="s">
        <v>1878</v>
      </c>
      <c r="I1435" s="385" t="s">
        <v>3477</v>
      </c>
      <c r="J1435" s="385" t="s">
        <v>3477</v>
      </c>
      <c r="K1435" s="385" t="str">
        <f>VLOOKUP(Table13[[#This Row],[CD_FUNCAO]],'BASE_FUNCOES (hide)'!A:X,2,FALSE)</f>
        <v>HDM - Grupos de Atendimento Coletivo</v>
      </c>
    </row>
    <row r="1436" spans="1:11">
      <c r="A1436" s="385">
        <v>99021</v>
      </c>
      <c r="B1436" s="385" t="s">
        <v>5270</v>
      </c>
      <c r="C1436" s="385" t="s">
        <v>5270</v>
      </c>
      <c r="D1436" s="385" t="s">
        <v>5270</v>
      </c>
      <c r="E1436" s="385">
        <v>283</v>
      </c>
      <c r="F1436" s="385" t="s">
        <v>4705</v>
      </c>
      <c r="G1436" s="385" t="s">
        <v>4704</v>
      </c>
      <c r="H1436" s="385" t="s">
        <v>4703</v>
      </c>
      <c r="I1436" s="385" t="s">
        <v>3510</v>
      </c>
      <c r="J1436" s="385" t="s">
        <v>3477</v>
      </c>
      <c r="K1436" s="385" t="e">
        <f>VLOOKUP(Table13[[#This Row],[CD_FUNCAO]],'BASE_FUNCOES (hide)'!A:X,2,FALSE)</f>
        <v>#N/A</v>
      </c>
    </row>
    <row r="1437" spans="1:11" hidden="1">
      <c r="A1437" s="385">
        <v>10157</v>
      </c>
      <c r="B1437" s="385" t="s">
        <v>1883</v>
      </c>
      <c r="C1437" s="385" t="s">
        <v>1884</v>
      </c>
      <c r="D1437" s="385" t="s">
        <v>1885</v>
      </c>
      <c r="E1437" s="385">
        <v>904</v>
      </c>
      <c r="F1437" s="385" t="s">
        <v>2294</v>
      </c>
      <c r="G1437" s="385" t="s">
        <v>1878</v>
      </c>
      <c r="H1437" s="385" t="s">
        <v>1878</v>
      </c>
      <c r="I1437" s="385" t="s">
        <v>3477</v>
      </c>
      <c r="J1437" s="385" t="s">
        <v>3477</v>
      </c>
      <c r="K1437" s="385" t="str">
        <f>VLOOKUP(Table13[[#This Row],[CD_FUNCAO]],'BASE_FUNCOES (hide)'!A:X,2,FALSE)</f>
        <v>HDM - Controle de Participantes</v>
      </c>
    </row>
    <row r="1438" spans="1:11" hidden="1">
      <c r="A1438" s="385">
        <v>9909</v>
      </c>
      <c r="B1438" s="385" t="s">
        <v>443</v>
      </c>
      <c r="C1438" s="385" t="s">
        <v>1566</v>
      </c>
      <c r="D1438" s="385" t="s">
        <v>1567</v>
      </c>
      <c r="E1438" s="385">
        <v>685</v>
      </c>
      <c r="F1438" s="385" t="s">
        <v>442</v>
      </c>
      <c r="I1438" s="385" t="s">
        <v>3477</v>
      </c>
      <c r="J1438" s="385" t="s">
        <v>3477</v>
      </c>
      <c r="K1438" s="385" t="str">
        <f>VLOOKUP(Table13[[#This Row],[CD_FUNCAO]],'BASE_FUNCOES (hide)'!A:X,2,FALSE)</f>
        <v>Acompanhamento de Nota Fiscal Eletrônica</v>
      </c>
    </row>
    <row r="1439" spans="1:11" hidden="1">
      <c r="A1439" s="385">
        <v>3050</v>
      </c>
      <c r="B1439" s="385" t="s">
        <v>123</v>
      </c>
      <c r="C1439" s="385" t="s">
        <v>1562</v>
      </c>
      <c r="D1439" s="385" t="s">
        <v>1563</v>
      </c>
      <c r="E1439" s="385">
        <v>685</v>
      </c>
      <c r="F1439" s="385" t="s">
        <v>442</v>
      </c>
      <c r="I1439" s="385" t="s">
        <v>3477</v>
      </c>
      <c r="J1439" s="385" t="s">
        <v>3477</v>
      </c>
      <c r="K1439" s="385" t="str">
        <f>VLOOKUP(Table13[[#This Row],[CD_FUNCAO]],'BASE_FUNCOES (hide)'!A:X,2,FALSE)</f>
        <v>Acompanhamento de Tributos</v>
      </c>
    </row>
    <row r="1440" spans="1:11" hidden="1">
      <c r="A1440" s="385">
        <v>5500</v>
      </c>
      <c r="B1440" s="385" t="s">
        <v>444</v>
      </c>
      <c r="C1440" s="385" t="s">
        <v>1564</v>
      </c>
      <c r="D1440" s="385" t="s">
        <v>1565</v>
      </c>
      <c r="E1440" s="385">
        <v>685</v>
      </c>
      <c r="F1440" s="385" t="s">
        <v>442</v>
      </c>
      <c r="I1440" s="385" t="s">
        <v>3477</v>
      </c>
      <c r="J1440" s="385" t="s">
        <v>3477</v>
      </c>
      <c r="K1440" s="385" t="str">
        <f>VLOOKUP(Table13[[#This Row],[CD_FUNCAO]],'BASE_FUNCOES (hide)'!A:X,2,FALSE)</f>
        <v>Controle de Arrecadações</v>
      </c>
    </row>
    <row r="1441" spans="1:11">
      <c r="A1441" s="385">
        <v>99050</v>
      </c>
      <c r="B1441" s="385" t="s">
        <v>5221</v>
      </c>
      <c r="C1441" s="385" t="s">
        <v>5222</v>
      </c>
      <c r="D1441" s="385" t="s">
        <v>5221</v>
      </c>
      <c r="E1441" s="385">
        <v>283</v>
      </c>
      <c r="F1441" s="385" t="s">
        <v>4705</v>
      </c>
      <c r="G1441" s="385" t="s">
        <v>4704</v>
      </c>
      <c r="H1441" s="385" t="s">
        <v>4703</v>
      </c>
      <c r="I1441" s="385" t="s">
        <v>3510</v>
      </c>
      <c r="J1441" s="385" t="s">
        <v>3477</v>
      </c>
      <c r="K1441" s="385" t="e">
        <f>VLOOKUP(Table13[[#This Row],[CD_FUNCAO]],'BASE_FUNCOES (hide)'!A:X,2,FALSE)</f>
        <v>#N/A</v>
      </c>
    </row>
    <row r="1442" spans="1:11" hidden="1">
      <c r="A1442" s="385">
        <v>9899</v>
      </c>
      <c r="B1442" s="385" t="s">
        <v>442</v>
      </c>
      <c r="C1442" s="385" t="s">
        <v>442</v>
      </c>
      <c r="D1442" s="385" t="s">
        <v>442</v>
      </c>
      <c r="E1442" s="385">
        <v>685</v>
      </c>
      <c r="F1442" s="385" t="s">
        <v>442</v>
      </c>
      <c r="I1442" s="385" t="s">
        <v>3477</v>
      </c>
      <c r="J1442" s="385" t="s">
        <v>3477</v>
      </c>
      <c r="K1442" s="385" t="str">
        <f>VLOOKUP(Table13[[#This Row],[CD_FUNCAO]],'BASE_FUNCOES (hide)'!A:X,2,FALSE)</f>
        <v>Fiscal</v>
      </c>
    </row>
    <row r="1443" spans="1:11" hidden="1">
      <c r="A1443" s="385">
        <v>260</v>
      </c>
      <c r="B1443" s="385" t="s">
        <v>439</v>
      </c>
      <c r="C1443" s="385" t="s">
        <v>1554</v>
      </c>
      <c r="D1443" s="385" t="s">
        <v>1555</v>
      </c>
      <c r="E1443" s="385">
        <v>631</v>
      </c>
      <c r="F1443" s="385" t="s">
        <v>396</v>
      </c>
      <c r="I1443" s="385" t="s">
        <v>3477</v>
      </c>
      <c r="K1443" s="385" t="str">
        <f>VLOOKUP(Table13[[#This Row],[CD_FUNCAO]],'BASE_FUNCOES (hide)'!A:X,2,FALSE)</f>
        <v>Gerenciador de Relatórios</v>
      </c>
    </row>
    <row r="1444" spans="1:11">
      <c r="A1444" s="385">
        <v>99053</v>
      </c>
      <c r="B1444" s="385" t="s">
        <v>5220</v>
      </c>
      <c r="C1444" s="385" t="s">
        <v>5219</v>
      </c>
      <c r="D1444" s="385" t="s">
        <v>5218</v>
      </c>
      <c r="E1444" s="385">
        <v>283</v>
      </c>
      <c r="F1444" s="385" t="s">
        <v>4705</v>
      </c>
      <c r="G1444" s="385" t="s">
        <v>4704</v>
      </c>
      <c r="H1444" s="385" t="s">
        <v>4703</v>
      </c>
      <c r="I1444" s="385" t="s">
        <v>3510</v>
      </c>
      <c r="J1444" s="385" t="s">
        <v>3477</v>
      </c>
      <c r="K1444" s="385" t="e">
        <f>VLOOKUP(Table13[[#This Row],[CD_FUNCAO]],'BASE_FUNCOES (hide)'!A:X,2,FALSE)</f>
        <v>#N/A</v>
      </c>
    </row>
    <row r="1445" spans="1:11" hidden="1">
      <c r="A1445" s="385">
        <v>-751</v>
      </c>
      <c r="B1445" s="385" t="s">
        <v>1556</v>
      </c>
      <c r="C1445" s="385" t="s">
        <v>1558</v>
      </c>
      <c r="D1445" s="385" t="s">
        <v>1559</v>
      </c>
      <c r="E1445" s="385">
        <v>671</v>
      </c>
      <c r="F1445" s="385" t="s">
        <v>3509</v>
      </c>
      <c r="I1445" s="385" t="s">
        <v>3477</v>
      </c>
      <c r="J1445" s="385" t="s">
        <v>3476</v>
      </c>
      <c r="K1445" s="385" t="str">
        <f>VLOOKUP(Table13[[#This Row],[CD_FUNCAO]],'BASE_FUNCOES (hide)'!A:X,2,FALSE)</f>
        <v>TasyMed - Cadastro de Pacientes</v>
      </c>
    </row>
    <row r="1446" spans="1:11" hidden="1">
      <c r="A1446" s="385">
        <v>7006</v>
      </c>
      <c r="B1446" s="385" t="s">
        <v>441</v>
      </c>
      <c r="C1446" s="385" t="s">
        <v>1560</v>
      </c>
      <c r="D1446" s="385" t="s">
        <v>1561</v>
      </c>
      <c r="E1446" s="385">
        <v>681</v>
      </c>
      <c r="F1446" s="385" t="s">
        <v>440</v>
      </c>
      <c r="I1446" s="385" t="s">
        <v>3477</v>
      </c>
      <c r="J1446" s="385" t="s">
        <v>3476</v>
      </c>
      <c r="K1446" s="385" t="str">
        <f>VLOOKUP(Table13[[#This Row],[CD_FUNCAO]],'BASE_FUNCOES (hide)'!A:X,2,FALSE)</f>
        <v>Gestão de Transplante</v>
      </c>
    </row>
    <row r="1447" spans="1:11" hidden="1">
      <c r="A1447" s="385">
        <v>9114</v>
      </c>
      <c r="B1447" s="385" t="s">
        <v>2044</v>
      </c>
      <c r="C1447" s="385" t="s">
        <v>3508</v>
      </c>
      <c r="D1447" s="385" t="s">
        <v>3507</v>
      </c>
      <c r="E1447" s="385">
        <v>913</v>
      </c>
      <c r="F1447" s="385" t="s">
        <v>2042</v>
      </c>
      <c r="G1447" s="385" t="s">
        <v>2962</v>
      </c>
      <c r="H1447" s="385" t="s">
        <v>2962</v>
      </c>
      <c r="I1447" s="385" t="s">
        <v>3506</v>
      </c>
      <c r="J1447" s="385" t="s">
        <v>3477</v>
      </c>
      <c r="K1447" s="385" t="str">
        <f>VLOOKUP(Table13[[#This Row],[CD_FUNCAO]],'BASE_FUNCOES (hide)'!A:X,2,FALSE)</f>
        <v>Web Suite Resultado de Exames</v>
      </c>
    </row>
    <row r="1448" spans="1:11" hidden="1">
      <c r="A1448" s="385">
        <v>341</v>
      </c>
      <c r="B1448" s="385" t="s">
        <v>3505</v>
      </c>
      <c r="C1448" s="385" t="s">
        <v>3504</v>
      </c>
      <c r="D1448" s="385" t="s">
        <v>3503</v>
      </c>
      <c r="E1448" s="385">
        <v>998</v>
      </c>
      <c r="F1448" s="385" t="s">
        <v>2834</v>
      </c>
      <c r="I1448" s="385" t="s">
        <v>3477</v>
      </c>
      <c r="J1448" s="385" t="s">
        <v>3477</v>
      </c>
      <c r="K1448" s="385" t="str">
        <f>VLOOKUP(Table13[[#This Row],[CD_FUNCAO]],'BASE_FUNCOES (hide)'!A:X,2,FALSE)</f>
        <v>Gestão populacional</v>
      </c>
    </row>
    <row r="1449" spans="1:11" hidden="1">
      <c r="A1449" s="385">
        <v>2682</v>
      </c>
      <c r="B1449" s="385" t="s">
        <v>1335</v>
      </c>
      <c r="C1449" s="385" t="s">
        <v>1336</v>
      </c>
      <c r="D1449" s="385" t="s">
        <v>1335</v>
      </c>
      <c r="E1449" s="385">
        <v>944</v>
      </c>
      <c r="F1449" s="385" t="s">
        <v>3086</v>
      </c>
      <c r="I1449" s="385" t="s">
        <v>3477</v>
      </c>
      <c r="J1449" s="385" t="s">
        <v>3477</v>
      </c>
      <c r="K1449" s="385" t="str">
        <f>VLOOKUP(Table13[[#This Row],[CD_FUNCAO]],'BASE_FUNCOES (hide)'!A:X,2,FALSE)</f>
        <v>iOS - Diagnósticos</v>
      </c>
    </row>
    <row r="1450" spans="1:11" hidden="1">
      <c r="A1450" s="385">
        <v>2685</v>
      </c>
      <c r="B1450" s="385" t="s">
        <v>1341</v>
      </c>
      <c r="C1450" s="385" t="s">
        <v>1342</v>
      </c>
      <c r="D1450" s="385" t="s">
        <v>1343</v>
      </c>
      <c r="E1450" s="385">
        <v>944</v>
      </c>
      <c r="F1450" s="385" t="s">
        <v>3086</v>
      </c>
      <c r="I1450" s="385" t="s">
        <v>3477</v>
      </c>
      <c r="J1450" s="385" t="s">
        <v>3477</v>
      </c>
      <c r="K1450" s="385" t="str">
        <f>VLOOKUP(Table13[[#This Row],[CD_FUNCAO]],'BASE_FUNCOES (hide)'!A:X,2,FALSE)</f>
        <v>iOS - Sinais Vitais e Monitorização</v>
      </c>
    </row>
    <row r="1451" spans="1:11" hidden="1">
      <c r="A1451" s="385">
        <v>2687</v>
      </c>
      <c r="B1451" s="385" t="s">
        <v>1321</v>
      </c>
      <c r="C1451" s="385" t="s">
        <v>1322</v>
      </c>
      <c r="D1451" s="385" t="s">
        <v>1323</v>
      </c>
      <c r="E1451" s="385">
        <v>944</v>
      </c>
      <c r="F1451" s="385" t="s">
        <v>3086</v>
      </c>
      <c r="I1451" s="385" t="s">
        <v>3477</v>
      </c>
      <c r="J1451" s="385" t="s">
        <v>3477</v>
      </c>
      <c r="K1451" s="385" t="str">
        <f>VLOOKUP(Table13[[#This Row],[CD_FUNCAO]],'BASE_FUNCOES (hide)'!A:X,2,FALSE)</f>
        <v>iOS - Exames Laboratoriais</v>
      </c>
    </row>
    <row r="1452" spans="1:11" hidden="1">
      <c r="A1452" s="385">
        <v>2689</v>
      </c>
      <c r="B1452" s="385" t="s">
        <v>3502</v>
      </c>
      <c r="C1452" s="385" t="s">
        <v>1350</v>
      </c>
      <c r="D1452" s="385" t="s">
        <v>1351</v>
      </c>
      <c r="E1452" s="385">
        <v>944</v>
      </c>
      <c r="F1452" s="385" t="s">
        <v>3086</v>
      </c>
      <c r="I1452" s="385" t="s">
        <v>3477</v>
      </c>
      <c r="J1452" s="385" t="s">
        <v>3477</v>
      </c>
      <c r="K1452" s="385" t="str">
        <f>VLOOKUP(Table13[[#This Row],[CD_FUNCAO]],'BASE_FUNCOES (hide)'!A:X,2,FALSE)</f>
        <v>iOS - Exames No Laboratoriais</v>
      </c>
    </row>
    <row r="1453" spans="1:11" hidden="1">
      <c r="A1453" s="385">
        <v>2703</v>
      </c>
      <c r="B1453" s="385" t="s">
        <v>1309</v>
      </c>
      <c r="C1453" s="385" t="s">
        <v>1310</v>
      </c>
      <c r="D1453" s="385" t="s">
        <v>1311</v>
      </c>
      <c r="E1453" s="385">
        <v>944</v>
      </c>
      <c r="F1453" s="385" t="s">
        <v>3086</v>
      </c>
      <c r="I1453" s="385" t="s">
        <v>3477</v>
      </c>
      <c r="J1453" s="385" t="s">
        <v>3477</v>
      </c>
      <c r="K1453" s="385" t="str">
        <f>VLOOKUP(Table13[[#This Row],[CD_FUNCAO]],'BASE_FUNCOES (hide)'!A:X,2,FALSE)</f>
        <v>iOS - Evoluções</v>
      </c>
    </row>
    <row r="1454" spans="1:11">
      <c r="A1454" s="385">
        <v>99054</v>
      </c>
      <c r="B1454" s="385" t="s">
        <v>5195</v>
      </c>
      <c r="C1454" s="385" t="s">
        <v>5194</v>
      </c>
      <c r="D1454" s="385" t="s">
        <v>5193</v>
      </c>
      <c r="E1454" s="385">
        <v>283</v>
      </c>
      <c r="F1454" s="385" t="s">
        <v>4705</v>
      </c>
      <c r="G1454" s="385" t="s">
        <v>4704</v>
      </c>
      <c r="H1454" s="385" t="s">
        <v>4703</v>
      </c>
      <c r="I1454" s="385" t="s">
        <v>3510</v>
      </c>
      <c r="J1454" s="385" t="s">
        <v>3477</v>
      </c>
      <c r="K1454" s="385" t="e">
        <f>VLOOKUP(Table13[[#This Row],[CD_FUNCAO]],'BASE_FUNCOES (hide)'!A:X,2,FALSE)</f>
        <v>#N/A</v>
      </c>
    </row>
    <row r="1455" spans="1:11">
      <c r="A1455" s="385">
        <v>99055</v>
      </c>
      <c r="B1455" s="385" t="s">
        <v>5192</v>
      </c>
      <c r="C1455" s="385" t="s">
        <v>5191</v>
      </c>
      <c r="D1455" s="385" t="s">
        <v>5190</v>
      </c>
      <c r="E1455" s="385">
        <v>283</v>
      </c>
      <c r="F1455" s="385" t="s">
        <v>4705</v>
      </c>
      <c r="G1455" s="385" t="s">
        <v>4704</v>
      </c>
      <c r="H1455" s="385" t="s">
        <v>4703</v>
      </c>
      <c r="I1455" s="385" t="s">
        <v>3510</v>
      </c>
      <c r="J1455" s="385" t="s">
        <v>3477</v>
      </c>
      <c r="K1455" s="385" t="e">
        <f>VLOOKUP(Table13[[#This Row],[CD_FUNCAO]],'BASE_FUNCOES (hide)'!A:X,2,FALSE)</f>
        <v>#N/A</v>
      </c>
    </row>
    <row r="1456" spans="1:11">
      <c r="A1456" s="385">
        <v>99056</v>
      </c>
      <c r="B1456" s="385" t="s">
        <v>5176</v>
      </c>
      <c r="C1456" s="385" t="s">
        <v>5175</v>
      </c>
      <c r="D1456" s="385" t="s">
        <v>5174</v>
      </c>
      <c r="E1456" s="385">
        <v>283</v>
      </c>
      <c r="F1456" s="385" t="s">
        <v>4705</v>
      </c>
      <c r="G1456" s="385" t="s">
        <v>4704</v>
      </c>
      <c r="H1456" s="385" t="s">
        <v>4703</v>
      </c>
      <c r="I1456" s="385" t="s">
        <v>3510</v>
      </c>
      <c r="J1456" s="385" t="s">
        <v>3477</v>
      </c>
      <c r="K1456" s="385" t="e">
        <f>VLOOKUP(Table13[[#This Row],[CD_FUNCAO]],'BASE_FUNCOES (hide)'!A:X,2,FALSE)</f>
        <v>#N/A</v>
      </c>
    </row>
    <row r="1457" spans="1:11">
      <c r="A1457" s="385">
        <v>99060</v>
      </c>
      <c r="B1457" s="385" t="s">
        <v>5135</v>
      </c>
      <c r="C1457" s="385" t="s">
        <v>5135</v>
      </c>
      <c r="D1457" s="385" t="s">
        <v>5135</v>
      </c>
      <c r="E1457" s="385">
        <v>283</v>
      </c>
      <c r="F1457" s="385" t="s">
        <v>4705</v>
      </c>
      <c r="G1457" s="385" t="s">
        <v>4704</v>
      </c>
      <c r="H1457" s="385" t="s">
        <v>4703</v>
      </c>
      <c r="I1457" s="385" t="s">
        <v>3510</v>
      </c>
      <c r="J1457" s="385" t="s">
        <v>3477</v>
      </c>
      <c r="K1457" s="385" t="e">
        <f>VLOOKUP(Table13[[#This Row],[CD_FUNCAO]],'BASE_FUNCOES (hide)'!A:X,2,FALSE)</f>
        <v>#N/A</v>
      </c>
    </row>
    <row r="1458" spans="1:11">
      <c r="A1458" s="385">
        <v>99073</v>
      </c>
      <c r="B1458" s="385" t="s">
        <v>5040</v>
      </c>
      <c r="C1458" s="385" t="s">
        <v>5039</v>
      </c>
      <c r="D1458" s="385" t="s">
        <v>5038</v>
      </c>
      <c r="E1458" s="385">
        <v>283</v>
      </c>
      <c r="F1458" s="385" t="s">
        <v>4705</v>
      </c>
      <c r="G1458" s="385" t="s">
        <v>4704</v>
      </c>
      <c r="H1458" s="385" t="s">
        <v>4703</v>
      </c>
      <c r="I1458" s="385" t="s">
        <v>3477</v>
      </c>
      <c r="J1458" s="385" t="s">
        <v>3477</v>
      </c>
      <c r="K1458" s="385" t="e">
        <f>VLOOKUP(Table13[[#This Row],[CD_FUNCAO]],'BASE_FUNCOES (hide)'!A:X,2,FALSE)</f>
        <v>#N/A</v>
      </c>
    </row>
    <row r="1459" spans="1:11" hidden="1">
      <c r="A1459" s="385">
        <v>2681</v>
      </c>
      <c r="B1459" s="385" t="s">
        <v>1318</v>
      </c>
      <c r="C1459" s="385" t="s">
        <v>1319</v>
      </c>
      <c r="D1459" s="385" t="s">
        <v>1320</v>
      </c>
      <c r="E1459" s="385">
        <v>944</v>
      </c>
      <c r="F1459" s="385" t="s">
        <v>3086</v>
      </c>
      <c r="I1459" s="385" t="s">
        <v>3477</v>
      </c>
      <c r="J1459" s="385" t="s">
        <v>3477</v>
      </c>
      <c r="K1459" s="385" t="str">
        <f>VLOOKUP(Table13[[#This Row],[CD_FUNCAO]],'BASE_FUNCOES (hide)'!A:X,2,FALSE)</f>
        <v>iOS - PEP</v>
      </c>
    </row>
    <row r="1460" spans="1:11">
      <c r="A1460" s="385">
        <v>99080</v>
      </c>
      <c r="B1460" s="385" t="s">
        <v>5058</v>
      </c>
      <c r="C1460" s="385" t="s">
        <v>5057</v>
      </c>
      <c r="D1460" s="385" t="s">
        <v>5056</v>
      </c>
      <c r="E1460" s="385">
        <v>283</v>
      </c>
      <c r="F1460" s="385" t="s">
        <v>4705</v>
      </c>
      <c r="G1460" s="385" t="s">
        <v>4704</v>
      </c>
      <c r="H1460" s="385" t="s">
        <v>4703</v>
      </c>
      <c r="I1460" s="385" t="s">
        <v>3510</v>
      </c>
      <c r="J1460" s="385" t="s">
        <v>3477</v>
      </c>
      <c r="K1460" s="385" t="e">
        <f>VLOOKUP(Table13[[#This Row],[CD_FUNCAO]],'BASE_FUNCOES (hide)'!A:X,2,FALSE)</f>
        <v>#N/A</v>
      </c>
    </row>
    <row r="1461" spans="1:11" hidden="1">
      <c r="A1461" s="385">
        <v>241</v>
      </c>
      <c r="B1461" s="385" t="s">
        <v>1405</v>
      </c>
      <c r="C1461" s="385" t="s">
        <v>1406</v>
      </c>
      <c r="D1461" s="385" t="s">
        <v>3484</v>
      </c>
      <c r="E1461" s="385">
        <v>944</v>
      </c>
      <c r="F1461" s="385" t="s">
        <v>3086</v>
      </c>
      <c r="I1461" s="385" t="s">
        <v>3477</v>
      </c>
      <c r="J1461" s="385" t="s">
        <v>3477</v>
      </c>
      <c r="K1461" s="385" t="str">
        <f>VLOOKUP(Table13[[#This Row],[CD_FUNCAO]],'BASE_FUNCOES (hide)'!A:X,2,FALSE)</f>
        <v>iOS - Checagem Beira Leito</v>
      </c>
    </row>
    <row r="1462" spans="1:11" hidden="1">
      <c r="A1462" s="385">
        <v>264</v>
      </c>
      <c r="B1462" s="385" t="s">
        <v>1396</v>
      </c>
      <c r="C1462" s="385" t="s">
        <v>1397</v>
      </c>
      <c r="D1462" s="385" t="s">
        <v>3483</v>
      </c>
      <c r="E1462" s="385">
        <v>944</v>
      </c>
      <c r="F1462" s="385" t="s">
        <v>3086</v>
      </c>
      <c r="I1462" s="385" t="s">
        <v>3477</v>
      </c>
      <c r="J1462" s="385" t="s">
        <v>3477</v>
      </c>
      <c r="K1462" s="385" t="str">
        <f>VLOOKUP(Table13[[#This Row],[CD_FUNCAO]],'BASE_FUNCOES (hide)'!A:X,2,FALSE)</f>
        <v>iOS - Checagem Procedimentos iPod</v>
      </c>
    </row>
    <row r="1463" spans="1:11" hidden="1">
      <c r="A1463" s="385">
        <v>263</v>
      </c>
      <c r="B1463" s="385" t="s">
        <v>3482</v>
      </c>
      <c r="C1463" s="385" t="s">
        <v>1412</v>
      </c>
      <c r="D1463" s="385" t="s">
        <v>3481</v>
      </c>
      <c r="E1463" s="385">
        <v>944</v>
      </c>
      <c r="F1463" s="385" t="s">
        <v>3086</v>
      </c>
      <c r="I1463" s="385" t="s">
        <v>3477</v>
      </c>
      <c r="J1463" s="385" t="s">
        <v>3477</v>
      </c>
      <c r="K1463" s="385" t="str">
        <f>VLOOKUP(Table13[[#This Row],[CD_FUNCAO]],'BASE_FUNCOES (hide)'!A:X,2,FALSE)</f>
        <v xml:space="preserve">iOS - Checagem Recomendação iPod </v>
      </c>
    </row>
    <row r="1464" spans="1:11" hidden="1">
      <c r="A1464" s="385">
        <v>272</v>
      </c>
      <c r="B1464" s="385" t="s">
        <v>1455</v>
      </c>
      <c r="C1464" s="385" t="s">
        <v>1455</v>
      </c>
      <c r="D1464" s="385" t="s">
        <v>1456</v>
      </c>
      <c r="E1464" s="385">
        <v>944</v>
      </c>
      <c r="F1464" s="385" t="s">
        <v>3086</v>
      </c>
      <c r="I1464" s="385" t="s">
        <v>3477</v>
      </c>
      <c r="J1464" s="385" t="s">
        <v>3477</v>
      </c>
      <c r="K1464" s="385" t="str">
        <f>VLOOKUP(Table13[[#This Row],[CD_FUNCAO]],'BASE_FUNCOES (hide)'!A:X,2,FALSE)</f>
        <v>iOS - Devolução de Materiais e Medicamentos iPod</v>
      </c>
    </row>
    <row r="1465" spans="1:11" hidden="1">
      <c r="A1465" s="385">
        <v>274</v>
      </c>
      <c r="B1465" s="385" t="s">
        <v>1457</v>
      </c>
      <c r="C1465" s="385" t="s">
        <v>1457</v>
      </c>
      <c r="D1465" s="385" t="s">
        <v>1458</v>
      </c>
      <c r="E1465" s="385">
        <v>944</v>
      </c>
      <c r="F1465" s="385" t="s">
        <v>3086</v>
      </c>
      <c r="I1465" s="385" t="s">
        <v>3477</v>
      </c>
      <c r="J1465" s="385" t="s">
        <v>3477</v>
      </c>
      <c r="K1465" s="385" t="str">
        <f>VLOOKUP(Table13[[#This Row],[CD_FUNCAO]],'BASE_FUNCOES (hide)'!A:X,2,FALSE)</f>
        <v>iOS - Controle de Glicemia Capilar iPod</v>
      </c>
    </row>
    <row r="1466" spans="1:11" hidden="1">
      <c r="A1466" s="385">
        <v>283</v>
      </c>
      <c r="B1466" s="385" t="s">
        <v>1432</v>
      </c>
      <c r="C1466" s="385" t="s">
        <v>1624</v>
      </c>
      <c r="D1466" s="385" t="s">
        <v>1432</v>
      </c>
      <c r="E1466" s="385">
        <v>944</v>
      </c>
      <c r="F1466" s="385" t="s">
        <v>3086</v>
      </c>
      <c r="I1466" s="385" t="s">
        <v>3477</v>
      </c>
      <c r="J1466" s="385" t="s">
        <v>3477</v>
      </c>
      <c r="K1466" s="385" t="str">
        <f>VLOOKUP(Table13[[#This Row],[CD_FUNCAO]],'BASE_FUNCOES (hide)'!A:X,2,FALSE)</f>
        <v>iOS - ADEP - iPod</v>
      </c>
    </row>
    <row r="1467" spans="1:11" hidden="1">
      <c r="A1467" s="385">
        <v>277</v>
      </c>
      <c r="B1467" s="385" t="s">
        <v>1436</v>
      </c>
      <c r="C1467" s="385" t="s">
        <v>1625</v>
      </c>
      <c r="D1467" s="385" t="s">
        <v>1436</v>
      </c>
      <c r="E1467" s="385">
        <v>944</v>
      </c>
      <c r="F1467" s="385" t="s">
        <v>3086</v>
      </c>
      <c r="I1467" s="385" t="s">
        <v>3477</v>
      </c>
      <c r="J1467" s="385" t="s">
        <v>3477</v>
      </c>
      <c r="K1467" s="385" t="str">
        <f>VLOOKUP(Table13[[#This Row],[CD_FUNCAO]],'BASE_FUNCOES (hide)'!A:X,2,FALSE)</f>
        <v>iOS - Dispositivos iPod</v>
      </c>
    </row>
    <row r="1468" spans="1:11" hidden="1">
      <c r="A1468" s="385">
        <v>276</v>
      </c>
      <c r="B1468" s="385" t="s">
        <v>1459</v>
      </c>
      <c r="C1468" s="385" t="s">
        <v>1459</v>
      </c>
      <c r="D1468" s="385" t="s">
        <v>1460</v>
      </c>
      <c r="E1468" s="385">
        <v>944</v>
      </c>
      <c r="F1468" s="385" t="s">
        <v>3086</v>
      </c>
      <c r="I1468" s="385" t="s">
        <v>3477</v>
      </c>
      <c r="J1468" s="385" t="s">
        <v>3477</v>
      </c>
      <c r="K1468" s="385" t="str">
        <f>VLOOKUP(Table13[[#This Row],[CD_FUNCAO]],'BASE_FUNCOES (hide)'!A:X,2,FALSE)</f>
        <v>iOS - Trocar Local do Paciente iPod</v>
      </c>
    </row>
    <row r="1469" spans="1:11" hidden="1">
      <c r="A1469" s="385">
        <v>945</v>
      </c>
      <c r="B1469" s="385" t="s">
        <v>2809</v>
      </c>
      <c r="C1469" s="385" t="s">
        <v>920</v>
      </c>
      <c r="D1469" s="385" t="s">
        <v>921</v>
      </c>
      <c r="E1469" s="385">
        <v>999</v>
      </c>
      <c r="F1469" s="385" t="s">
        <v>2843</v>
      </c>
      <c r="I1469" s="385" t="s">
        <v>3477</v>
      </c>
      <c r="J1469" s="385" t="s">
        <v>3476</v>
      </c>
      <c r="K1469" s="385" t="str">
        <f>VLOOKUP(Table13[[#This Row],[CD_FUNCAO]],'BASE_FUNCOES (hide)'!A:X,2,FALSE)</f>
        <v>Laudo de Anatomia patológica</v>
      </c>
    </row>
    <row r="1470" spans="1:11" hidden="1">
      <c r="A1470" s="385">
        <v>9902</v>
      </c>
      <c r="B1470" s="385" t="s">
        <v>3480</v>
      </c>
      <c r="C1470" s="385" t="s">
        <v>3479</v>
      </c>
      <c r="D1470" s="385" t="s">
        <v>3478</v>
      </c>
      <c r="E1470" s="385">
        <v>945</v>
      </c>
      <c r="F1470" s="385" t="s">
        <v>2035</v>
      </c>
      <c r="I1470" s="385" t="s">
        <v>3477</v>
      </c>
      <c r="J1470" s="385" t="s">
        <v>3476</v>
      </c>
      <c r="K1470" s="385" t="str">
        <f>VLOOKUP(Table13[[#This Row],[CD_FUNCAO]],'BASE_FUNCOES (hide)'!A:X,2,FALSE)</f>
        <v>Gestão de Banco de Leite </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C11"/>
  <sheetViews>
    <sheetView showGridLines="0" workbookViewId="0">
      <selection activeCell="C11" sqref="C11"/>
    </sheetView>
  </sheetViews>
  <sheetFormatPr defaultRowHeight="14.5"/>
  <cols>
    <col min="1" max="1" width="34.7265625" bestFit="1" customWidth="1"/>
    <col min="2" max="2" width="26.81640625" bestFit="1" customWidth="1"/>
    <col min="3" max="3" width="16.81640625" customWidth="1"/>
  </cols>
  <sheetData>
    <row r="1" spans="1:3">
      <c r="A1" s="31" t="s">
        <v>2119</v>
      </c>
      <c r="B1" s="31" t="s">
        <v>2120</v>
      </c>
      <c r="C1" s="31" t="s">
        <v>2121</v>
      </c>
    </row>
    <row r="2" spans="1:3">
      <c r="A2" t="s">
        <v>2066</v>
      </c>
      <c r="B2" t="s">
        <v>2122</v>
      </c>
      <c r="C2" s="7" t="s">
        <v>2128</v>
      </c>
    </row>
    <row r="3" spans="1:3">
      <c r="A3" t="s">
        <v>2067</v>
      </c>
      <c r="B3" t="s">
        <v>2122</v>
      </c>
      <c r="C3" s="7" t="s">
        <v>2128</v>
      </c>
    </row>
    <row r="4" spans="1:3">
      <c r="A4" t="s">
        <v>2068</v>
      </c>
      <c r="B4" t="s">
        <v>2122</v>
      </c>
      <c r="C4" s="7" t="s">
        <v>2128</v>
      </c>
    </row>
    <row r="5" spans="1:3">
      <c r="A5" t="s">
        <v>2069</v>
      </c>
      <c r="B5" t="s">
        <v>2123</v>
      </c>
      <c r="C5" s="7" t="s">
        <v>2128</v>
      </c>
    </row>
    <row r="6" spans="1:3">
      <c r="A6" t="s">
        <v>2070</v>
      </c>
      <c r="B6" t="s">
        <v>2124</v>
      </c>
      <c r="C6" s="7" t="s">
        <v>2128</v>
      </c>
    </row>
    <row r="7" spans="1:3">
      <c r="A7" t="s">
        <v>2077</v>
      </c>
      <c r="C7" s="7" t="s">
        <v>2129</v>
      </c>
    </row>
    <row r="8" spans="1:3">
      <c r="A8" t="s">
        <v>2125</v>
      </c>
      <c r="C8" s="7" t="s">
        <v>2128</v>
      </c>
    </row>
    <row r="9" spans="1:3">
      <c r="A9" t="s">
        <v>2112</v>
      </c>
      <c r="B9" t="s">
        <v>2127</v>
      </c>
      <c r="C9" s="7" t="s">
        <v>2129</v>
      </c>
    </row>
    <row r="10" spans="1:3">
      <c r="A10" t="s">
        <v>2201</v>
      </c>
      <c r="B10" t="s">
        <v>2127</v>
      </c>
      <c r="C10" s="7" t="s">
        <v>2128</v>
      </c>
    </row>
    <row r="11" spans="1:3">
      <c r="A11" s="23" t="s">
        <v>2126</v>
      </c>
      <c r="B11" t="s">
        <v>2127</v>
      </c>
      <c r="C11" s="7" t="s">
        <v>2129</v>
      </c>
    </row>
  </sheetData>
  <conditionalFormatting sqref="C2:C11">
    <cfRule type="cellIs" dxfId="1" priority="1" operator="equal">
      <formula>"Ok"</formula>
    </cfRule>
    <cfRule type="cellIs" dxfId="0" priority="2" operator="equal">
      <formula>"Pendente"</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Planilhas</vt:lpstr>
      </vt:variant>
      <vt:variant>
        <vt:i4>31</vt:i4>
      </vt:variant>
      <vt:variant>
        <vt:lpstr>Intervalos Nomeados</vt:lpstr>
      </vt:variant>
      <vt:variant>
        <vt:i4>3</vt:i4>
      </vt:variant>
    </vt:vector>
  </HeadingPairs>
  <TitlesOfParts>
    <vt:vector size="34" baseType="lpstr">
      <vt:lpstr>Version Control (Old-Delete)</vt:lpstr>
      <vt:lpstr>Version Control </vt:lpstr>
      <vt:lpstr>Pendências</vt:lpstr>
      <vt:lpstr>General Information</vt:lpstr>
      <vt:lpstr>Proposal</vt:lpstr>
      <vt:lpstr>OIT SaaS</vt:lpstr>
      <vt:lpstr>Modules</vt:lpstr>
      <vt:lpstr>Folha1</vt:lpstr>
      <vt:lpstr>Questions</vt:lpstr>
      <vt:lpstr>Hours Detail</vt:lpstr>
      <vt:lpstr>Integrations (Old)</vt:lpstr>
      <vt:lpstr>Integrations</vt:lpstr>
      <vt:lpstr>Summary</vt:lpstr>
      <vt:lpstr>Hide - Negative Escope</vt:lpstr>
      <vt:lpstr>Resume (English)</vt:lpstr>
      <vt:lpstr>Rollout</vt:lpstr>
      <vt:lpstr>IDIOMA (hide)</vt:lpstr>
      <vt:lpstr>TWS (Excluir)</vt:lpstr>
      <vt:lpstr>Alterações</vt:lpstr>
      <vt:lpstr>Listas (Hide)</vt:lpstr>
      <vt:lpstr>ESTRUTURA_MODULO(hide)</vt:lpstr>
      <vt:lpstr>Assumptions Suggestion</vt:lpstr>
      <vt:lpstr>Folha2</vt:lpstr>
      <vt:lpstr>BackOffice</vt:lpstr>
      <vt:lpstr>BASE_FUNCOES (hide)</vt:lpstr>
      <vt:lpstr>Folha4</vt:lpstr>
      <vt:lpstr>Folha5</vt:lpstr>
      <vt:lpstr>Hide - Not Done 1</vt:lpstr>
      <vt:lpstr>Hide - Not Done</vt:lpstr>
      <vt:lpstr>Funções Tasy Corp - 2020, Abril</vt:lpstr>
      <vt:lpstr>Anotações (Hide)</vt:lpstr>
      <vt:lpstr>Integrations!_FiltrarBancodeDados</vt:lpstr>
      <vt:lpstr>Porte_v2</vt:lpstr>
      <vt:lpstr>Porte_v3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Philips</dc:creator>
  <cp:lastModifiedBy>Adam Leonard Lacerda de Souza</cp:lastModifiedBy>
  <cp:revision>0</cp:revision>
  <cp:lastPrinted>2019-03-29T20:30:14Z</cp:lastPrinted>
  <dcterms:created xsi:type="dcterms:W3CDTF">2014-05-22T14:37:33Z</dcterms:created>
  <dcterms:modified xsi:type="dcterms:W3CDTF">2026-02-13T13:45:53Z</dcterms:modified>
  <dc:language>pt-BR</dc:language>
</cp:coreProperties>
</file>